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cificorp.us\DFS\PDXCO\PSB1\SHARED\FILINGS\WA\2020 Dockets\_Dept of Commerce Reports\6-1-20 Annual RPS Report\Working docs\"/>
    </mc:Choice>
  </mc:AlternateContent>
  <bookViews>
    <workbookView xWindow="930" yWindow="6990" windowWidth="15690" windowHeight="1130" tabRatio="670"/>
  </bookViews>
  <sheets>
    <sheet name="Title Page" sheetId="9" r:id="rId1"/>
    <sheet name="Compliance Summary" sheetId="6" r:id="rId2"/>
    <sheet name="Facility Detail" sheetId="1" r:id="rId3"/>
    <sheet name="Generation Rollup" sheetId="8" r:id="rId4"/>
  </sheets>
  <definedNames>
    <definedName name="Facility">'Facility Detail'!$B$1900:$B$1909</definedName>
    <definedName name="LaborBonus">'Facility Detail'!$B$1889:$B$1891</definedName>
    <definedName name="_xlnm.Print_Area" localSheetId="1">'Compliance Summary'!$A$1:$L$69</definedName>
    <definedName name="_xlnm.Print_Area" localSheetId="2">'Facility Detail'!$A$1:$N$1844</definedName>
    <definedName name="_xlnm.Print_Area" localSheetId="3">'Generation Rollup'!$A$1:$N$59</definedName>
    <definedName name="_xlnm.Print_Area" localSheetId="0">'Title Page'!$A$1:$J$51</definedName>
  </definedNames>
  <calcPr calcId="152511" calcMode="manual"/>
</workbook>
</file>

<file path=xl/calcChain.xml><?xml version="1.0" encoding="utf-8"?>
<calcChain xmlns="http://schemas.openxmlformats.org/spreadsheetml/2006/main">
  <c r="L42" i="6" l="1"/>
  <c r="K40" i="6" l="1"/>
  <c r="L40" i="6"/>
  <c r="K12" i="6"/>
  <c r="L44" i="6" l="1"/>
  <c r="N728" i="1"/>
  <c r="M728" i="1"/>
  <c r="M725" i="1"/>
  <c r="N724" i="1"/>
  <c r="N881" i="1"/>
  <c r="M881" i="1"/>
  <c r="M878" i="1"/>
  <c r="N877" i="1"/>
  <c r="M875" i="1"/>
  <c r="L873" i="1"/>
  <c r="N830" i="1"/>
  <c r="M830" i="1"/>
  <c r="M827" i="1"/>
  <c r="N828" i="1"/>
  <c r="N779" i="1"/>
  <c r="M776" i="1"/>
  <c r="M779" i="1" s="1"/>
  <c r="N775" i="1"/>
  <c r="N241" i="1"/>
  <c r="M238" i="1"/>
  <c r="M241" i="1" s="1"/>
  <c r="N237" i="1"/>
  <c r="M190" i="1"/>
  <c r="N190" i="1"/>
  <c r="M187" i="1"/>
  <c r="N186" i="1"/>
  <c r="M184" i="1"/>
  <c r="L182" i="1"/>
  <c r="M139" i="1"/>
  <c r="M85" i="1"/>
  <c r="N88" i="1"/>
  <c r="N138" i="1"/>
  <c r="N135" i="1"/>
  <c r="M136" i="1"/>
  <c r="M133" i="1"/>
  <c r="L134" i="1"/>
  <c r="L131" i="1"/>
  <c r="K132" i="1"/>
  <c r="K129" i="1"/>
  <c r="N87" i="1"/>
  <c r="N84" i="1"/>
  <c r="M82" i="1"/>
  <c r="L83" i="1"/>
  <c r="L80" i="1"/>
  <c r="G1794" i="1"/>
  <c r="N1790" i="1"/>
  <c r="N1794" i="1" s="1"/>
  <c r="M1790" i="1"/>
  <c r="L1790" i="1"/>
  <c r="L1794" i="1" s="1"/>
  <c r="K1790" i="1"/>
  <c r="K1794" i="1" s="1"/>
  <c r="G1790" i="1"/>
  <c r="F1790" i="1"/>
  <c r="F1794" i="1" s="1"/>
  <c r="E1790" i="1"/>
  <c r="E1794" i="1" s="1"/>
  <c r="D1790" i="1"/>
  <c r="D1794" i="1" s="1"/>
  <c r="N1788" i="1"/>
  <c r="M1786" i="1"/>
  <c r="N1786" i="1" s="1"/>
  <c r="L1784" i="1"/>
  <c r="M1784" i="1" s="1"/>
  <c r="K1782" i="1"/>
  <c r="L1782" i="1" s="1"/>
  <c r="K1780" i="1"/>
  <c r="I1778" i="1"/>
  <c r="J1778" i="1" s="1"/>
  <c r="J1790" i="1" s="1"/>
  <c r="J1794" i="1" s="1"/>
  <c r="I1776" i="1"/>
  <c r="G1774" i="1"/>
  <c r="H1774" i="1" s="1"/>
  <c r="F1773" i="1"/>
  <c r="F1772" i="1"/>
  <c r="G1772" i="1" s="1"/>
  <c r="E1771" i="1"/>
  <c r="E1770" i="1"/>
  <c r="F1770" i="1" s="1"/>
  <c r="D1769" i="1"/>
  <c r="E1768" i="1"/>
  <c r="D1767" i="1"/>
  <c r="E1767" i="1" s="1"/>
  <c r="F1767" i="1" s="1"/>
  <c r="G1767" i="1" s="1"/>
  <c r="H1767" i="1" s="1"/>
  <c r="I1767" i="1" s="1"/>
  <c r="J1767" i="1" s="1"/>
  <c r="K1767" i="1" s="1"/>
  <c r="L1767" i="1" s="1"/>
  <c r="M1767" i="1" s="1"/>
  <c r="N1767" i="1" s="1"/>
  <c r="D1761" i="1"/>
  <c r="E1761" i="1" s="1"/>
  <c r="F1761" i="1" s="1"/>
  <c r="G1761" i="1" s="1"/>
  <c r="H1761" i="1" s="1"/>
  <c r="I1761" i="1" s="1"/>
  <c r="J1761" i="1" s="1"/>
  <c r="K1761" i="1" s="1"/>
  <c r="L1761" i="1" s="1"/>
  <c r="M1761" i="1" s="1"/>
  <c r="N1761" i="1" s="1"/>
  <c r="D1756" i="1"/>
  <c r="E1756" i="1" s="1"/>
  <c r="F1756" i="1" s="1"/>
  <c r="G1756" i="1" s="1"/>
  <c r="H1756" i="1" s="1"/>
  <c r="I1756" i="1" s="1"/>
  <c r="J1756" i="1" s="1"/>
  <c r="K1756" i="1" s="1"/>
  <c r="L1756" i="1" s="1"/>
  <c r="M1756" i="1" s="1"/>
  <c r="N1756" i="1" s="1"/>
  <c r="M1754" i="1"/>
  <c r="M1794" i="1" s="1"/>
  <c r="B1751" i="1"/>
  <c r="D1750" i="1"/>
  <c r="E1750" i="1" s="1"/>
  <c r="F1750" i="1" s="1"/>
  <c r="G1750" i="1" s="1"/>
  <c r="H1750" i="1" s="1"/>
  <c r="I1750" i="1" s="1"/>
  <c r="J1750" i="1" s="1"/>
  <c r="K1750" i="1" s="1"/>
  <c r="L1750" i="1" s="1"/>
  <c r="M1750" i="1" s="1"/>
  <c r="N1750" i="1" s="1"/>
  <c r="N1837" i="1"/>
  <c r="M1835" i="1"/>
  <c r="N1835" i="1" s="1"/>
  <c r="M1833" i="1"/>
  <c r="L1833" i="1"/>
  <c r="K1831" i="1"/>
  <c r="L1831" i="1" s="1"/>
  <c r="K1829" i="1"/>
  <c r="M1687" i="1"/>
  <c r="M1692" i="1" s="1"/>
  <c r="N1688" i="1"/>
  <c r="N1692" i="1" s="1"/>
  <c r="M1686" i="1"/>
  <c r="N1741" i="1"/>
  <c r="M1741" i="1"/>
  <c r="N1737" i="1"/>
  <c r="I1790" i="1" l="1"/>
  <c r="I1794" i="1" s="1"/>
  <c r="H1790" i="1"/>
  <c r="H1794" i="1" s="1"/>
  <c r="I1774" i="1"/>
  <c r="M1735" i="1"/>
  <c r="D9" i="6"/>
  <c r="C46" i="6"/>
  <c r="B48" i="6"/>
  <c r="G30" i="6"/>
  <c r="E26" i="6"/>
  <c r="D24" i="6"/>
  <c r="C19" i="6"/>
  <c r="C18" i="6"/>
  <c r="C17" i="6"/>
  <c r="C13" i="6"/>
  <c r="B4" i="6"/>
  <c r="C20" i="6" l="1"/>
  <c r="M39" i="8" l="1"/>
  <c r="L39" i="8"/>
  <c r="M1803" i="1"/>
  <c r="B1849" i="1" l="1"/>
  <c r="D1865" i="1"/>
  <c r="E1865" i="1" s="1"/>
  <c r="F1865" i="1" s="1"/>
  <c r="G1865" i="1" s="1"/>
  <c r="H1865" i="1" s="1"/>
  <c r="I1865" i="1" s="1"/>
  <c r="J1865" i="1" s="1"/>
  <c r="K1865" i="1" s="1"/>
  <c r="E1866" i="1"/>
  <c r="D1867" i="1"/>
  <c r="E1868" i="1"/>
  <c r="F1868" i="1" s="1"/>
  <c r="E1869" i="1"/>
  <c r="F1870" i="1"/>
  <c r="G1870" i="1" s="1"/>
  <c r="F1871" i="1"/>
  <c r="G1872" i="1"/>
  <c r="H1872" i="1" s="1"/>
  <c r="I1874" i="1"/>
  <c r="I1876" i="1"/>
  <c r="D1879" i="1"/>
  <c r="D1883" i="1" s="1"/>
  <c r="E1879" i="1"/>
  <c r="F1879" i="1"/>
  <c r="F1883" i="1" s="1"/>
  <c r="G1879" i="1"/>
  <c r="K1879" i="1"/>
  <c r="K1883" i="1" s="1"/>
  <c r="E1883" i="1"/>
  <c r="G1883" i="1"/>
  <c r="D1816" i="1"/>
  <c r="E1816" i="1" s="1"/>
  <c r="F1816" i="1" s="1"/>
  <c r="G1816" i="1" s="1"/>
  <c r="H1816" i="1" s="1"/>
  <c r="I1816" i="1" s="1"/>
  <c r="J1816" i="1" s="1"/>
  <c r="K1816" i="1" s="1"/>
  <c r="L1816" i="1" s="1"/>
  <c r="M1816" i="1" s="1"/>
  <c r="N1816" i="1" s="1"/>
  <c r="D1810" i="1"/>
  <c r="E1810" i="1" s="1"/>
  <c r="F1810" i="1" s="1"/>
  <c r="G1810" i="1" s="1"/>
  <c r="H1810" i="1" s="1"/>
  <c r="I1810" i="1" s="1"/>
  <c r="J1810" i="1" s="1"/>
  <c r="K1810" i="1" s="1"/>
  <c r="L1810" i="1" s="1"/>
  <c r="M1810" i="1" s="1"/>
  <c r="N1810" i="1" s="1"/>
  <c r="D1805" i="1"/>
  <c r="E1805" i="1" s="1"/>
  <c r="F1805" i="1" s="1"/>
  <c r="G1805" i="1" s="1"/>
  <c r="H1805" i="1" s="1"/>
  <c r="I1805" i="1" s="1"/>
  <c r="J1805" i="1" s="1"/>
  <c r="K1805" i="1" s="1"/>
  <c r="L1805" i="1" s="1"/>
  <c r="M1805" i="1" s="1"/>
  <c r="N1805" i="1" s="1"/>
  <c r="D1799" i="1"/>
  <c r="E1799" i="1" s="1"/>
  <c r="F1799" i="1" s="1"/>
  <c r="G1799" i="1" s="1"/>
  <c r="H1799" i="1" s="1"/>
  <c r="I1799" i="1" s="1"/>
  <c r="J1799" i="1" s="1"/>
  <c r="K1799" i="1" s="1"/>
  <c r="L1799" i="1" s="1"/>
  <c r="M1799" i="1" s="1"/>
  <c r="N1799" i="1" s="1"/>
  <c r="N1704" i="1"/>
  <c r="N1705" i="1" s="1"/>
  <c r="N1656" i="1"/>
  <c r="I1879" i="1" l="1"/>
  <c r="I1883" i="1" s="1"/>
  <c r="H1879" i="1"/>
  <c r="H1883" i="1" s="1"/>
  <c r="I1872" i="1"/>
  <c r="J1876" i="1"/>
  <c r="J1879" i="1" s="1"/>
  <c r="J1883" i="1" s="1"/>
  <c r="M1704" i="1"/>
  <c r="M1705" i="1" s="1"/>
  <c r="N1612" i="1"/>
  <c r="N1523" i="1"/>
  <c r="M1655" i="1"/>
  <c r="M1656" i="1" s="1"/>
  <c r="M1696" i="1" s="1"/>
  <c r="E1712" i="1"/>
  <c r="F1712" i="1" s="1"/>
  <c r="G1712" i="1" s="1"/>
  <c r="H1712" i="1" s="1"/>
  <c r="I1712" i="1" s="1"/>
  <c r="J1712" i="1" s="1"/>
  <c r="K1712" i="1" s="1"/>
  <c r="L1712" i="1" s="1"/>
  <c r="M1712" i="1" s="1"/>
  <c r="N1712" i="1" s="1"/>
  <c r="E1707" i="1"/>
  <c r="F1707" i="1" s="1"/>
  <c r="G1707" i="1" s="1"/>
  <c r="H1707" i="1" s="1"/>
  <c r="I1707" i="1" s="1"/>
  <c r="J1707" i="1" s="1"/>
  <c r="K1707" i="1" s="1"/>
  <c r="L1707" i="1" s="1"/>
  <c r="M1707" i="1" s="1"/>
  <c r="N1707" i="1" s="1"/>
  <c r="E1701" i="1"/>
  <c r="F1701" i="1" s="1"/>
  <c r="G1701" i="1" s="1"/>
  <c r="H1701" i="1" s="1"/>
  <c r="I1701" i="1" s="1"/>
  <c r="J1701" i="1" s="1"/>
  <c r="K1701" i="1" s="1"/>
  <c r="L1701" i="1" s="1"/>
  <c r="M1701" i="1" s="1"/>
  <c r="N1701" i="1" s="1"/>
  <c r="E1663" i="1"/>
  <c r="F1663" i="1" s="1"/>
  <c r="G1663" i="1" s="1"/>
  <c r="H1663" i="1" s="1"/>
  <c r="I1663" i="1" s="1"/>
  <c r="J1663" i="1" s="1"/>
  <c r="K1663" i="1" s="1"/>
  <c r="L1663" i="1" s="1"/>
  <c r="M1663" i="1" s="1"/>
  <c r="N1663" i="1" s="1"/>
  <c r="E1658" i="1"/>
  <c r="F1658" i="1" s="1"/>
  <c r="G1658" i="1" s="1"/>
  <c r="H1658" i="1" s="1"/>
  <c r="I1658" i="1" s="1"/>
  <c r="J1658" i="1" s="1"/>
  <c r="K1658" i="1" s="1"/>
  <c r="L1658" i="1" s="1"/>
  <c r="M1658" i="1" s="1"/>
  <c r="N1658" i="1" s="1"/>
  <c r="E1652" i="1"/>
  <c r="F1652" i="1" s="1"/>
  <c r="G1652" i="1" s="1"/>
  <c r="H1652" i="1" s="1"/>
  <c r="I1652" i="1" s="1"/>
  <c r="J1652" i="1" s="1"/>
  <c r="K1652" i="1" s="1"/>
  <c r="L1652" i="1" s="1"/>
  <c r="M1652" i="1" s="1"/>
  <c r="N1652" i="1" s="1"/>
  <c r="E1619" i="1"/>
  <c r="F1619" i="1" s="1"/>
  <c r="G1619" i="1" s="1"/>
  <c r="H1619" i="1" s="1"/>
  <c r="I1619" i="1" s="1"/>
  <c r="J1619" i="1" s="1"/>
  <c r="K1619" i="1" s="1"/>
  <c r="L1619" i="1" s="1"/>
  <c r="M1619" i="1" s="1"/>
  <c r="N1619" i="1" s="1"/>
  <c r="E1614" i="1"/>
  <c r="F1614" i="1" s="1"/>
  <c r="G1614" i="1" s="1"/>
  <c r="H1614" i="1" s="1"/>
  <c r="I1614" i="1" s="1"/>
  <c r="J1614" i="1" s="1"/>
  <c r="K1614" i="1" s="1"/>
  <c r="L1614" i="1" s="1"/>
  <c r="M1614" i="1" s="1"/>
  <c r="N1614" i="1" s="1"/>
  <c r="E1608" i="1"/>
  <c r="F1608" i="1" s="1"/>
  <c r="G1608" i="1" s="1"/>
  <c r="H1608" i="1" s="1"/>
  <c r="I1608" i="1" s="1"/>
  <c r="J1608" i="1" s="1"/>
  <c r="K1608" i="1" s="1"/>
  <c r="L1608" i="1" s="1"/>
  <c r="M1608" i="1" s="1"/>
  <c r="N1608" i="1" s="1"/>
  <c r="E1575" i="1"/>
  <c r="F1575" i="1" s="1"/>
  <c r="G1575" i="1" s="1"/>
  <c r="H1575" i="1" s="1"/>
  <c r="I1575" i="1" s="1"/>
  <c r="J1575" i="1" s="1"/>
  <c r="K1575" i="1" s="1"/>
  <c r="L1575" i="1" s="1"/>
  <c r="M1575" i="1" s="1"/>
  <c r="N1575" i="1" s="1"/>
  <c r="E1570" i="1"/>
  <c r="F1570" i="1" s="1"/>
  <c r="G1570" i="1" s="1"/>
  <c r="H1570" i="1" s="1"/>
  <c r="I1570" i="1" s="1"/>
  <c r="J1570" i="1" s="1"/>
  <c r="K1570" i="1" s="1"/>
  <c r="L1570" i="1" s="1"/>
  <c r="M1570" i="1" s="1"/>
  <c r="N1570" i="1" s="1"/>
  <c r="E1564" i="1"/>
  <c r="F1564" i="1" s="1"/>
  <c r="G1564" i="1" s="1"/>
  <c r="H1564" i="1" s="1"/>
  <c r="I1564" i="1" s="1"/>
  <c r="J1564" i="1" s="1"/>
  <c r="K1564" i="1" s="1"/>
  <c r="L1564" i="1" s="1"/>
  <c r="M1564" i="1" s="1"/>
  <c r="N1564" i="1" s="1"/>
  <c r="E1530" i="1"/>
  <c r="F1530" i="1" s="1"/>
  <c r="G1530" i="1" s="1"/>
  <c r="H1530" i="1" s="1"/>
  <c r="I1530" i="1" s="1"/>
  <c r="J1530" i="1" s="1"/>
  <c r="K1530" i="1" s="1"/>
  <c r="L1530" i="1" s="1"/>
  <c r="M1530" i="1" s="1"/>
  <c r="N1530" i="1" s="1"/>
  <c r="E1525" i="1"/>
  <c r="F1525" i="1" s="1"/>
  <c r="G1525" i="1" s="1"/>
  <c r="H1525" i="1" s="1"/>
  <c r="I1525" i="1" s="1"/>
  <c r="J1525" i="1" s="1"/>
  <c r="K1525" i="1" s="1"/>
  <c r="L1525" i="1" s="1"/>
  <c r="M1525" i="1" s="1"/>
  <c r="N1525" i="1" s="1"/>
  <c r="E1519" i="1"/>
  <c r="F1519" i="1" s="1"/>
  <c r="G1519" i="1" s="1"/>
  <c r="H1519" i="1" s="1"/>
  <c r="I1519" i="1" s="1"/>
  <c r="J1519" i="1" s="1"/>
  <c r="K1519" i="1" s="1"/>
  <c r="L1519" i="1" s="1"/>
  <c r="M1519" i="1" s="1"/>
  <c r="N1519" i="1" s="1"/>
  <c r="E1485" i="1"/>
  <c r="F1485" i="1" s="1"/>
  <c r="G1485" i="1" s="1"/>
  <c r="H1485" i="1" s="1"/>
  <c r="I1485" i="1" s="1"/>
  <c r="J1485" i="1" s="1"/>
  <c r="K1485" i="1" s="1"/>
  <c r="L1485" i="1" s="1"/>
  <c r="M1485" i="1" s="1"/>
  <c r="N1485" i="1" s="1"/>
  <c r="E1480" i="1"/>
  <c r="F1480" i="1" s="1"/>
  <c r="G1480" i="1" s="1"/>
  <c r="H1480" i="1" s="1"/>
  <c r="I1480" i="1" s="1"/>
  <c r="J1480" i="1" s="1"/>
  <c r="K1480" i="1" s="1"/>
  <c r="L1480" i="1" s="1"/>
  <c r="M1480" i="1" s="1"/>
  <c r="N1480" i="1" s="1"/>
  <c r="E1474" i="1"/>
  <c r="F1474" i="1" s="1"/>
  <c r="G1474" i="1" s="1"/>
  <c r="H1474" i="1" s="1"/>
  <c r="I1474" i="1" s="1"/>
  <c r="J1474" i="1" s="1"/>
  <c r="K1474" i="1" s="1"/>
  <c r="L1474" i="1" s="1"/>
  <c r="M1474" i="1" s="1"/>
  <c r="N1474" i="1" s="1"/>
  <c r="M1642" i="1"/>
  <c r="M1643" i="1" s="1"/>
  <c r="M1611" i="1"/>
  <c r="M1612" i="1" s="1"/>
  <c r="M1598" i="1"/>
  <c r="M1599" i="1" s="1"/>
  <c r="M1567" i="1"/>
  <c r="M1568" i="1" s="1"/>
  <c r="M1554" i="1"/>
  <c r="M1522" i="1"/>
  <c r="M1523" i="1" s="1"/>
  <c r="M1508" i="1"/>
  <c r="M1509" i="1" s="1"/>
  <c r="M1478" i="1"/>
  <c r="M1464" i="1"/>
  <c r="M1468" i="1" s="1"/>
  <c r="L51" i="8" s="1"/>
  <c r="M1423" i="1"/>
  <c r="M1427" i="1" s="1"/>
  <c r="L50" i="8" s="1"/>
  <c r="M1382" i="1"/>
  <c r="M1386" i="1" s="1"/>
  <c r="L49" i="8" s="1"/>
  <c r="M1341" i="1"/>
  <c r="M1345" i="1" s="1"/>
  <c r="M1299" i="1"/>
  <c r="M1283" i="1"/>
  <c r="M1276" i="1"/>
  <c r="M1275" i="1"/>
  <c r="M1272" i="1"/>
  <c r="M1257" i="1"/>
  <c r="M1241" i="1"/>
  <c r="M1234" i="1"/>
  <c r="M1233" i="1"/>
  <c r="M1230" i="1"/>
  <c r="M1215" i="1"/>
  <c r="M1199" i="1"/>
  <c r="M1192" i="1"/>
  <c r="M1191" i="1"/>
  <c r="M1188" i="1"/>
  <c r="M1173" i="1"/>
  <c r="M1157" i="1"/>
  <c r="M1150" i="1"/>
  <c r="M1149" i="1"/>
  <c r="M1146" i="1"/>
  <c r="M1131" i="1"/>
  <c r="M1115" i="1"/>
  <c r="M1108" i="1"/>
  <c r="M1107" i="1"/>
  <c r="M1104" i="1"/>
  <c r="M1089" i="1"/>
  <c r="M1073" i="1"/>
  <c r="M1066" i="1"/>
  <c r="M1065" i="1"/>
  <c r="M1062" i="1"/>
  <c r="M1031" i="1"/>
  <c r="M1024" i="1"/>
  <c r="M1023" i="1"/>
  <c r="M1020" i="1"/>
  <c r="M1005" i="1"/>
  <c r="M989" i="1"/>
  <c r="M982" i="1"/>
  <c r="M981" i="1"/>
  <c r="M963" i="1"/>
  <c r="M938" i="1"/>
  <c r="M900" i="1"/>
  <c r="M899" i="1"/>
  <c r="M896" i="1"/>
  <c r="M856" i="1"/>
  <c r="M849" i="1"/>
  <c r="M848" i="1"/>
  <c r="M844" i="1"/>
  <c r="M845" i="1" s="1"/>
  <c r="M824" i="1"/>
  <c r="M805" i="1"/>
  <c r="M798" i="1"/>
  <c r="M797" i="1"/>
  <c r="M799" i="1" s="1"/>
  <c r="M793" i="1"/>
  <c r="M794" i="1" s="1"/>
  <c r="M773" i="1"/>
  <c r="M742" i="1"/>
  <c r="M743" i="1" s="1"/>
  <c r="M703" i="1"/>
  <c r="M696" i="1"/>
  <c r="M695" i="1"/>
  <c r="M697" i="1" s="1"/>
  <c r="M691" i="1"/>
  <c r="M692" i="1" s="1"/>
  <c r="M677" i="1"/>
  <c r="M650" i="1"/>
  <c r="M634" i="1"/>
  <c r="M615" i="1"/>
  <c r="M608" i="1"/>
  <c r="M609" i="1" s="1"/>
  <c r="M603" i="1"/>
  <c r="M604" i="1" s="1"/>
  <c r="M589" i="1"/>
  <c r="M562" i="1"/>
  <c r="M563" i="1" s="1"/>
  <c r="M557" i="1"/>
  <c r="M558" i="1" s="1"/>
  <c r="M543" i="1"/>
  <c r="M523" i="1"/>
  <c r="M516" i="1"/>
  <c r="M517" i="1" s="1"/>
  <c r="M511" i="1"/>
  <c r="M512" i="1" s="1"/>
  <c r="M497" i="1"/>
  <c r="M477" i="1"/>
  <c r="M470" i="1"/>
  <c r="M471" i="1" s="1"/>
  <c r="M465" i="1"/>
  <c r="M466" i="1" s="1"/>
  <c r="M451" i="1"/>
  <c r="M431" i="1"/>
  <c r="M424" i="1"/>
  <c r="M425" i="1" s="1"/>
  <c r="M419" i="1"/>
  <c r="M420" i="1" s="1"/>
  <c r="M405" i="1"/>
  <c r="M393" i="1"/>
  <c r="M386" i="1"/>
  <c r="M387" i="1" s="1"/>
  <c r="M382" i="1"/>
  <c r="M355" i="1"/>
  <c r="M348" i="1"/>
  <c r="M347" i="1"/>
  <c r="M344" i="1"/>
  <c r="M329" i="1"/>
  <c r="M311" i="1"/>
  <c r="M304" i="1"/>
  <c r="M303" i="1"/>
  <c r="M300" i="1"/>
  <c r="M267" i="1"/>
  <c r="M260" i="1"/>
  <c r="M259" i="1"/>
  <c r="M261" i="1" s="1"/>
  <c r="M256" i="1"/>
  <c r="M235" i="1"/>
  <c r="M216" i="1"/>
  <c r="M209" i="1"/>
  <c r="M208" i="1"/>
  <c r="M204" i="1"/>
  <c r="M205" i="1" s="1"/>
  <c r="M165" i="1"/>
  <c r="M158" i="1"/>
  <c r="M157" i="1"/>
  <c r="M153" i="1"/>
  <c r="M154" i="1" s="1"/>
  <c r="M114" i="1"/>
  <c r="M107" i="1"/>
  <c r="M106" i="1"/>
  <c r="M102" i="1"/>
  <c r="M103" i="1" s="1"/>
  <c r="M88" i="1"/>
  <c r="M63" i="1"/>
  <c r="M56" i="1"/>
  <c r="M55" i="1"/>
  <c r="M52" i="1"/>
  <c r="N1568" i="1"/>
  <c r="N1478" i="1"/>
  <c r="L1478" i="1"/>
  <c r="L12" i="6" l="1"/>
  <c r="L14" i="6" s="1"/>
  <c r="M1193" i="1"/>
  <c r="M1647" i="1"/>
  <c r="L55" i="8" s="1"/>
  <c r="M1745" i="1"/>
  <c r="L57" i="8" s="1"/>
  <c r="M409" i="1"/>
  <c r="L28" i="8" s="1"/>
  <c r="M349" i="1"/>
  <c r="M371" i="1" s="1"/>
  <c r="L27" i="8" s="1"/>
  <c r="M1025" i="1"/>
  <c r="M210" i="1"/>
  <c r="M850" i="1"/>
  <c r="M885" i="1" s="1"/>
  <c r="L38" i="8" s="1"/>
  <c r="L56" i="8"/>
  <c r="M455" i="1"/>
  <c r="L29" i="8" s="1"/>
  <c r="M547" i="1"/>
  <c r="L31" i="8" s="1"/>
  <c r="M834" i="1"/>
  <c r="L37" i="8" s="1"/>
  <c r="M783" i="1"/>
  <c r="L36" i="8" s="1"/>
  <c r="M108" i="1"/>
  <c r="M143" i="1" s="1"/>
  <c r="L22" i="8" s="1"/>
  <c r="M1277" i="1"/>
  <c r="M1303" i="1" s="1"/>
  <c r="L48" i="8" s="1"/>
  <c r="M1151" i="1"/>
  <c r="M1177" i="1" s="1"/>
  <c r="L45" i="8" s="1"/>
  <c r="M1219" i="1"/>
  <c r="L46" i="8" s="1"/>
  <c r="M289" i="1"/>
  <c r="L25" i="8" s="1"/>
  <c r="M593" i="1"/>
  <c r="L32" i="8" s="1"/>
  <c r="M983" i="1"/>
  <c r="M1009" i="1" s="1"/>
  <c r="L41" i="8" s="1"/>
  <c r="M1513" i="1"/>
  <c r="L52" i="8" s="1"/>
  <c r="M1603" i="1"/>
  <c r="L54" i="8" s="1"/>
  <c r="M57" i="1"/>
  <c r="M92" i="1" s="1"/>
  <c r="L21" i="8" s="1"/>
  <c r="M245" i="1"/>
  <c r="L24" i="8" s="1"/>
  <c r="M501" i="1"/>
  <c r="L30" i="8" s="1"/>
  <c r="M732" i="1"/>
  <c r="L35" i="8" s="1"/>
  <c r="M1067" i="1"/>
  <c r="M1093" i="1" s="1"/>
  <c r="L43" i="8" s="1"/>
  <c r="M159" i="1"/>
  <c r="M194" i="1" s="1"/>
  <c r="L23" i="8" s="1"/>
  <c r="M305" i="1"/>
  <c r="M333" i="1" s="1"/>
  <c r="L26" i="8" s="1"/>
  <c r="M681" i="1"/>
  <c r="L34" i="8" s="1"/>
  <c r="M967" i="1"/>
  <c r="L40" i="8" s="1"/>
  <c r="M1109" i="1"/>
  <c r="M1135" i="1" s="1"/>
  <c r="L44" i="8" s="1"/>
  <c r="M1235" i="1"/>
  <c r="M1261" i="1" s="1"/>
  <c r="L47" i="8" s="1"/>
  <c r="M1558" i="1"/>
  <c r="L53" i="8" s="1"/>
  <c r="N844" i="1" l="1"/>
  <c r="N845" i="1" s="1"/>
  <c r="N793" i="1"/>
  <c r="N794" i="1" s="1"/>
  <c r="N742" i="1"/>
  <c r="N743" i="1" s="1"/>
  <c r="N691" i="1"/>
  <c r="N692" i="1" s="1"/>
  <c r="L603" i="1"/>
  <c r="L604" i="1" s="1"/>
  <c r="N558" i="1"/>
  <c r="L52" i="1"/>
  <c r="N466" i="1"/>
  <c r="N204" i="1"/>
  <c r="N205" i="1" s="1"/>
  <c r="N153" i="1"/>
  <c r="N154" i="1" s="1"/>
  <c r="N102" i="1" l="1"/>
  <c r="N103" i="1" s="1"/>
  <c r="C6" i="6" l="1"/>
  <c r="D6" i="6" l="1"/>
  <c r="C22" i="6"/>
  <c r="C16" i="6"/>
  <c r="C11" i="6"/>
  <c r="C48" i="6"/>
  <c r="J1704" i="1"/>
  <c r="I1704" i="1"/>
  <c r="E6" i="6" l="1"/>
  <c r="D48" i="6"/>
  <c r="D11" i="6"/>
  <c r="D22" i="6"/>
  <c r="D16" i="6"/>
  <c r="L1655" i="1"/>
  <c r="L1656" i="1" s="1"/>
  <c r="K1655" i="1"/>
  <c r="F6" i="6" l="1"/>
  <c r="E11" i="6"/>
  <c r="E16" i="6"/>
  <c r="E48" i="6"/>
  <c r="E22" i="6"/>
  <c r="I844" i="1"/>
  <c r="J844" i="1"/>
  <c r="K844" i="1"/>
  <c r="L844" i="1"/>
  <c r="L845" i="1" s="1"/>
  <c r="H844" i="1"/>
  <c r="I793" i="1"/>
  <c r="J793" i="1"/>
  <c r="K793" i="1"/>
  <c r="L793" i="1"/>
  <c r="L794" i="1" s="1"/>
  <c r="H793" i="1"/>
  <c r="I742" i="1"/>
  <c r="J742" i="1"/>
  <c r="K742" i="1"/>
  <c r="L742" i="1"/>
  <c r="L743" i="1" s="1"/>
  <c r="H742" i="1"/>
  <c r="I691" i="1"/>
  <c r="J691" i="1"/>
  <c r="K691" i="1"/>
  <c r="L691" i="1"/>
  <c r="L692" i="1" s="1"/>
  <c r="H691" i="1"/>
  <c r="F557" i="1"/>
  <c r="G557" i="1"/>
  <c r="H557" i="1"/>
  <c r="I557" i="1"/>
  <c r="J557" i="1"/>
  <c r="K557" i="1"/>
  <c r="L557" i="1"/>
  <c r="L558" i="1" s="1"/>
  <c r="E557" i="1"/>
  <c r="F511" i="1"/>
  <c r="G511" i="1"/>
  <c r="H511" i="1"/>
  <c r="I511" i="1"/>
  <c r="J511" i="1"/>
  <c r="K511" i="1"/>
  <c r="L511" i="1"/>
  <c r="L512" i="1" s="1"/>
  <c r="E511" i="1"/>
  <c r="F465" i="1"/>
  <c r="G465" i="1"/>
  <c r="H465" i="1"/>
  <c r="I465" i="1"/>
  <c r="J465" i="1"/>
  <c r="K465" i="1"/>
  <c r="L465" i="1"/>
  <c r="L466" i="1" s="1"/>
  <c r="E465" i="1"/>
  <c r="F419" i="1"/>
  <c r="G419" i="1"/>
  <c r="H419" i="1"/>
  <c r="I419" i="1"/>
  <c r="J419" i="1"/>
  <c r="K419" i="1"/>
  <c r="L419" i="1"/>
  <c r="L420" i="1" s="1"/>
  <c r="E419" i="1"/>
  <c r="E204" i="1"/>
  <c r="F204" i="1"/>
  <c r="G204" i="1"/>
  <c r="H204" i="1"/>
  <c r="I204" i="1"/>
  <c r="J204" i="1"/>
  <c r="K204" i="1"/>
  <c r="L204" i="1"/>
  <c r="L205" i="1" s="1"/>
  <c r="D204" i="1"/>
  <c r="E153" i="1"/>
  <c r="F153" i="1"/>
  <c r="G153" i="1"/>
  <c r="H153" i="1"/>
  <c r="I153" i="1"/>
  <c r="J153" i="1"/>
  <c r="K153" i="1"/>
  <c r="L153" i="1"/>
  <c r="L154" i="1" s="1"/>
  <c r="D153" i="1"/>
  <c r="E102" i="1"/>
  <c r="F102" i="1"/>
  <c r="G102" i="1"/>
  <c r="H102" i="1"/>
  <c r="I102" i="1"/>
  <c r="J102" i="1"/>
  <c r="K102" i="1"/>
  <c r="L102" i="1"/>
  <c r="L103" i="1" s="1"/>
  <c r="D102" i="1"/>
  <c r="G6" i="6" l="1"/>
  <c r="F16" i="6"/>
  <c r="F22" i="6"/>
  <c r="F11" i="6"/>
  <c r="F48" i="6"/>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H6" i="6" l="1"/>
  <c r="G22" i="6"/>
  <c r="G48" i="6"/>
  <c r="G16" i="6"/>
  <c r="G11" i="6"/>
  <c r="K1551" i="1"/>
  <c r="I6" i="6" l="1"/>
  <c r="H48" i="6"/>
  <c r="H11" i="6"/>
  <c r="H22" i="6"/>
  <c r="H16" i="6"/>
  <c r="N1745" i="1"/>
  <c r="M57" i="8" s="1"/>
  <c r="E1719" i="1"/>
  <c r="L1684" i="1"/>
  <c r="L1692" i="1" s="1"/>
  <c r="K1640" i="1"/>
  <c r="N1642" i="1"/>
  <c r="N1643" i="1" s="1"/>
  <c r="N1647" i="1" s="1"/>
  <c r="M55" i="8" s="1"/>
  <c r="J1647" i="1"/>
  <c r="N1598" i="1"/>
  <c r="N1599" i="1" s="1"/>
  <c r="N1603" i="1" s="1"/>
  <c r="M54" i="8" s="1"/>
  <c r="K1596" i="1"/>
  <c r="L1596" i="1" s="1"/>
  <c r="L1599" i="1" s="1"/>
  <c r="L1551" i="1"/>
  <c r="L1554" i="1" s="1"/>
  <c r="N1554" i="1"/>
  <c r="N1558" i="1" s="1"/>
  <c r="M53" i="8" s="1"/>
  <c r="N1508" i="1"/>
  <c r="N1509" i="1" s="1"/>
  <c r="E1492" i="1"/>
  <c r="D1493" i="1"/>
  <c r="E1494" i="1"/>
  <c r="F1494" i="1" s="1"/>
  <c r="E1495" i="1"/>
  <c r="F1496" i="1"/>
  <c r="G1496" i="1" s="1"/>
  <c r="F1497" i="1"/>
  <c r="G1498" i="1"/>
  <c r="H1498" i="1" s="1"/>
  <c r="I1498" i="1" s="1"/>
  <c r="I1500" i="1"/>
  <c r="K1522" i="1"/>
  <c r="L1104" i="1"/>
  <c r="N1104" i="1"/>
  <c r="L1107" i="1"/>
  <c r="N1107" i="1"/>
  <c r="L1108" i="1"/>
  <c r="N1108" i="1"/>
  <c r="L1115" i="1"/>
  <c r="N1115" i="1"/>
  <c r="L1131" i="1"/>
  <c r="N1131" i="1"/>
  <c r="L1146" i="1"/>
  <c r="N1146" i="1"/>
  <c r="L1149" i="1"/>
  <c r="N1149" i="1"/>
  <c r="L1150" i="1"/>
  <c r="N1150" i="1"/>
  <c r="L1157" i="1"/>
  <c r="N1157" i="1"/>
  <c r="L1173" i="1"/>
  <c r="N1173" i="1"/>
  <c r="L1188" i="1"/>
  <c r="N1188" i="1"/>
  <c r="L1191" i="1"/>
  <c r="N1191" i="1"/>
  <c r="L1192" i="1"/>
  <c r="N1192" i="1"/>
  <c r="L1199" i="1"/>
  <c r="N1199" i="1"/>
  <c r="L1215" i="1"/>
  <c r="N1215" i="1"/>
  <c r="L1230" i="1"/>
  <c r="N1230" i="1"/>
  <c r="L1233" i="1"/>
  <c r="N1233" i="1"/>
  <c r="L1234" i="1"/>
  <c r="N1234" i="1"/>
  <c r="L1241" i="1"/>
  <c r="N1241" i="1"/>
  <c r="L1257" i="1"/>
  <c r="N1257" i="1"/>
  <c r="L1272" i="1"/>
  <c r="N1272" i="1"/>
  <c r="L1275" i="1"/>
  <c r="N1275" i="1"/>
  <c r="L1276" i="1"/>
  <c r="N1276" i="1"/>
  <c r="L1283" i="1"/>
  <c r="N1283" i="1"/>
  <c r="L1299" i="1"/>
  <c r="N1299" i="1"/>
  <c r="L1341" i="1"/>
  <c r="L1345" i="1" s="1"/>
  <c r="N1341" i="1"/>
  <c r="N1345" i="1" s="1"/>
  <c r="L1382" i="1"/>
  <c r="L1386" i="1" s="1"/>
  <c r="K49" i="8" s="1"/>
  <c r="N1382" i="1"/>
  <c r="N1386" i="1" s="1"/>
  <c r="M49" i="8" s="1"/>
  <c r="L1423" i="1"/>
  <c r="L1427" i="1" s="1"/>
  <c r="K50" i="8" s="1"/>
  <c r="N1423" i="1"/>
  <c r="N1427" i="1" s="1"/>
  <c r="M50" i="8" s="1"/>
  <c r="L1464" i="1"/>
  <c r="L1468" i="1" s="1"/>
  <c r="K51" i="8" s="1"/>
  <c r="N1464" i="1"/>
  <c r="N1468" i="1" s="1"/>
  <c r="M51" i="8" s="1"/>
  <c r="K989" i="1"/>
  <c r="L989" i="1"/>
  <c r="N989" i="1"/>
  <c r="K981" i="1"/>
  <c r="L981" i="1"/>
  <c r="N981" i="1"/>
  <c r="K982" i="1"/>
  <c r="L982" i="1"/>
  <c r="N982" i="1"/>
  <c r="L938" i="1"/>
  <c r="N938" i="1"/>
  <c r="L963" i="1"/>
  <c r="N963" i="1"/>
  <c r="L1005" i="1"/>
  <c r="N1005" i="1"/>
  <c r="L1020" i="1"/>
  <c r="N1020" i="1"/>
  <c r="L1023" i="1"/>
  <c r="N1023" i="1"/>
  <c r="L1024" i="1"/>
  <c r="N1024" i="1"/>
  <c r="L1031" i="1"/>
  <c r="N1031" i="1"/>
  <c r="L1062" i="1"/>
  <c r="N1062" i="1"/>
  <c r="L1065" i="1"/>
  <c r="N1065" i="1"/>
  <c r="L1066" i="1"/>
  <c r="N1066" i="1"/>
  <c r="L1073" i="1"/>
  <c r="N1073" i="1"/>
  <c r="L1089" i="1"/>
  <c r="N1089" i="1"/>
  <c r="K896" i="1"/>
  <c r="L896" i="1"/>
  <c r="N896" i="1"/>
  <c r="K899" i="1"/>
  <c r="L899" i="1"/>
  <c r="N899" i="1"/>
  <c r="K900" i="1"/>
  <c r="L900" i="1"/>
  <c r="N900" i="1"/>
  <c r="J6" i="6" l="1"/>
  <c r="I11" i="6"/>
  <c r="I16" i="6"/>
  <c r="I48" i="6"/>
  <c r="I22" i="6"/>
  <c r="N983" i="1"/>
  <c r="N1151" i="1"/>
  <c r="N1177" i="1" s="1"/>
  <c r="M45" i="8" s="1"/>
  <c r="L967" i="1"/>
  <c r="K40" i="8" s="1"/>
  <c r="N1513" i="1"/>
  <c r="M52" i="8" s="1"/>
  <c r="L1193" i="1"/>
  <c r="L1219" i="1" s="1"/>
  <c r="K46" i="8" s="1"/>
  <c r="K1704" i="1"/>
  <c r="L1640" i="1"/>
  <c r="L1643" i="1" s="1"/>
  <c r="L1277" i="1"/>
  <c r="L1303" i="1" s="1"/>
  <c r="K48" i="8" s="1"/>
  <c r="K1611" i="1"/>
  <c r="N967" i="1"/>
  <c r="M40" i="8" s="1"/>
  <c r="K983" i="1"/>
  <c r="N1235" i="1"/>
  <c r="N1261" i="1" s="1"/>
  <c r="M47" i="8" s="1"/>
  <c r="L1151" i="1"/>
  <c r="L1177" i="1" s="1"/>
  <c r="K45" i="8" s="1"/>
  <c r="L1109" i="1"/>
  <c r="L1135" i="1" s="1"/>
  <c r="K44" i="8" s="1"/>
  <c r="K1567" i="1"/>
  <c r="K1506" i="1"/>
  <c r="L1506" i="1" s="1"/>
  <c r="L1509" i="1" s="1"/>
  <c r="N1067" i="1"/>
  <c r="N1093" i="1" s="1"/>
  <c r="M43" i="8" s="1"/>
  <c r="N1025" i="1"/>
  <c r="N1009" i="1"/>
  <c r="M41" i="8" s="1"/>
  <c r="N1277" i="1"/>
  <c r="N1303" i="1" s="1"/>
  <c r="M48" i="8" s="1"/>
  <c r="L983" i="1"/>
  <c r="L1009" i="1" s="1"/>
  <c r="K41" i="8" s="1"/>
  <c r="L1067" i="1"/>
  <c r="L1093" i="1" s="1"/>
  <c r="K43" i="8" s="1"/>
  <c r="L1025" i="1"/>
  <c r="L1235" i="1"/>
  <c r="L1261" i="1" s="1"/>
  <c r="K47" i="8" s="1"/>
  <c r="N1193" i="1"/>
  <c r="N1219" i="1" s="1"/>
  <c r="M46" i="8" s="1"/>
  <c r="N1109" i="1"/>
  <c r="N1135" i="1" s="1"/>
  <c r="M44" i="8" s="1"/>
  <c r="L881" i="1"/>
  <c r="E859" i="1"/>
  <c r="D860" i="1"/>
  <c r="E862" i="1"/>
  <c r="F864" i="1"/>
  <c r="H865" i="1"/>
  <c r="I865" i="1" s="1"/>
  <c r="G866" i="1"/>
  <c r="J869" i="1"/>
  <c r="K871" i="1"/>
  <c r="K881" i="1" s="1"/>
  <c r="L848" i="1"/>
  <c r="L849" i="1"/>
  <c r="L805" i="1"/>
  <c r="N805" i="1"/>
  <c r="N797" i="1"/>
  <c r="N798" i="1"/>
  <c r="L797" i="1"/>
  <c r="L798" i="1"/>
  <c r="N826" i="1"/>
  <c r="L822" i="1"/>
  <c r="L830" i="1" s="1"/>
  <c r="L771" i="1"/>
  <c r="L779" i="1" s="1"/>
  <c r="L728" i="1"/>
  <c r="K6" i="6" l="1"/>
  <c r="J16" i="6"/>
  <c r="J22" i="6"/>
  <c r="J11" i="6"/>
  <c r="J48" i="6"/>
  <c r="N799" i="1"/>
  <c r="N834" i="1" s="1"/>
  <c r="M37" i="8" s="1"/>
  <c r="L799" i="1"/>
  <c r="L6" i="6" l="1"/>
  <c r="K22" i="6"/>
  <c r="K16" i="6"/>
  <c r="K11" i="6"/>
  <c r="K48" i="6"/>
  <c r="N695" i="1"/>
  <c r="N696" i="1"/>
  <c r="K695" i="1"/>
  <c r="L695" i="1"/>
  <c r="K696" i="1"/>
  <c r="L696" i="1"/>
  <c r="K654" i="1"/>
  <c r="L654" i="1"/>
  <c r="N634" i="1"/>
  <c r="L632" i="1"/>
  <c r="L635" i="1" s="1"/>
  <c r="K630" i="1"/>
  <c r="K635" i="1" s="1"/>
  <c r="E618" i="1"/>
  <c r="D619" i="1"/>
  <c r="F620" i="1"/>
  <c r="E621" i="1"/>
  <c r="G622" i="1"/>
  <c r="F623" i="1"/>
  <c r="H624" i="1"/>
  <c r="G625" i="1"/>
  <c r="H627" i="1"/>
  <c r="L608" i="1"/>
  <c r="E572" i="1"/>
  <c r="D573" i="1"/>
  <c r="F574" i="1"/>
  <c r="E575" i="1"/>
  <c r="G576" i="1"/>
  <c r="F577" i="1"/>
  <c r="H578" i="1"/>
  <c r="I578" i="1" s="1"/>
  <c r="G579" i="1"/>
  <c r="I580" i="1"/>
  <c r="I583" i="1"/>
  <c r="L562" i="1"/>
  <c r="L563" i="1" s="1"/>
  <c r="N516" i="1"/>
  <c r="L470" i="1"/>
  <c r="N451" i="1"/>
  <c r="L451" i="1"/>
  <c r="K451" i="1"/>
  <c r="J451" i="1"/>
  <c r="L424" i="1"/>
  <c r="N424" i="1"/>
  <c r="N405" i="1"/>
  <c r="J382" i="1"/>
  <c r="K382" i="1"/>
  <c r="L382" i="1"/>
  <c r="J386" i="1"/>
  <c r="J387" i="1" s="1"/>
  <c r="K386" i="1"/>
  <c r="K387" i="1" s="1"/>
  <c r="L386" i="1"/>
  <c r="L387" i="1" s="1"/>
  <c r="J393" i="1"/>
  <c r="K393" i="1"/>
  <c r="L393" i="1"/>
  <c r="J405" i="1"/>
  <c r="K405" i="1"/>
  <c r="L405" i="1"/>
  <c r="L347" i="1"/>
  <c r="L348" i="1"/>
  <c r="N329" i="1"/>
  <c r="L303" i="1"/>
  <c r="L304" i="1"/>
  <c r="L114" i="1"/>
  <c r="L233" i="1"/>
  <c r="L241" i="1" s="1"/>
  <c r="K231" i="1"/>
  <c r="K241" i="1" s="1"/>
  <c r="D220" i="1"/>
  <c r="E222" i="1"/>
  <c r="F224" i="1"/>
  <c r="J229" i="1"/>
  <c r="J241" i="1" s="1"/>
  <c r="L208" i="1"/>
  <c r="L209" i="1"/>
  <c r="L190" i="1"/>
  <c r="K180" i="1"/>
  <c r="K190" i="1" s="1"/>
  <c r="E168" i="1"/>
  <c r="D169" i="1"/>
  <c r="D190" i="1" s="1"/>
  <c r="E171" i="1"/>
  <c r="F173" i="1"/>
  <c r="J178" i="1"/>
  <c r="J190" i="1" s="1"/>
  <c r="L48" i="6" l="1"/>
  <c r="L11" i="6"/>
  <c r="L22" i="6"/>
  <c r="L16" i="6"/>
  <c r="L630" i="1"/>
  <c r="N630" i="1" s="1"/>
  <c r="M630" i="1"/>
  <c r="M635" i="1" s="1"/>
  <c r="M639" i="1" s="1"/>
  <c r="L33" i="8" s="1"/>
  <c r="J409" i="1"/>
  <c r="L409" i="1"/>
  <c r="K28" i="8" s="1"/>
  <c r="K409" i="1"/>
  <c r="L157" i="1" l="1"/>
  <c r="L158" i="1"/>
  <c r="N139" i="1"/>
  <c r="L139" i="1"/>
  <c r="J130" i="1"/>
  <c r="K139" i="1"/>
  <c r="J127" i="1"/>
  <c r="J139" i="1" s="1"/>
  <c r="B127" i="1"/>
  <c r="B126" i="1"/>
  <c r="B125" i="1"/>
  <c r="B124" i="1"/>
  <c r="B123" i="1"/>
  <c r="B122" i="1"/>
  <c r="B121" i="1"/>
  <c r="B120" i="1"/>
  <c r="B119" i="1"/>
  <c r="B118" i="1"/>
  <c r="B117" i="1"/>
  <c r="E117" i="1"/>
  <c r="D118" i="1"/>
  <c r="D139" i="1" s="1"/>
  <c r="E120" i="1"/>
  <c r="F122" i="1"/>
  <c r="H125" i="1"/>
  <c r="I128" i="1"/>
  <c r="I125" i="1" l="1"/>
  <c r="I139" i="1" s="1"/>
  <c r="L88" i="1"/>
  <c r="K81" i="1"/>
  <c r="J79" i="1"/>
  <c r="L55" i="1" l="1"/>
  <c r="L56" i="1"/>
  <c r="N52" i="1"/>
  <c r="N55" i="1" l="1"/>
  <c r="N56" i="1"/>
  <c r="N63" i="1"/>
  <c r="N106" i="1"/>
  <c r="N107" i="1"/>
  <c r="N114" i="1"/>
  <c r="N157" i="1"/>
  <c r="N158" i="1"/>
  <c r="N165" i="1"/>
  <c r="N208" i="1"/>
  <c r="N209" i="1"/>
  <c r="N216" i="1"/>
  <c r="N256" i="1"/>
  <c r="N259" i="1"/>
  <c r="N260" i="1"/>
  <c r="N267" i="1"/>
  <c r="N300" i="1"/>
  <c r="N303" i="1"/>
  <c r="N304" i="1"/>
  <c r="N311" i="1"/>
  <c r="N344" i="1"/>
  <c r="N347" i="1"/>
  <c r="N348" i="1"/>
  <c r="N355" i="1"/>
  <c r="N382" i="1"/>
  <c r="N386" i="1"/>
  <c r="N387" i="1" s="1"/>
  <c r="N393" i="1"/>
  <c r="N420" i="1"/>
  <c r="N425" i="1"/>
  <c r="N431" i="1"/>
  <c r="N470" i="1"/>
  <c r="N471" i="1" s="1"/>
  <c r="N477" i="1"/>
  <c r="N497" i="1"/>
  <c r="N512" i="1"/>
  <c r="N517" i="1"/>
  <c r="N523" i="1"/>
  <c r="N543" i="1"/>
  <c r="N562" i="1"/>
  <c r="N563" i="1" s="1"/>
  <c r="N589" i="1"/>
  <c r="N604" i="1"/>
  <c r="N608" i="1"/>
  <c r="N609" i="1" s="1"/>
  <c r="N615" i="1"/>
  <c r="N650" i="1"/>
  <c r="N677" i="1"/>
  <c r="N697" i="1"/>
  <c r="N703" i="1"/>
  <c r="N848" i="1"/>
  <c r="N849" i="1"/>
  <c r="N856" i="1"/>
  <c r="L9" i="6"/>
  <c r="L17" i="6"/>
  <c r="L18" i="6"/>
  <c r="L19" i="6"/>
  <c r="L46" i="6"/>
  <c r="N681" i="1" l="1"/>
  <c r="M34" i="8" s="1"/>
  <c r="N732" i="1"/>
  <c r="M35" i="8" s="1"/>
  <c r="N108" i="1"/>
  <c r="N143" i="1" s="1"/>
  <c r="M22" i="8" s="1"/>
  <c r="N349" i="1"/>
  <c r="N371" i="1" s="1"/>
  <c r="M27" i="8" s="1"/>
  <c r="N261" i="1"/>
  <c r="N289" i="1" s="1"/>
  <c r="M25" i="8" s="1"/>
  <c r="N210" i="1"/>
  <c r="N245" i="1" s="1"/>
  <c r="M24" i="8" s="1"/>
  <c r="N850" i="1"/>
  <c r="N885" i="1" s="1"/>
  <c r="M38" i="8" s="1"/>
  <c r="N783" i="1"/>
  <c r="M36" i="8" s="1"/>
  <c r="N305" i="1"/>
  <c r="N333" i="1" s="1"/>
  <c r="M26" i="8" s="1"/>
  <c r="N547" i="1"/>
  <c r="M31" i="8" s="1"/>
  <c r="N593" i="1"/>
  <c r="M32" i="8" s="1"/>
  <c r="N455" i="1"/>
  <c r="M29" i="8" s="1"/>
  <c r="N501" i="1"/>
  <c r="M30" i="8" s="1"/>
  <c r="N409" i="1"/>
  <c r="M28" i="8" s="1"/>
  <c r="N159" i="1"/>
  <c r="N194" i="1" s="1"/>
  <c r="M23" i="8" s="1"/>
  <c r="N57" i="1"/>
  <c r="N92" i="1" s="1"/>
  <c r="M21" i="8" s="1"/>
  <c r="L20" i="6"/>
  <c r="E1817" i="1" l="1"/>
  <c r="D1818" i="1"/>
  <c r="E1819" i="1"/>
  <c r="F1819" i="1" s="1"/>
  <c r="E1820" i="1"/>
  <c r="F1821" i="1"/>
  <c r="G1821" i="1" s="1"/>
  <c r="F1822" i="1"/>
  <c r="G1823" i="1"/>
  <c r="H1823" i="1" s="1"/>
  <c r="I1823" i="1" s="1"/>
  <c r="I1825" i="1"/>
  <c r="I1827" i="1"/>
  <c r="J1827" i="1" s="1"/>
  <c r="D1839" i="1"/>
  <c r="E1839" i="1"/>
  <c r="F1839" i="1"/>
  <c r="G1839" i="1"/>
  <c r="J1839" i="1" l="1"/>
  <c r="J1843" i="1" s="1"/>
  <c r="M1839" i="1"/>
  <c r="M1843" i="1" s="1"/>
  <c r="K1005" i="1"/>
  <c r="K1839" i="1" l="1"/>
  <c r="K1843" i="1" s="1"/>
  <c r="K282" i="1"/>
  <c r="K608" i="1"/>
  <c r="D707" i="1"/>
  <c r="E709" i="1"/>
  <c r="F711" i="1"/>
  <c r="I716" i="1"/>
  <c r="J716" i="1" s="1"/>
  <c r="K718" i="1"/>
  <c r="K728" i="1" s="1"/>
  <c r="L1839" i="1" l="1"/>
  <c r="L1843" i="1" s="1"/>
  <c r="N1839" i="1"/>
  <c r="N1843" i="1" s="1"/>
  <c r="J881" i="1"/>
  <c r="D758" i="1"/>
  <c r="E760" i="1"/>
  <c r="F762" i="1"/>
  <c r="H763" i="1"/>
  <c r="J767" i="1"/>
  <c r="J779" i="1" s="1"/>
  <c r="K769" i="1"/>
  <c r="K779" i="1" s="1"/>
  <c r="K746" i="1"/>
  <c r="K747" i="1"/>
  <c r="J820" i="1"/>
  <c r="J848" i="1"/>
  <c r="K848" i="1"/>
  <c r="J849" i="1"/>
  <c r="K849" i="1"/>
  <c r="J856" i="1"/>
  <c r="K856" i="1"/>
  <c r="L856" i="1"/>
  <c r="J896" i="1"/>
  <c r="J899" i="1"/>
  <c r="J900" i="1"/>
  <c r="J938" i="1"/>
  <c r="K938" i="1"/>
  <c r="J941" i="1"/>
  <c r="J942" i="1"/>
  <c r="J949" i="1"/>
  <c r="J963" i="1"/>
  <c r="K963" i="1"/>
  <c r="J981" i="1"/>
  <c r="J982" i="1"/>
  <c r="J989" i="1"/>
  <c r="K1009" i="1"/>
  <c r="J1020" i="1"/>
  <c r="K1020" i="1"/>
  <c r="J1023" i="1"/>
  <c r="K1023" i="1"/>
  <c r="J1024" i="1"/>
  <c r="K1024" i="1"/>
  <c r="J1031" i="1"/>
  <c r="K1031" i="1"/>
  <c r="J1062" i="1"/>
  <c r="K1062" i="1"/>
  <c r="J1065" i="1"/>
  <c r="K1065" i="1"/>
  <c r="J1066" i="1"/>
  <c r="K1066" i="1"/>
  <c r="J1073" i="1"/>
  <c r="K1073" i="1"/>
  <c r="K1089" i="1"/>
  <c r="J1104" i="1"/>
  <c r="K1104" i="1"/>
  <c r="J1107" i="1"/>
  <c r="K1107" i="1"/>
  <c r="J1108" i="1"/>
  <c r="K1108" i="1"/>
  <c r="J1115" i="1"/>
  <c r="K1115" i="1"/>
  <c r="K1131" i="1"/>
  <c r="J1146" i="1"/>
  <c r="K1146" i="1"/>
  <c r="J1149" i="1"/>
  <c r="K1149" i="1"/>
  <c r="J1150" i="1"/>
  <c r="K1150" i="1"/>
  <c r="J1157" i="1"/>
  <c r="K1157" i="1"/>
  <c r="K1173" i="1"/>
  <c r="J1188" i="1"/>
  <c r="K1188" i="1"/>
  <c r="J1191" i="1"/>
  <c r="K1191" i="1"/>
  <c r="J1192" i="1"/>
  <c r="K1192" i="1"/>
  <c r="J1199" i="1"/>
  <c r="K1199" i="1"/>
  <c r="K1215" i="1"/>
  <c r="J1230" i="1"/>
  <c r="K1230" i="1"/>
  <c r="J1233" i="1"/>
  <c r="K1233" i="1"/>
  <c r="J1234" i="1"/>
  <c r="K1234" i="1"/>
  <c r="J1241" i="1"/>
  <c r="K1241" i="1"/>
  <c r="K1257" i="1"/>
  <c r="J1272" i="1"/>
  <c r="K1272" i="1"/>
  <c r="J1275" i="1"/>
  <c r="K1275" i="1"/>
  <c r="J1276" i="1"/>
  <c r="K1276" i="1"/>
  <c r="J1283" i="1"/>
  <c r="K1283" i="1"/>
  <c r="K1299" i="1"/>
  <c r="K1341" i="1"/>
  <c r="K1345" i="1" s="1"/>
  <c r="K1382" i="1"/>
  <c r="K1386" i="1" s="1"/>
  <c r="K1423" i="1"/>
  <c r="K1427" i="1" s="1"/>
  <c r="K1464" i="1"/>
  <c r="K1468" i="1" s="1"/>
  <c r="E808" i="1"/>
  <c r="D809" i="1"/>
  <c r="E811" i="1"/>
  <c r="F813" i="1"/>
  <c r="H814" i="1"/>
  <c r="I814" i="1" s="1"/>
  <c r="J818" i="1"/>
  <c r="J797" i="1"/>
  <c r="K797" i="1"/>
  <c r="J798" i="1"/>
  <c r="K798" i="1"/>
  <c r="J805" i="1"/>
  <c r="K805" i="1"/>
  <c r="E1537" i="1"/>
  <c r="D1538" i="1"/>
  <c r="E1539" i="1"/>
  <c r="F1539" i="1" s="1"/>
  <c r="E1540" i="1"/>
  <c r="F1541" i="1"/>
  <c r="G1541" i="1" s="1"/>
  <c r="F1542" i="1"/>
  <c r="G1543" i="1"/>
  <c r="H1543" i="1" s="1"/>
  <c r="I1543" i="1" s="1"/>
  <c r="I1545" i="1"/>
  <c r="I1547" i="1"/>
  <c r="J1547" i="1" s="1"/>
  <c r="J1549" i="1"/>
  <c r="K1549" i="1" s="1"/>
  <c r="K1554" i="1" s="1"/>
  <c r="K1558" i="1" s="1"/>
  <c r="J1568" i="1"/>
  <c r="K820" i="1" l="1"/>
  <c r="K830" i="1" s="1"/>
  <c r="J830" i="1"/>
  <c r="L850" i="1"/>
  <c r="J1193" i="1"/>
  <c r="J983" i="1"/>
  <c r="J1277" i="1"/>
  <c r="K1235" i="1"/>
  <c r="K1261" i="1" s="1"/>
  <c r="J943" i="1"/>
  <c r="J967" i="1" s="1"/>
  <c r="K967" i="1"/>
  <c r="K748" i="1"/>
  <c r="K1151" i="1"/>
  <c r="K1177" i="1" s="1"/>
  <c r="K850" i="1"/>
  <c r="K885" i="1" s="1"/>
  <c r="J1151" i="1"/>
  <c r="K1277" i="1"/>
  <c r="K1303" i="1" s="1"/>
  <c r="K1193" i="1"/>
  <c r="K1219" i="1" s="1"/>
  <c r="J850" i="1"/>
  <c r="J885" i="1" s="1"/>
  <c r="J1235" i="1"/>
  <c r="K1109" i="1"/>
  <c r="K1135" i="1" s="1"/>
  <c r="K1067" i="1"/>
  <c r="K1093" i="1" s="1"/>
  <c r="K1025" i="1"/>
  <c r="J1109" i="1"/>
  <c r="J1067" i="1"/>
  <c r="J1025" i="1"/>
  <c r="J799" i="1"/>
  <c r="K799" i="1"/>
  <c r="K834" i="1" s="1"/>
  <c r="E1582" i="1"/>
  <c r="D1583" i="1"/>
  <c r="E1584" i="1"/>
  <c r="F1584" i="1" s="1"/>
  <c r="E1585" i="1"/>
  <c r="F1586" i="1"/>
  <c r="G1586" i="1" s="1"/>
  <c r="F1587" i="1"/>
  <c r="G1588" i="1"/>
  <c r="H1588" i="1" s="1"/>
  <c r="I1588" i="1" s="1"/>
  <c r="I1590" i="1"/>
  <c r="I1592" i="1"/>
  <c r="J1592" i="1" s="1"/>
  <c r="J834" i="1" l="1"/>
  <c r="E1626" i="1"/>
  <c r="D1627" i="1"/>
  <c r="E1628" i="1"/>
  <c r="F1628" i="1" s="1"/>
  <c r="E1629" i="1"/>
  <c r="F1630" i="1"/>
  <c r="G1630" i="1" s="1"/>
  <c r="F1631" i="1"/>
  <c r="G1632" i="1"/>
  <c r="H1632" i="1" s="1"/>
  <c r="I1634" i="1"/>
  <c r="I1636" i="1"/>
  <c r="J1636" i="1" s="1"/>
  <c r="J1638" i="1"/>
  <c r="K1638" i="1" s="1"/>
  <c r="K1643" i="1" s="1"/>
  <c r="K1647" i="1" s="1"/>
  <c r="K1733" i="1" l="1"/>
  <c r="D1720" i="1"/>
  <c r="E1721" i="1"/>
  <c r="F1721" i="1" s="1"/>
  <c r="E1722" i="1"/>
  <c r="F1723" i="1"/>
  <c r="G1723" i="1" s="1"/>
  <c r="F1724" i="1"/>
  <c r="G1725" i="1"/>
  <c r="H1725" i="1" s="1"/>
  <c r="I1725" i="1" s="1"/>
  <c r="I1727" i="1"/>
  <c r="K1731" i="1"/>
  <c r="K1741" i="1" l="1"/>
  <c r="K1745" i="1" s="1"/>
  <c r="L1733" i="1"/>
  <c r="I1729" i="1"/>
  <c r="J1729" i="1" s="1"/>
  <c r="J1741" i="1" s="1"/>
  <c r="L1741" i="1" l="1"/>
  <c r="K562" i="1"/>
  <c r="K563" i="1" s="1"/>
  <c r="K589" i="1"/>
  <c r="L589" i="1"/>
  <c r="L593" i="1" s="1"/>
  <c r="K32" i="8" s="1"/>
  <c r="K697" i="1"/>
  <c r="L697" i="1"/>
  <c r="K703" i="1"/>
  <c r="L703" i="1"/>
  <c r="L609" i="1"/>
  <c r="L615" i="1"/>
  <c r="L650" i="1"/>
  <c r="L677" i="1"/>
  <c r="I537" i="1"/>
  <c r="K516" i="1"/>
  <c r="K517" i="1" s="1"/>
  <c r="L516" i="1"/>
  <c r="L517" i="1" s="1"/>
  <c r="K523" i="1"/>
  <c r="L523" i="1"/>
  <c r="K543" i="1"/>
  <c r="L543" i="1"/>
  <c r="K470" i="1"/>
  <c r="K471" i="1" s="1"/>
  <c r="L471" i="1"/>
  <c r="I491" i="1"/>
  <c r="K477" i="1"/>
  <c r="L477" i="1"/>
  <c r="K497" i="1"/>
  <c r="L497" i="1"/>
  <c r="I445" i="1"/>
  <c r="K424" i="1"/>
  <c r="K425" i="1" s="1"/>
  <c r="L425" i="1"/>
  <c r="K431" i="1"/>
  <c r="L431" i="1"/>
  <c r="K344" i="1"/>
  <c r="L344" i="1"/>
  <c r="K347" i="1"/>
  <c r="K348" i="1"/>
  <c r="K355" i="1"/>
  <c r="L355" i="1"/>
  <c r="I405" i="1"/>
  <c r="K326" i="1"/>
  <c r="K311" i="1"/>
  <c r="L311" i="1"/>
  <c r="K303" i="1"/>
  <c r="K304" i="1"/>
  <c r="L300" i="1"/>
  <c r="K328" i="1"/>
  <c r="L328" i="1" s="1"/>
  <c r="L329" i="1" s="1"/>
  <c r="K259" i="1"/>
  <c r="L259" i="1"/>
  <c r="K260" i="1"/>
  <c r="L260" i="1"/>
  <c r="K267" i="1"/>
  <c r="L267" i="1"/>
  <c r="K284" i="1"/>
  <c r="J37" i="6" s="1"/>
  <c r="L256" i="1"/>
  <c r="K208" i="1"/>
  <c r="K209" i="1"/>
  <c r="K216" i="1"/>
  <c r="L216" i="1"/>
  <c r="K165" i="1"/>
  <c r="L165" i="1"/>
  <c r="K157" i="1"/>
  <c r="K158" i="1"/>
  <c r="K114" i="1"/>
  <c r="K106" i="1"/>
  <c r="L106" i="1"/>
  <c r="K107" i="1"/>
  <c r="L107" i="1"/>
  <c r="K78" i="1"/>
  <c r="K63" i="1"/>
  <c r="L63" i="1"/>
  <c r="K55" i="1"/>
  <c r="K56" i="1"/>
  <c r="K88" i="1" l="1"/>
  <c r="K732" i="1"/>
  <c r="L501" i="1"/>
  <c r="K30" i="8" s="1"/>
  <c r="L681" i="1"/>
  <c r="K34" i="8" s="1"/>
  <c r="K501" i="1"/>
  <c r="L639" i="1"/>
  <c r="K33" i="8" s="1"/>
  <c r="K593" i="1"/>
  <c r="K329" i="1"/>
  <c r="L284" i="1"/>
  <c r="K37" i="6" s="1"/>
  <c r="K44" i="6" s="1"/>
  <c r="K285" i="1"/>
  <c r="N635" i="1"/>
  <c r="N639" i="1" s="1"/>
  <c r="M33" i="8" s="1"/>
  <c r="K159" i="1"/>
  <c r="L261" i="1"/>
  <c r="L210" i="1"/>
  <c r="L305" i="1"/>
  <c r="L333" i="1" s="1"/>
  <c r="K26" i="8" s="1"/>
  <c r="L349" i="1"/>
  <c r="L371" i="1" s="1"/>
  <c r="K27" i="8" s="1"/>
  <c r="K108" i="1"/>
  <c r="K143" i="1" s="1"/>
  <c r="K261" i="1"/>
  <c r="K349" i="1"/>
  <c r="K371" i="1" s="1"/>
  <c r="K305" i="1"/>
  <c r="K210" i="1"/>
  <c r="L159" i="1"/>
  <c r="L108" i="1"/>
  <c r="L57" i="1"/>
  <c r="L285" i="1" l="1"/>
  <c r="K289" i="1"/>
  <c r="K333" i="1"/>
  <c r="L289" i="1"/>
  <c r="K25" i="8" s="1"/>
  <c r="L13" i="6"/>
  <c r="K9" i="6"/>
  <c r="K17" i="6"/>
  <c r="K18" i="6"/>
  <c r="K19" i="6"/>
  <c r="K46" i="6"/>
  <c r="K20" i="6" l="1"/>
  <c r="J28" i="8" l="1"/>
  <c r="D30" i="8"/>
  <c r="D31" i="8"/>
  <c r="D32" i="8"/>
  <c r="J27"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G797" i="1" l="1"/>
  <c r="H797" i="1"/>
  <c r="G798" i="1"/>
  <c r="H798" i="1"/>
  <c r="K677" i="1" l="1"/>
  <c r="J589" i="1"/>
  <c r="J543" i="1"/>
  <c r="J497" i="1"/>
  <c r="F797" i="1"/>
  <c r="F798" i="1"/>
  <c r="K245" i="1"/>
  <c r="K194" i="1"/>
  <c r="J50" i="8"/>
  <c r="J57" i="8"/>
  <c r="J9" i="6"/>
  <c r="J1682" i="1" l="1"/>
  <c r="K1682" i="1" s="1"/>
  <c r="K1692" i="1" s="1"/>
  <c r="C1699" i="1"/>
  <c r="B1702" i="1" s="1"/>
  <c r="C1650" i="1"/>
  <c r="G1843" i="1"/>
  <c r="F1843" i="1"/>
  <c r="E1843" i="1"/>
  <c r="D1843" i="1"/>
  <c r="I1839" i="1"/>
  <c r="H1839" i="1"/>
  <c r="B1800" i="1"/>
  <c r="G1741" i="1"/>
  <c r="G1745" i="1" s="1"/>
  <c r="F57" i="8" s="1"/>
  <c r="F1741" i="1"/>
  <c r="F1745" i="1" s="1"/>
  <c r="E57" i="8" s="1"/>
  <c r="E1741" i="1"/>
  <c r="E1745" i="1" s="1"/>
  <c r="D57" i="8" s="1"/>
  <c r="D1741" i="1"/>
  <c r="D1745" i="1" s="1"/>
  <c r="C57" i="8" s="1"/>
  <c r="H1741" i="1"/>
  <c r="D1718" i="1"/>
  <c r="E1718" i="1" s="1"/>
  <c r="F1718" i="1" s="1"/>
  <c r="G1718" i="1" s="1"/>
  <c r="H1718" i="1" s="1"/>
  <c r="I1718" i="1" s="1"/>
  <c r="J1718" i="1" s="1"/>
  <c r="K1718" i="1" s="1"/>
  <c r="L1718" i="1" s="1"/>
  <c r="M1718" i="1" s="1"/>
  <c r="N1718" i="1" s="1"/>
  <c r="C1606" i="1"/>
  <c r="J1594" i="1"/>
  <c r="C1562" i="1"/>
  <c r="C1517" i="1"/>
  <c r="J1478" i="1"/>
  <c r="J1504" i="1" s="1"/>
  <c r="C1472" i="1"/>
  <c r="K1504" i="1" l="1"/>
  <c r="I35" i="6"/>
  <c r="K1696" i="1"/>
  <c r="K1594" i="1"/>
  <c r="K1599" i="1" s="1"/>
  <c r="K1603" i="1" s="1"/>
  <c r="J1599" i="1"/>
  <c r="I1741" i="1"/>
  <c r="I1745" i="1" s="1"/>
  <c r="H57" i="8" s="1"/>
  <c r="I1843" i="1"/>
  <c r="H1843" i="1"/>
  <c r="H1745" i="1"/>
  <c r="G57" i="8" s="1"/>
  <c r="K1509" i="1" l="1"/>
  <c r="K1513" i="1" s="1"/>
  <c r="J35" i="6"/>
  <c r="J44" i="6" s="1"/>
  <c r="J1745" i="1"/>
  <c r="I57" i="8" s="1"/>
  <c r="J56" i="8"/>
  <c r="G1692" i="1"/>
  <c r="G1696" i="1" s="1"/>
  <c r="F56" i="8" s="1"/>
  <c r="F1692" i="1"/>
  <c r="F1696" i="1" s="1"/>
  <c r="E56" i="8" s="1"/>
  <c r="E1692" i="1"/>
  <c r="E1696" i="1" s="1"/>
  <c r="D56" i="8" s="1"/>
  <c r="D1692" i="1"/>
  <c r="D1696" i="1" s="1"/>
  <c r="C56" i="8" s="1"/>
  <c r="I1680" i="1"/>
  <c r="I1678" i="1"/>
  <c r="G1676" i="1"/>
  <c r="H1676" i="1" s="1"/>
  <c r="F1675" i="1"/>
  <c r="F1674" i="1"/>
  <c r="G1674" i="1" s="1"/>
  <c r="E1673" i="1"/>
  <c r="E1672" i="1"/>
  <c r="F1672" i="1" s="1"/>
  <c r="D1671" i="1"/>
  <c r="E1670" i="1"/>
  <c r="D1669" i="1"/>
  <c r="E1669" i="1" s="1"/>
  <c r="F1669" i="1" s="1"/>
  <c r="G1669" i="1" s="1"/>
  <c r="H1669" i="1" s="1"/>
  <c r="I1669" i="1" s="1"/>
  <c r="J1669" i="1" s="1"/>
  <c r="K1669" i="1" s="1"/>
  <c r="L1669" i="1" s="1"/>
  <c r="M1669" i="1" s="1"/>
  <c r="N1669" i="1" s="1"/>
  <c r="B1653" i="1"/>
  <c r="J55" i="8"/>
  <c r="G1647" i="1"/>
  <c r="F55" i="8" s="1"/>
  <c r="F1647" i="1"/>
  <c r="E55" i="8" s="1"/>
  <c r="E1647" i="1"/>
  <c r="D55" i="8" s="1"/>
  <c r="D1647" i="1"/>
  <c r="C55" i="8" s="1"/>
  <c r="D1625" i="1"/>
  <c r="E1625" i="1" s="1"/>
  <c r="F1625" i="1" s="1"/>
  <c r="G1625" i="1" s="1"/>
  <c r="H1625" i="1" s="1"/>
  <c r="I1625" i="1" s="1"/>
  <c r="J1625" i="1" s="1"/>
  <c r="K1625" i="1" s="1"/>
  <c r="L1625" i="1" s="1"/>
  <c r="M1625" i="1" s="1"/>
  <c r="N1625" i="1" s="1"/>
  <c r="B1609" i="1"/>
  <c r="J54" i="8"/>
  <c r="G1603" i="1"/>
  <c r="F54" i="8" s="1"/>
  <c r="F1603" i="1"/>
  <c r="E54" i="8" s="1"/>
  <c r="E1603" i="1"/>
  <c r="D54" i="8" s="1"/>
  <c r="D1603" i="1"/>
  <c r="C54" i="8" s="1"/>
  <c r="H1603" i="1"/>
  <c r="G54" i="8" s="1"/>
  <c r="D1581" i="1"/>
  <c r="E1581" i="1" s="1"/>
  <c r="F1581" i="1" s="1"/>
  <c r="G1581" i="1" s="1"/>
  <c r="H1581" i="1" s="1"/>
  <c r="I1581" i="1" s="1"/>
  <c r="J1581" i="1" s="1"/>
  <c r="K1581" i="1" s="1"/>
  <c r="L1581" i="1" s="1"/>
  <c r="M1581" i="1" s="1"/>
  <c r="N1581" i="1" s="1"/>
  <c r="B1565" i="1"/>
  <c r="J53" i="8"/>
  <c r="G1558" i="1"/>
  <c r="F53" i="8" s="1"/>
  <c r="F1558" i="1"/>
  <c r="E53" i="8" s="1"/>
  <c r="E1558" i="1"/>
  <c r="D53" i="8" s="1"/>
  <c r="D1558" i="1"/>
  <c r="C53" i="8" s="1"/>
  <c r="D1536" i="1"/>
  <c r="E1536" i="1" s="1"/>
  <c r="F1536" i="1" s="1"/>
  <c r="G1536" i="1" s="1"/>
  <c r="H1536" i="1" s="1"/>
  <c r="I1536" i="1" s="1"/>
  <c r="J1536" i="1" s="1"/>
  <c r="K1536" i="1" s="1"/>
  <c r="L1536" i="1" s="1"/>
  <c r="M1536" i="1" s="1"/>
  <c r="N1536" i="1" s="1"/>
  <c r="B1520" i="1"/>
  <c r="J52" i="8"/>
  <c r="G1513" i="1"/>
  <c r="F52" i="8" s="1"/>
  <c r="F1513" i="1"/>
  <c r="E52" i="8" s="1"/>
  <c r="E1513" i="1"/>
  <c r="D52" i="8" s="1"/>
  <c r="D1513" i="1"/>
  <c r="C52" i="8" s="1"/>
  <c r="I1502" i="1"/>
  <c r="J1502" i="1" s="1"/>
  <c r="D1491" i="1"/>
  <c r="E1491" i="1" s="1"/>
  <c r="F1491" i="1" s="1"/>
  <c r="G1491" i="1" s="1"/>
  <c r="H1491" i="1" s="1"/>
  <c r="I1491" i="1" s="1"/>
  <c r="J1491" i="1" s="1"/>
  <c r="K1491" i="1" s="1"/>
  <c r="L1491" i="1" s="1"/>
  <c r="M1491" i="1" s="1"/>
  <c r="N1491" i="1" s="1"/>
  <c r="B1475" i="1"/>
  <c r="J208" i="1"/>
  <c r="J209" i="1"/>
  <c r="J754" i="1"/>
  <c r="K754" i="1"/>
  <c r="K783" i="1" s="1"/>
  <c r="J746" i="1"/>
  <c r="J747" i="1"/>
  <c r="I896" i="1"/>
  <c r="C1431" i="1"/>
  <c r="B1434" i="1" s="1"/>
  <c r="J51" i="8"/>
  <c r="G1464" i="1"/>
  <c r="G1468" i="1" s="1"/>
  <c r="F51" i="8" s="1"/>
  <c r="F1464" i="1"/>
  <c r="F1468" i="1" s="1"/>
  <c r="E51" i="8" s="1"/>
  <c r="E1464" i="1"/>
  <c r="E1468" i="1" s="1"/>
  <c r="D51" i="8" s="1"/>
  <c r="D1464" i="1"/>
  <c r="D1468" i="1" s="1"/>
  <c r="C51" i="8" s="1"/>
  <c r="I1461" i="1"/>
  <c r="J1461" i="1" s="1"/>
  <c r="J1464" i="1" s="1"/>
  <c r="J1468" i="1" s="1"/>
  <c r="I1459" i="1"/>
  <c r="G1457" i="1"/>
  <c r="H1457" i="1" s="1"/>
  <c r="F1456" i="1"/>
  <c r="F1455" i="1"/>
  <c r="G1455" i="1" s="1"/>
  <c r="E1454" i="1"/>
  <c r="E1453" i="1"/>
  <c r="F1453" i="1" s="1"/>
  <c r="D1452" i="1"/>
  <c r="E1451" i="1"/>
  <c r="D1450" i="1"/>
  <c r="E1450" i="1" s="1"/>
  <c r="F1450" i="1" s="1"/>
  <c r="G1450" i="1" s="1"/>
  <c r="H1450" i="1" s="1"/>
  <c r="I1450" i="1" s="1"/>
  <c r="J1450" i="1" s="1"/>
  <c r="K1450" i="1" s="1"/>
  <c r="L1450" i="1" s="1"/>
  <c r="M1450" i="1" s="1"/>
  <c r="N1450" i="1" s="1"/>
  <c r="C1390" i="1"/>
  <c r="B1393" i="1" s="1"/>
  <c r="G1423" i="1"/>
  <c r="G1427" i="1" s="1"/>
  <c r="F50" i="8" s="1"/>
  <c r="F1423" i="1"/>
  <c r="F1427" i="1" s="1"/>
  <c r="E50" i="8" s="1"/>
  <c r="E1423" i="1"/>
  <c r="E1427" i="1" s="1"/>
  <c r="D50" i="8" s="1"/>
  <c r="D1423" i="1"/>
  <c r="D1427" i="1" s="1"/>
  <c r="C50" i="8" s="1"/>
  <c r="I1420" i="1"/>
  <c r="J1420" i="1" s="1"/>
  <c r="J1423" i="1" s="1"/>
  <c r="J1427" i="1" s="1"/>
  <c r="I1418" i="1"/>
  <c r="G1416" i="1"/>
  <c r="H1416" i="1" s="1"/>
  <c r="F1415" i="1"/>
  <c r="F1414" i="1"/>
  <c r="G1414" i="1" s="1"/>
  <c r="E1413" i="1"/>
  <c r="E1412" i="1"/>
  <c r="F1412" i="1" s="1"/>
  <c r="D1411" i="1"/>
  <c r="E1410" i="1"/>
  <c r="D1409" i="1"/>
  <c r="E1409" i="1" s="1"/>
  <c r="F1409" i="1" s="1"/>
  <c r="G1409" i="1" s="1"/>
  <c r="H1409" i="1" s="1"/>
  <c r="I1409" i="1" s="1"/>
  <c r="J1409" i="1" s="1"/>
  <c r="K1409" i="1" s="1"/>
  <c r="L1409" i="1" s="1"/>
  <c r="M1409" i="1" s="1"/>
  <c r="N1409" i="1" s="1"/>
  <c r="J49" i="8"/>
  <c r="G1382" i="1"/>
  <c r="G1386" i="1" s="1"/>
  <c r="F49" i="8" s="1"/>
  <c r="F1382" i="1"/>
  <c r="F1386" i="1" s="1"/>
  <c r="E49" i="8" s="1"/>
  <c r="E1382" i="1"/>
  <c r="E1386" i="1" s="1"/>
  <c r="D49" i="8" s="1"/>
  <c r="D1382" i="1"/>
  <c r="D1386" i="1" s="1"/>
  <c r="C49" i="8" s="1"/>
  <c r="I1379" i="1"/>
  <c r="J1379" i="1" s="1"/>
  <c r="J1382" i="1" s="1"/>
  <c r="J1386" i="1" s="1"/>
  <c r="I1377" i="1"/>
  <c r="G1375" i="1"/>
  <c r="H1375" i="1" s="1"/>
  <c r="F1374" i="1"/>
  <c r="F1373" i="1"/>
  <c r="G1373" i="1" s="1"/>
  <c r="E1372" i="1"/>
  <c r="E1371" i="1"/>
  <c r="F1371" i="1" s="1"/>
  <c r="D1370" i="1"/>
  <c r="E1369" i="1"/>
  <c r="D1368" i="1"/>
  <c r="E1368" i="1" s="1"/>
  <c r="F1368" i="1" s="1"/>
  <c r="G1368" i="1" s="1"/>
  <c r="H1368" i="1" s="1"/>
  <c r="I1368" i="1" s="1"/>
  <c r="J1368" i="1" s="1"/>
  <c r="K1368" i="1" s="1"/>
  <c r="L1368" i="1" s="1"/>
  <c r="M1368" i="1" s="1"/>
  <c r="N1368" i="1" s="1"/>
  <c r="G1341" i="1"/>
  <c r="F1341" i="1"/>
  <c r="F1345" i="1" s="1"/>
  <c r="E1341" i="1"/>
  <c r="E1345" i="1" s="1"/>
  <c r="D1341" i="1"/>
  <c r="D1345" i="1" s="1"/>
  <c r="I1338" i="1"/>
  <c r="J1338" i="1" s="1"/>
  <c r="J1341" i="1" s="1"/>
  <c r="J1345" i="1" s="1"/>
  <c r="I1336" i="1"/>
  <c r="G1334" i="1"/>
  <c r="H1334" i="1" s="1"/>
  <c r="H1341" i="1" s="1"/>
  <c r="H1345" i="1" s="1"/>
  <c r="F1333" i="1"/>
  <c r="F1332" i="1"/>
  <c r="G1332" i="1" s="1"/>
  <c r="E1331" i="1"/>
  <c r="E1330" i="1"/>
  <c r="F1330" i="1" s="1"/>
  <c r="D1329" i="1"/>
  <c r="E1328" i="1"/>
  <c r="D1327" i="1"/>
  <c r="E1327" i="1" s="1"/>
  <c r="F1327" i="1" s="1"/>
  <c r="G1327" i="1" s="1"/>
  <c r="H1327" i="1" s="1"/>
  <c r="I1327" i="1" s="1"/>
  <c r="J1327" i="1" s="1"/>
  <c r="K1327" i="1" s="1"/>
  <c r="G1299" i="1"/>
  <c r="F1299" i="1"/>
  <c r="E1299" i="1"/>
  <c r="D1299" i="1"/>
  <c r="I1294" i="1"/>
  <c r="F1291" i="1"/>
  <c r="E1289" i="1"/>
  <c r="D1287" i="1"/>
  <c r="E1286" i="1"/>
  <c r="D1285" i="1"/>
  <c r="E1285" i="1" s="1"/>
  <c r="F1285" i="1" s="1"/>
  <c r="G1285" i="1" s="1"/>
  <c r="H1285" i="1" s="1"/>
  <c r="I1285" i="1" s="1"/>
  <c r="J1285" i="1" s="1"/>
  <c r="K1285" i="1" s="1"/>
  <c r="L1285" i="1" s="1"/>
  <c r="M1285" i="1" s="1"/>
  <c r="N1285" i="1" s="1"/>
  <c r="C1266" i="1"/>
  <c r="I1227" i="1"/>
  <c r="C1140" i="1"/>
  <c r="C1182" i="1"/>
  <c r="C1224" i="1"/>
  <c r="C1349" i="1"/>
  <c r="F1272" i="1"/>
  <c r="F1290" i="1" s="1"/>
  <c r="G1290" i="1" s="1"/>
  <c r="G1272" i="1"/>
  <c r="G1292" i="1" s="1"/>
  <c r="H1292" i="1" s="1"/>
  <c r="H1272" i="1"/>
  <c r="I1296" i="1"/>
  <c r="J1296" i="1" s="1"/>
  <c r="J1299" i="1" s="1"/>
  <c r="J1303" i="1" s="1"/>
  <c r="F1275" i="1"/>
  <c r="G1275" i="1"/>
  <c r="H1275" i="1"/>
  <c r="I1275" i="1"/>
  <c r="F1276" i="1"/>
  <c r="G1276" i="1"/>
  <c r="H1276" i="1"/>
  <c r="I1276" i="1"/>
  <c r="F1283" i="1"/>
  <c r="G1283" i="1"/>
  <c r="H1283" i="1"/>
  <c r="I1283" i="1"/>
  <c r="E1118" i="1"/>
  <c r="D1119" i="1"/>
  <c r="E1121" i="1"/>
  <c r="F1123" i="1"/>
  <c r="E1076" i="1"/>
  <c r="D1077" i="1"/>
  <c r="E1079" i="1"/>
  <c r="F1081" i="1"/>
  <c r="E1034" i="1"/>
  <c r="D1035" i="1"/>
  <c r="E1037" i="1"/>
  <c r="F1039" i="1"/>
  <c r="G1041" i="1"/>
  <c r="H1043" i="1"/>
  <c r="D1047" i="1"/>
  <c r="E1047" i="1"/>
  <c r="E992" i="1"/>
  <c r="D993" i="1"/>
  <c r="E995" i="1"/>
  <c r="F997" i="1"/>
  <c r="J431" i="1"/>
  <c r="J424" i="1"/>
  <c r="J425" i="1" s="1"/>
  <c r="G1345" i="1" l="1"/>
  <c r="F28" i="6"/>
  <c r="L1327" i="1"/>
  <c r="N1327" i="1" s="1"/>
  <c r="M1327" i="1"/>
  <c r="I1692" i="1"/>
  <c r="I1423" i="1"/>
  <c r="I1427" i="1" s="1"/>
  <c r="H50" i="8" s="1"/>
  <c r="I674" i="1"/>
  <c r="J674" i="1" s="1"/>
  <c r="J677" i="1" s="1"/>
  <c r="I1464" i="1"/>
  <c r="I1468" i="1" s="1"/>
  <c r="H51" i="8" s="1"/>
  <c r="J455" i="1"/>
  <c r="I49" i="8"/>
  <c r="I50" i="8"/>
  <c r="J1513" i="1"/>
  <c r="I52" i="8" s="1"/>
  <c r="J1558" i="1"/>
  <c r="I53" i="8" s="1"/>
  <c r="J1603" i="1"/>
  <c r="I54" i="8" s="1"/>
  <c r="I55" i="8"/>
  <c r="I51" i="8"/>
  <c r="I1696" i="1"/>
  <c r="H56" i="8" s="1"/>
  <c r="J1680" i="1"/>
  <c r="J1692" i="1" s="1"/>
  <c r="I1513" i="1"/>
  <c r="H52" i="8" s="1"/>
  <c r="I1647" i="1"/>
  <c r="H55" i="8" s="1"/>
  <c r="I1603" i="1"/>
  <c r="H54" i="8" s="1"/>
  <c r="H1692" i="1"/>
  <c r="H1696" i="1" s="1"/>
  <c r="G56" i="8" s="1"/>
  <c r="J210" i="1"/>
  <c r="I1382" i="1"/>
  <c r="I1386" i="1" s="1"/>
  <c r="H49" i="8" s="1"/>
  <c r="I1558" i="1"/>
  <c r="H53" i="8" s="1"/>
  <c r="H1647" i="1"/>
  <c r="G55" i="8" s="1"/>
  <c r="H1558" i="1"/>
  <c r="G53" i="8" s="1"/>
  <c r="H1513" i="1"/>
  <c r="G52" i="8" s="1"/>
  <c r="J748" i="1"/>
  <c r="J783" i="1" s="1"/>
  <c r="H1464" i="1"/>
  <c r="H1468" i="1" s="1"/>
  <c r="G51" i="8" s="1"/>
  <c r="I1299" i="1"/>
  <c r="I1341" i="1"/>
  <c r="I1345" i="1" s="1"/>
  <c r="H1423" i="1"/>
  <c r="H1427" i="1" s="1"/>
  <c r="G50" i="8" s="1"/>
  <c r="I1416" i="1"/>
  <c r="H1382" i="1"/>
  <c r="H1386" i="1" s="1"/>
  <c r="G49" i="8" s="1"/>
  <c r="I1375" i="1"/>
  <c r="I1334" i="1"/>
  <c r="H1299" i="1"/>
  <c r="I1292" i="1"/>
  <c r="H1277" i="1"/>
  <c r="J48" i="8"/>
  <c r="G1277" i="1"/>
  <c r="G1303" i="1" s="1"/>
  <c r="F48" i="8" s="1"/>
  <c r="I1277" i="1"/>
  <c r="I1303" i="1" s="1"/>
  <c r="H48" i="8" s="1"/>
  <c r="I48" i="8"/>
  <c r="F1277" i="1"/>
  <c r="F1303" i="1" s="1"/>
  <c r="E48" i="8" s="1"/>
  <c r="J1696" i="1" l="1"/>
  <c r="I56" i="8" s="1"/>
  <c r="H1303" i="1"/>
  <c r="G48" i="8" s="1"/>
  <c r="J654" i="1" l="1"/>
  <c r="J655" i="1" s="1"/>
  <c r="F669" i="1"/>
  <c r="E667" i="1"/>
  <c r="D665" i="1"/>
  <c r="J661" i="1"/>
  <c r="J516" i="1"/>
  <c r="J517" i="1" s="1"/>
  <c r="J523" i="1"/>
  <c r="J470" i="1"/>
  <c r="J471" i="1" s="1"/>
  <c r="J477" i="1"/>
  <c r="J347" i="1"/>
  <c r="J348" i="1"/>
  <c r="J355" i="1"/>
  <c r="J303" i="1"/>
  <c r="J304" i="1"/>
  <c r="J311" i="1"/>
  <c r="J267" i="1"/>
  <c r="J259" i="1"/>
  <c r="J260" i="1"/>
  <c r="J501" i="1" l="1"/>
  <c r="J547" i="1"/>
  <c r="J349" i="1"/>
  <c r="J305" i="1"/>
  <c r="I899" i="1"/>
  <c r="I920" i="1"/>
  <c r="J920" i="1" s="1"/>
  <c r="J695" i="1"/>
  <c r="J696" i="1"/>
  <c r="J608" i="1"/>
  <c r="J562" i="1"/>
  <c r="J157" i="1"/>
  <c r="J158" i="1"/>
  <c r="J106" i="1"/>
  <c r="J107" i="1"/>
  <c r="I77" i="1"/>
  <c r="J76" i="1"/>
  <c r="K609" i="1"/>
  <c r="K615" i="1"/>
  <c r="K650" i="1"/>
  <c r="J46" i="6"/>
  <c r="I46" i="6"/>
  <c r="J17" i="6"/>
  <c r="J18" i="6"/>
  <c r="J19" i="6"/>
  <c r="J88" i="1" l="1"/>
  <c r="K681" i="1"/>
  <c r="J34" i="8" s="1"/>
  <c r="J12" i="6"/>
  <c r="J923" i="1"/>
  <c r="J927" i="1" s="1"/>
  <c r="K920" i="1"/>
  <c r="M920" i="1" s="1"/>
  <c r="M923" i="1" s="1"/>
  <c r="J30" i="8"/>
  <c r="J25" i="8"/>
  <c r="J24" i="8"/>
  <c r="J36" i="8"/>
  <c r="J22" i="8"/>
  <c r="K57" i="1"/>
  <c r="J20" i="6"/>
  <c r="H714" i="1"/>
  <c r="I714" i="1" s="1"/>
  <c r="K92" i="1" l="1"/>
  <c r="K13" i="6"/>
  <c r="K923" i="1"/>
  <c r="K927" i="1" s="1"/>
  <c r="J39" i="8" s="1"/>
  <c r="L920" i="1"/>
  <c r="J21" i="8"/>
  <c r="G123" i="1"/>
  <c r="H123" i="1" s="1"/>
  <c r="H139" i="1" s="1"/>
  <c r="F121" i="1"/>
  <c r="G121" i="1" s="1"/>
  <c r="G139" i="1" s="1"/>
  <c r="E119" i="1"/>
  <c r="E170" i="1"/>
  <c r="F172" i="1"/>
  <c r="G172" i="1" s="1"/>
  <c r="G174" i="1"/>
  <c r="H174" i="1" s="1"/>
  <c r="H176" i="1"/>
  <c r="D219" i="1"/>
  <c r="E219" i="1" s="1"/>
  <c r="E221" i="1"/>
  <c r="F221" i="1" s="1"/>
  <c r="F223" i="1"/>
  <c r="G223" i="1" s="1"/>
  <c r="G225" i="1"/>
  <c r="H225" i="1" s="1"/>
  <c r="H227" i="1"/>
  <c r="I227" i="1" s="1"/>
  <c r="I241" i="1" s="1"/>
  <c r="H604" i="1"/>
  <c r="H626" i="1" s="1"/>
  <c r="I626" i="1" s="1"/>
  <c r="H765" i="1"/>
  <c r="H816" i="1"/>
  <c r="I816" i="1" s="1"/>
  <c r="I830" i="1" s="1"/>
  <c r="I176" i="1" l="1"/>
  <c r="I190" i="1" s="1"/>
  <c r="N920" i="1"/>
  <c r="N923" i="1" s="1"/>
  <c r="L923" i="1"/>
  <c r="L927" i="1" s="1"/>
  <c r="K39" i="8" s="1"/>
  <c r="I628" i="1"/>
  <c r="J628" i="1" s="1"/>
  <c r="J635" i="1" s="1"/>
  <c r="F170" i="1"/>
  <c r="F190" i="1" s="1"/>
  <c r="E190" i="1"/>
  <c r="H241" i="1"/>
  <c r="F119" i="1"/>
  <c r="F139" i="1" s="1"/>
  <c r="E139" i="1"/>
  <c r="G241" i="1"/>
  <c r="H190" i="1"/>
  <c r="G190" i="1"/>
  <c r="I765" i="1"/>
  <c r="I779" i="1" s="1"/>
  <c r="H779" i="1"/>
  <c r="H867" i="1"/>
  <c r="I867" i="1" s="1"/>
  <c r="G1257" i="1" l="1"/>
  <c r="F1257" i="1"/>
  <c r="E1257" i="1"/>
  <c r="D1257" i="1"/>
  <c r="I1252" i="1"/>
  <c r="F1249" i="1"/>
  <c r="E1247" i="1"/>
  <c r="D1245" i="1"/>
  <c r="E1244" i="1"/>
  <c r="D1243" i="1"/>
  <c r="E1243" i="1" s="1"/>
  <c r="F1243" i="1" s="1"/>
  <c r="G1243" i="1" s="1"/>
  <c r="H1243" i="1" s="1"/>
  <c r="I1243" i="1" s="1"/>
  <c r="J1243" i="1" s="1"/>
  <c r="K1243" i="1" s="1"/>
  <c r="L1243" i="1" s="1"/>
  <c r="M1243" i="1" s="1"/>
  <c r="N1243" i="1" s="1"/>
  <c r="I1241" i="1"/>
  <c r="H1241" i="1"/>
  <c r="G1241" i="1"/>
  <c r="F1241" i="1"/>
  <c r="E1241" i="1"/>
  <c r="D1241" i="1"/>
  <c r="D1237" i="1"/>
  <c r="E1237" i="1" s="1"/>
  <c r="F1237" i="1" s="1"/>
  <c r="G1237" i="1" s="1"/>
  <c r="H1237" i="1" s="1"/>
  <c r="I1237" i="1" s="1"/>
  <c r="J1237" i="1" s="1"/>
  <c r="K1237" i="1" s="1"/>
  <c r="L1237" i="1" s="1"/>
  <c r="M1237" i="1" s="1"/>
  <c r="N1237" i="1" s="1"/>
  <c r="I1234" i="1"/>
  <c r="H1234" i="1"/>
  <c r="G1234" i="1"/>
  <c r="F1234" i="1"/>
  <c r="E1234" i="1"/>
  <c r="D1234" i="1"/>
  <c r="I1233" i="1"/>
  <c r="H1233" i="1"/>
  <c r="G1233" i="1"/>
  <c r="F1233" i="1"/>
  <c r="E1233" i="1"/>
  <c r="D1233" i="1"/>
  <c r="D1232" i="1"/>
  <c r="E1232" i="1" s="1"/>
  <c r="F1232" i="1" s="1"/>
  <c r="G1232" i="1" s="1"/>
  <c r="H1232" i="1" s="1"/>
  <c r="I1232" i="1" s="1"/>
  <c r="J1232" i="1" s="1"/>
  <c r="K1232" i="1" s="1"/>
  <c r="L1232" i="1" s="1"/>
  <c r="M1232" i="1" s="1"/>
  <c r="N1232" i="1" s="1"/>
  <c r="I1254" i="1"/>
  <c r="J1254" i="1" s="1"/>
  <c r="J1257" i="1" s="1"/>
  <c r="J1261" i="1" s="1"/>
  <c r="H1230" i="1"/>
  <c r="G1230" i="1"/>
  <c r="G1250" i="1" s="1"/>
  <c r="H1250" i="1" s="1"/>
  <c r="F1230" i="1"/>
  <c r="F1248" i="1" s="1"/>
  <c r="G1248" i="1" s="1"/>
  <c r="E1230" i="1"/>
  <c r="E1246" i="1" s="1"/>
  <c r="F1246" i="1" s="1"/>
  <c r="D1230" i="1"/>
  <c r="D1226" i="1"/>
  <c r="E1226" i="1" s="1"/>
  <c r="F1226" i="1" s="1"/>
  <c r="G1226" i="1" s="1"/>
  <c r="H1226" i="1" s="1"/>
  <c r="I1226" i="1" s="1"/>
  <c r="J1226" i="1" s="1"/>
  <c r="K1226" i="1" s="1"/>
  <c r="L1226" i="1" s="1"/>
  <c r="M1226" i="1" s="1"/>
  <c r="N1226" i="1" s="1"/>
  <c r="J697" i="1"/>
  <c r="J703" i="1"/>
  <c r="B674" i="1"/>
  <c r="B673" i="1"/>
  <c r="H46" i="6"/>
  <c r="I488" i="1"/>
  <c r="C644" i="1"/>
  <c r="G321" i="1"/>
  <c r="B324" i="1"/>
  <c r="H323" i="1"/>
  <c r="B323" i="1"/>
  <c r="H279" i="1"/>
  <c r="G277" i="1"/>
  <c r="B280" i="1"/>
  <c r="B279" i="1"/>
  <c r="J32" i="8" l="1"/>
  <c r="D1235" i="1"/>
  <c r="H1235" i="1"/>
  <c r="G1235" i="1"/>
  <c r="G1261" i="1" s="1"/>
  <c r="F47" i="8" s="1"/>
  <c r="F1235" i="1"/>
  <c r="F1261" i="1" s="1"/>
  <c r="E47" i="8" s="1"/>
  <c r="E1235" i="1"/>
  <c r="I1235" i="1"/>
  <c r="H1257" i="1"/>
  <c r="I1250" i="1"/>
  <c r="I1257" i="1"/>
  <c r="J47" i="8" l="1"/>
  <c r="H1261" i="1"/>
  <c r="G47" i="8" s="1"/>
  <c r="I1261" i="1"/>
  <c r="H47" i="8" s="1"/>
  <c r="I47" i="8" l="1"/>
  <c r="E9" i="6"/>
  <c r="F9" i="6"/>
  <c r="F1107" i="1"/>
  <c r="G1107" i="1"/>
  <c r="H1107" i="1"/>
  <c r="I1107" i="1"/>
  <c r="F1108" i="1"/>
  <c r="G1108" i="1"/>
  <c r="H1108" i="1"/>
  <c r="I1108" i="1"/>
  <c r="F1023" i="1"/>
  <c r="G1023" i="1"/>
  <c r="H1023" i="1"/>
  <c r="I1023" i="1"/>
  <c r="F1024" i="1"/>
  <c r="G1024" i="1"/>
  <c r="H1024" i="1"/>
  <c r="I1024" i="1"/>
  <c r="F981" i="1"/>
  <c r="G981" i="1"/>
  <c r="H981" i="1"/>
  <c r="I981" i="1"/>
  <c r="F982" i="1"/>
  <c r="G982" i="1"/>
  <c r="H982" i="1"/>
  <c r="I982" i="1"/>
  <c r="E896" i="1"/>
  <c r="F896" i="1"/>
  <c r="G896" i="1"/>
  <c r="D896" i="1"/>
  <c r="E845" i="1"/>
  <c r="E861" i="1" s="1"/>
  <c r="F861" i="1" s="1"/>
  <c r="F845" i="1"/>
  <c r="F863" i="1" s="1"/>
  <c r="G863" i="1" s="1"/>
  <c r="G845" i="1"/>
  <c r="D845" i="1"/>
  <c r="E794" i="1"/>
  <c r="E810" i="1" s="1"/>
  <c r="F810" i="1" s="1"/>
  <c r="F794" i="1"/>
  <c r="F812" i="1" s="1"/>
  <c r="G812" i="1" s="1"/>
  <c r="G794" i="1"/>
  <c r="D794" i="1"/>
  <c r="E743" i="1"/>
  <c r="E759" i="1" s="1"/>
  <c r="F759" i="1" s="1"/>
  <c r="F743" i="1"/>
  <c r="F761" i="1" s="1"/>
  <c r="G761" i="1" s="1"/>
  <c r="G743" i="1"/>
  <c r="D743" i="1"/>
  <c r="D757" i="1" s="1"/>
  <c r="E757" i="1" s="1"/>
  <c r="E692" i="1"/>
  <c r="E708" i="1" s="1"/>
  <c r="F708" i="1" s="1"/>
  <c r="F692" i="1"/>
  <c r="F710" i="1" s="1"/>
  <c r="G710" i="1" s="1"/>
  <c r="G692" i="1"/>
  <c r="G712" i="1" s="1"/>
  <c r="H712" i="1" s="1"/>
  <c r="D692" i="1"/>
  <c r="D706" i="1" s="1"/>
  <c r="E706" i="1" s="1"/>
  <c r="E604" i="1"/>
  <c r="F604" i="1"/>
  <c r="G604" i="1"/>
  <c r="D604" i="1"/>
  <c r="D558" i="1"/>
  <c r="D512" i="1"/>
  <c r="I30" i="8"/>
  <c r="D466" i="1"/>
  <c r="G382" i="1"/>
  <c r="H382" i="1"/>
  <c r="I382" i="1"/>
  <c r="I28" i="8"/>
  <c r="D382" i="1"/>
  <c r="H344" i="1"/>
  <c r="I344" i="1"/>
  <c r="J344" i="1"/>
  <c r="H535" i="1"/>
  <c r="J371" i="1" l="1"/>
  <c r="I27" i="8" s="1"/>
  <c r="I31" i="8"/>
  <c r="G1215" i="1"/>
  <c r="F1215" i="1"/>
  <c r="E1215" i="1"/>
  <c r="D1215" i="1"/>
  <c r="I1210" i="1"/>
  <c r="F1207" i="1"/>
  <c r="E1205" i="1"/>
  <c r="D1203" i="1"/>
  <c r="E1202" i="1"/>
  <c r="D1201" i="1"/>
  <c r="E1201" i="1" s="1"/>
  <c r="F1201" i="1" s="1"/>
  <c r="G1201" i="1" s="1"/>
  <c r="H1201" i="1" s="1"/>
  <c r="I1201" i="1" s="1"/>
  <c r="J1201" i="1" s="1"/>
  <c r="K1201" i="1" s="1"/>
  <c r="L1201" i="1" s="1"/>
  <c r="M1201" i="1" s="1"/>
  <c r="N1201" i="1" s="1"/>
  <c r="I1199" i="1"/>
  <c r="H1199" i="1"/>
  <c r="G1199" i="1"/>
  <c r="F1199" i="1"/>
  <c r="E1199" i="1"/>
  <c r="D1199" i="1"/>
  <c r="D1195" i="1"/>
  <c r="E1195" i="1" s="1"/>
  <c r="F1195" i="1" s="1"/>
  <c r="G1195" i="1" s="1"/>
  <c r="H1195" i="1" s="1"/>
  <c r="I1195" i="1" s="1"/>
  <c r="J1195" i="1" s="1"/>
  <c r="K1195" i="1" s="1"/>
  <c r="L1195" i="1" s="1"/>
  <c r="M1195" i="1" s="1"/>
  <c r="N1195" i="1" s="1"/>
  <c r="I1192" i="1"/>
  <c r="H1192" i="1"/>
  <c r="G1192" i="1"/>
  <c r="F1192" i="1"/>
  <c r="E1192" i="1"/>
  <c r="D1192" i="1"/>
  <c r="I1191" i="1"/>
  <c r="H1191" i="1"/>
  <c r="G1191" i="1"/>
  <c r="F1191" i="1"/>
  <c r="E1191" i="1"/>
  <c r="D1191" i="1"/>
  <c r="D1190" i="1"/>
  <c r="E1190" i="1" s="1"/>
  <c r="F1190" i="1" s="1"/>
  <c r="G1190" i="1" s="1"/>
  <c r="H1190" i="1" s="1"/>
  <c r="I1190" i="1" s="1"/>
  <c r="J1190" i="1" s="1"/>
  <c r="K1190" i="1" s="1"/>
  <c r="L1190" i="1" s="1"/>
  <c r="M1190" i="1" s="1"/>
  <c r="N1190" i="1" s="1"/>
  <c r="I1212" i="1"/>
  <c r="J1212" i="1" s="1"/>
  <c r="J1215" i="1" s="1"/>
  <c r="J1219" i="1" s="1"/>
  <c r="H1188" i="1"/>
  <c r="G1188" i="1"/>
  <c r="G1208" i="1" s="1"/>
  <c r="H1208" i="1" s="1"/>
  <c r="F1188" i="1"/>
  <c r="F1206" i="1" s="1"/>
  <c r="G1206" i="1" s="1"/>
  <c r="E1188" i="1"/>
  <c r="D1188" i="1"/>
  <c r="D1184" i="1"/>
  <c r="E1184" i="1" s="1"/>
  <c r="F1184" i="1" s="1"/>
  <c r="G1184" i="1" s="1"/>
  <c r="H1184" i="1" s="1"/>
  <c r="I1184" i="1" s="1"/>
  <c r="J1184" i="1" s="1"/>
  <c r="K1184" i="1" s="1"/>
  <c r="L1184" i="1" s="1"/>
  <c r="M1184" i="1" s="1"/>
  <c r="N1184" i="1" s="1"/>
  <c r="G1173" i="1"/>
  <c r="F1173" i="1"/>
  <c r="E1173" i="1"/>
  <c r="D1173" i="1"/>
  <c r="I1168" i="1"/>
  <c r="F1165" i="1"/>
  <c r="E1163" i="1"/>
  <c r="D1161" i="1"/>
  <c r="E1160" i="1"/>
  <c r="D1159" i="1"/>
  <c r="E1159" i="1" s="1"/>
  <c r="F1159" i="1" s="1"/>
  <c r="G1159" i="1" s="1"/>
  <c r="H1159" i="1" s="1"/>
  <c r="I1159" i="1" s="1"/>
  <c r="J1159" i="1" s="1"/>
  <c r="K1159" i="1" s="1"/>
  <c r="L1159" i="1" s="1"/>
  <c r="M1159" i="1" s="1"/>
  <c r="N1159" i="1" s="1"/>
  <c r="I1157" i="1"/>
  <c r="H1157" i="1"/>
  <c r="G1157" i="1"/>
  <c r="F1157" i="1"/>
  <c r="E1157" i="1"/>
  <c r="D1157" i="1"/>
  <c r="D1153" i="1"/>
  <c r="E1153" i="1" s="1"/>
  <c r="F1153" i="1" s="1"/>
  <c r="G1153" i="1" s="1"/>
  <c r="H1153" i="1" s="1"/>
  <c r="I1153" i="1" s="1"/>
  <c r="J1153" i="1" s="1"/>
  <c r="K1153" i="1" s="1"/>
  <c r="L1153" i="1" s="1"/>
  <c r="M1153" i="1" s="1"/>
  <c r="N1153" i="1" s="1"/>
  <c r="I1150" i="1"/>
  <c r="H1150" i="1"/>
  <c r="G1150" i="1"/>
  <c r="F1150" i="1"/>
  <c r="E1150" i="1"/>
  <c r="D1150" i="1"/>
  <c r="I1149" i="1"/>
  <c r="H1149" i="1"/>
  <c r="G1149" i="1"/>
  <c r="F1149" i="1"/>
  <c r="E1149" i="1"/>
  <c r="D1149" i="1"/>
  <c r="D1148" i="1"/>
  <c r="E1148" i="1" s="1"/>
  <c r="F1148" i="1" s="1"/>
  <c r="G1148" i="1" s="1"/>
  <c r="H1148" i="1" s="1"/>
  <c r="I1148" i="1" s="1"/>
  <c r="J1148" i="1" s="1"/>
  <c r="K1148" i="1" s="1"/>
  <c r="L1148" i="1" s="1"/>
  <c r="M1148" i="1" s="1"/>
  <c r="N1148" i="1" s="1"/>
  <c r="I1170" i="1"/>
  <c r="J1170" i="1" s="1"/>
  <c r="J1173" i="1" s="1"/>
  <c r="J1177" i="1" s="1"/>
  <c r="H1146" i="1"/>
  <c r="G12" i="6" s="1"/>
  <c r="G1146" i="1"/>
  <c r="F1146" i="1"/>
  <c r="E1146" i="1"/>
  <c r="E1162" i="1" s="1"/>
  <c r="F1162" i="1" s="1"/>
  <c r="D1146" i="1"/>
  <c r="D1142" i="1"/>
  <c r="E1142" i="1" s="1"/>
  <c r="F1142" i="1" s="1"/>
  <c r="G1142" i="1" s="1"/>
  <c r="H1142" i="1" s="1"/>
  <c r="I1142" i="1" s="1"/>
  <c r="J1142" i="1" s="1"/>
  <c r="K1142" i="1" s="1"/>
  <c r="L1142" i="1" s="1"/>
  <c r="M1142" i="1" s="1"/>
  <c r="N1142" i="1" s="1"/>
  <c r="J37" i="8" l="1"/>
  <c r="I37" i="8"/>
  <c r="J728" i="1"/>
  <c r="F1151" i="1"/>
  <c r="F1177" i="1" s="1"/>
  <c r="E45" i="8" s="1"/>
  <c r="E1193" i="1"/>
  <c r="E1219" i="1" s="1"/>
  <c r="D46" i="8" s="1"/>
  <c r="G1193" i="1"/>
  <c r="G1219" i="1" s="1"/>
  <c r="F46" i="8" s="1"/>
  <c r="H1193" i="1"/>
  <c r="D1151" i="1"/>
  <c r="D1177" i="1" s="1"/>
  <c r="C45" i="8" s="1"/>
  <c r="G1151" i="1"/>
  <c r="G1177" i="1" s="1"/>
  <c r="F45" i="8" s="1"/>
  <c r="D1193" i="1"/>
  <c r="D1219" i="1" s="1"/>
  <c r="C46" i="8" s="1"/>
  <c r="E1151" i="1"/>
  <c r="E1177" i="1" s="1"/>
  <c r="D45" i="8" s="1"/>
  <c r="F1193" i="1"/>
  <c r="F1219" i="1" s="1"/>
  <c r="E46" i="8" s="1"/>
  <c r="I1215" i="1"/>
  <c r="I1193" i="1"/>
  <c r="H1215" i="1"/>
  <c r="I1208" i="1"/>
  <c r="E1204" i="1"/>
  <c r="F1204" i="1" s="1"/>
  <c r="I1151" i="1"/>
  <c r="I1173" i="1"/>
  <c r="H1151" i="1"/>
  <c r="G1166" i="1"/>
  <c r="H1166" i="1" s="1"/>
  <c r="F1164" i="1"/>
  <c r="G1164" i="1" s="1"/>
  <c r="J732" i="1" l="1"/>
  <c r="I35" i="8" s="1"/>
  <c r="J45" i="8"/>
  <c r="J46" i="8"/>
  <c r="I46" i="8"/>
  <c r="J35" i="8"/>
  <c r="I45" i="8"/>
  <c r="H1219" i="1"/>
  <c r="G46" i="8" s="1"/>
  <c r="I1219" i="1"/>
  <c r="H46" i="8" s="1"/>
  <c r="I1177" i="1"/>
  <c r="H45" i="8" s="1"/>
  <c r="H1173" i="1"/>
  <c r="H1177" i="1" s="1"/>
  <c r="G45" i="8" s="1"/>
  <c r="I1166" i="1"/>
  <c r="F1065" i="1" l="1"/>
  <c r="G1065" i="1"/>
  <c r="H1065" i="1"/>
  <c r="I1065" i="1"/>
  <c r="F1066" i="1"/>
  <c r="G1066" i="1"/>
  <c r="H1066" i="1"/>
  <c r="I1066" i="1"/>
  <c r="D1131" i="1"/>
  <c r="G1104" i="1"/>
  <c r="G1124" i="1" s="1"/>
  <c r="H1124" i="1" s="1"/>
  <c r="I1124" i="1" s="1"/>
  <c r="H1126" i="1"/>
  <c r="I1126" i="1" s="1"/>
  <c r="I1104" i="1"/>
  <c r="I1128" i="1" s="1"/>
  <c r="J1128" i="1" s="1"/>
  <c r="J1131" i="1" s="1"/>
  <c r="J1135" i="1" s="1"/>
  <c r="G1115" i="1"/>
  <c r="H1115" i="1"/>
  <c r="I1115" i="1"/>
  <c r="I1020" i="1"/>
  <c r="I1044" i="1" s="1"/>
  <c r="J1044" i="1" s="1"/>
  <c r="G1089" i="1"/>
  <c r="F1089" i="1"/>
  <c r="E1089" i="1"/>
  <c r="D1089" i="1"/>
  <c r="G1062" i="1"/>
  <c r="G1082" i="1" s="1"/>
  <c r="H1082" i="1" s="1"/>
  <c r="H1084" i="1"/>
  <c r="I1084" i="1" s="1"/>
  <c r="I1062" i="1"/>
  <c r="I1086" i="1" s="1"/>
  <c r="J1086" i="1" s="1"/>
  <c r="G1073" i="1"/>
  <c r="H1073" i="1"/>
  <c r="I1073" i="1"/>
  <c r="G1005" i="1"/>
  <c r="F1005" i="1"/>
  <c r="E1005" i="1"/>
  <c r="D1005" i="1"/>
  <c r="G1020" i="1"/>
  <c r="G1040" i="1" s="1"/>
  <c r="H1040" i="1" s="1"/>
  <c r="H1042" i="1"/>
  <c r="I1042" i="1" s="1"/>
  <c r="G1031" i="1"/>
  <c r="H1031" i="1"/>
  <c r="I1031" i="1"/>
  <c r="D1020" i="1"/>
  <c r="E1020" i="1"/>
  <c r="E1036" i="1" s="1"/>
  <c r="F1036" i="1" s="1"/>
  <c r="F1020" i="1"/>
  <c r="F1038" i="1" s="1"/>
  <c r="G1038" i="1" s="1"/>
  <c r="D1022" i="1"/>
  <c r="E1022" i="1" s="1"/>
  <c r="F1022" i="1" s="1"/>
  <c r="G1022" i="1" s="1"/>
  <c r="H1022" i="1" s="1"/>
  <c r="I1022" i="1" s="1"/>
  <c r="J1022" i="1" s="1"/>
  <c r="K1022" i="1" s="1"/>
  <c r="L1022" i="1" s="1"/>
  <c r="M1022" i="1" s="1"/>
  <c r="N1022" i="1" s="1"/>
  <c r="D1023" i="1"/>
  <c r="E1023" i="1"/>
  <c r="D1024" i="1"/>
  <c r="E1024" i="1"/>
  <c r="D1027" i="1"/>
  <c r="E1027" i="1" s="1"/>
  <c r="F1027" i="1" s="1"/>
  <c r="G1027" i="1" s="1"/>
  <c r="H1027" i="1" s="1"/>
  <c r="I1027" i="1" s="1"/>
  <c r="J1027" i="1" s="1"/>
  <c r="K1027" i="1" s="1"/>
  <c r="L1027" i="1" s="1"/>
  <c r="M1027" i="1" s="1"/>
  <c r="N1027" i="1" s="1"/>
  <c r="D1031" i="1"/>
  <c r="E1031" i="1"/>
  <c r="F1031" i="1"/>
  <c r="D1033" i="1"/>
  <c r="E1033" i="1" s="1"/>
  <c r="F1033" i="1" s="1"/>
  <c r="G1033" i="1" s="1"/>
  <c r="H1033" i="1" s="1"/>
  <c r="I1033" i="1" s="1"/>
  <c r="J1033" i="1" s="1"/>
  <c r="K1033" i="1" s="1"/>
  <c r="L1033" i="1" s="1"/>
  <c r="M1033" i="1" s="1"/>
  <c r="N1033" i="1" s="1"/>
  <c r="G963" i="1"/>
  <c r="I938" i="1"/>
  <c r="H12" i="6" s="1"/>
  <c r="H17" i="6"/>
  <c r="H18" i="6"/>
  <c r="H19" i="6"/>
  <c r="C932" i="1"/>
  <c r="F963" i="1"/>
  <c r="C890" i="1"/>
  <c r="B893" i="1" s="1"/>
  <c r="D892" i="1"/>
  <c r="E892" i="1" s="1"/>
  <c r="F892" i="1" s="1"/>
  <c r="G892" i="1" s="1"/>
  <c r="H892" i="1" s="1"/>
  <c r="I892" i="1" s="1"/>
  <c r="J892" i="1" s="1"/>
  <c r="K892" i="1" s="1"/>
  <c r="E912" i="1"/>
  <c r="F912" i="1" s="1"/>
  <c r="F914" i="1"/>
  <c r="G914" i="1" s="1"/>
  <c r="H918" i="1"/>
  <c r="D898" i="1"/>
  <c r="E898" i="1" s="1"/>
  <c r="F898" i="1" s="1"/>
  <c r="G898" i="1" s="1"/>
  <c r="H898" i="1" s="1"/>
  <c r="I898" i="1" s="1"/>
  <c r="J898" i="1" s="1"/>
  <c r="D899" i="1"/>
  <c r="E899" i="1"/>
  <c r="F899" i="1"/>
  <c r="G899" i="1"/>
  <c r="H899" i="1"/>
  <c r="D900" i="1"/>
  <c r="E900" i="1"/>
  <c r="F900" i="1"/>
  <c r="G900" i="1"/>
  <c r="H900" i="1"/>
  <c r="I900" i="1"/>
  <c r="D903" i="1"/>
  <c r="E903" i="1" s="1"/>
  <c r="F903" i="1" s="1"/>
  <c r="G903" i="1" s="1"/>
  <c r="H903" i="1" s="1"/>
  <c r="I903" i="1" s="1"/>
  <c r="J903" i="1" s="1"/>
  <c r="D907" i="1"/>
  <c r="E907" i="1"/>
  <c r="F907" i="1"/>
  <c r="G907" i="1"/>
  <c r="H907" i="1"/>
  <c r="I907" i="1"/>
  <c r="D909" i="1"/>
  <c r="E909" i="1" s="1"/>
  <c r="F909" i="1" s="1"/>
  <c r="G909" i="1" s="1"/>
  <c r="H909" i="1" s="1"/>
  <c r="I909" i="1" s="1"/>
  <c r="J909" i="1" s="1"/>
  <c r="E910" i="1"/>
  <c r="D911" i="1"/>
  <c r="E913" i="1"/>
  <c r="F915" i="1"/>
  <c r="H916" i="1"/>
  <c r="D923" i="1"/>
  <c r="E923" i="1"/>
  <c r="F923" i="1"/>
  <c r="G923" i="1"/>
  <c r="K903" i="1" l="1"/>
  <c r="K909" i="1"/>
  <c r="K898" i="1"/>
  <c r="L892" i="1"/>
  <c r="K1044" i="1"/>
  <c r="M1044" i="1" s="1"/>
  <c r="M1047" i="1" s="1"/>
  <c r="M1051" i="1" s="1"/>
  <c r="L42" i="8" s="1"/>
  <c r="J1047" i="1"/>
  <c r="J1051" i="1" s="1"/>
  <c r="I42" i="8" s="1"/>
  <c r="K1086" i="1"/>
  <c r="J1089" i="1"/>
  <c r="J1093" i="1" s="1"/>
  <c r="G1047" i="1"/>
  <c r="J44" i="8"/>
  <c r="I44" i="8"/>
  <c r="I1047" i="1"/>
  <c r="I962" i="1"/>
  <c r="F1047" i="1"/>
  <c r="H1047" i="1"/>
  <c r="I39" i="8"/>
  <c r="H1067" i="1"/>
  <c r="G1109" i="1"/>
  <c r="I1109" i="1"/>
  <c r="H1109" i="1"/>
  <c r="G1067" i="1"/>
  <c r="G1093" i="1" s="1"/>
  <c r="F43" i="8" s="1"/>
  <c r="E1025" i="1"/>
  <c r="E1051" i="1" s="1"/>
  <c r="D42" i="8" s="1"/>
  <c r="G1131" i="1"/>
  <c r="I1089" i="1"/>
  <c r="H1089" i="1"/>
  <c r="G1025" i="1"/>
  <c r="I1067" i="1"/>
  <c r="F901" i="1"/>
  <c r="F927" i="1" s="1"/>
  <c r="E39" i="8" s="1"/>
  <c r="I1025" i="1"/>
  <c r="H1025" i="1"/>
  <c r="I918" i="1"/>
  <c r="H923" i="1"/>
  <c r="D1025" i="1"/>
  <c r="D1051" i="1" s="1"/>
  <c r="C42" i="8" s="1"/>
  <c r="I901" i="1"/>
  <c r="E901" i="1"/>
  <c r="E927" i="1" s="1"/>
  <c r="D39" i="8" s="1"/>
  <c r="G901" i="1"/>
  <c r="G927" i="1" s="1"/>
  <c r="F39" i="8" s="1"/>
  <c r="F1025" i="1"/>
  <c r="H901" i="1"/>
  <c r="D901" i="1"/>
  <c r="D927" i="1" s="1"/>
  <c r="C39" i="8" s="1"/>
  <c r="M892" i="1" l="1"/>
  <c r="L909" i="1"/>
  <c r="L903" i="1"/>
  <c r="L898" i="1"/>
  <c r="L1086" i="1"/>
  <c r="N1086" i="1" s="1"/>
  <c r="M1086" i="1"/>
  <c r="K1047" i="1"/>
  <c r="K1051" i="1" s="1"/>
  <c r="J42" i="8" s="1"/>
  <c r="L1044" i="1"/>
  <c r="G1051" i="1"/>
  <c r="F42" i="8" s="1"/>
  <c r="I1051" i="1"/>
  <c r="H42" i="8" s="1"/>
  <c r="J43" i="8"/>
  <c r="I43" i="8"/>
  <c r="F1051" i="1"/>
  <c r="E42" i="8" s="1"/>
  <c r="J40" i="8"/>
  <c r="H1051" i="1"/>
  <c r="G42" i="8" s="1"/>
  <c r="I40" i="8"/>
  <c r="I923" i="1"/>
  <c r="I927" i="1" s="1"/>
  <c r="H39" i="8" s="1"/>
  <c r="I1093" i="1"/>
  <c r="H43" i="8" s="1"/>
  <c r="I1131" i="1"/>
  <c r="G1135" i="1"/>
  <c r="F44" i="8" s="1"/>
  <c r="H1131" i="1"/>
  <c r="H1135" i="1" s="1"/>
  <c r="G44" i="8" s="1"/>
  <c r="H1093" i="1"/>
  <c r="G43" i="8" s="1"/>
  <c r="H927" i="1"/>
  <c r="G39" i="8" s="1"/>
  <c r="J615" i="1"/>
  <c r="I608" i="1"/>
  <c r="I609" i="1" s="1"/>
  <c r="J609" i="1"/>
  <c r="D728" i="1"/>
  <c r="E728" i="1"/>
  <c r="G635" i="1"/>
  <c r="F635" i="1"/>
  <c r="D635" i="1"/>
  <c r="H589" i="1"/>
  <c r="G589" i="1"/>
  <c r="F589" i="1"/>
  <c r="D589" i="1"/>
  <c r="G533" i="1"/>
  <c r="H532" i="1"/>
  <c r="H543" i="1" s="1"/>
  <c r="F531" i="1"/>
  <c r="G530" i="1"/>
  <c r="G543" i="1" s="1"/>
  <c r="E529" i="1"/>
  <c r="F528" i="1"/>
  <c r="F543" i="1" s="1"/>
  <c r="D527" i="1"/>
  <c r="D543" i="1" s="1"/>
  <c r="E526" i="1"/>
  <c r="J563" i="1"/>
  <c r="J593" i="1" s="1"/>
  <c r="I442" i="1"/>
  <c r="H443" i="1"/>
  <c r="J650" i="1"/>
  <c r="J216" i="1"/>
  <c r="J245" i="1" s="1"/>
  <c r="J165" i="1"/>
  <c r="D106" i="1"/>
  <c r="J114" i="1"/>
  <c r="J63" i="1"/>
  <c r="J55" i="1"/>
  <c r="J56" i="1"/>
  <c r="H75" i="1"/>
  <c r="G73" i="1"/>
  <c r="J681" i="1" l="1"/>
  <c r="I12" i="6"/>
  <c r="N892" i="1"/>
  <c r="M909" i="1"/>
  <c r="M903" i="1"/>
  <c r="M898" i="1"/>
  <c r="N1044" i="1"/>
  <c r="N1047" i="1" s="1"/>
  <c r="N1051" i="1" s="1"/>
  <c r="M42" i="8" s="1"/>
  <c r="L1047" i="1"/>
  <c r="L1051" i="1" s="1"/>
  <c r="K42" i="8" s="1"/>
  <c r="J639" i="1"/>
  <c r="I34" i="8"/>
  <c r="I1135" i="1"/>
  <c r="H44" i="8" s="1"/>
  <c r="I32" i="8"/>
  <c r="J159" i="1"/>
  <c r="J194" i="1" s="1"/>
  <c r="J261" i="1"/>
  <c r="E543" i="1"/>
  <c r="E589" i="1"/>
  <c r="E635" i="1"/>
  <c r="J108" i="1"/>
  <c r="J143" i="1" s="1"/>
  <c r="J57" i="1"/>
  <c r="I589" i="1"/>
  <c r="B962" i="1"/>
  <c r="B961" i="1"/>
  <c r="B76" i="1"/>
  <c r="B75" i="1"/>
  <c r="A33" i="6"/>
  <c r="A32" i="6"/>
  <c r="J92" i="1" l="1"/>
  <c r="I21" i="8" s="1"/>
  <c r="J13" i="6"/>
  <c r="J14" i="6" s="1"/>
  <c r="J49" i="6" s="1"/>
  <c r="N898" i="1"/>
  <c r="N909" i="1"/>
  <c r="N903" i="1"/>
  <c r="I22" i="8"/>
  <c r="I9" i="6"/>
  <c r="I17" i="6"/>
  <c r="I18" i="6"/>
  <c r="I19" i="6"/>
  <c r="I20" i="6" l="1"/>
  <c r="H1000" i="1" l="1"/>
  <c r="I1000" i="1" s="1"/>
  <c r="I1002" i="1" l="1"/>
  <c r="G830" i="1"/>
  <c r="D830" i="1"/>
  <c r="J1002" i="1" l="1"/>
  <c r="J1005" i="1" s="1"/>
  <c r="J1009" i="1" s="1"/>
  <c r="J41" i="8"/>
  <c r="I1005" i="1"/>
  <c r="B960" i="1"/>
  <c r="B959" i="1"/>
  <c r="B958" i="1"/>
  <c r="F957" i="1"/>
  <c r="B957" i="1"/>
  <c r="B956" i="1"/>
  <c r="E955" i="1"/>
  <c r="B955" i="1"/>
  <c r="B954" i="1"/>
  <c r="D953" i="1"/>
  <c r="B953" i="1"/>
  <c r="E952" i="1"/>
  <c r="B952" i="1"/>
  <c r="G978" i="1"/>
  <c r="G998" i="1" s="1"/>
  <c r="H998" i="1" s="1"/>
  <c r="G989" i="1"/>
  <c r="H989" i="1"/>
  <c r="I989" i="1"/>
  <c r="G938" i="1"/>
  <c r="G958" i="1" s="1"/>
  <c r="H958" i="1" s="1"/>
  <c r="I958" i="1" s="1"/>
  <c r="G941" i="1"/>
  <c r="H941" i="1"/>
  <c r="I941" i="1"/>
  <c r="G942" i="1"/>
  <c r="H942" i="1"/>
  <c r="I942" i="1"/>
  <c r="G949" i="1"/>
  <c r="H949" i="1"/>
  <c r="I949" i="1"/>
  <c r="F830" i="1"/>
  <c r="E830" i="1"/>
  <c r="E779" i="1"/>
  <c r="D779" i="1"/>
  <c r="I41" i="8" l="1"/>
  <c r="I943" i="1"/>
  <c r="I960" i="1"/>
  <c r="H963" i="1"/>
  <c r="I983" i="1"/>
  <c r="H943" i="1"/>
  <c r="H983" i="1"/>
  <c r="G983" i="1"/>
  <c r="G1009" i="1" s="1"/>
  <c r="F41" i="8" s="1"/>
  <c r="G943" i="1"/>
  <c r="G967" i="1" s="1"/>
  <c r="F40" i="8" s="1"/>
  <c r="H967" i="1" l="1"/>
  <c r="G40" i="8" s="1"/>
  <c r="I1009" i="1"/>
  <c r="H41" i="8" s="1"/>
  <c r="H1005" i="1"/>
  <c r="H1009" i="1" s="1"/>
  <c r="G41" i="8" s="1"/>
  <c r="I963" i="1"/>
  <c r="I967" i="1" s="1"/>
  <c r="H40" i="8" s="1"/>
  <c r="G848" i="1" l="1"/>
  <c r="H848" i="1"/>
  <c r="I848" i="1"/>
  <c r="G849" i="1"/>
  <c r="H849" i="1"/>
  <c r="I849" i="1"/>
  <c r="G856" i="1"/>
  <c r="H856" i="1"/>
  <c r="I856" i="1"/>
  <c r="H830" i="1"/>
  <c r="I797" i="1"/>
  <c r="I798" i="1"/>
  <c r="G805" i="1"/>
  <c r="H805" i="1"/>
  <c r="I805" i="1"/>
  <c r="G746" i="1"/>
  <c r="H746" i="1"/>
  <c r="I746" i="1"/>
  <c r="G747" i="1"/>
  <c r="H747" i="1"/>
  <c r="I747" i="1"/>
  <c r="G754" i="1"/>
  <c r="H754" i="1"/>
  <c r="I754" i="1"/>
  <c r="I36" i="8" l="1"/>
  <c r="J38" i="8"/>
  <c r="I881" i="1"/>
  <c r="H881" i="1"/>
  <c r="I728" i="1"/>
  <c r="I799" i="1"/>
  <c r="I850" i="1"/>
  <c r="H728" i="1"/>
  <c r="G799" i="1"/>
  <c r="G850" i="1"/>
  <c r="H850" i="1"/>
  <c r="H748" i="1"/>
  <c r="H783" i="1" s="1"/>
  <c r="G36" i="8" s="1"/>
  <c r="I748" i="1"/>
  <c r="G748" i="1"/>
  <c r="G881" i="1"/>
  <c r="H799" i="1"/>
  <c r="I834" i="1" l="1"/>
  <c r="H37" i="8" s="1"/>
  <c r="I38" i="8"/>
  <c r="I885" i="1"/>
  <c r="H38" i="8" s="1"/>
  <c r="H834" i="1"/>
  <c r="G37" i="8" s="1"/>
  <c r="I783" i="1"/>
  <c r="H36" i="8" s="1"/>
  <c r="G885" i="1"/>
  <c r="F38" i="8" s="1"/>
  <c r="H885" i="1"/>
  <c r="G38" i="8" s="1"/>
  <c r="B672" i="1" l="1"/>
  <c r="B671" i="1"/>
  <c r="I366" i="1"/>
  <c r="H364" i="1"/>
  <c r="B404" i="1"/>
  <c r="B403" i="1"/>
  <c r="B322" i="1"/>
  <c r="B321" i="1"/>
  <c r="B278" i="1"/>
  <c r="B277" i="1"/>
  <c r="G487" i="1"/>
  <c r="G441" i="1"/>
  <c r="B365" i="1"/>
  <c r="G365" i="1"/>
  <c r="B366" i="1"/>
  <c r="G703" i="1" l="1"/>
  <c r="H703" i="1"/>
  <c r="I703" i="1"/>
  <c r="G695" i="1"/>
  <c r="H695" i="1"/>
  <c r="I695" i="1"/>
  <c r="G696" i="1"/>
  <c r="H696" i="1"/>
  <c r="I696" i="1"/>
  <c r="G697" i="1" l="1"/>
  <c r="I697" i="1"/>
  <c r="I732" i="1" s="1"/>
  <c r="H35" i="8" s="1"/>
  <c r="H697" i="1"/>
  <c r="H732" i="1" l="1"/>
  <c r="G35" i="8" s="1"/>
  <c r="B670" i="1"/>
  <c r="H367" i="1" l="1"/>
  <c r="G347" i="1"/>
  <c r="H347" i="1"/>
  <c r="I347" i="1"/>
  <c r="G348" i="1"/>
  <c r="H348" i="1"/>
  <c r="I348" i="1"/>
  <c r="G303" i="1"/>
  <c r="H303" i="1"/>
  <c r="I303" i="1"/>
  <c r="G304" i="1"/>
  <c r="H304" i="1"/>
  <c r="I304" i="1"/>
  <c r="G259" i="1"/>
  <c r="H259" i="1"/>
  <c r="I259" i="1"/>
  <c r="G260" i="1"/>
  <c r="H260" i="1"/>
  <c r="I260" i="1"/>
  <c r="G208" i="1"/>
  <c r="H208" i="1"/>
  <c r="I208" i="1"/>
  <c r="G209" i="1"/>
  <c r="H209" i="1"/>
  <c r="I209" i="1"/>
  <c r="G157" i="1"/>
  <c r="H157" i="1"/>
  <c r="I157" i="1"/>
  <c r="G158" i="1"/>
  <c r="H158" i="1"/>
  <c r="I158" i="1"/>
  <c r="G106" i="1"/>
  <c r="H106" i="1"/>
  <c r="I106" i="1"/>
  <c r="G107" i="1"/>
  <c r="H107" i="1"/>
  <c r="I107" i="1"/>
  <c r="G55" i="1"/>
  <c r="H55" i="1"/>
  <c r="I55" i="1"/>
  <c r="G56" i="1"/>
  <c r="H56" i="1"/>
  <c r="I56" i="1"/>
  <c r="B74" i="1"/>
  <c r="B73" i="1"/>
  <c r="A31" i="6"/>
  <c r="A30" i="6"/>
  <c r="I57" i="1" l="1"/>
  <c r="G108" i="1"/>
  <c r="I108" i="1"/>
  <c r="H108" i="1"/>
  <c r="I63" i="1" l="1"/>
  <c r="I114" i="1"/>
  <c r="I143" i="1" s="1"/>
  <c r="I159" i="1"/>
  <c r="I165" i="1"/>
  <c r="I210" i="1"/>
  <c r="I216" i="1"/>
  <c r="I261" i="1"/>
  <c r="I267" i="1"/>
  <c r="I324" i="1"/>
  <c r="J324" i="1" s="1"/>
  <c r="J329" i="1" s="1"/>
  <c r="J333" i="1" s="1"/>
  <c r="I305" i="1"/>
  <c r="I311" i="1"/>
  <c r="I349" i="1"/>
  <c r="I355" i="1"/>
  <c r="I386" i="1"/>
  <c r="I387" i="1" s="1"/>
  <c r="I393" i="1"/>
  <c r="I424" i="1"/>
  <c r="I425" i="1" s="1"/>
  <c r="I431" i="1"/>
  <c r="I470" i="1"/>
  <c r="I471" i="1" s="1"/>
  <c r="I477" i="1"/>
  <c r="I516" i="1"/>
  <c r="I517" i="1" s="1"/>
  <c r="I523" i="1"/>
  <c r="I562" i="1"/>
  <c r="I563" i="1" s="1"/>
  <c r="I569" i="1"/>
  <c r="I615" i="1"/>
  <c r="I654" i="1"/>
  <c r="I655" i="1" s="1"/>
  <c r="I661" i="1"/>
  <c r="H9" i="6"/>
  <c r="I13" i="6" l="1"/>
  <c r="I14" i="6" s="1"/>
  <c r="I593" i="1"/>
  <c r="H32" i="8" s="1"/>
  <c r="I280" i="1"/>
  <c r="I33" i="8"/>
  <c r="J23" i="8"/>
  <c r="H20" i="6"/>
  <c r="J280" i="1" l="1"/>
  <c r="I24" i="8"/>
  <c r="I23" i="8"/>
  <c r="J26" i="8"/>
  <c r="I74" i="1"/>
  <c r="A29" i="6"/>
  <c r="A28" i="6"/>
  <c r="I88" i="1" l="1"/>
  <c r="J285" i="1"/>
  <c r="J289" i="1" s="1"/>
  <c r="I25" i="8" s="1"/>
  <c r="I33" i="6"/>
  <c r="I44" i="6" s="1"/>
  <c r="I49" i="6" s="1"/>
  <c r="I26" i="8"/>
  <c r="I92" i="1"/>
  <c r="H21" i="8" s="1"/>
  <c r="D663" i="1"/>
  <c r="E663" i="1" s="1"/>
  <c r="F663" i="1" s="1"/>
  <c r="G663" i="1" s="1"/>
  <c r="H663" i="1" s="1"/>
  <c r="I663" i="1" s="1"/>
  <c r="J663" i="1" s="1"/>
  <c r="K663" i="1" s="1"/>
  <c r="L663" i="1" s="1"/>
  <c r="M663" i="1" s="1"/>
  <c r="N663" i="1" s="1"/>
  <c r="B669" i="1"/>
  <c r="B668" i="1"/>
  <c r="B667" i="1"/>
  <c r="B666" i="1"/>
  <c r="B665" i="1"/>
  <c r="B664" i="1"/>
  <c r="H661" i="1"/>
  <c r="G661" i="1"/>
  <c r="F661" i="1"/>
  <c r="E661" i="1"/>
  <c r="D661" i="1"/>
  <c r="D657" i="1"/>
  <c r="E657" i="1" s="1"/>
  <c r="F657" i="1" s="1"/>
  <c r="H654" i="1"/>
  <c r="H655" i="1" s="1"/>
  <c r="G654" i="1"/>
  <c r="G655" i="1" s="1"/>
  <c r="F654" i="1"/>
  <c r="E654" i="1"/>
  <c r="D654" i="1"/>
  <c r="F653" i="1"/>
  <c r="E653" i="1"/>
  <c r="D653" i="1"/>
  <c r="D652" i="1"/>
  <c r="E652" i="1" s="1"/>
  <c r="F652" i="1" s="1"/>
  <c r="G650" i="1"/>
  <c r="F650" i="1"/>
  <c r="E650" i="1"/>
  <c r="D650" i="1"/>
  <c r="D646" i="1"/>
  <c r="E646" i="1" s="1"/>
  <c r="F646" i="1" s="1"/>
  <c r="G646" i="1" s="1"/>
  <c r="G362" i="1"/>
  <c r="F485" i="1"/>
  <c r="E483" i="1"/>
  <c r="F439" i="1"/>
  <c r="E437" i="1"/>
  <c r="B402" i="1"/>
  <c r="F401" i="1"/>
  <c r="B401" i="1"/>
  <c r="B400" i="1"/>
  <c r="E399" i="1"/>
  <c r="B399" i="1"/>
  <c r="B398" i="1"/>
  <c r="B364" i="1"/>
  <c r="F363" i="1"/>
  <c r="B363" i="1"/>
  <c r="B362" i="1"/>
  <c r="E361" i="1"/>
  <c r="B361" i="1"/>
  <c r="F360" i="1"/>
  <c r="F367" i="1" s="1"/>
  <c r="B360" i="1"/>
  <c r="B320" i="1"/>
  <c r="F319" i="1"/>
  <c r="B319" i="1"/>
  <c r="B318" i="1"/>
  <c r="E317" i="1"/>
  <c r="B317" i="1"/>
  <c r="B316" i="1"/>
  <c r="B276" i="1"/>
  <c r="F275" i="1"/>
  <c r="B275" i="1"/>
  <c r="B274" i="1"/>
  <c r="E273" i="1"/>
  <c r="B273" i="1"/>
  <c r="B272" i="1"/>
  <c r="B72" i="1"/>
  <c r="F71" i="1"/>
  <c r="B71" i="1"/>
  <c r="H615" i="1"/>
  <c r="H608" i="1"/>
  <c r="H609" i="1" s="1"/>
  <c r="H569" i="1"/>
  <c r="H562" i="1"/>
  <c r="H563" i="1" s="1"/>
  <c r="H523" i="1"/>
  <c r="H516" i="1"/>
  <c r="H517" i="1" s="1"/>
  <c r="H477" i="1"/>
  <c r="H470" i="1"/>
  <c r="H471" i="1" s="1"/>
  <c r="H431" i="1"/>
  <c r="H424" i="1"/>
  <c r="H425" i="1" s="1"/>
  <c r="H393" i="1"/>
  <c r="H386" i="1"/>
  <c r="H387" i="1" s="1"/>
  <c r="H355" i="1"/>
  <c r="H349" i="1"/>
  <c r="H311" i="1"/>
  <c r="H305" i="1"/>
  <c r="H322" i="1"/>
  <c r="I322" i="1" s="1"/>
  <c r="I329" i="1" s="1"/>
  <c r="I333" i="1" s="1"/>
  <c r="H267" i="1"/>
  <c r="H261" i="1"/>
  <c r="H278" i="1"/>
  <c r="H216" i="1"/>
  <c r="H210" i="1"/>
  <c r="H165" i="1"/>
  <c r="H159" i="1"/>
  <c r="H114" i="1"/>
  <c r="H143" i="1" s="1"/>
  <c r="H63" i="1"/>
  <c r="H57" i="1"/>
  <c r="G9" i="6"/>
  <c r="G17" i="6"/>
  <c r="G18" i="6"/>
  <c r="G19" i="6"/>
  <c r="G46" i="6"/>
  <c r="E666" i="1" l="1"/>
  <c r="F666" i="1" s="1"/>
  <c r="I278" i="1"/>
  <c r="G31" i="6"/>
  <c r="G670" i="1"/>
  <c r="H670" i="1" s="1"/>
  <c r="F12" i="6"/>
  <c r="F668" i="1"/>
  <c r="G668" i="1" s="1"/>
  <c r="H13" i="6"/>
  <c r="H14" i="6" s="1"/>
  <c r="D664" i="1"/>
  <c r="E664" i="1" s="1"/>
  <c r="H672" i="1"/>
  <c r="I672" i="1" s="1"/>
  <c r="I677" i="1" s="1"/>
  <c r="I681" i="1" s="1"/>
  <c r="D677" i="1"/>
  <c r="I245" i="1"/>
  <c r="H24" i="8" s="1"/>
  <c r="H635" i="1"/>
  <c r="E677" i="1"/>
  <c r="G677" i="1"/>
  <c r="G681" i="1" s="1"/>
  <c r="F34" i="8" s="1"/>
  <c r="F677" i="1"/>
  <c r="F655" i="1"/>
  <c r="D655" i="1"/>
  <c r="H646" i="1"/>
  <c r="I646" i="1" s="1"/>
  <c r="J646" i="1" s="1"/>
  <c r="G657" i="1"/>
  <c r="G652" i="1"/>
  <c r="E655" i="1"/>
  <c r="G20" i="6"/>
  <c r="A27" i="6"/>
  <c r="I285" i="1" l="1"/>
  <c r="I289" i="1" s="1"/>
  <c r="H25" i="8" s="1"/>
  <c r="H677" i="1"/>
  <c r="H681" i="1" s="1"/>
  <c r="G34" i="8" s="1"/>
  <c r="D681" i="1"/>
  <c r="C34" i="8" s="1"/>
  <c r="H34" i="8"/>
  <c r="K646" i="1"/>
  <c r="L646" i="1" s="1"/>
  <c r="M646" i="1" s="1"/>
  <c r="N646" i="1" s="1"/>
  <c r="J652" i="1"/>
  <c r="J657" i="1"/>
  <c r="I635" i="1"/>
  <c r="E681" i="1"/>
  <c r="D34" i="8" s="1"/>
  <c r="F681" i="1"/>
  <c r="E34" i="8" s="1"/>
  <c r="I657" i="1"/>
  <c r="I652" i="1"/>
  <c r="H657" i="1"/>
  <c r="H652" i="1"/>
  <c r="G615" i="1"/>
  <c r="G608" i="1"/>
  <c r="G569" i="1"/>
  <c r="G562" i="1"/>
  <c r="G523" i="1"/>
  <c r="G516" i="1"/>
  <c r="G477" i="1"/>
  <c r="G470" i="1"/>
  <c r="H486" i="1"/>
  <c r="G431" i="1"/>
  <c r="G424" i="1"/>
  <c r="H440" i="1"/>
  <c r="H451" i="1" s="1"/>
  <c r="G393" i="1"/>
  <c r="G386" i="1"/>
  <c r="H402" i="1"/>
  <c r="G355" i="1"/>
  <c r="G349" i="1"/>
  <c r="G311" i="1"/>
  <c r="G320" i="1"/>
  <c r="H320" i="1" s="1"/>
  <c r="H329" i="1" s="1"/>
  <c r="G267" i="1"/>
  <c r="G276" i="1"/>
  <c r="H276" i="1" s="1"/>
  <c r="H285" i="1" s="1"/>
  <c r="H289" i="1" s="1"/>
  <c r="G216" i="1"/>
  <c r="G165" i="1"/>
  <c r="G114" i="1"/>
  <c r="G143" i="1" s="1"/>
  <c r="B70" i="1"/>
  <c r="G63" i="1"/>
  <c r="M657" i="1" l="1"/>
  <c r="M652" i="1"/>
  <c r="H22" i="8"/>
  <c r="K652" i="1"/>
  <c r="K657" i="1"/>
  <c r="G72" i="1"/>
  <c r="H405" i="1"/>
  <c r="H409" i="1" s="1"/>
  <c r="G28" i="8" s="1"/>
  <c r="H593" i="1"/>
  <c r="G32" i="8" s="1"/>
  <c r="H547" i="1"/>
  <c r="G31" i="8" s="1"/>
  <c r="H333" i="1"/>
  <c r="G26" i="8" s="1"/>
  <c r="H26" i="8"/>
  <c r="H497" i="1"/>
  <c r="H501" i="1" s="1"/>
  <c r="G30" i="8" s="1"/>
  <c r="I486" i="1"/>
  <c r="I497" i="1" s="1"/>
  <c r="G25" i="8"/>
  <c r="H455" i="1"/>
  <c r="G29" i="8" s="1"/>
  <c r="G367" i="1"/>
  <c r="G371" i="1" s="1"/>
  <c r="F27" i="8" s="1"/>
  <c r="G425" i="1"/>
  <c r="G517" i="1"/>
  <c r="G210" i="1"/>
  <c r="G563" i="1"/>
  <c r="G305" i="1"/>
  <c r="G261" i="1"/>
  <c r="G159" i="1"/>
  <c r="G609" i="1"/>
  <c r="G471" i="1"/>
  <c r="G387" i="1"/>
  <c r="G57" i="1"/>
  <c r="H72" i="1" l="1"/>
  <c r="F29" i="6"/>
  <c r="G13" i="6"/>
  <c r="G14" i="6" s="1"/>
  <c r="N652" i="1"/>
  <c r="N657" i="1"/>
  <c r="I501" i="1"/>
  <c r="H30" i="8" s="1"/>
  <c r="L652" i="1"/>
  <c r="L657" i="1"/>
  <c r="I409" i="1"/>
  <c r="H28" i="8" s="1"/>
  <c r="I194" i="1"/>
  <c r="H23" i="8" s="1"/>
  <c r="H371" i="1"/>
  <c r="G27" i="8" s="1"/>
  <c r="I367" i="1"/>
  <c r="I371" i="1" s="1"/>
  <c r="I639" i="1"/>
  <c r="H33" i="8" s="1"/>
  <c r="B21" i="8"/>
  <c r="A21" i="8"/>
  <c r="F46" i="6"/>
  <c r="E46" i="6"/>
  <c r="D46" i="6"/>
  <c r="A26" i="6"/>
  <c r="A25" i="6"/>
  <c r="A24" i="6"/>
  <c r="A23" i="6"/>
  <c r="B397" i="1"/>
  <c r="B396" i="1"/>
  <c r="B359" i="1"/>
  <c r="B358" i="1"/>
  <c r="B315" i="1"/>
  <c r="B314" i="1"/>
  <c r="B271" i="1"/>
  <c r="B270" i="1"/>
  <c r="E1272" i="1"/>
  <c r="E1288" i="1" s="1"/>
  <c r="F1288" i="1" s="1"/>
  <c r="D1272" i="1"/>
  <c r="F1104" i="1"/>
  <c r="F1122" i="1" s="1"/>
  <c r="G1122" i="1" s="1"/>
  <c r="E1104" i="1"/>
  <c r="E1120" i="1" s="1"/>
  <c r="F1120" i="1" s="1"/>
  <c r="D1104" i="1"/>
  <c r="F1062" i="1"/>
  <c r="F1080" i="1" s="1"/>
  <c r="G1080" i="1" s="1"/>
  <c r="E1062" i="1"/>
  <c r="E1078" i="1" s="1"/>
  <c r="F1078" i="1" s="1"/>
  <c r="D1062" i="1"/>
  <c r="F978" i="1"/>
  <c r="F996" i="1" s="1"/>
  <c r="G996" i="1" s="1"/>
  <c r="E978" i="1"/>
  <c r="E994" i="1" s="1"/>
  <c r="F994" i="1" s="1"/>
  <c r="D978" i="1"/>
  <c r="F938" i="1"/>
  <c r="E938" i="1"/>
  <c r="D938" i="1"/>
  <c r="G834" i="1"/>
  <c r="F37" i="8" s="1"/>
  <c r="G779" i="1"/>
  <c r="G783" i="1" s="1"/>
  <c r="F36" i="8" s="1"/>
  <c r="G593" i="1"/>
  <c r="F32" i="8" s="1"/>
  <c r="G547" i="1"/>
  <c r="F31" i="8" s="1"/>
  <c r="G484" i="1"/>
  <c r="G497" i="1" s="1"/>
  <c r="G501" i="1" s="1"/>
  <c r="F30" i="8" s="1"/>
  <c r="G438" i="1"/>
  <c r="G451" i="1" s="1"/>
  <c r="G455" i="1" s="1"/>
  <c r="F29" i="8" s="1"/>
  <c r="G400" i="1"/>
  <c r="G405" i="1" s="1"/>
  <c r="G409" i="1" s="1"/>
  <c r="F28" i="8" s="1"/>
  <c r="G318" i="1"/>
  <c r="G329" i="1" s="1"/>
  <c r="G333" i="1" s="1"/>
  <c r="F26" i="8" s="1"/>
  <c r="D314" i="1"/>
  <c r="E314" i="1" s="1"/>
  <c r="F274" i="1"/>
  <c r="G274" i="1" s="1"/>
  <c r="G285" i="1" s="1"/>
  <c r="G289" i="1" s="1"/>
  <c r="E272" i="1"/>
  <c r="F272" i="1" s="1"/>
  <c r="D270" i="1"/>
  <c r="E270" i="1" s="1"/>
  <c r="D66" i="1"/>
  <c r="F19" i="6"/>
  <c r="E19" i="6"/>
  <c r="D19" i="6"/>
  <c r="A20" i="6"/>
  <c r="A19" i="6"/>
  <c r="E1283" i="1"/>
  <c r="D1283" i="1"/>
  <c r="F1115" i="1"/>
  <c r="E1115" i="1"/>
  <c r="D1115" i="1"/>
  <c r="F1073" i="1"/>
  <c r="E1073" i="1"/>
  <c r="D1073" i="1"/>
  <c r="F989" i="1"/>
  <c r="E989" i="1"/>
  <c r="D989" i="1"/>
  <c r="F949" i="1"/>
  <c r="E949" i="1"/>
  <c r="D949" i="1"/>
  <c r="F856" i="1"/>
  <c r="E856" i="1"/>
  <c r="D856" i="1"/>
  <c r="F805" i="1"/>
  <c r="E805" i="1"/>
  <c r="D805" i="1"/>
  <c r="F754" i="1"/>
  <c r="E754" i="1"/>
  <c r="D754" i="1"/>
  <c r="F703" i="1"/>
  <c r="E703" i="1"/>
  <c r="D703" i="1"/>
  <c r="F615" i="1"/>
  <c r="E615" i="1"/>
  <c r="D615" i="1"/>
  <c r="F569" i="1"/>
  <c r="E569" i="1"/>
  <c r="D569" i="1"/>
  <c r="F523" i="1"/>
  <c r="E523" i="1"/>
  <c r="D523" i="1"/>
  <c r="F477" i="1"/>
  <c r="E477" i="1"/>
  <c r="D477" i="1"/>
  <c r="F431" i="1"/>
  <c r="E431" i="1"/>
  <c r="D431" i="1"/>
  <c r="F393" i="1"/>
  <c r="E393" i="1"/>
  <c r="D393" i="1"/>
  <c r="F355" i="1"/>
  <c r="E355" i="1"/>
  <c r="D355" i="1"/>
  <c r="F311" i="1"/>
  <c r="E311" i="1"/>
  <c r="D311" i="1"/>
  <c r="F267" i="1"/>
  <c r="E267" i="1"/>
  <c r="D267" i="1"/>
  <c r="F216" i="1"/>
  <c r="E216" i="1"/>
  <c r="D216" i="1"/>
  <c r="F165" i="1"/>
  <c r="E165" i="1"/>
  <c r="D165" i="1"/>
  <c r="F114" i="1"/>
  <c r="E114" i="1"/>
  <c r="D114" i="1"/>
  <c r="F63" i="1"/>
  <c r="E63" i="1"/>
  <c r="D63" i="1"/>
  <c r="B1352" i="1"/>
  <c r="B1311" i="1"/>
  <c r="B1269" i="1"/>
  <c r="B1227" i="1"/>
  <c r="B1185" i="1"/>
  <c r="B1143" i="1"/>
  <c r="C1098" i="1"/>
  <c r="B1101" i="1" s="1"/>
  <c r="C1056" i="1"/>
  <c r="B1059" i="1" s="1"/>
  <c r="C1014" i="1"/>
  <c r="B1017" i="1" s="1"/>
  <c r="C972" i="1"/>
  <c r="B975" i="1" s="1"/>
  <c r="B935" i="1"/>
  <c r="C839" i="1"/>
  <c r="B842" i="1" s="1"/>
  <c r="C788" i="1"/>
  <c r="B791" i="1" s="1"/>
  <c r="C737" i="1"/>
  <c r="B740" i="1" s="1"/>
  <c r="C686" i="1"/>
  <c r="B689" i="1" s="1"/>
  <c r="B647" i="1"/>
  <c r="C598" i="1"/>
  <c r="B601" i="1" s="1"/>
  <c r="C552" i="1"/>
  <c r="B555" i="1" s="1"/>
  <c r="C506" i="1"/>
  <c r="B509" i="1" s="1"/>
  <c r="C460" i="1"/>
  <c r="B463" i="1" s="1"/>
  <c r="C414" i="1"/>
  <c r="B417" i="1" s="1"/>
  <c r="C376" i="1"/>
  <c r="B379" i="1" s="1"/>
  <c r="C338" i="1"/>
  <c r="B341" i="1" s="1"/>
  <c r="C294" i="1"/>
  <c r="B297" i="1" s="1"/>
  <c r="C250" i="1"/>
  <c r="B253" i="1" s="1"/>
  <c r="C199" i="1"/>
  <c r="B202" i="1" s="1"/>
  <c r="C148" i="1"/>
  <c r="B151" i="1" s="1"/>
  <c r="C97" i="1"/>
  <c r="B100" i="1" s="1"/>
  <c r="E69" i="1"/>
  <c r="F881" i="1"/>
  <c r="D67" i="1"/>
  <c r="D271" i="1"/>
  <c r="D315" i="1"/>
  <c r="D359" i="1"/>
  <c r="D367" i="1" s="1"/>
  <c r="D397" i="1"/>
  <c r="D405" i="1" s="1"/>
  <c r="D435" i="1"/>
  <c r="D451" i="1" s="1"/>
  <c r="D481" i="1"/>
  <c r="D497" i="1" s="1"/>
  <c r="D881" i="1"/>
  <c r="D963" i="1"/>
  <c r="E358" i="1"/>
  <c r="E367" i="1" s="1"/>
  <c r="E396" i="1"/>
  <c r="E434" i="1"/>
  <c r="E480" i="1"/>
  <c r="F55" i="1"/>
  <c r="F56" i="1"/>
  <c r="F106" i="1"/>
  <c r="F107" i="1"/>
  <c r="F157" i="1"/>
  <c r="F158" i="1"/>
  <c r="F208" i="1"/>
  <c r="F209" i="1"/>
  <c r="F259" i="1"/>
  <c r="F260" i="1"/>
  <c r="F303" i="1"/>
  <c r="F304" i="1"/>
  <c r="F347" i="1"/>
  <c r="F348" i="1"/>
  <c r="F385" i="1"/>
  <c r="F386" i="1"/>
  <c r="F423" i="1"/>
  <c r="F424" i="1"/>
  <c r="F469" i="1"/>
  <c r="F470" i="1"/>
  <c r="F515" i="1"/>
  <c r="F516" i="1"/>
  <c r="F561" i="1"/>
  <c r="F562" i="1"/>
  <c r="F607" i="1"/>
  <c r="F608" i="1"/>
  <c r="F695" i="1"/>
  <c r="F696" i="1"/>
  <c r="F746" i="1"/>
  <c r="F747" i="1"/>
  <c r="F848" i="1"/>
  <c r="F849" i="1"/>
  <c r="F941" i="1"/>
  <c r="F942" i="1"/>
  <c r="E55" i="1"/>
  <c r="E56" i="1"/>
  <c r="E106" i="1"/>
  <c r="E107" i="1"/>
  <c r="E157" i="1"/>
  <c r="E158" i="1"/>
  <c r="E208" i="1"/>
  <c r="E209" i="1"/>
  <c r="E259" i="1"/>
  <c r="E260" i="1"/>
  <c r="E303" i="1"/>
  <c r="E304" i="1"/>
  <c r="E347" i="1"/>
  <c r="E348" i="1"/>
  <c r="E385" i="1"/>
  <c r="E386" i="1"/>
  <c r="E423" i="1"/>
  <c r="E424" i="1"/>
  <c r="E469" i="1"/>
  <c r="E470" i="1"/>
  <c r="E515" i="1"/>
  <c r="E516" i="1"/>
  <c r="E561" i="1"/>
  <c r="E562" i="1"/>
  <c r="E607" i="1"/>
  <c r="E608" i="1"/>
  <c r="E695" i="1"/>
  <c r="E696" i="1"/>
  <c r="E746" i="1"/>
  <c r="E747" i="1"/>
  <c r="E797" i="1"/>
  <c r="E798" i="1"/>
  <c r="E848" i="1"/>
  <c r="E849" i="1"/>
  <c r="E941" i="1"/>
  <c r="E942" i="1"/>
  <c r="E981" i="1"/>
  <c r="E982" i="1"/>
  <c r="E1065" i="1"/>
  <c r="E1066" i="1"/>
  <c r="E1107" i="1"/>
  <c r="E1108" i="1"/>
  <c r="E1275" i="1"/>
  <c r="E1276" i="1"/>
  <c r="D55" i="1"/>
  <c r="D56" i="1"/>
  <c r="D107" i="1"/>
  <c r="D157" i="1"/>
  <c r="D158" i="1"/>
  <c r="D208" i="1"/>
  <c r="D209" i="1"/>
  <c r="D259" i="1"/>
  <c r="D260" i="1"/>
  <c r="D303" i="1"/>
  <c r="D304" i="1"/>
  <c r="D347" i="1"/>
  <c r="D348" i="1"/>
  <c r="D385" i="1"/>
  <c r="D386" i="1"/>
  <c r="D423" i="1"/>
  <c r="D424" i="1"/>
  <c r="D469" i="1"/>
  <c r="D470" i="1"/>
  <c r="D515" i="1"/>
  <c r="D516" i="1"/>
  <c r="D561" i="1"/>
  <c r="D562" i="1"/>
  <c r="D607" i="1"/>
  <c r="D608" i="1"/>
  <c r="D695" i="1"/>
  <c r="D696" i="1"/>
  <c r="D746" i="1"/>
  <c r="D747" i="1"/>
  <c r="D797" i="1"/>
  <c r="D798" i="1"/>
  <c r="D848" i="1"/>
  <c r="D849" i="1"/>
  <c r="D941" i="1"/>
  <c r="D942" i="1"/>
  <c r="D981" i="1"/>
  <c r="D982" i="1"/>
  <c r="D1065" i="1"/>
  <c r="D1066" i="1"/>
  <c r="D1107" i="1"/>
  <c r="D1108" i="1"/>
  <c r="D1275" i="1"/>
  <c r="D1276" i="1"/>
  <c r="B67" i="1"/>
  <c r="A18" i="6"/>
  <c r="A17" i="6"/>
  <c r="B69" i="1"/>
  <c r="B68" i="1"/>
  <c r="B66" i="1"/>
  <c r="F17" i="6"/>
  <c r="F18" i="6"/>
  <c r="E17" i="6"/>
  <c r="E18" i="6"/>
  <c r="D17" i="6"/>
  <c r="D18" i="6"/>
  <c r="D1117" i="1"/>
  <c r="E1117" i="1" s="1"/>
  <c r="F1117" i="1" s="1"/>
  <c r="G1117" i="1" s="1"/>
  <c r="H1117" i="1" s="1"/>
  <c r="I1117" i="1" s="1"/>
  <c r="J1117" i="1" s="1"/>
  <c r="K1117" i="1" s="1"/>
  <c r="L1117" i="1" s="1"/>
  <c r="M1117" i="1" s="1"/>
  <c r="N1117" i="1" s="1"/>
  <c r="D1075" i="1"/>
  <c r="E1075" i="1" s="1"/>
  <c r="F1075" i="1" s="1"/>
  <c r="G1075" i="1" s="1"/>
  <c r="H1075" i="1" s="1"/>
  <c r="I1075" i="1" s="1"/>
  <c r="J1075" i="1" s="1"/>
  <c r="K1075" i="1" s="1"/>
  <c r="L1075" i="1" s="1"/>
  <c r="M1075" i="1" s="1"/>
  <c r="N1075" i="1" s="1"/>
  <c r="D991" i="1"/>
  <c r="E991" i="1" s="1"/>
  <c r="F991" i="1" s="1"/>
  <c r="G991" i="1" s="1"/>
  <c r="H991" i="1" s="1"/>
  <c r="I991" i="1" s="1"/>
  <c r="J991" i="1" s="1"/>
  <c r="K991" i="1" s="1"/>
  <c r="L991" i="1" s="1"/>
  <c r="M991" i="1" s="1"/>
  <c r="N991" i="1" s="1"/>
  <c r="D951" i="1"/>
  <c r="E951" i="1" s="1"/>
  <c r="F951" i="1" s="1"/>
  <c r="G951" i="1" s="1"/>
  <c r="H951" i="1" s="1"/>
  <c r="I951" i="1" s="1"/>
  <c r="J951" i="1" s="1"/>
  <c r="D858" i="1"/>
  <c r="E858" i="1" s="1"/>
  <c r="F858" i="1" s="1"/>
  <c r="G858" i="1" s="1"/>
  <c r="H858" i="1" s="1"/>
  <c r="I858" i="1" s="1"/>
  <c r="J858" i="1" s="1"/>
  <c r="K858" i="1" s="1"/>
  <c r="L858" i="1" s="1"/>
  <c r="M858" i="1" s="1"/>
  <c r="N858" i="1" s="1"/>
  <c r="D807" i="1"/>
  <c r="E807" i="1" s="1"/>
  <c r="F807" i="1" s="1"/>
  <c r="G807" i="1" s="1"/>
  <c r="H807" i="1" s="1"/>
  <c r="I807" i="1" s="1"/>
  <c r="J807" i="1" s="1"/>
  <c r="K807" i="1" s="1"/>
  <c r="L807" i="1" s="1"/>
  <c r="M807" i="1" s="1"/>
  <c r="N807" i="1" s="1"/>
  <c r="D756" i="1"/>
  <c r="E756" i="1" s="1"/>
  <c r="F756" i="1" s="1"/>
  <c r="G756" i="1" s="1"/>
  <c r="H756" i="1" s="1"/>
  <c r="I756" i="1" s="1"/>
  <c r="J756" i="1" s="1"/>
  <c r="K756" i="1" s="1"/>
  <c r="L756" i="1" s="1"/>
  <c r="M756" i="1" s="1"/>
  <c r="N756" i="1" s="1"/>
  <c r="D705" i="1"/>
  <c r="E705" i="1" s="1"/>
  <c r="F705" i="1" s="1"/>
  <c r="G705" i="1" s="1"/>
  <c r="H705" i="1" s="1"/>
  <c r="I705" i="1" s="1"/>
  <c r="J705" i="1" s="1"/>
  <c r="D617" i="1"/>
  <c r="E617" i="1" s="1"/>
  <c r="F617" i="1" s="1"/>
  <c r="G617" i="1" s="1"/>
  <c r="H617" i="1" s="1"/>
  <c r="I617" i="1" s="1"/>
  <c r="J617" i="1" s="1"/>
  <c r="K617" i="1" s="1"/>
  <c r="L617" i="1" s="1"/>
  <c r="M617" i="1" s="1"/>
  <c r="N617" i="1" s="1"/>
  <c r="D571" i="1"/>
  <c r="E571" i="1" s="1"/>
  <c r="F571" i="1" s="1"/>
  <c r="G571" i="1" s="1"/>
  <c r="H571" i="1" s="1"/>
  <c r="I571" i="1" s="1"/>
  <c r="J571" i="1" s="1"/>
  <c r="K571" i="1" s="1"/>
  <c r="L571" i="1" s="1"/>
  <c r="M571" i="1" s="1"/>
  <c r="N571" i="1" s="1"/>
  <c r="D525" i="1"/>
  <c r="E525" i="1" s="1"/>
  <c r="F525" i="1" s="1"/>
  <c r="G525" i="1" s="1"/>
  <c r="H525" i="1" s="1"/>
  <c r="I525" i="1" s="1"/>
  <c r="J525" i="1" s="1"/>
  <c r="K525" i="1" s="1"/>
  <c r="L525" i="1" s="1"/>
  <c r="M525" i="1" s="1"/>
  <c r="N525" i="1" s="1"/>
  <c r="D479" i="1"/>
  <c r="E479" i="1" s="1"/>
  <c r="F479" i="1" s="1"/>
  <c r="G479" i="1" s="1"/>
  <c r="H479" i="1" s="1"/>
  <c r="I479" i="1" s="1"/>
  <c r="J479" i="1" s="1"/>
  <c r="K479" i="1" s="1"/>
  <c r="L479" i="1" s="1"/>
  <c r="M479" i="1" s="1"/>
  <c r="N479" i="1" s="1"/>
  <c r="D433" i="1"/>
  <c r="E433" i="1" s="1"/>
  <c r="F433" i="1" s="1"/>
  <c r="G433" i="1" s="1"/>
  <c r="H433" i="1" s="1"/>
  <c r="I433" i="1" s="1"/>
  <c r="J433" i="1" s="1"/>
  <c r="K433" i="1" s="1"/>
  <c r="L433" i="1" s="1"/>
  <c r="M433" i="1" s="1"/>
  <c r="N433" i="1" s="1"/>
  <c r="D395" i="1"/>
  <c r="E395" i="1" s="1"/>
  <c r="F395" i="1" s="1"/>
  <c r="G395" i="1" s="1"/>
  <c r="H395" i="1" s="1"/>
  <c r="I395" i="1" s="1"/>
  <c r="D357" i="1"/>
  <c r="E357" i="1" s="1"/>
  <c r="F357" i="1" s="1"/>
  <c r="G357" i="1" s="1"/>
  <c r="H357" i="1" s="1"/>
  <c r="I357" i="1" s="1"/>
  <c r="J357" i="1" s="1"/>
  <c r="K357" i="1" s="1"/>
  <c r="L357" i="1" s="1"/>
  <c r="M357" i="1" s="1"/>
  <c r="N357" i="1" s="1"/>
  <c r="D313" i="1"/>
  <c r="E313" i="1" s="1"/>
  <c r="F313" i="1" s="1"/>
  <c r="G313" i="1" s="1"/>
  <c r="H313" i="1" s="1"/>
  <c r="I313" i="1" s="1"/>
  <c r="J313" i="1" s="1"/>
  <c r="K313" i="1" s="1"/>
  <c r="L313" i="1" s="1"/>
  <c r="M313" i="1" s="1"/>
  <c r="N313" i="1" s="1"/>
  <c r="D269" i="1"/>
  <c r="E269" i="1" s="1"/>
  <c r="F269" i="1" s="1"/>
  <c r="G269" i="1" s="1"/>
  <c r="H269" i="1" s="1"/>
  <c r="I269" i="1" s="1"/>
  <c r="J269" i="1" s="1"/>
  <c r="K269" i="1" s="1"/>
  <c r="L269" i="1" s="1"/>
  <c r="M269" i="1" s="1"/>
  <c r="N269" i="1" s="1"/>
  <c r="D218" i="1"/>
  <c r="E218" i="1" s="1"/>
  <c r="F218" i="1" s="1"/>
  <c r="G218" i="1" s="1"/>
  <c r="H218" i="1" s="1"/>
  <c r="I218" i="1" s="1"/>
  <c r="J218" i="1" s="1"/>
  <c r="K218" i="1" s="1"/>
  <c r="L218" i="1" s="1"/>
  <c r="M218" i="1" s="1"/>
  <c r="N218" i="1" s="1"/>
  <c r="D167" i="1"/>
  <c r="E167" i="1" s="1"/>
  <c r="F167" i="1" s="1"/>
  <c r="G167" i="1" s="1"/>
  <c r="H167" i="1" s="1"/>
  <c r="I167" i="1" s="1"/>
  <c r="J167" i="1" s="1"/>
  <c r="K167" i="1" s="1"/>
  <c r="L167" i="1" s="1"/>
  <c r="M167" i="1" s="1"/>
  <c r="N167" i="1" s="1"/>
  <c r="D116" i="1"/>
  <c r="E116" i="1" s="1"/>
  <c r="F116" i="1" s="1"/>
  <c r="G116" i="1" s="1"/>
  <c r="H116" i="1" s="1"/>
  <c r="I116" i="1" s="1"/>
  <c r="J116" i="1" s="1"/>
  <c r="K116" i="1" s="1"/>
  <c r="L116" i="1" s="1"/>
  <c r="M116" i="1" s="1"/>
  <c r="N116" i="1" s="1"/>
  <c r="D65" i="1"/>
  <c r="E65" i="1" s="1"/>
  <c r="F65" i="1" s="1"/>
  <c r="G65" i="1" s="1"/>
  <c r="H65" i="1" s="1"/>
  <c r="I65" i="1" s="1"/>
  <c r="J65" i="1" s="1"/>
  <c r="K65" i="1" s="1"/>
  <c r="L65" i="1" s="1"/>
  <c r="M65" i="1" s="1"/>
  <c r="N65" i="1" s="1"/>
  <c r="D1279" i="1"/>
  <c r="E1279" i="1" s="1"/>
  <c r="F1279" i="1" s="1"/>
  <c r="G1279" i="1" s="1"/>
  <c r="H1279" i="1" s="1"/>
  <c r="I1279" i="1" s="1"/>
  <c r="J1279" i="1" s="1"/>
  <c r="K1279" i="1" s="1"/>
  <c r="L1279" i="1" s="1"/>
  <c r="M1279" i="1" s="1"/>
  <c r="N1279" i="1" s="1"/>
  <c r="D1274" i="1"/>
  <c r="E1274" i="1" s="1"/>
  <c r="F1274" i="1" s="1"/>
  <c r="G1274" i="1" s="1"/>
  <c r="H1274" i="1" s="1"/>
  <c r="I1274" i="1" s="1"/>
  <c r="J1274" i="1" s="1"/>
  <c r="K1274" i="1" s="1"/>
  <c r="L1274" i="1" s="1"/>
  <c r="M1274" i="1" s="1"/>
  <c r="N1274" i="1" s="1"/>
  <c r="D1111" i="1"/>
  <c r="E1111" i="1" s="1"/>
  <c r="F1111" i="1" s="1"/>
  <c r="G1111" i="1" s="1"/>
  <c r="H1111" i="1" s="1"/>
  <c r="I1111" i="1" s="1"/>
  <c r="J1111" i="1" s="1"/>
  <c r="K1111" i="1" s="1"/>
  <c r="L1111" i="1" s="1"/>
  <c r="M1111" i="1" s="1"/>
  <c r="N1111" i="1" s="1"/>
  <c r="D1106" i="1"/>
  <c r="E1106" i="1" s="1"/>
  <c r="F1106" i="1" s="1"/>
  <c r="G1106" i="1" s="1"/>
  <c r="H1106" i="1" s="1"/>
  <c r="I1106" i="1" s="1"/>
  <c r="J1106" i="1" s="1"/>
  <c r="K1106" i="1" s="1"/>
  <c r="L1106" i="1" s="1"/>
  <c r="M1106" i="1" s="1"/>
  <c r="N1106" i="1" s="1"/>
  <c r="D1069" i="1"/>
  <c r="E1069" i="1" s="1"/>
  <c r="F1069" i="1" s="1"/>
  <c r="G1069" i="1" s="1"/>
  <c r="H1069" i="1" s="1"/>
  <c r="I1069" i="1" s="1"/>
  <c r="J1069" i="1" s="1"/>
  <c r="K1069" i="1" s="1"/>
  <c r="L1069" i="1" s="1"/>
  <c r="M1069" i="1" s="1"/>
  <c r="N1069" i="1" s="1"/>
  <c r="D1064" i="1"/>
  <c r="E1064" i="1" s="1"/>
  <c r="F1064" i="1" s="1"/>
  <c r="G1064" i="1" s="1"/>
  <c r="H1064" i="1" s="1"/>
  <c r="I1064" i="1" s="1"/>
  <c r="J1064" i="1" s="1"/>
  <c r="K1064" i="1" s="1"/>
  <c r="L1064" i="1" s="1"/>
  <c r="M1064" i="1" s="1"/>
  <c r="N1064" i="1" s="1"/>
  <c r="D985" i="1"/>
  <c r="E985" i="1" s="1"/>
  <c r="F985" i="1" s="1"/>
  <c r="G985" i="1" s="1"/>
  <c r="H985" i="1" s="1"/>
  <c r="I985" i="1" s="1"/>
  <c r="J985" i="1" s="1"/>
  <c r="K985" i="1" s="1"/>
  <c r="L985" i="1" s="1"/>
  <c r="M985" i="1" s="1"/>
  <c r="N985" i="1" s="1"/>
  <c r="D980" i="1"/>
  <c r="E980" i="1" s="1"/>
  <c r="F980" i="1" s="1"/>
  <c r="G980" i="1" s="1"/>
  <c r="H980" i="1" s="1"/>
  <c r="I980" i="1" s="1"/>
  <c r="J980" i="1" s="1"/>
  <c r="D945" i="1"/>
  <c r="E945" i="1" s="1"/>
  <c r="F945" i="1" s="1"/>
  <c r="G945" i="1" s="1"/>
  <c r="H945" i="1" s="1"/>
  <c r="I945" i="1" s="1"/>
  <c r="J945" i="1" s="1"/>
  <c r="D940" i="1"/>
  <c r="E940" i="1" s="1"/>
  <c r="F940" i="1" s="1"/>
  <c r="G940" i="1" s="1"/>
  <c r="H940" i="1" s="1"/>
  <c r="I940" i="1" s="1"/>
  <c r="J940" i="1" s="1"/>
  <c r="D852" i="1"/>
  <c r="E852" i="1" s="1"/>
  <c r="F852" i="1" s="1"/>
  <c r="G852" i="1" s="1"/>
  <c r="H852" i="1" s="1"/>
  <c r="I852" i="1" s="1"/>
  <c r="J852" i="1" s="1"/>
  <c r="K852" i="1" s="1"/>
  <c r="L852" i="1" s="1"/>
  <c r="M852" i="1" s="1"/>
  <c r="N852" i="1" s="1"/>
  <c r="D847" i="1"/>
  <c r="E847" i="1" s="1"/>
  <c r="F847" i="1" s="1"/>
  <c r="G847" i="1" s="1"/>
  <c r="H847" i="1" s="1"/>
  <c r="I847" i="1" s="1"/>
  <c r="J847" i="1" s="1"/>
  <c r="K847" i="1" s="1"/>
  <c r="L847" i="1" s="1"/>
  <c r="M847" i="1" s="1"/>
  <c r="N847" i="1" s="1"/>
  <c r="D801" i="1"/>
  <c r="E801" i="1" s="1"/>
  <c r="F801" i="1" s="1"/>
  <c r="G801" i="1" s="1"/>
  <c r="H801" i="1" s="1"/>
  <c r="I801" i="1" s="1"/>
  <c r="J801" i="1" s="1"/>
  <c r="K801" i="1" s="1"/>
  <c r="L801" i="1" s="1"/>
  <c r="M801" i="1" s="1"/>
  <c r="N801" i="1" s="1"/>
  <c r="D796" i="1"/>
  <c r="E796" i="1" s="1"/>
  <c r="F796" i="1" s="1"/>
  <c r="G796" i="1" s="1"/>
  <c r="H796" i="1" s="1"/>
  <c r="I796" i="1" s="1"/>
  <c r="J796" i="1" s="1"/>
  <c r="K796" i="1" s="1"/>
  <c r="L796" i="1" s="1"/>
  <c r="M796" i="1" s="1"/>
  <c r="N796" i="1" s="1"/>
  <c r="D750" i="1"/>
  <c r="E750" i="1" s="1"/>
  <c r="F750" i="1" s="1"/>
  <c r="G750" i="1" s="1"/>
  <c r="H750" i="1" s="1"/>
  <c r="I750" i="1" s="1"/>
  <c r="J750" i="1" s="1"/>
  <c r="K750" i="1" s="1"/>
  <c r="L750" i="1" s="1"/>
  <c r="M750" i="1" s="1"/>
  <c r="N750" i="1" s="1"/>
  <c r="D745" i="1"/>
  <c r="E745" i="1" s="1"/>
  <c r="F745" i="1" s="1"/>
  <c r="G745" i="1" s="1"/>
  <c r="H745" i="1" s="1"/>
  <c r="I745" i="1" s="1"/>
  <c r="J745" i="1" s="1"/>
  <c r="K745" i="1" s="1"/>
  <c r="L745" i="1" s="1"/>
  <c r="M745" i="1" s="1"/>
  <c r="N745" i="1" s="1"/>
  <c r="D699" i="1"/>
  <c r="E699" i="1" s="1"/>
  <c r="F699" i="1" s="1"/>
  <c r="G699" i="1" s="1"/>
  <c r="H699" i="1" s="1"/>
  <c r="I699" i="1" s="1"/>
  <c r="J699" i="1" s="1"/>
  <c r="D694" i="1"/>
  <c r="E694" i="1" s="1"/>
  <c r="F694" i="1" s="1"/>
  <c r="G694" i="1" s="1"/>
  <c r="H694" i="1" s="1"/>
  <c r="I694" i="1" s="1"/>
  <c r="J694" i="1" s="1"/>
  <c r="D611" i="1"/>
  <c r="E611" i="1" s="1"/>
  <c r="F611" i="1" s="1"/>
  <c r="D606" i="1"/>
  <c r="E606" i="1" s="1"/>
  <c r="F606" i="1" s="1"/>
  <c r="D565" i="1"/>
  <c r="E565" i="1" s="1"/>
  <c r="F565" i="1" s="1"/>
  <c r="D560" i="1"/>
  <c r="E560" i="1" s="1"/>
  <c r="F560" i="1" s="1"/>
  <c r="D519" i="1"/>
  <c r="E519" i="1" s="1"/>
  <c r="F519" i="1" s="1"/>
  <c r="D514" i="1"/>
  <c r="E514" i="1" s="1"/>
  <c r="F514" i="1" s="1"/>
  <c r="D473" i="1"/>
  <c r="E473" i="1" s="1"/>
  <c r="F473" i="1" s="1"/>
  <c r="D468" i="1"/>
  <c r="E468" i="1" s="1"/>
  <c r="F468" i="1" s="1"/>
  <c r="D427" i="1"/>
  <c r="E427" i="1" s="1"/>
  <c r="F427" i="1" s="1"/>
  <c r="D422" i="1"/>
  <c r="E422" i="1" s="1"/>
  <c r="F422" i="1" s="1"/>
  <c r="D389" i="1"/>
  <c r="E389" i="1" s="1"/>
  <c r="F389" i="1" s="1"/>
  <c r="D384" i="1"/>
  <c r="E384" i="1" s="1"/>
  <c r="F384" i="1" s="1"/>
  <c r="D351" i="1"/>
  <c r="E351" i="1" s="1"/>
  <c r="F351" i="1" s="1"/>
  <c r="D346" i="1"/>
  <c r="E346" i="1" s="1"/>
  <c r="F346" i="1" s="1"/>
  <c r="D307" i="1"/>
  <c r="E307" i="1" s="1"/>
  <c r="F307" i="1" s="1"/>
  <c r="D302" i="1"/>
  <c r="E302" i="1" s="1"/>
  <c r="F302" i="1" s="1"/>
  <c r="D263" i="1"/>
  <c r="E263" i="1" s="1"/>
  <c r="F263" i="1" s="1"/>
  <c r="D258" i="1"/>
  <c r="E258" i="1" s="1"/>
  <c r="F258" i="1" s="1"/>
  <c r="D212" i="1"/>
  <c r="E212" i="1" s="1"/>
  <c r="F212" i="1" s="1"/>
  <c r="D207" i="1"/>
  <c r="E207" i="1" s="1"/>
  <c r="F207" i="1" s="1"/>
  <c r="D161" i="1"/>
  <c r="E161" i="1" s="1"/>
  <c r="F161" i="1" s="1"/>
  <c r="D156" i="1"/>
  <c r="E156" i="1" s="1"/>
  <c r="F156" i="1" s="1"/>
  <c r="D1268" i="1"/>
  <c r="E1268" i="1" s="1"/>
  <c r="F1268" i="1" s="1"/>
  <c r="G1268" i="1" s="1"/>
  <c r="H1268" i="1" s="1"/>
  <c r="I1268" i="1" s="1"/>
  <c r="J1268" i="1" s="1"/>
  <c r="K1268" i="1" s="1"/>
  <c r="L1268" i="1" s="1"/>
  <c r="M1268" i="1" s="1"/>
  <c r="N1268" i="1" s="1"/>
  <c r="D1100" i="1"/>
  <c r="E1100" i="1" s="1"/>
  <c r="F1100" i="1" s="1"/>
  <c r="G1100" i="1" s="1"/>
  <c r="H1100" i="1" s="1"/>
  <c r="I1100" i="1" s="1"/>
  <c r="J1100" i="1" s="1"/>
  <c r="K1100" i="1" s="1"/>
  <c r="L1100" i="1" s="1"/>
  <c r="M1100" i="1" s="1"/>
  <c r="N1100" i="1" s="1"/>
  <c r="D1058" i="1"/>
  <c r="E1058" i="1" s="1"/>
  <c r="F1058" i="1" s="1"/>
  <c r="G1058" i="1" s="1"/>
  <c r="H1058" i="1" s="1"/>
  <c r="I1058" i="1" s="1"/>
  <c r="J1058" i="1" s="1"/>
  <c r="K1058" i="1" s="1"/>
  <c r="L1058" i="1" s="1"/>
  <c r="M1058" i="1" s="1"/>
  <c r="N1058" i="1" s="1"/>
  <c r="D1016" i="1"/>
  <c r="E1016" i="1" s="1"/>
  <c r="F1016" i="1" s="1"/>
  <c r="G1016" i="1" s="1"/>
  <c r="H1016" i="1" s="1"/>
  <c r="I1016" i="1" s="1"/>
  <c r="J1016" i="1" s="1"/>
  <c r="K1016" i="1" s="1"/>
  <c r="L1016" i="1" s="1"/>
  <c r="M1016" i="1" s="1"/>
  <c r="N1016" i="1" s="1"/>
  <c r="D974" i="1"/>
  <c r="E974" i="1" s="1"/>
  <c r="F974" i="1" s="1"/>
  <c r="G974" i="1" s="1"/>
  <c r="H974" i="1" s="1"/>
  <c r="I974" i="1" s="1"/>
  <c r="J974" i="1" s="1"/>
  <c r="K974" i="1" s="1"/>
  <c r="D934" i="1"/>
  <c r="E934" i="1" s="1"/>
  <c r="F934" i="1" s="1"/>
  <c r="G934" i="1" s="1"/>
  <c r="H934" i="1" s="1"/>
  <c r="I934" i="1" s="1"/>
  <c r="J934" i="1" s="1"/>
  <c r="K934" i="1" s="1"/>
  <c r="D841" i="1"/>
  <c r="E841" i="1" s="1"/>
  <c r="F841" i="1" s="1"/>
  <c r="G841" i="1" s="1"/>
  <c r="H841" i="1" s="1"/>
  <c r="I841" i="1" s="1"/>
  <c r="J841" i="1" s="1"/>
  <c r="K841" i="1" s="1"/>
  <c r="L841" i="1" s="1"/>
  <c r="M841" i="1" s="1"/>
  <c r="N841" i="1" s="1"/>
  <c r="D790" i="1"/>
  <c r="E790" i="1" s="1"/>
  <c r="F790" i="1" s="1"/>
  <c r="G790" i="1" s="1"/>
  <c r="H790" i="1" s="1"/>
  <c r="I790" i="1" s="1"/>
  <c r="J790" i="1" s="1"/>
  <c r="K790" i="1" s="1"/>
  <c r="L790" i="1" s="1"/>
  <c r="M790" i="1" s="1"/>
  <c r="N790" i="1" s="1"/>
  <c r="D739" i="1"/>
  <c r="E739" i="1" s="1"/>
  <c r="F739" i="1" s="1"/>
  <c r="G739" i="1" s="1"/>
  <c r="H739" i="1" s="1"/>
  <c r="I739" i="1" s="1"/>
  <c r="J739" i="1" s="1"/>
  <c r="K739" i="1" s="1"/>
  <c r="L739" i="1" s="1"/>
  <c r="M739" i="1" s="1"/>
  <c r="N739" i="1" s="1"/>
  <c r="D688" i="1"/>
  <c r="E688" i="1" s="1"/>
  <c r="F688" i="1" s="1"/>
  <c r="G688" i="1" s="1"/>
  <c r="H688" i="1" s="1"/>
  <c r="I688" i="1" s="1"/>
  <c r="J688" i="1" s="1"/>
  <c r="K688" i="1" s="1"/>
  <c r="D600" i="1"/>
  <c r="E600" i="1" s="1"/>
  <c r="F600" i="1" s="1"/>
  <c r="G600" i="1" s="1"/>
  <c r="H600" i="1" s="1"/>
  <c r="I600" i="1" s="1"/>
  <c r="J600" i="1" s="1"/>
  <c r="K600" i="1" s="1"/>
  <c r="L600" i="1" s="1"/>
  <c r="M600" i="1" s="1"/>
  <c r="N600" i="1" s="1"/>
  <c r="D554" i="1"/>
  <c r="E554" i="1" s="1"/>
  <c r="F554" i="1" s="1"/>
  <c r="G554" i="1" s="1"/>
  <c r="H554" i="1" s="1"/>
  <c r="I554" i="1" s="1"/>
  <c r="J554" i="1" s="1"/>
  <c r="D110" i="1"/>
  <c r="E110" i="1" s="1"/>
  <c r="F110" i="1" s="1"/>
  <c r="D105" i="1"/>
  <c r="E105" i="1" s="1"/>
  <c r="F105" i="1" s="1"/>
  <c r="C46" i="1"/>
  <c r="B49" i="1" s="1"/>
  <c r="D48" i="1"/>
  <c r="D59" i="1" s="1"/>
  <c r="D201" i="1"/>
  <c r="E201" i="1" s="1"/>
  <c r="F201" i="1" s="1"/>
  <c r="G201" i="1" s="1"/>
  <c r="H201" i="1" s="1"/>
  <c r="I201" i="1" s="1"/>
  <c r="J201" i="1" s="1"/>
  <c r="K201" i="1" s="1"/>
  <c r="L201" i="1" s="1"/>
  <c r="M201" i="1" s="1"/>
  <c r="N201" i="1" s="1"/>
  <c r="D150" i="1"/>
  <c r="E150" i="1" s="1"/>
  <c r="F150" i="1" s="1"/>
  <c r="G150" i="1" s="1"/>
  <c r="H150" i="1" s="1"/>
  <c r="I150" i="1" s="1"/>
  <c r="J150" i="1" s="1"/>
  <c r="K150" i="1" s="1"/>
  <c r="L150" i="1" s="1"/>
  <c r="D508" i="1"/>
  <c r="E508" i="1" s="1"/>
  <c r="F508" i="1" s="1"/>
  <c r="G508" i="1" s="1"/>
  <c r="H508" i="1" s="1"/>
  <c r="I508" i="1" s="1"/>
  <c r="J508" i="1" s="1"/>
  <c r="K508" i="1" s="1"/>
  <c r="L508" i="1" s="1"/>
  <c r="M508" i="1" s="1"/>
  <c r="N508" i="1" s="1"/>
  <c r="D462" i="1"/>
  <c r="E462" i="1" s="1"/>
  <c r="F462" i="1" s="1"/>
  <c r="G462" i="1" s="1"/>
  <c r="H462" i="1" s="1"/>
  <c r="I462" i="1" s="1"/>
  <c r="J462" i="1" s="1"/>
  <c r="K462" i="1" s="1"/>
  <c r="L462" i="1" s="1"/>
  <c r="M462" i="1" s="1"/>
  <c r="N462" i="1" s="1"/>
  <c r="D416" i="1"/>
  <c r="E416" i="1" s="1"/>
  <c r="F416" i="1" s="1"/>
  <c r="G416" i="1" s="1"/>
  <c r="H416" i="1" s="1"/>
  <c r="I416" i="1" s="1"/>
  <c r="J416" i="1" s="1"/>
  <c r="K416" i="1" s="1"/>
  <c r="L416" i="1" s="1"/>
  <c r="M416" i="1" s="1"/>
  <c r="N416" i="1" s="1"/>
  <c r="D378" i="1"/>
  <c r="E378" i="1" s="1"/>
  <c r="F378" i="1" s="1"/>
  <c r="G378" i="1" s="1"/>
  <c r="H378" i="1" s="1"/>
  <c r="I378" i="1" s="1"/>
  <c r="J378" i="1" s="1"/>
  <c r="D340" i="1"/>
  <c r="E340" i="1" s="1"/>
  <c r="F340" i="1" s="1"/>
  <c r="G340" i="1" s="1"/>
  <c r="H340" i="1" s="1"/>
  <c r="I340" i="1" s="1"/>
  <c r="J340" i="1" s="1"/>
  <c r="K340" i="1" s="1"/>
  <c r="L340" i="1" s="1"/>
  <c r="M340" i="1" s="1"/>
  <c r="N340" i="1" s="1"/>
  <c r="D296" i="1"/>
  <c r="E296" i="1" s="1"/>
  <c r="F296" i="1" s="1"/>
  <c r="G296" i="1" s="1"/>
  <c r="H296" i="1" s="1"/>
  <c r="I296" i="1" s="1"/>
  <c r="J296" i="1" s="1"/>
  <c r="D252" i="1"/>
  <c r="E252" i="1" s="1"/>
  <c r="F252" i="1" s="1"/>
  <c r="G252" i="1" s="1"/>
  <c r="H252" i="1" s="1"/>
  <c r="I252" i="1" s="1"/>
  <c r="J252" i="1" s="1"/>
  <c r="K252" i="1" s="1"/>
  <c r="L252" i="1" s="1"/>
  <c r="M252" i="1" s="1"/>
  <c r="N252" i="1" s="1"/>
  <c r="D99" i="1"/>
  <c r="E99" i="1" s="1"/>
  <c r="F99" i="1" s="1"/>
  <c r="G99" i="1" s="1"/>
  <c r="H99" i="1" s="1"/>
  <c r="I99" i="1" s="1"/>
  <c r="J99" i="1" s="1"/>
  <c r="K99" i="1" s="1"/>
  <c r="L99" i="1" s="1"/>
  <c r="C12" i="6" l="1"/>
  <c r="C14" i="6" s="1"/>
  <c r="C24" i="6"/>
  <c r="E954" i="1"/>
  <c r="F954" i="1" s="1"/>
  <c r="D12" i="6"/>
  <c r="F956" i="1"/>
  <c r="G956" i="1" s="1"/>
  <c r="E12" i="6"/>
  <c r="E66" i="1"/>
  <c r="D23" i="6" s="1"/>
  <c r="C23" i="6"/>
  <c r="C44" i="6" s="1"/>
  <c r="H88" i="1"/>
  <c r="G29" i="6"/>
  <c r="G44" i="6" s="1"/>
  <c r="G49" i="6" s="1"/>
  <c r="L105" i="1"/>
  <c r="M99" i="1"/>
  <c r="L110" i="1"/>
  <c r="M150" i="1"/>
  <c r="L156" i="1"/>
  <c r="L161" i="1"/>
  <c r="L688" i="1"/>
  <c r="K699" i="1"/>
  <c r="K705" i="1"/>
  <c r="K694" i="1"/>
  <c r="L694" i="1" s="1"/>
  <c r="M694" i="1" s="1"/>
  <c r="N694" i="1" s="1"/>
  <c r="K945" i="1"/>
  <c r="K951" i="1"/>
  <c r="K940" i="1"/>
  <c r="L934" i="1"/>
  <c r="K980" i="1"/>
  <c r="L974" i="1"/>
  <c r="M263" i="1"/>
  <c r="M258" i="1"/>
  <c r="M422" i="1"/>
  <c r="M427" i="1"/>
  <c r="M473" i="1"/>
  <c r="M468" i="1"/>
  <c r="M212" i="1"/>
  <c r="M207" i="1"/>
  <c r="M351" i="1"/>
  <c r="M346" i="1"/>
  <c r="M519" i="1"/>
  <c r="M514" i="1"/>
  <c r="J10" i="8"/>
  <c r="J8" i="8"/>
  <c r="J9" i="8"/>
  <c r="J11" i="8"/>
  <c r="J12" i="8"/>
  <c r="J13" i="8"/>
  <c r="F285" i="1"/>
  <c r="K378" i="1"/>
  <c r="L378" i="1" s="1"/>
  <c r="M378" i="1" s="1"/>
  <c r="N378" i="1" s="1"/>
  <c r="J384" i="1"/>
  <c r="J389" i="1"/>
  <c r="J395" i="1"/>
  <c r="K395" i="1" s="1"/>
  <c r="L395" i="1" s="1"/>
  <c r="M395" i="1" s="1"/>
  <c r="N395" i="1" s="1"/>
  <c r="N611" i="1"/>
  <c r="N606" i="1"/>
  <c r="I6" i="8"/>
  <c r="I10" i="8"/>
  <c r="I11" i="8"/>
  <c r="I8" i="8"/>
  <c r="I12" i="8"/>
  <c r="I9" i="8"/>
  <c r="I13" i="8"/>
  <c r="H6" i="8"/>
  <c r="H10" i="8"/>
  <c r="H11" i="8"/>
  <c r="H8" i="8"/>
  <c r="H12" i="8"/>
  <c r="H5" i="8"/>
  <c r="H9" i="8"/>
  <c r="H13" i="8"/>
  <c r="F25" i="8"/>
  <c r="L611" i="1"/>
  <c r="L606" i="1"/>
  <c r="K514" i="1"/>
  <c r="K519" i="1"/>
  <c r="K468" i="1"/>
  <c r="K473" i="1"/>
  <c r="K351" i="1"/>
  <c r="K346" i="1"/>
  <c r="K422" i="1"/>
  <c r="K427" i="1"/>
  <c r="K258" i="1"/>
  <c r="K263" i="1"/>
  <c r="K207" i="1"/>
  <c r="K212" i="1"/>
  <c r="K110" i="1"/>
  <c r="K105" i="1"/>
  <c r="G6" i="8"/>
  <c r="F8" i="8"/>
  <c r="D11" i="8"/>
  <c r="F12" i="8"/>
  <c r="B13" i="8"/>
  <c r="G8" i="8"/>
  <c r="E11" i="8"/>
  <c r="G12" i="8"/>
  <c r="B6" i="8"/>
  <c r="C6" i="8"/>
  <c r="D9" i="8"/>
  <c r="B9" i="8"/>
  <c r="F6" i="8"/>
  <c r="E9" i="8"/>
  <c r="C12" i="8"/>
  <c r="E7" i="8"/>
  <c r="F10" i="8"/>
  <c r="D13" i="8"/>
  <c r="G10" i="8"/>
  <c r="E13" i="8"/>
  <c r="C13" i="8"/>
  <c r="E10" i="8"/>
  <c r="F9" i="8"/>
  <c r="B12" i="8"/>
  <c r="E12" i="8"/>
  <c r="G9" i="8"/>
  <c r="B11" i="8"/>
  <c r="D12" i="8"/>
  <c r="G11" i="8"/>
  <c r="C9" i="8"/>
  <c r="E6" i="8"/>
  <c r="F11" i="8"/>
  <c r="F7" i="8"/>
  <c r="G13" i="8"/>
  <c r="C11" i="8"/>
  <c r="E8" i="8"/>
  <c r="F13" i="8"/>
  <c r="D6" i="8"/>
  <c r="J212" i="1"/>
  <c r="J473" i="1"/>
  <c r="J427" i="1"/>
  <c r="K296" i="1"/>
  <c r="L296" i="1" s="1"/>
  <c r="M296" i="1" s="1"/>
  <c r="N296" i="1" s="1"/>
  <c r="J307" i="1"/>
  <c r="J351" i="1"/>
  <c r="J519" i="1"/>
  <c r="J514" i="1"/>
  <c r="K554" i="1"/>
  <c r="L554" i="1" s="1"/>
  <c r="M554" i="1" s="1"/>
  <c r="N554" i="1" s="1"/>
  <c r="J560" i="1"/>
  <c r="J565" i="1"/>
  <c r="K611" i="1"/>
  <c r="K606" i="1"/>
  <c r="K156" i="1"/>
  <c r="K161" i="1"/>
  <c r="H27" i="8"/>
  <c r="G5" i="8" s="1"/>
  <c r="E1131" i="1"/>
  <c r="F1131" i="1"/>
  <c r="D241" i="1"/>
  <c r="J263" i="1"/>
  <c r="J258" i="1"/>
  <c r="J207" i="1"/>
  <c r="J346" i="1"/>
  <c r="J611" i="1"/>
  <c r="J606" i="1"/>
  <c r="J161" i="1"/>
  <c r="J156" i="1"/>
  <c r="J422" i="1"/>
  <c r="G728" i="1"/>
  <c r="G732" i="1" s="1"/>
  <c r="F35" i="8" s="1"/>
  <c r="J302" i="1"/>
  <c r="J468" i="1"/>
  <c r="J110" i="1"/>
  <c r="J105" i="1"/>
  <c r="F748" i="1"/>
  <c r="F783" i="1" s="1"/>
  <c r="E36" i="8" s="1"/>
  <c r="I110" i="1"/>
  <c r="I105" i="1"/>
  <c r="I161" i="1"/>
  <c r="I156" i="1"/>
  <c r="I258" i="1"/>
  <c r="I263" i="1"/>
  <c r="I212" i="1"/>
  <c r="I207" i="1"/>
  <c r="I307" i="1"/>
  <c r="I302" i="1"/>
  <c r="I565" i="1"/>
  <c r="I560" i="1"/>
  <c r="I389" i="1"/>
  <c r="I384" i="1"/>
  <c r="I422" i="1"/>
  <c r="I427" i="1"/>
  <c r="I473" i="1"/>
  <c r="I468" i="1"/>
  <c r="I351" i="1"/>
  <c r="I346" i="1"/>
  <c r="I519" i="1"/>
  <c r="I514" i="1"/>
  <c r="I606" i="1"/>
  <c r="I611" i="1"/>
  <c r="D329" i="1"/>
  <c r="D285" i="1"/>
  <c r="D88" i="1"/>
  <c r="D1261" i="1"/>
  <c r="C47" i="8" s="1"/>
  <c r="D1067" i="1"/>
  <c r="D1093" i="1" s="1"/>
  <c r="C43" i="8" s="1"/>
  <c r="D799" i="1"/>
  <c r="D834" i="1" s="1"/>
  <c r="C37" i="8" s="1"/>
  <c r="E963" i="1"/>
  <c r="D983" i="1"/>
  <c r="D1009" i="1" s="1"/>
  <c r="C41" i="8" s="1"/>
  <c r="B10" i="8" s="1"/>
  <c r="D697" i="1"/>
  <c r="D732" i="1" s="1"/>
  <c r="C35" i="8" s="1"/>
  <c r="E285" i="1"/>
  <c r="E329" i="1"/>
  <c r="F316" i="1"/>
  <c r="F329" i="1" s="1"/>
  <c r="F482" i="1"/>
  <c r="F497" i="1" s="1"/>
  <c r="E497" i="1"/>
  <c r="E451" i="1"/>
  <c r="F436" i="1"/>
  <c r="F451" i="1" s="1"/>
  <c r="F398" i="1"/>
  <c r="F405" i="1" s="1"/>
  <c r="E405" i="1"/>
  <c r="D159" i="1"/>
  <c r="D194" i="1" s="1"/>
  <c r="C23" i="8" s="1"/>
  <c r="D1277" i="1"/>
  <c r="D1303" i="1" s="1"/>
  <c r="C48" i="8" s="1"/>
  <c r="D850" i="1"/>
  <c r="D885" i="1" s="1"/>
  <c r="C38" i="8" s="1"/>
  <c r="F697" i="1"/>
  <c r="F732" i="1" s="1"/>
  <c r="E35" i="8" s="1"/>
  <c r="D1109" i="1"/>
  <c r="D1135" i="1" s="1"/>
  <c r="C44" i="8" s="1"/>
  <c r="D943" i="1"/>
  <c r="D967" i="1" s="1"/>
  <c r="C40" i="8" s="1"/>
  <c r="B8" i="8" s="1"/>
  <c r="D748" i="1"/>
  <c r="D783" i="1" s="1"/>
  <c r="C36" i="8" s="1"/>
  <c r="E1277" i="1"/>
  <c r="E1303" i="1" s="1"/>
  <c r="D48" i="8" s="1"/>
  <c r="E881" i="1"/>
  <c r="E850" i="1"/>
  <c r="E748" i="1"/>
  <c r="E783" i="1" s="1"/>
  <c r="D36" i="8" s="1"/>
  <c r="E305" i="1"/>
  <c r="F1109" i="1"/>
  <c r="E799" i="1"/>
  <c r="E697" i="1"/>
  <c r="H258" i="1"/>
  <c r="H263" i="1"/>
  <c r="H212" i="1"/>
  <c r="H207" i="1"/>
  <c r="H307" i="1"/>
  <c r="H302" i="1"/>
  <c r="H346" i="1"/>
  <c r="H351" i="1"/>
  <c r="H514" i="1"/>
  <c r="H519" i="1"/>
  <c r="H611" i="1"/>
  <c r="H606" i="1"/>
  <c r="H427" i="1"/>
  <c r="H422" i="1"/>
  <c r="H473" i="1"/>
  <c r="H468" i="1"/>
  <c r="H565" i="1"/>
  <c r="H560" i="1"/>
  <c r="H110" i="1"/>
  <c r="H105" i="1"/>
  <c r="H389" i="1"/>
  <c r="H384" i="1"/>
  <c r="H156" i="1"/>
  <c r="H161" i="1"/>
  <c r="F563" i="1"/>
  <c r="E1067" i="1"/>
  <c r="E1093" i="1" s="1"/>
  <c r="D43" i="8" s="1"/>
  <c r="E983" i="1"/>
  <c r="F943" i="1"/>
  <c r="F967" i="1" s="1"/>
  <c r="E40" i="8" s="1"/>
  <c r="D8" i="8" s="1"/>
  <c r="F850" i="1"/>
  <c r="F885" i="1" s="1"/>
  <c r="E38" i="8" s="1"/>
  <c r="E1109" i="1"/>
  <c r="E943" i="1"/>
  <c r="F1067" i="1"/>
  <c r="F983" i="1"/>
  <c r="F799" i="1"/>
  <c r="F834" i="1" s="1"/>
  <c r="E37" i="8" s="1"/>
  <c r="G611" i="1"/>
  <c r="G606" i="1"/>
  <c r="G565" i="1"/>
  <c r="G560" i="1"/>
  <c r="G519" i="1"/>
  <c r="G514" i="1"/>
  <c r="G473" i="1"/>
  <c r="G468" i="1"/>
  <c r="G427" i="1"/>
  <c r="G422" i="1"/>
  <c r="G389" i="1"/>
  <c r="G384" i="1"/>
  <c r="G351" i="1"/>
  <c r="G346" i="1"/>
  <c r="G307" i="1"/>
  <c r="G302" i="1"/>
  <c r="E261" i="1"/>
  <c r="G263" i="1"/>
  <c r="G258" i="1"/>
  <c r="G212" i="1"/>
  <c r="G207" i="1"/>
  <c r="G161" i="1"/>
  <c r="G156" i="1"/>
  <c r="G110" i="1"/>
  <c r="G105" i="1"/>
  <c r="D563" i="1"/>
  <c r="D593" i="1" s="1"/>
  <c r="C32" i="8" s="1"/>
  <c r="E563" i="1"/>
  <c r="D517" i="1"/>
  <c r="D547" i="1" s="1"/>
  <c r="C31" i="8" s="1"/>
  <c r="E517" i="1"/>
  <c r="D425" i="1"/>
  <c r="D455" i="1" s="1"/>
  <c r="C29" i="8" s="1"/>
  <c r="F609" i="1"/>
  <c r="F305" i="1"/>
  <c r="F159" i="1"/>
  <c r="E609" i="1"/>
  <c r="D471" i="1"/>
  <c r="D501" i="1" s="1"/>
  <c r="C30" i="8" s="1"/>
  <c r="E425" i="1"/>
  <c r="F425" i="1"/>
  <c r="F471" i="1"/>
  <c r="D387" i="1"/>
  <c r="D409" i="1" s="1"/>
  <c r="C28" i="8" s="1"/>
  <c r="E387" i="1"/>
  <c r="F387" i="1"/>
  <c r="D261" i="1"/>
  <c r="D210" i="1"/>
  <c r="E210" i="1"/>
  <c r="D108" i="1"/>
  <c r="D143" i="1" s="1"/>
  <c r="C22" i="8" s="1"/>
  <c r="E20" i="6"/>
  <c r="F20" i="6"/>
  <c r="D57" i="1"/>
  <c r="E57" i="1"/>
  <c r="F57" i="1"/>
  <c r="E48" i="1"/>
  <c r="F48" i="1" s="1"/>
  <c r="G48" i="1" s="1"/>
  <c r="H48" i="1" s="1"/>
  <c r="I48" i="1" s="1"/>
  <c r="J48" i="1" s="1"/>
  <c r="K48" i="1" s="1"/>
  <c r="D54" i="1"/>
  <c r="D609" i="1"/>
  <c r="D639" i="1" s="1"/>
  <c r="C33" i="8" s="1"/>
  <c r="D305" i="1"/>
  <c r="D20" i="6"/>
  <c r="F261" i="1"/>
  <c r="D349" i="1"/>
  <c r="D371" i="1" s="1"/>
  <c r="C27" i="8" s="1"/>
  <c r="F517" i="1"/>
  <c r="F210" i="1"/>
  <c r="E471" i="1"/>
  <c r="E159" i="1"/>
  <c r="E108" i="1"/>
  <c r="E143" i="1" s="1"/>
  <c r="E349" i="1"/>
  <c r="F349" i="1"/>
  <c r="F108" i="1"/>
  <c r="F143" i="1" s="1"/>
  <c r="C49" i="6" l="1"/>
  <c r="D13" i="6"/>
  <c r="D14" i="6" s="1"/>
  <c r="F13" i="6"/>
  <c r="F14" i="6" s="1"/>
  <c r="E13" i="6"/>
  <c r="E14" i="6" s="1"/>
  <c r="M974" i="1"/>
  <c r="L980" i="1"/>
  <c r="M156" i="1"/>
  <c r="M161" i="1"/>
  <c r="N150" i="1"/>
  <c r="L699" i="1"/>
  <c r="L705" i="1"/>
  <c r="M688" i="1"/>
  <c r="M934" i="1"/>
  <c r="L940" i="1"/>
  <c r="L951" i="1"/>
  <c r="L945" i="1"/>
  <c r="M105" i="1"/>
  <c r="M110" i="1"/>
  <c r="N99" i="1"/>
  <c r="L48" i="1"/>
  <c r="M384" i="1"/>
  <c r="M389" i="1"/>
  <c r="M611" i="1"/>
  <c r="M606" i="1"/>
  <c r="M560" i="1"/>
  <c r="M565" i="1"/>
  <c r="M307" i="1"/>
  <c r="M302" i="1"/>
  <c r="F289" i="1"/>
  <c r="E25" i="8" s="1"/>
  <c r="K384" i="1"/>
  <c r="K389" i="1"/>
  <c r="N346" i="1"/>
  <c r="N351" i="1"/>
  <c r="N519" i="1"/>
  <c r="N514" i="1"/>
  <c r="N212" i="1"/>
  <c r="N207" i="1"/>
  <c r="N473" i="1"/>
  <c r="N468" i="1"/>
  <c r="N258" i="1"/>
  <c r="N263" i="1"/>
  <c r="N427" i="1"/>
  <c r="N422" i="1"/>
  <c r="K560" i="1"/>
  <c r="K565" i="1"/>
  <c r="L514" i="1"/>
  <c r="L519" i="1"/>
  <c r="L468" i="1"/>
  <c r="L473" i="1"/>
  <c r="L422" i="1"/>
  <c r="L427" i="1"/>
  <c r="L351" i="1"/>
  <c r="L346" i="1"/>
  <c r="K307" i="1"/>
  <c r="K302" i="1"/>
  <c r="L207" i="1"/>
  <c r="L212" i="1"/>
  <c r="L258" i="1"/>
  <c r="L263" i="1"/>
  <c r="B7" i="8"/>
  <c r="K54" i="1"/>
  <c r="K59" i="1"/>
  <c r="E333" i="1"/>
  <c r="D26" i="8" s="1"/>
  <c r="F1135" i="1"/>
  <c r="E44" i="8" s="1"/>
  <c r="F1009" i="1"/>
  <c r="E41" i="8" s="1"/>
  <c r="D10" i="8" s="1"/>
  <c r="D245" i="1"/>
  <c r="C24" i="8" s="1"/>
  <c r="F1093" i="1"/>
  <c r="E43" i="8" s="1"/>
  <c r="J59" i="1"/>
  <c r="J54" i="1"/>
  <c r="F547" i="1"/>
  <c r="E31" i="8" s="1"/>
  <c r="E1009" i="1"/>
  <c r="D41" i="8" s="1"/>
  <c r="C10" i="8" s="1"/>
  <c r="F501" i="1"/>
  <c r="E30" i="8" s="1"/>
  <c r="E732" i="1"/>
  <c r="D35" i="8" s="1"/>
  <c r="D289" i="1"/>
  <c r="C25" i="8" s="1"/>
  <c r="I54" i="1"/>
  <c r="I59" i="1"/>
  <c r="D92" i="1"/>
  <c r="C21" i="8" s="1"/>
  <c r="F333" i="1"/>
  <c r="E26" i="8" s="1"/>
  <c r="D333" i="1"/>
  <c r="C26" i="8" s="1"/>
  <c r="E967" i="1"/>
  <c r="D40" i="8" s="1"/>
  <c r="C8" i="8" s="1"/>
  <c r="E1261" i="1"/>
  <c r="D47" i="8" s="1"/>
  <c r="F455" i="1"/>
  <c r="E29" i="8" s="1"/>
  <c r="E1135" i="1"/>
  <c r="D44" i="8" s="1"/>
  <c r="E885" i="1"/>
  <c r="D38" i="8" s="1"/>
  <c r="F409" i="1"/>
  <c r="E28" i="8" s="1"/>
  <c r="F593" i="1"/>
  <c r="E32" i="8" s="1"/>
  <c r="E409" i="1"/>
  <c r="D28" i="8" s="1"/>
  <c r="E639" i="1"/>
  <c r="D33" i="8" s="1"/>
  <c r="E834" i="1"/>
  <c r="D37" i="8" s="1"/>
  <c r="E289" i="1"/>
  <c r="D25" i="8" s="1"/>
  <c r="G639" i="1"/>
  <c r="F33" i="8" s="1"/>
  <c r="H639" i="1"/>
  <c r="G33" i="8" s="1"/>
  <c r="H54" i="1"/>
  <c r="H59" i="1"/>
  <c r="E455" i="1"/>
  <c r="D29" i="8" s="1"/>
  <c r="F639" i="1"/>
  <c r="E33" i="8" s="1"/>
  <c r="G54" i="1"/>
  <c r="G59" i="1"/>
  <c r="E59" i="1"/>
  <c r="E54" i="1"/>
  <c r="F54" i="1"/>
  <c r="F59" i="1"/>
  <c r="L54" i="1" l="1"/>
  <c r="L59" i="1"/>
  <c r="M48" i="1"/>
  <c r="N688" i="1"/>
  <c r="M705" i="1"/>
  <c r="M699" i="1"/>
  <c r="N105" i="1"/>
  <c r="N110" i="1"/>
  <c r="N934" i="1"/>
  <c r="M945" i="1"/>
  <c r="M940" i="1"/>
  <c r="M951" i="1"/>
  <c r="N156" i="1"/>
  <c r="N161" i="1"/>
  <c r="N974" i="1"/>
  <c r="N980" i="1" s="1"/>
  <c r="M980" i="1"/>
  <c r="L389" i="1"/>
  <c r="L384" i="1"/>
  <c r="N384" i="1"/>
  <c r="N565" i="1"/>
  <c r="N560" i="1"/>
  <c r="N302" i="1"/>
  <c r="N307" i="1"/>
  <c r="L560" i="1"/>
  <c r="L565" i="1"/>
  <c r="L307" i="1"/>
  <c r="L302" i="1"/>
  <c r="C7" i="8"/>
  <c r="D7" i="8"/>
  <c r="B5" i="8"/>
  <c r="F371" i="1"/>
  <c r="E27" i="8" s="1"/>
  <c r="N705" i="1" l="1"/>
  <c r="N699" i="1"/>
  <c r="N48" i="1"/>
  <c r="M54" i="1"/>
  <c r="M59" i="1"/>
  <c r="N951" i="1"/>
  <c r="N945" i="1"/>
  <c r="N940" i="1"/>
  <c r="N389" i="1"/>
  <c r="F70" i="1"/>
  <c r="E27" i="6" s="1"/>
  <c r="E371" i="1"/>
  <c r="D27" i="8" s="1"/>
  <c r="N59" i="1" l="1"/>
  <c r="N54" i="1"/>
  <c r="G70" i="1"/>
  <c r="F27" i="6" s="1"/>
  <c r="F44" i="6" s="1"/>
  <c r="F49" i="6" s="1"/>
  <c r="H92" i="1"/>
  <c r="G21" i="8" s="1"/>
  <c r="G88" i="1" l="1"/>
  <c r="G92" i="1" s="1"/>
  <c r="F21" i="8" s="1"/>
  <c r="E241" i="1"/>
  <c r="F241" i="1"/>
  <c r="G194" i="1"/>
  <c r="F23" i="8" s="1"/>
  <c r="H194" i="1"/>
  <c r="G23" i="8" s="1"/>
  <c r="G245" i="1"/>
  <c r="F24" i="8" s="1"/>
  <c r="H245" i="1"/>
  <c r="G24" i="8" s="1"/>
  <c r="E68" i="1"/>
  <c r="D25" i="6" s="1"/>
  <c r="D44" i="6" s="1"/>
  <c r="D49" i="6" s="1"/>
  <c r="F22" i="8" l="1"/>
  <c r="E5" i="8" s="1"/>
  <c r="G22" i="8"/>
  <c r="F5" i="8" s="1"/>
  <c r="F68" i="1"/>
  <c r="E88" i="1"/>
  <c r="E92" i="1" s="1"/>
  <c r="D21" i="8" s="1"/>
  <c r="E245" i="1"/>
  <c r="D24" i="8" s="1"/>
  <c r="E194" i="1"/>
  <c r="D23" i="8" s="1"/>
  <c r="D22" i="8"/>
  <c r="F88" i="1" l="1"/>
  <c r="E25" i="6"/>
  <c r="E44" i="6" s="1"/>
  <c r="E49" i="6" s="1"/>
  <c r="C5" i="8"/>
  <c r="F92" i="1"/>
  <c r="E21" i="8" s="1"/>
  <c r="F245" i="1"/>
  <c r="E24" i="8" s="1"/>
  <c r="F194" i="1"/>
  <c r="E23" i="8" s="1"/>
  <c r="E22" i="8"/>
  <c r="D5" i="8" l="1"/>
  <c r="I534" i="1"/>
  <c r="H31" i="6" s="1"/>
  <c r="I543" i="1" l="1"/>
  <c r="I547" i="1" l="1"/>
  <c r="H31" i="8" s="1"/>
  <c r="I29" i="8"/>
  <c r="H7" i="8" s="1"/>
  <c r="I444" i="1"/>
  <c r="I451" i="1" l="1"/>
  <c r="I455" i="1" s="1"/>
  <c r="H29" i="8" s="1"/>
  <c r="H33" i="6"/>
  <c r="H44" i="6" s="1"/>
  <c r="H49" i="6" s="1"/>
  <c r="G7" i="8"/>
  <c r="N1696" i="1" l="1"/>
  <c r="M56" i="8" s="1"/>
  <c r="L1696" i="1" l="1"/>
  <c r="K56" i="8" s="1"/>
  <c r="L1522" i="1"/>
  <c r="L1523" i="1" s="1"/>
  <c r="L1567" i="1"/>
  <c r="L1568" i="1" s="1"/>
  <c r="L1603" i="1" s="1"/>
  <c r="K54" i="8" s="1"/>
  <c r="L1704" i="1"/>
  <c r="L1705" i="1" s="1"/>
  <c r="L1745" i="1" s="1"/>
  <c r="K57" i="8" s="1"/>
  <c r="L1611" i="1"/>
  <c r="L1612" i="1" s="1"/>
  <c r="L1647" i="1" s="1"/>
  <c r="K55" i="8" s="1"/>
  <c r="L1513" i="1"/>
  <c r="K52" i="8" s="1"/>
  <c r="L1558" i="1" l="1"/>
  <c r="K53" i="8" s="1"/>
  <c r="K14" i="6"/>
  <c r="K49" i="6" s="1"/>
  <c r="J6" i="8"/>
  <c r="L834" i="1"/>
  <c r="K37" i="8" s="1"/>
  <c r="L547" i="1" l="1"/>
  <c r="K31" i="8" s="1"/>
  <c r="L455" i="1" l="1"/>
  <c r="K29" i="8" s="1"/>
  <c r="J7" i="8" s="1"/>
  <c r="L194" i="1"/>
  <c r="K23" i="8" s="1"/>
  <c r="L245" i="1"/>
  <c r="K24" i="8" s="1"/>
  <c r="L143" i="1" l="1"/>
  <c r="K22" i="8" s="1"/>
  <c r="L92" i="1"/>
  <c r="K21" i="8" s="1"/>
  <c r="K547" i="1" l="1"/>
  <c r="J31" i="8" s="1"/>
  <c r="K455" i="1" l="1"/>
  <c r="J29" i="8" s="1"/>
  <c r="I7" i="8" s="1"/>
  <c r="L783" i="1" l="1"/>
  <c r="K36" i="8" s="1"/>
  <c r="L885" i="1"/>
  <c r="K38" i="8" s="1"/>
  <c r="L732" i="1" l="1"/>
  <c r="K35" i="8" s="1"/>
  <c r="J5" i="8" s="1"/>
  <c r="L49" i="6"/>
  <c r="K639" i="1" l="1"/>
  <c r="J33" i="8" s="1"/>
  <c r="I5" i="8" s="1"/>
</calcChain>
</file>

<file path=xl/comments1.xml><?xml version="1.0" encoding="utf-8"?>
<comments xmlns="http://schemas.openxmlformats.org/spreadsheetml/2006/main">
  <authors>
    <author>Zahnow, Jessica</author>
    <author>Kishore, Pooja</author>
  </authors>
  <commentList>
    <comment ref="B52" authorId="0" shapeId="0">
      <text>
        <r>
          <rPr>
            <b/>
            <sz val="9"/>
            <color indexed="81"/>
            <rFont val="Tahoma"/>
            <family val="2"/>
          </rPr>
          <t>Zahnow, Jessica:</t>
        </r>
        <r>
          <rPr>
            <sz val="9"/>
            <color indexed="81"/>
            <rFont val="Tahoma"/>
            <family val="2"/>
          </rPr>
          <t xml:space="preserve">
</t>
        </r>
        <r>
          <rPr>
            <sz val="11"/>
            <color indexed="81"/>
            <rFont val="Tahoma"/>
            <family val="2"/>
          </rPr>
          <t>These values hardcoded due to rounding. WREGIS only recognized whole REC values. Absent rounding issues, the eligible MWh Available for compliance is equal to Total MWh Produced from each resource * Percent of Qualifying MWh Allocated to WA</t>
        </r>
      </text>
    </comment>
    <comment ref="K1478" authorId="1" shapeId="0">
      <text>
        <r>
          <rPr>
            <b/>
            <sz val="9"/>
            <color indexed="81"/>
            <rFont val="Tahoma"/>
            <family val="2"/>
          </rPr>
          <t>Kishore, Pooja:</t>
        </r>
        <r>
          <rPr>
            <sz val="9"/>
            <color indexed="81"/>
            <rFont val="Tahoma"/>
            <family val="2"/>
          </rPr>
          <t xml:space="preserve">
Not full 22% allocated this year, because counterparty did not register in WREGIS until October.</t>
        </r>
      </text>
    </comment>
  </commentList>
</comments>
</file>

<file path=xl/sharedStrings.xml><?xml version="1.0" encoding="utf-8"?>
<sst xmlns="http://schemas.openxmlformats.org/spreadsheetml/2006/main" count="1638" uniqueCount="176">
  <si>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</si>
  <si>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</si>
  <si>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</si>
  <si>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</si>
  <si>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</si>
  <si>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</si>
  <si>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</si>
  <si>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</si>
  <si>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</si>
  <si>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</si>
  <si>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</si>
  <si>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</si>
  <si>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</si>
  <si>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</si>
  <si>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</si>
  <si>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</si>
  <si>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</si>
  <si>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</si>
  <si>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</si>
  <si>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</si>
  <si>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</si>
  <si>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</si>
  <si>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</si>
  <si>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</si>
  <si>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</si>
  <si>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</si>
  <si>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</si>
  <si>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</si>
  <si>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</si>
  <si>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</si>
  <si>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</si>
  <si>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</si>
  <si>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Quantity of RECs Sold</t>
  </si>
  <si>
    <t>Facility Name</t>
  </si>
  <si>
    <t>2011 Surplus Applied to 2012</t>
  </si>
  <si>
    <t>2012 Surplus Applied to 2011</t>
  </si>
  <si>
    <t>2012 Surplus Applied to 2013</t>
  </si>
  <si>
    <t>2013 Surplus Applied to 2012</t>
  </si>
  <si>
    <t>Bonus Incentives Not Realized</t>
  </si>
  <si>
    <t>Total Sold / Transferred / Unrealized</t>
  </si>
  <si>
    <t>Adjustments</t>
  </si>
  <si>
    <t>Facility Types</t>
  </si>
  <si>
    <t>Wind</t>
  </si>
  <si>
    <t>Solar</t>
  </si>
  <si>
    <t>Geothermal</t>
  </si>
  <si>
    <t>Landfill Gas</t>
  </si>
  <si>
    <t>Wave, Ocean, Tidal</t>
  </si>
  <si>
    <t>Biomass</t>
  </si>
  <si>
    <t>Sewage Treatment Gas</t>
  </si>
  <si>
    <t>Water (Incremental Hydro)</t>
  </si>
  <si>
    <t>Facility Type</t>
  </si>
  <si>
    <t>Compliance Contribution by Generation Type</t>
  </si>
  <si>
    <t>Non REC Eligible Generation</t>
  </si>
  <si>
    <t>Biodiesel Fuel</t>
  </si>
  <si>
    <t>Total Quantity from Non REC Eligible Generation</t>
  </si>
  <si>
    <t>Quantity from Non REC Eligible Generation</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</si>
  <si>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</si>
  <si>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</si>
  <si>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</si>
  <si>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</si>
  <si>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</si>
  <si>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</si>
  <si>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</si>
  <si>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</si>
  <si>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</si>
  <si>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</si>
  <si>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</si>
  <si>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</si>
  <si>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</si>
  <si>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</si>
  <si>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</si>
  <si>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</si>
  <si>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</si>
  <si>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</si>
  <si>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</si>
  <si>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</si>
  <si>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</si>
  <si>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</si>
  <si>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</si>
  <si>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</si>
  <si>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</si>
  <si>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</si>
  <si>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</si>
  <si>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</si>
  <si>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</si>
  <si>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</si>
  <si>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</si>
  <si>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</si>
  <si>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</si>
  <si>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</si>
  <si>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</si>
  <si>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</si>
  <si>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</si>
  <si>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</si>
  <si>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</si>
  <si>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</si>
  <si>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</si>
  <si>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</si>
  <si>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</si>
  <si>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</si>
  <si>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</si>
  <si>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</si>
  <si>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</si>
  <si>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</si>
  <si>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SPI Aberdeen - REC Only</t>
  </si>
  <si>
    <t>Hidden Hollow - REC Only</t>
  </si>
  <si>
    <t>W1634</t>
  </si>
  <si>
    <t>W1640</t>
  </si>
  <si>
    <t>W2659</t>
  </si>
  <si>
    <t>Fighting Creek - REC Only</t>
  </si>
  <si>
    <t>*Note: Includes eligible substitute RECs from Power County Wind Park South (WREGIS ID W2533)</t>
  </si>
  <si>
    <t>Lower Snake – Phalen Gulch - REC Only</t>
  </si>
  <si>
    <t>Elkhorn Valley Wind - REC Only</t>
  </si>
  <si>
    <t>Nine Canyon Wind Project - REC Only</t>
  </si>
  <si>
    <t>W2670</t>
  </si>
  <si>
    <t>W684</t>
  </si>
  <si>
    <t>W186</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</si>
  <si>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</si>
  <si>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</si>
  <si>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</si>
  <si>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</si>
  <si>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</si>
  <si>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</si>
  <si>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</si>
  <si>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</si>
  <si>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</si>
  <si>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</si>
  <si>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</si>
  <si>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</si>
  <si>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W3186</t>
  </si>
  <si>
    <t>Condon Wind Power Project - Condon Phase II - REC Only</t>
  </si>
  <si>
    <t>W833</t>
  </si>
  <si>
    <t>Condon Wind Power Project - Condon Wind Power Project - REC Only</t>
  </si>
  <si>
    <t>W774</t>
  </si>
  <si>
    <t>Klondike I - Klondike Wind Power LLC - REC Only</t>
  </si>
  <si>
    <t>W238</t>
  </si>
  <si>
    <t>Meadow Creek Wind Farm - Five Pine Project - REC Only</t>
  </si>
  <si>
    <t>Meadow Creek Wind Farm - North Point Wind Farm - REC Only</t>
  </si>
  <si>
    <t>W3185</t>
  </si>
  <si>
    <t>Nine Canyon Wind Project - Nine Canyon Phase 3 - REC Only</t>
  </si>
  <si>
    <t>W697</t>
  </si>
  <si>
    <t>Stateline (WA) - FPL Energy Vansycle LLC - REC Only</t>
  </si>
  <si>
    <t>W248</t>
  </si>
  <si>
    <t>Adams Solar</t>
  </si>
  <si>
    <t>Bear Creek Solar</t>
  </si>
  <si>
    <t>Bly Solar</t>
  </si>
  <si>
    <t>Elbe Solar</t>
  </si>
  <si>
    <t>Enterprise Solar</t>
  </si>
  <si>
    <t>Pavant Solar</t>
  </si>
  <si>
    <t>W4619</t>
  </si>
  <si>
    <t>W4938</t>
  </si>
  <si>
    <t>Element Markets - REC Only</t>
  </si>
  <si>
    <t>2018 Surplus Applied to 2017</t>
  </si>
  <si>
    <t>2018 Surplus Applied to 2019</t>
  </si>
  <si>
    <t>2019 Surplus Applied to 2018</t>
  </si>
  <si>
    <t>2019 Surplus Applied to 2020</t>
  </si>
  <si>
    <t>2020 Surplus Applied to 2019</t>
  </si>
  <si>
    <t>2020 Surplus Applied to 2021</t>
  </si>
  <si>
    <t>Allocation Factors:</t>
  </si>
  <si>
    <r>
      <rPr>
        <b/>
        <sz val="11"/>
        <color theme="1"/>
        <rFont val="Calibri"/>
        <family val="2"/>
      </rPr>
      <t>Note 1</t>
    </r>
    <r>
      <rPr>
        <sz val="11"/>
        <color theme="1"/>
        <rFont val="Calibri"/>
        <family val="2"/>
      </rPr>
      <t>: Any surplus or deficit in row 43 (RCW 19.285 Compliance Surplus / (Deficit)) is a result of rounding in the Facility Detail tab. The correct target amount of RECs have been/will be retired for all compliance years.</t>
    </r>
  </si>
  <si>
    <t>W7039</t>
  </si>
  <si>
    <t>W7047</t>
  </si>
  <si>
    <t>W7046</t>
  </si>
  <si>
    <t>W7044</t>
  </si>
  <si>
    <t>Granite Mountain - East</t>
  </si>
  <si>
    <t>Granite Mountain - West</t>
  </si>
  <si>
    <t>W4942</t>
  </si>
  <si>
    <t>W4943</t>
  </si>
  <si>
    <t>Granite Mountain East</t>
  </si>
  <si>
    <t>Granite Mountain West</t>
  </si>
  <si>
    <t>2010 - 2019 actual retail sales. 2020 load forecast based on 2019 IRP progress report.</t>
  </si>
  <si>
    <t>2011 - 2019 is based on actual generation or REC purchase data. Generation forecast begins February 2020.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</si>
  <si>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 xml:space="preserve">2011 - 2019 actual System Generation (SG) and Control Area Generation West (CAGW) allocation factors. Forecast factors (2020 onward). </t>
  </si>
  <si>
    <t>2021 Surplus Applied to 2020</t>
  </si>
  <si>
    <t>2021 Surplus Applied to 2022</t>
  </si>
  <si>
    <t>PacifiCorp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</si>
</sst>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9">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sz val="11"/>
      <color theme="5"/>
      <name val="Calibri"/>
      <family val="2"/>
    </font>
    <font>
      <sz val="9"/>
      <color indexed="81"/>
      <name val="Tahoma"/>
      <family val="2"/>
    </font>
    <font>
      <b/>
      <sz val="9"/>
      <color indexed="81"/>
      <name val="Tahoma"/>
      <family val="2"/>
    </font>
    <font>
      <sz val="10"/>
      <name val="MS Sans Serif"/>
      <family val="2"/>
    </font>
    <font>
      <b/>
      <sz val="14"/>
      <color rgb="FFFF0000"/>
      <name val="Calibri"/>
      <family val="2"/>
    </font>
    <font>
      <sz val="11"/>
      <color theme="1"/>
      <name val="Calibri"/>
      <family val="2"/>
    </font>
    <font>
      <b/>
      <sz val="11"/>
      <color theme="1"/>
      <name val="Calibri"/>
      <family val="2"/>
    </font>
    <font>
      <b/>
      <sz val="22"/>
      <color rgb="FFFF0000"/>
      <name val="Calibri"/>
      <family val="2"/>
    </font>
    <font>
      <sz val="11"/>
      <color indexed="81"/>
      <name val="Tahoma"/>
      <family val="2"/>
    </font>
    <font>
      <b/>
      <sz val="10"/>
      <color rgb="FFFF0000"/>
      <name val="Calibri"/>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s>
  <borders count="6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0" fontId="32" fillId="0" borderId="0" applyFont="0" applyFill="0" applyBorder="0" applyAlignment="0" applyProtection="0"/>
  </cellStyleXfs>
  <cellXfs count="407">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2" applyFont="1" applyFill="1" applyBorder="1" applyAlignment="1">
      <alignment horizontal="right"/>
    </xf>
    <xf numFmtId="9" fontId="2" fillId="2" borderId="12" xfId="2" applyFont="1" applyFill="1" applyBorder="1"/>
    <xf numFmtId="9" fontId="2" fillId="2" borderId="18" xfId="2"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9" fontId="2" fillId="0" borderId="12" xfId="2"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8" fillId="0" borderId="0" xfId="0" applyFont="1"/>
    <xf numFmtId="0" fontId="9" fillId="0" borderId="0" xfId="0" applyFont="1"/>
    <xf numFmtId="0" fontId="9" fillId="0" borderId="0" xfId="0" applyFont="1" applyAlignment="1">
      <alignment horizontal="center"/>
    </xf>
    <xf numFmtId="0" fontId="9" fillId="0" borderId="6" xfId="0" applyFont="1" applyBorder="1"/>
    <xf numFmtId="164" fontId="9" fillId="0" borderId="1" xfId="1" applyNumberFormat="1" applyFont="1" applyBorder="1"/>
    <xf numFmtId="164" fontId="9" fillId="0" borderId="2" xfId="1" applyNumberFormat="1" applyFont="1" applyBorder="1"/>
    <xf numFmtId="164" fontId="9" fillId="0" borderId="10" xfId="1" applyNumberFormat="1" applyFont="1" applyBorder="1"/>
    <xf numFmtId="164" fontId="9" fillId="0" borderId="5" xfId="1" applyNumberFormat="1" applyFont="1" applyBorder="1"/>
    <xf numFmtId="164" fontId="9" fillId="0" borderId="11" xfId="1" applyNumberFormat="1" applyFont="1" applyBorder="1"/>
    <xf numFmtId="164" fontId="9" fillId="0" borderId="12" xfId="1" applyNumberFormat="1" applyFont="1" applyBorder="1"/>
    <xf numFmtId="0" fontId="10" fillId="0" borderId="0" xfId="0" applyFont="1" applyAlignment="1">
      <alignment horizontal="center"/>
    </xf>
    <xf numFmtId="0" fontId="10" fillId="0" borderId="0" xfId="0" applyFont="1" applyAlignment="1">
      <alignment horizontal="left"/>
    </xf>
    <xf numFmtId="0" fontId="11" fillId="0" borderId="0" xfId="0" applyFont="1"/>
    <xf numFmtId="0" fontId="12" fillId="0" borderId="0" xfId="0" applyFont="1"/>
    <xf numFmtId="164" fontId="12" fillId="0" borderId="0" xfId="1" applyNumberFormat="1" applyFont="1"/>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4" fillId="4" borderId="0" xfId="0" applyFont="1" applyFill="1"/>
    <xf numFmtId="0" fontId="0" fillId="7" borderId="0" xfId="0" applyFill="1"/>
    <xf numFmtId="0" fontId="0" fillId="4" borderId="0" xfId="0" applyFill="1" applyProtection="1">
      <protection locked="0"/>
    </xf>
    <xf numFmtId="0" fontId="18" fillId="4" borderId="0" xfId="0" applyFont="1" applyFill="1" applyProtection="1">
      <protection locked="0"/>
    </xf>
    <xf numFmtId="0" fontId="20" fillId="4" borderId="0" xfId="0" applyFont="1" applyFill="1" applyAlignment="1" applyProtection="1">
      <alignment vertical="center" wrapText="1"/>
      <protection locked="0"/>
    </xf>
    <xf numFmtId="0" fontId="0" fillId="4" borderId="0" xfId="0" applyFill="1" applyBorder="1"/>
    <xf numFmtId="0" fontId="16"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2" applyNumberFormat="1" applyFont="1" applyFill="1" applyBorder="1"/>
    <xf numFmtId="167" fontId="2" fillId="0" borderId="0" xfId="0" applyNumberFormat="1" applyFont="1" applyFill="1" applyBorder="1" applyAlignment="1">
      <alignment horizontal="center"/>
    </xf>
    <xf numFmtId="164" fontId="2" fillId="0" borderId="33" xfId="1" applyNumberFormat="1" applyFont="1" applyBorder="1"/>
    <xf numFmtId="164" fontId="2" fillId="2" borderId="31" xfId="1" applyNumberFormat="1" applyFont="1" applyFill="1" applyBorder="1" applyAlignment="1"/>
    <xf numFmtId="164" fontId="2" fillId="2" borderId="32" xfId="1" applyNumberFormat="1" applyFont="1" applyFill="1" applyBorder="1" applyAlignment="1"/>
    <xf numFmtId="164" fontId="2" fillId="2" borderId="33"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4"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39" xfId="1" applyNumberFormat="1" applyFont="1" applyFill="1" applyBorder="1" applyAlignment="1"/>
    <xf numFmtId="164" fontId="2" fillId="2" borderId="35" xfId="1" applyNumberFormat="1" applyFont="1" applyFill="1" applyBorder="1" applyAlignment="1"/>
    <xf numFmtId="164" fontId="2" fillId="2" borderId="37"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1" xfId="1" applyNumberFormat="1" applyFont="1" applyFill="1" applyBorder="1"/>
    <xf numFmtId="164" fontId="7" fillId="6" borderId="41" xfId="1" applyNumberFormat="1" applyFont="1" applyFill="1" applyBorder="1"/>
    <xf numFmtId="164" fontId="2" fillId="9" borderId="42" xfId="1" applyNumberFormat="1" applyFont="1" applyFill="1" applyBorder="1"/>
    <xf numFmtId="164" fontId="2" fillId="2" borderId="5" xfId="2"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5" xfId="1" applyNumberFormat="1" applyFont="1" applyFill="1" applyBorder="1"/>
    <xf numFmtId="164" fontId="2" fillId="7" borderId="44" xfId="1" applyNumberFormat="1" applyFont="1" applyFill="1" applyBorder="1"/>
    <xf numFmtId="9" fontId="2" fillId="2" borderId="46" xfId="2"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6" xfId="0" applyFont="1" applyBorder="1" applyAlignment="1">
      <alignment horizontal="center"/>
    </xf>
    <xf numFmtId="168" fontId="2" fillId="0" borderId="25" xfId="1" applyNumberFormat="1" applyFont="1" applyBorder="1"/>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6" xfId="1" applyNumberFormat="1" applyFont="1" applyBorder="1"/>
    <xf numFmtId="164" fontId="2" fillId="9" borderId="47" xfId="1" applyNumberFormat="1" applyFont="1" applyFill="1" applyBorder="1"/>
    <xf numFmtId="164" fontId="2" fillId="0" borderId="48" xfId="1" applyNumberFormat="1" applyFont="1" applyFill="1" applyBorder="1"/>
    <xf numFmtId="164" fontId="2" fillId="9" borderId="49" xfId="1" applyNumberFormat="1" applyFont="1" applyFill="1" applyBorder="1"/>
    <xf numFmtId="0" fontId="1" fillId="0" borderId="0" xfId="0" applyFont="1" applyBorder="1" applyAlignment="1"/>
    <xf numFmtId="164" fontId="2" fillId="2" borderId="38" xfId="1" applyNumberFormat="1" applyFont="1" applyFill="1" applyBorder="1"/>
    <xf numFmtId="0" fontId="1" fillId="0" borderId="23" xfId="0" applyFont="1" applyBorder="1" applyAlignment="1"/>
    <xf numFmtId="0" fontId="24" fillId="0" borderId="0" xfId="0" applyFont="1"/>
    <xf numFmtId="0" fontId="25" fillId="0" borderId="0" xfId="0" applyFont="1" applyAlignment="1">
      <alignment horizontal="right"/>
    </xf>
    <xf numFmtId="164" fontId="2" fillId="9" borderId="0" xfId="1" applyNumberFormat="1" applyFont="1" applyFill="1" applyBorder="1"/>
    <xf numFmtId="9" fontId="2" fillId="2" borderId="28" xfId="2" applyFont="1" applyFill="1" applyBorder="1"/>
    <xf numFmtId="164" fontId="2" fillId="0" borderId="28" xfId="1" applyNumberFormat="1" applyFont="1" applyBorder="1"/>
    <xf numFmtId="164" fontId="3" fillId="0" borderId="0" xfId="1" applyNumberFormat="1" applyFont="1" applyBorder="1"/>
    <xf numFmtId="9" fontId="2" fillId="2" borderId="5" xfId="2" applyFont="1" applyFill="1" applyBorder="1"/>
    <xf numFmtId="9" fontId="2" fillId="2" borderId="37" xfId="2" applyFont="1" applyFill="1" applyBorder="1"/>
    <xf numFmtId="164" fontId="2" fillId="0" borderId="39" xfId="1" applyNumberFormat="1" applyFont="1" applyBorder="1"/>
    <xf numFmtId="164" fontId="2" fillId="0" borderId="37" xfId="1" applyNumberFormat="1" applyFont="1" applyBorder="1"/>
    <xf numFmtId="164" fontId="7" fillId="6" borderId="50" xfId="1" applyNumberFormat="1" applyFont="1" applyFill="1" applyBorder="1"/>
    <xf numFmtId="164" fontId="2" fillId="0" borderId="38" xfId="1" applyNumberFormat="1" applyFont="1" applyBorder="1"/>
    <xf numFmtId="164" fontId="2" fillId="2" borderId="39" xfId="1" applyNumberFormat="1" applyFont="1" applyFill="1" applyBorder="1"/>
    <xf numFmtId="9" fontId="2" fillId="2" borderId="35" xfId="2" applyFont="1" applyFill="1" applyBorder="1"/>
    <xf numFmtId="9" fontId="2" fillId="2" borderId="42" xfId="2" applyFont="1" applyFill="1" applyBorder="1"/>
    <xf numFmtId="164" fontId="2" fillId="0" borderId="46" xfId="1" applyNumberFormat="1" applyFont="1" applyBorder="1"/>
    <xf numFmtId="9" fontId="2" fillId="2" borderId="27" xfId="2" applyFont="1" applyFill="1" applyBorder="1"/>
    <xf numFmtId="9" fontId="2" fillId="2" borderId="40" xfId="2" applyFont="1" applyFill="1" applyBorder="1"/>
    <xf numFmtId="9" fontId="2" fillId="2" borderId="43" xfId="2" applyFont="1" applyFill="1" applyBorder="1"/>
    <xf numFmtId="164" fontId="27" fillId="0" borderId="0" xfId="1" applyNumberFormat="1" applyFont="1" applyFill="1" applyBorder="1"/>
    <xf numFmtId="164" fontId="13" fillId="2" borderId="30" xfId="1" applyNumberFormat="1" applyFont="1" applyFill="1" applyBorder="1"/>
    <xf numFmtId="164" fontId="13" fillId="2" borderId="16" xfId="1" applyNumberFormat="1" applyFont="1" applyFill="1" applyBorder="1"/>
    <xf numFmtId="164" fontId="27" fillId="0" borderId="0" xfId="1" applyNumberFormat="1" applyFont="1"/>
    <xf numFmtId="0" fontId="28" fillId="0" borderId="14" xfId="0" applyFont="1" applyFill="1" applyBorder="1" applyAlignment="1">
      <alignment horizontal="centerContinuous"/>
    </xf>
    <xf numFmtId="164" fontId="2" fillId="7" borderId="12" xfId="1" applyNumberFormat="1" applyFont="1" applyFill="1" applyBorder="1"/>
    <xf numFmtId="0" fontId="2" fillId="0" borderId="52" xfId="0" applyFont="1" applyBorder="1"/>
    <xf numFmtId="164" fontId="2" fillId="7" borderId="53" xfId="1" applyNumberFormat="1" applyFont="1" applyFill="1" applyBorder="1"/>
    <xf numFmtId="164" fontId="2" fillId="9" borderId="34" xfId="1" applyNumberFormat="1" applyFont="1" applyFill="1" applyBorder="1"/>
    <xf numFmtId="164" fontId="2" fillId="11" borderId="34" xfId="1" applyNumberFormat="1" applyFont="1" applyFill="1" applyBorder="1"/>
    <xf numFmtId="164" fontId="2" fillId="0" borderId="34" xfId="1" applyNumberFormat="1" applyFont="1" applyFill="1" applyBorder="1"/>
    <xf numFmtId="164" fontId="3" fillId="0" borderId="36" xfId="1" applyNumberFormat="1" applyFont="1" applyBorder="1"/>
    <xf numFmtId="164" fontId="3" fillId="0" borderId="30" xfId="1" applyNumberFormat="1" applyFont="1" applyBorder="1"/>
    <xf numFmtId="164" fontId="9" fillId="0" borderId="20" xfId="1" applyNumberFormat="1" applyFont="1" applyBorder="1"/>
    <xf numFmtId="164" fontId="9" fillId="0" borderId="43" xfId="1" applyNumberFormat="1" applyFont="1" applyBorder="1"/>
    <xf numFmtId="164" fontId="9" fillId="0" borderId="35" xfId="1" applyNumberFormat="1" applyFont="1" applyBorder="1"/>
    <xf numFmtId="164" fontId="9" fillId="0" borderId="39" xfId="1" applyNumberFormat="1" applyFont="1" applyBorder="1"/>
    <xf numFmtId="164" fontId="9" fillId="0" borderId="47" xfId="1" applyNumberFormat="1" applyFont="1" applyBorder="1"/>
    <xf numFmtId="164" fontId="9" fillId="0" borderId="54" xfId="1" applyNumberFormat="1" applyFont="1" applyBorder="1"/>
    <xf numFmtId="164" fontId="9" fillId="0" borderId="36" xfId="1" applyNumberFormat="1" applyFont="1" applyBorder="1"/>
    <xf numFmtId="164" fontId="9" fillId="0" borderId="55" xfId="1" applyNumberFormat="1" applyFont="1" applyBorder="1"/>
    <xf numFmtId="164" fontId="9" fillId="0" borderId="56" xfId="1" applyNumberFormat="1" applyFont="1" applyBorder="1"/>
    <xf numFmtId="164" fontId="9" fillId="0" borderId="57" xfId="1" applyNumberFormat="1" applyFont="1" applyBorder="1"/>
    <xf numFmtId="164" fontId="9" fillId="0" borderId="34" xfId="1" applyNumberFormat="1" applyFont="1" applyBorder="1"/>
    <xf numFmtId="0" fontId="2" fillId="0" borderId="0" xfId="0" applyFont="1" applyAlignment="1">
      <alignment wrapText="1"/>
    </xf>
    <xf numFmtId="168" fontId="2" fillId="0" borderId="58" xfId="1" applyNumberFormat="1" applyFont="1" applyBorder="1"/>
    <xf numFmtId="168" fontId="2" fillId="0" borderId="48" xfId="1" applyNumberFormat="1" applyFont="1" applyFill="1" applyBorder="1" applyAlignment="1">
      <alignment horizontal="center" vertical="center"/>
    </xf>
    <xf numFmtId="168" fontId="2" fillId="0" borderId="28" xfId="1" applyNumberFormat="1" applyFont="1" applyFill="1" applyBorder="1" applyAlignment="1">
      <alignment horizontal="center" vertical="center"/>
    </xf>
    <xf numFmtId="164" fontId="2" fillId="9" borderId="27" xfId="1" applyNumberFormat="1" applyFont="1" applyFill="1" applyBorder="1"/>
    <xf numFmtId="164" fontId="2" fillId="0"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8" fontId="2" fillId="0" borderId="26" xfId="1" applyNumberFormat="1" applyFont="1" applyFill="1" applyBorder="1" applyAlignment="1">
      <alignment horizontal="center"/>
    </xf>
    <xf numFmtId="37" fontId="23" fillId="6" borderId="16" xfId="1" applyNumberFormat="1" applyFont="1" applyFill="1" applyBorder="1" applyAlignment="1">
      <alignment horizontal="center" vertical="center"/>
    </xf>
    <xf numFmtId="164" fontId="13" fillId="9" borderId="20"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2" applyFont="1" applyFill="1" applyBorder="1" applyAlignment="1"/>
    <xf numFmtId="9" fontId="2" fillId="2" borderId="20" xfId="2" applyFont="1" applyFill="1" applyBorder="1" applyAlignment="1"/>
    <xf numFmtId="9" fontId="2" fillId="2" borderId="5" xfId="2" applyFont="1" applyFill="1" applyBorder="1" applyAlignment="1"/>
    <xf numFmtId="9" fontId="2" fillId="2" borderId="11" xfId="2" applyFont="1" applyFill="1" applyBorder="1" applyAlignment="1"/>
    <xf numFmtId="9" fontId="2" fillId="2" borderId="12" xfId="2" applyFont="1" applyFill="1" applyBorder="1" applyAlignment="1"/>
    <xf numFmtId="9" fontId="2" fillId="2" borderId="33" xfId="2" applyFont="1" applyFill="1" applyBorder="1" applyAlignment="1"/>
    <xf numFmtId="9" fontId="2" fillId="2" borderId="21" xfId="2" applyFont="1" applyFill="1" applyBorder="1" applyAlignment="1"/>
    <xf numFmtId="164" fontId="2" fillId="0" borderId="1" xfId="1" applyNumberFormat="1" applyFont="1" applyBorder="1"/>
    <xf numFmtId="0" fontId="2" fillId="2" borderId="1" xfId="0" applyFont="1" applyFill="1" applyBorder="1" applyAlignment="1">
      <alignment horizontal="left"/>
    </xf>
    <xf numFmtId="0" fontId="2" fillId="2" borderId="10" xfId="0" applyFont="1" applyFill="1" applyBorder="1" applyAlignment="1">
      <alignment horizontal="left"/>
    </xf>
    <xf numFmtId="0" fontId="2" fillId="0"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7" borderId="3"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2"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9" borderId="22" xfId="1" applyNumberFormat="1" applyFont="1" applyFill="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10" borderId="18" xfId="1" applyNumberFormat="1" applyFont="1" applyFill="1" applyBorder="1" applyAlignment="1">
      <alignment horizontal="center"/>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164" fontId="7" fillId="6" borderId="17" xfId="1" applyNumberFormat="1" applyFont="1" applyFill="1" applyBorder="1" applyAlignment="1">
      <alignment horizontal="center"/>
    </xf>
    <xf numFmtId="0" fontId="2" fillId="2" borderId="11" xfId="0" applyFont="1" applyFill="1" applyBorder="1" applyAlignment="1">
      <alignment horizontal="left"/>
    </xf>
    <xf numFmtId="164" fontId="9" fillId="0" borderId="25" xfId="1" applyNumberFormat="1" applyFont="1" applyBorder="1"/>
    <xf numFmtId="164" fontId="9" fillId="0" borderId="37" xfId="1" applyNumberFormat="1" applyFont="1" applyBorder="1"/>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164" fontId="2" fillId="11" borderId="2" xfId="1" applyNumberFormat="1" applyFont="1" applyFill="1" applyBorder="1" applyAlignment="1"/>
    <xf numFmtId="164" fontId="2" fillId="2" borderId="0" xfId="1" applyNumberFormat="1" applyFont="1" applyFill="1" applyBorder="1" applyAlignment="1"/>
    <xf numFmtId="164" fontId="2" fillId="2" borderId="0" xfId="1" applyNumberFormat="1" applyFont="1" applyFill="1" applyBorder="1"/>
    <xf numFmtId="164" fontId="3" fillId="4" borderId="0" xfId="1" applyNumberFormat="1" applyFont="1" applyFill="1" applyBorder="1"/>
    <xf numFmtId="9" fontId="2" fillId="2" borderId="0" xfId="2" applyFont="1" applyFill="1" applyBorder="1"/>
    <xf numFmtId="164" fontId="2" fillId="7" borderId="0" xfId="1" applyNumberFormat="1" applyFont="1" applyFill="1" applyBorder="1" applyAlignment="1">
      <alignment horizontal="center"/>
    </xf>
    <xf numFmtId="164" fontId="2" fillId="9" borderId="0" xfId="1" applyNumberFormat="1" applyFont="1" applyFill="1" applyBorder="1" applyAlignment="1">
      <alignment horizontal="center"/>
    </xf>
    <xf numFmtId="164" fontId="2" fillId="2" borderId="0" xfId="1" applyNumberFormat="1" applyFont="1" applyFill="1" applyBorder="1" applyAlignment="1">
      <alignment horizontal="center"/>
    </xf>
    <xf numFmtId="164" fontId="7" fillId="6" borderId="0" xfId="1" applyNumberFormat="1" applyFont="1" applyFill="1" applyBorder="1" applyAlignment="1">
      <alignment horizontal="center"/>
    </xf>
    <xf numFmtId="164" fontId="3" fillId="10" borderId="13" xfId="1" applyNumberFormat="1" applyFont="1" applyFill="1" applyBorder="1"/>
    <xf numFmtId="164" fontId="2" fillId="11" borderId="3" xfId="1" applyNumberFormat="1" applyFont="1" applyFill="1" applyBorder="1" applyAlignment="1"/>
    <xf numFmtId="9" fontId="2" fillId="2" borderId="18" xfId="2" applyFont="1" applyFill="1" applyBorder="1" applyAlignment="1"/>
    <xf numFmtId="164" fontId="29" fillId="10" borderId="5" xfId="1" applyNumberFormat="1" applyFont="1" applyFill="1" applyBorder="1"/>
    <xf numFmtId="164" fontId="3" fillId="0" borderId="13" xfId="1" applyNumberFormat="1" applyFont="1" applyFill="1" applyBorder="1"/>
    <xf numFmtId="164" fontId="2" fillId="11" borderId="2" xfId="1" applyNumberFormat="1" applyFont="1" applyFill="1" applyBorder="1"/>
    <xf numFmtId="164" fontId="3" fillId="0" borderId="0" xfId="1" applyNumberFormat="1" applyFont="1" applyFill="1"/>
    <xf numFmtId="0" fontId="2" fillId="0" borderId="0" xfId="0" applyFont="1" applyFill="1"/>
    <xf numFmtId="164" fontId="2" fillId="7" borderId="21" xfId="1" applyNumberFormat="1" applyFont="1" applyFill="1" applyBorder="1"/>
    <xf numFmtId="164" fontId="2" fillId="9" borderId="21" xfId="1" applyNumberFormat="1" applyFont="1" applyFill="1" applyBorder="1"/>
    <xf numFmtId="9" fontId="2" fillId="11" borderId="20" xfId="2" applyFont="1" applyFill="1" applyBorder="1"/>
    <xf numFmtId="9" fontId="2" fillId="11" borderId="21" xfId="2" applyFont="1" applyFill="1" applyBorder="1"/>
    <xf numFmtId="41" fontId="3" fillId="0" borderId="13" xfId="1" applyNumberFormat="1" applyFont="1" applyFill="1" applyBorder="1"/>
    <xf numFmtId="164" fontId="3" fillId="0" borderId="0" xfId="1" applyNumberFormat="1" applyFont="1" applyFill="1" applyAlignment="1">
      <alignment horizontal="center"/>
    </xf>
    <xf numFmtId="164" fontId="3" fillId="0" borderId="13" xfId="1" applyNumberFormat="1" applyFont="1" applyBorder="1" applyAlignment="1">
      <alignment horizontal="center"/>
    </xf>
    <xf numFmtId="164" fontId="3" fillId="0" borderId="30" xfId="1" applyNumberFormat="1" applyFont="1" applyBorder="1" applyAlignment="1">
      <alignment horizontal="center"/>
    </xf>
    <xf numFmtId="0" fontId="2" fillId="0" borderId="0" xfId="0" applyFont="1" applyFill="1" applyAlignment="1">
      <alignment horizontal="center"/>
    </xf>
    <xf numFmtId="164" fontId="2" fillId="0" borderId="18" xfId="1" applyNumberFormat="1" applyFont="1" applyFill="1" applyBorder="1"/>
    <xf numFmtId="164" fontId="2" fillId="9" borderId="18" xfId="1" applyNumberFormat="1" applyFont="1" applyFill="1" applyBorder="1"/>
    <xf numFmtId="164" fontId="2" fillId="11" borderId="39" xfId="1" applyNumberFormat="1" applyFont="1" applyFill="1" applyBorder="1"/>
    <xf numFmtId="164" fontId="13" fillId="2" borderId="17" xfId="1" applyNumberFormat="1" applyFont="1" applyFill="1" applyBorder="1"/>
    <xf numFmtId="164" fontId="2" fillId="7" borderId="18" xfId="1" applyNumberFormat="1" applyFont="1" applyFill="1" applyBorder="1"/>
    <xf numFmtId="9" fontId="2" fillId="11" borderId="12" xfId="2" applyFont="1" applyFill="1" applyBorder="1"/>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2" applyFont="1" applyFill="1" applyBorder="1" applyAlignment="1">
      <alignment horizontal="center"/>
    </xf>
    <xf numFmtId="168" fontId="2" fillId="0" borderId="0" xfId="0" applyNumberFormat="1" applyFont="1" applyFill="1"/>
    <xf numFmtId="164" fontId="2" fillId="0" borderId="26" xfId="1" applyNumberFormat="1" applyFont="1" applyFill="1" applyBorder="1"/>
    <xf numFmtId="168" fontId="2" fillId="0" borderId="58" xfId="1" applyNumberFormat="1" applyFont="1" applyFill="1" applyBorder="1"/>
    <xf numFmtId="164" fontId="7" fillId="12" borderId="16" xfId="1" applyNumberFormat="1" applyFont="1" applyFill="1" applyBorder="1" applyAlignment="1">
      <alignment horizontal="center"/>
    </xf>
    <xf numFmtId="164" fontId="7" fillId="12" borderId="15" xfId="1" applyNumberFormat="1" applyFont="1" applyFill="1" applyBorder="1" applyAlignment="1">
      <alignment horizontal="center"/>
    </xf>
    <xf numFmtId="164" fontId="2" fillId="11" borderId="0" xfId="1" applyNumberFormat="1" applyFont="1" applyFill="1" applyBorder="1"/>
    <xf numFmtId="164" fontId="3" fillId="4" borderId="0" xfId="1" applyNumberFormat="1" applyFont="1" applyFill="1" applyBorder="1" applyAlignment="1"/>
    <xf numFmtId="164" fontId="3" fillId="0" borderId="0" xfId="1" applyNumberFormat="1" applyFont="1" applyFill="1" applyBorder="1" applyAlignment="1"/>
    <xf numFmtId="9" fontId="2" fillId="2" borderId="59" xfId="2" applyFont="1" applyFill="1" applyBorder="1" applyAlignment="1"/>
    <xf numFmtId="164" fontId="2" fillId="10" borderId="36" xfId="1" applyNumberFormat="1" applyFont="1" applyFill="1" applyBorder="1"/>
    <xf numFmtId="164" fontId="2" fillId="10" borderId="18" xfId="1" applyNumberFormat="1" applyFont="1" applyFill="1" applyBorder="1"/>
    <xf numFmtId="164" fontId="3" fillId="10" borderId="0" xfId="1" applyNumberFormat="1" applyFont="1" applyFill="1"/>
    <xf numFmtId="164" fontId="2" fillId="11" borderId="27" xfId="1" applyNumberFormat="1" applyFont="1" applyFill="1" applyBorder="1" applyAlignment="1">
      <alignment vertical="center"/>
    </xf>
    <xf numFmtId="164" fontId="2" fillId="10" borderId="5" xfId="1" applyNumberFormat="1" applyFont="1" applyFill="1" applyBorder="1" applyAlignment="1">
      <alignment vertical="center"/>
    </xf>
    <xf numFmtId="0" fontId="6" fillId="0" borderId="7" xfId="0" applyFont="1" applyFill="1" applyBorder="1" applyAlignment="1">
      <alignment horizontal="left"/>
    </xf>
    <xf numFmtId="0" fontId="2" fillId="0" borderId="0" xfId="0" applyFont="1" applyFill="1" applyAlignment="1">
      <alignment wrapText="1"/>
    </xf>
    <xf numFmtId="0" fontId="2" fillId="0" borderId="0" xfId="0" applyFont="1" applyFill="1" applyAlignment="1"/>
    <xf numFmtId="0" fontId="33" fillId="0" borderId="0" xfId="0" applyFont="1" applyFill="1" applyAlignment="1">
      <alignment wrapText="1"/>
    </xf>
    <xf numFmtId="0" fontId="36" fillId="0" borderId="0" xfId="0" applyFont="1" applyFill="1" applyAlignment="1">
      <alignment wrapText="1"/>
    </xf>
    <xf numFmtId="43" fontId="2" fillId="0" borderId="0" xfId="1" applyNumberFormat="1" applyFont="1" applyFill="1" applyBorder="1"/>
    <xf numFmtId="0" fontId="2" fillId="2" borderId="19" xfId="0" applyFont="1" applyFill="1" applyBorder="1" applyAlignment="1">
      <alignment horizontal="left"/>
    </xf>
    <xf numFmtId="0" fontId="2" fillId="2" borderId="20" xfId="0" applyFont="1" applyFill="1" applyBorder="1" applyAlignment="1">
      <alignment horizontal="center"/>
    </xf>
    <xf numFmtId="0" fontId="2" fillId="3" borderId="20" xfId="0" applyFont="1" applyFill="1" applyBorder="1" applyAlignment="1">
      <alignment horizontal="center"/>
    </xf>
    <xf numFmtId="0" fontId="2" fillId="3" borderId="48" xfId="0" applyFont="1" applyFill="1" applyBorder="1" applyAlignment="1">
      <alignment horizontal="center"/>
    </xf>
    <xf numFmtId="43" fontId="3" fillId="4" borderId="13" xfId="1" applyNumberFormat="1" applyFont="1" applyFill="1" applyBorder="1"/>
    <xf numFmtId="164" fontId="2" fillId="9" borderId="36" xfId="1" applyNumberFormat="1" applyFont="1" applyFill="1" applyBorder="1"/>
    <xf numFmtId="164" fontId="13" fillId="7" borderId="2" xfId="1" applyNumberFormat="1" applyFont="1" applyFill="1" applyBorder="1"/>
    <xf numFmtId="164" fontId="13" fillId="7" borderId="5" xfId="1" applyNumberFormat="1" applyFont="1" applyFill="1" applyBorder="1"/>
    <xf numFmtId="164" fontId="13" fillId="9" borderId="5" xfId="1" applyNumberFormat="1" applyFont="1" applyFill="1" applyBorder="1"/>
    <xf numFmtId="43" fontId="6" fillId="10" borderId="29" xfId="0" applyNumberFormat="1" applyFont="1" applyFill="1" applyBorder="1" applyAlignment="1">
      <alignment vertical="center"/>
    </xf>
    <xf numFmtId="43" fontId="6" fillId="10" borderId="30" xfId="0" applyNumberFormat="1" applyFont="1" applyFill="1" applyBorder="1" applyAlignment="1">
      <alignment vertical="center"/>
    </xf>
    <xf numFmtId="43" fontId="6" fillId="10" borderId="14" xfId="0" applyNumberFormat="1" applyFont="1" applyFill="1" applyBorder="1" applyAlignment="1">
      <alignment vertical="center"/>
    </xf>
    <xf numFmtId="164" fontId="13" fillId="7" borderId="26" xfId="1" applyNumberFormat="1" applyFont="1" applyFill="1" applyBorder="1"/>
    <xf numFmtId="164" fontId="13" fillId="7" borderId="27" xfId="1" applyNumberFormat="1" applyFont="1" applyFill="1" applyBorder="1"/>
    <xf numFmtId="164" fontId="38" fillId="7" borderId="5" xfId="1" applyNumberFormat="1" applyFont="1" applyFill="1" applyBorder="1" applyAlignment="1">
      <alignment horizontal="right"/>
    </xf>
    <xf numFmtId="164" fontId="13" fillId="9" borderId="27" xfId="1" applyNumberFormat="1" applyFont="1" applyFill="1" applyBorder="1"/>
    <xf numFmtId="164" fontId="13" fillId="7" borderId="20" xfId="1" applyNumberFormat="1" applyFont="1" applyFill="1" applyBorder="1"/>
    <xf numFmtId="164" fontId="13" fillId="0" borderId="20" xfId="1" applyNumberFormat="1" applyFont="1" applyFill="1" applyBorder="1"/>
    <xf numFmtId="164" fontId="2" fillId="7" borderId="0" xfId="1" applyNumberFormat="1" applyFont="1" applyFill="1" applyBorder="1"/>
    <xf numFmtId="164" fontId="29" fillId="10" borderId="20" xfId="1" applyNumberFormat="1" applyFont="1" applyFill="1" applyBorder="1"/>
    <xf numFmtId="164" fontId="2" fillId="7" borderId="36" xfId="1" applyNumberFormat="1" applyFont="1" applyFill="1" applyBorder="1"/>
    <xf numFmtId="164" fontId="2" fillId="0" borderId="12" xfId="1" applyNumberFormat="1" applyFont="1" applyFill="1" applyBorder="1"/>
    <xf numFmtId="164" fontId="2" fillId="0" borderId="0" xfId="0" applyNumberFormat="1" applyFont="1"/>
    <xf numFmtId="164" fontId="29" fillId="10" borderId="12" xfId="1" applyNumberFormat="1" applyFont="1" applyFill="1" applyBorder="1"/>
    <xf numFmtId="164" fontId="2" fillId="9" borderId="43" xfId="1" applyNumberFormat="1" applyFont="1" applyFill="1" applyBorder="1"/>
    <xf numFmtId="164" fontId="29" fillId="10" borderId="0" xfId="1" applyNumberFormat="1" applyFont="1" applyFill="1" applyBorder="1"/>
    <xf numFmtId="164" fontId="2" fillId="11" borderId="20" xfId="1" applyNumberFormat="1" applyFont="1" applyFill="1" applyBorder="1"/>
    <xf numFmtId="164" fontId="29" fillId="10" borderId="58" xfId="1" applyNumberFormat="1" applyFont="1" applyFill="1" applyBorder="1"/>
    <xf numFmtId="164" fontId="2" fillId="10" borderId="12" xfId="1" applyNumberFormat="1" applyFont="1" applyFill="1" applyBorder="1"/>
    <xf numFmtId="164" fontId="2" fillId="10" borderId="20" xfId="1" applyNumberFormat="1" applyFont="1" applyFill="1" applyBorder="1"/>
    <xf numFmtId="164" fontId="2" fillId="11" borderId="31" xfId="1" applyNumberFormat="1" applyFont="1" applyFill="1" applyBorder="1" applyAlignment="1"/>
    <xf numFmtId="9" fontId="2" fillId="11" borderId="20" xfId="2" applyFont="1" applyFill="1" applyBorder="1" applyAlignment="1"/>
    <xf numFmtId="9" fontId="2" fillId="11" borderId="33" xfId="2" applyFont="1" applyFill="1" applyBorder="1" applyAlignment="1"/>
    <xf numFmtId="9" fontId="2" fillId="11" borderId="59" xfId="2" applyFont="1" applyFill="1" applyBorder="1" applyAlignment="1"/>
    <xf numFmtId="9" fontId="2" fillId="11" borderId="11" xfId="2" applyFont="1" applyFill="1" applyBorder="1" applyAlignment="1">
      <alignment horizontal="right"/>
    </xf>
    <xf numFmtId="9" fontId="2" fillId="11" borderId="18" xfId="2" applyFont="1" applyFill="1" applyBorder="1" applyAlignment="1"/>
    <xf numFmtId="9" fontId="2" fillId="11" borderId="12" xfId="2" applyFont="1" applyFill="1" applyBorder="1" applyAlignment="1"/>
    <xf numFmtId="9" fontId="2" fillId="11" borderId="59" xfId="2" applyFont="1" applyFill="1" applyBorder="1"/>
    <xf numFmtId="164" fontId="2" fillId="11" borderId="3" xfId="1" applyNumberFormat="1" applyFont="1" applyFill="1" applyBorder="1"/>
    <xf numFmtId="9" fontId="2" fillId="11" borderId="22" xfId="2" applyFont="1" applyFill="1" applyBorder="1"/>
    <xf numFmtId="0" fontId="21" fillId="4" borderId="0" xfId="0" applyFont="1" applyFill="1" applyAlignment="1" applyProtection="1">
      <alignment horizontal="center" vertical="center" wrapText="1"/>
      <protection locked="0"/>
    </xf>
    <xf numFmtId="0" fontId="22" fillId="4" borderId="0" xfId="0" applyFont="1" applyFill="1" applyAlignment="1" applyProtection="1">
      <alignment horizontal="center" vertical="center" wrapText="1"/>
      <protection locked="0"/>
    </xf>
    <xf numFmtId="165" fontId="21" fillId="4" borderId="0" xfId="0" applyNumberFormat="1" applyFont="1" applyFill="1" applyAlignment="1" applyProtection="1">
      <alignment horizontal="center" vertical="center" wrapText="1"/>
      <protection locked="0"/>
    </xf>
    <xf numFmtId="0" fontId="19" fillId="4" borderId="0" xfId="0" applyFont="1" applyFill="1" applyAlignment="1" applyProtection="1">
      <alignment horizontal="center"/>
      <protection locked="0"/>
    </xf>
    <xf numFmtId="0" fontId="15" fillId="4" borderId="0" xfId="0" applyFont="1" applyFill="1" applyAlignment="1">
      <alignment horizontal="center"/>
    </xf>
    <xf numFmtId="0" fontId="16" fillId="4" borderId="0" xfId="0" applyFont="1" applyFill="1" applyBorder="1" applyAlignment="1">
      <alignment horizontal="left" vertical="justify" wrapText="1"/>
    </xf>
    <xf numFmtId="0" fontId="16" fillId="4" borderId="0" xfId="0" applyFont="1" applyFill="1" applyAlignment="1">
      <alignment horizontal="center"/>
    </xf>
    <xf numFmtId="0" fontId="17" fillId="4" borderId="0" xfId="0" applyFont="1" applyFill="1" applyAlignment="1" applyProtection="1">
      <alignment horizontal="center"/>
      <protection locked="0"/>
    </xf>
    <xf numFmtId="165" fontId="4" fillId="10" borderId="29"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2" fillId="0" borderId="0" xfId="0" quotePrefix="1" applyFont="1" applyAlignment="1">
      <alignment horizontal="left" vertical="center" wrapText="1"/>
    </xf>
    <xf numFmtId="0" fontId="13" fillId="8" borderId="0" xfId="0" applyFont="1" applyFill="1" applyAlignment="1">
      <alignment horizontal="center" wrapText="1"/>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34" fillId="0" borderId="0" xfId="0" applyFont="1" applyAlignment="1">
      <alignment horizontal="left" wrapText="1"/>
    </xf>
    <xf numFmtId="0" fontId="24" fillId="0" borderId="13" xfId="0" applyFont="1" applyFill="1" applyBorder="1" applyAlignment="1">
      <alignment horizontal="left" wrapText="1"/>
    </xf>
    <xf numFmtId="0" fontId="2" fillId="0" borderId="51" xfId="0" applyFont="1" applyBorder="1" applyAlignment="1">
      <alignment horizontal="left" vertical="center" wrapText="1"/>
    </xf>
  </cellXfs>
  <cellStyles count="4">
    <cellStyle name="Comma" xfId="1" builtinId="3"/>
    <cellStyle name="Comma 2" xfId="3"/>
    <cellStyle name="Normal" xfId="0" builtinId="0"/>
    <cellStyle name="Percent" xfId="2" builtinId="5"/>
  </cellStyles>
  <dxfs count="2">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topLeftCell="A13" workbookViewId="0">
      <selection activeCell="B26" sqref="B26"/>
    </sheetView>
  </sheetViews>
  <sheetFormatPr defaultRowHeight="12.5"/>
  <cols>
    <col min="1" max="1" width="9.1796875" style="132"/>
    <col min="2" max="2" width="16.7265625" style="132" bestFit="1" customWidth="1"/>
    <col min="3" max="6" width="9.1796875" style="132"/>
    <col min="7" max="7" width="9.81640625" style="132" customWidth="1"/>
    <col min="8" max="255" width="9.1796875" style="132"/>
    <col min="256" max="256" width="16.7265625" style="132" bestFit="1" customWidth="1"/>
    <col min="257" max="260" width="9.1796875" style="132"/>
    <col min="261" max="261" width="9.81640625" style="132" customWidth="1"/>
    <col min="262" max="511" width="9.1796875" style="132"/>
    <col min="512" max="512" width="16.7265625" style="132" bestFit="1" customWidth="1"/>
    <col min="513" max="516" width="9.1796875" style="132"/>
    <col min="517" max="517" width="9.81640625" style="132" customWidth="1"/>
    <col min="518" max="767" width="9.1796875" style="132"/>
    <col min="768" max="768" width="16.7265625" style="132" bestFit="1" customWidth="1"/>
    <col min="769" max="772" width="9.1796875" style="132"/>
    <col min="773" max="773" width="9.81640625" style="132" customWidth="1"/>
    <col min="774" max="1023" width="9.1796875" style="132"/>
    <col min="1024" max="1024" width="16.7265625" style="132" bestFit="1" customWidth="1"/>
    <col min="1025" max="1028" width="9.1796875" style="132"/>
    <col min="1029" max="1029" width="9.81640625" style="132" customWidth="1"/>
    <col min="1030" max="1279" width="9.1796875" style="132"/>
    <col min="1280" max="1280" width="16.7265625" style="132" bestFit="1" customWidth="1"/>
    <col min="1281" max="1284" width="9.1796875" style="132"/>
    <col min="1285" max="1285" width="9.81640625" style="132" customWidth="1"/>
    <col min="1286" max="1535" width="9.1796875" style="132"/>
    <col min="1536" max="1536" width="16.7265625" style="132" bestFit="1" customWidth="1"/>
    <col min="1537" max="1540" width="9.1796875" style="132"/>
    <col min="1541" max="1541" width="9.81640625" style="132" customWidth="1"/>
    <col min="1542" max="1791" width="9.1796875" style="132"/>
    <col min="1792" max="1792" width="16.7265625" style="132" bestFit="1" customWidth="1"/>
    <col min="1793" max="1796" width="9.1796875" style="132"/>
    <col min="1797" max="1797" width="9.81640625" style="132" customWidth="1"/>
    <col min="1798" max="2047" width="9.1796875" style="132"/>
    <col min="2048" max="2048" width="16.7265625" style="132" bestFit="1" customWidth="1"/>
    <col min="2049" max="2052" width="9.1796875" style="132"/>
    <col min="2053" max="2053" width="9.81640625" style="132" customWidth="1"/>
    <col min="2054" max="2303" width="9.1796875" style="132"/>
    <col min="2304" max="2304" width="16.7265625" style="132" bestFit="1" customWidth="1"/>
    <col min="2305" max="2308" width="9.1796875" style="132"/>
    <col min="2309" max="2309" width="9.81640625" style="132" customWidth="1"/>
    <col min="2310" max="2559" width="9.1796875" style="132"/>
    <col min="2560" max="2560" width="16.7265625" style="132" bestFit="1" customWidth="1"/>
    <col min="2561" max="2564" width="9.1796875" style="132"/>
    <col min="2565" max="2565" width="9.81640625" style="132" customWidth="1"/>
    <col min="2566" max="2815" width="9.1796875" style="132"/>
    <col min="2816" max="2816" width="16.7265625" style="132" bestFit="1" customWidth="1"/>
    <col min="2817" max="2820" width="9.1796875" style="132"/>
    <col min="2821" max="2821" width="9.81640625" style="132" customWidth="1"/>
    <col min="2822" max="3071" width="9.1796875" style="132"/>
    <col min="3072" max="3072" width="16.7265625" style="132" bestFit="1" customWidth="1"/>
    <col min="3073" max="3076" width="9.1796875" style="132"/>
    <col min="3077" max="3077" width="9.81640625" style="132" customWidth="1"/>
    <col min="3078" max="3327" width="9.1796875" style="132"/>
    <col min="3328" max="3328" width="16.7265625" style="132" bestFit="1" customWidth="1"/>
    <col min="3329" max="3332" width="9.1796875" style="132"/>
    <col min="3333" max="3333" width="9.81640625" style="132" customWidth="1"/>
    <col min="3334" max="3583" width="9.1796875" style="132"/>
    <col min="3584" max="3584" width="16.7265625" style="132" bestFit="1" customWidth="1"/>
    <col min="3585" max="3588" width="9.1796875" style="132"/>
    <col min="3589" max="3589" width="9.81640625" style="132" customWidth="1"/>
    <col min="3590" max="3839" width="9.1796875" style="132"/>
    <col min="3840" max="3840" width="16.7265625" style="132" bestFit="1" customWidth="1"/>
    <col min="3841" max="3844" width="9.1796875" style="132"/>
    <col min="3845" max="3845" width="9.81640625" style="132" customWidth="1"/>
    <col min="3846" max="4095" width="9.1796875" style="132"/>
    <col min="4096" max="4096" width="16.7265625" style="132" bestFit="1" customWidth="1"/>
    <col min="4097" max="4100" width="9.1796875" style="132"/>
    <col min="4101" max="4101" width="9.81640625" style="132" customWidth="1"/>
    <col min="4102" max="4351" width="9.1796875" style="132"/>
    <col min="4352" max="4352" width="16.7265625" style="132" bestFit="1" customWidth="1"/>
    <col min="4353" max="4356" width="9.1796875" style="132"/>
    <col min="4357" max="4357" width="9.81640625" style="132" customWidth="1"/>
    <col min="4358" max="4607" width="9.1796875" style="132"/>
    <col min="4608" max="4608" width="16.7265625" style="132" bestFit="1" customWidth="1"/>
    <col min="4609" max="4612" width="9.1796875" style="132"/>
    <col min="4613" max="4613" width="9.81640625" style="132" customWidth="1"/>
    <col min="4614" max="4863" width="9.1796875" style="132"/>
    <col min="4864" max="4864" width="16.7265625" style="132" bestFit="1" customWidth="1"/>
    <col min="4865" max="4868" width="9.1796875" style="132"/>
    <col min="4869" max="4869" width="9.81640625" style="132" customWidth="1"/>
    <col min="4870" max="5119" width="9.1796875" style="132"/>
    <col min="5120" max="5120" width="16.7265625" style="132" bestFit="1" customWidth="1"/>
    <col min="5121" max="5124" width="9.1796875" style="132"/>
    <col min="5125" max="5125" width="9.81640625" style="132" customWidth="1"/>
    <col min="5126" max="5375" width="9.1796875" style="132"/>
    <col min="5376" max="5376" width="16.7265625" style="132" bestFit="1" customWidth="1"/>
    <col min="5377" max="5380" width="9.1796875" style="132"/>
    <col min="5381" max="5381" width="9.81640625" style="132" customWidth="1"/>
    <col min="5382" max="5631" width="9.1796875" style="132"/>
    <col min="5632" max="5632" width="16.7265625" style="132" bestFit="1" customWidth="1"/>
    <col min="5633" max="5636" width="9.1796875" style="132"/>
    <col min="5637" max="5637" width="9.81640625" style="132" customWidth="1"/>
    <col min="5638" max="5887" width="9.1796875" style="132"/>
    <col min="5888" max="5888" width="16.7265625" style="132" bestFit="1" customWidth="1"/>
    <col min="5889" max="5892" width="9.1796875" style="132"/>
    <col min="5893" max="5893" width="9.81640625" style="132" customWidth="1"/>
    <col min="5894" max="6143" width="9.1796875" style="132"/>
    <col min="6144" max="6144" width="16.7265625" style="132" bestFit="1" customWidth="1"/>
    <col min="6145" max="6148" width="9.1796875" style="132"/>
    <col min="6149" max="6149" width="9.81640625" style="132" customWidth="1"/>
    <col min="6150" max="6399" width="9.1796875" style="132"/>
    <col min="6400" max="6400" width="16.7265625" style="132" bestFit="1" customWidth="1"/>
    <col min="6401" max="6404" width="9.1796875" style="132"/>
    <col min="6405" max="6405" width="9.81640625" style="132" customWidth="1"/>
    <col min="6406" max="6655" width="9.1796875" style="132"/>
    <col min="6656" max="6656" width="16.7265625" style="132" bestFit="1" customWidth="1"/>
    <col min="6657" max="6660" width="9.1796875" style="132"/>
    <col min="6661" max="6661" width="9.81640625" style="132" customWidth="1"/>
    <col min="6662" max="6911" width="9.1796875" style="132"/>
    <col min="6912" max="6912" width="16.7265625" style="132" bestFit="1" customWidth="1"/>
    <col min="6913" max="6916" width="9.1796875" style="132"/>
    <col min="6917" max="6917" width="9.81640625" style="132" customWidth="1"/>
    <col min="6918" max="7167" width="9.1796875" style="132"/>
    <col min="7168" max="7168" width="16.7265625" style="132" bestFit="1" customWidth="1"/>
    <col min="7169" max="7172" width="9.1796875" style="132"/>
    <col min="7173" max="7173" width="9.81640625" style="132" customWidth="1"/>
    <col min="7174" max="7423" width="9.1796875" style="132"/>
    <col min="7424" max="7424" width="16.7265625" style="132" bestFit="1" customWidth="1"/>
    <col min="7425" max="7428" width="9.1796875" style="132"/>
    <col min="7429" max="7429" width="9.81640625" style="132" customWidth="1"/>
    <col min="7430" max="7679" width="9.1796875" style="132"/>
    <col min="7680" max="7680" width="16.7265625" style="132" bestFit="1" customWidth="1"/>
    <col min="7681" max="7684" width="9.1796875" style="132"/>
    <col min="7685" max="7685" width="9.81640625" style="132" customWidth="1"/>
    <col min="7686" max="7935" width="9.1796875" style="132"/>
    <col min="7936" max="7936" width="16.7265625" style="132" bestFit="1" customWidth="1"/>
    <col min="7937" max="7940" width="9.1796875" style="132"/>
    <col min="7941" max="7941" width="9.81640625" style="132" customWidth="1"/>
    <col min="7942" max="8191" width="9.1796875" style="132"/>
    <col min="8192" max="8192" width="16.7265625" style="132" bestFit="1" customWidth="1"/>
    <col min="8193" max="8196" width="9.1796875" style="132"/>
    <col min="8197" max="8197" width="9.81640625" style="132" customWidth="1"/>
    <col min="8198" max="8447" width="9.1796875" style="132"/>
    <col min="8448" max="8448" width="16.7265625" style="132" bestFit="1" customWidth="1"/>
    <col min="8449" max="8452" width="9.1796875" style="132"/>
    <col min="8453" max="8453" width="9.81640625" style="132" customWidth="1"/>
    <col min="8454" max="8703" width="9.1796875" style="132"/>
    <col min="8704" max="8704" width="16.7265625" style="132" bestFit="1" customWidth="1"/>
    <col min="8705" max="8708" width="9.1796875" style="132"/>
    <col min="8709" max="8709" width="9.81640625" style="132" customWidth="1"/>
    <col min="8710" max="8959" width="9.1796875" style="132"/>
    <col min="8960" max="8960" width="16.7265625" style="132" bestFit="1" customWidth="1"/>
    <col min="8961" max="8964" width="9.1796875" style="132"/>
    <col min="8965" max="8965" width="9.81640625" style="132" customWidth="1"/>
    <col min="8966" max="9215" width="9.1796875" style="132"/>
    <col min="9216" max="9216" width="16.7265625" style="132" bestFit="1" customWidth="1"/>
    <col min="9217" max="9220" width="9.1796875" style="132"/>
    <col min="9221" max="9221" width="9.81640625" style="132" customWidth="1"/>
    <col min="9222" max="9471" width="9.1796875" style="132"/>
    <col min="9472" max="9472" width="16.7265625" style="132" bestFit="1" customWidth="1"/>
    <col min="9473" max="9476" width="9.1796875" style="132"/>
    <col min="9477" max="9477" width="9.81640625" style="132" customWidth="1"/>
    <col min="9478" max="9727" width="9.1796875" style="132"/>
    <col min="9728" max="9728" width="16.7265625" style="132" bestFit="1" customWidth="1"/>
    <col min="9729" max="9732" width="9.1796875" style="132"/>
    <col min="9733" max="9733" width="9.81640625" style="132" customWidth="1"/>
    <col min="9734" max="9983" width="9.1796875" style="132"/>
    <col min="9984" max="9984" width="16.7265625" style="132" bestFit="1" customWidth="1"/>
    <col min="9985" max="9988" width="9.1796875" style="132"/>
    <col min="9989" max="9989" width="9.81640625" style="132" customWidth="1"/>
    <col min="9990" max="10239" width="9.1796875" style="132"/>
    <col min="10240" max="10240" width="16.7265625" style="132" bestFit="1" customWidth="1"/>
    <col min="10241" max="10244" width="9.1796875" style="132"/>
    <col min="10245" max="10245" width="9.81640625" style="132" customWidth="1"/>
    <col min="10246" max="10495" width="9.1796875" style="132"/>
    <col min="10496" max="10496" width="16.7265625" style="132" bestFit="1" customWidth="1"/>
    <col min="10497" max="10500" width="9.1796875" style="132"/>
    <col min="10501" max="10501" width="9.81640625" style="132" customWidth="1"/>
    <col min="10502" max="10751" width="9.1796875" style="132"/>
    <col min="10752" max="10752" width="16.7265625" style="132" bestFit="1" customWidth="1"/>
    <col min="10753" max="10756" width="9.1796875" style="132"/>
    <col min="10757" max="10757" width="9.81640625" style="132" customWidth="1"/>
    <col min="10758" max="11007" width="9.1796875" style="132"/>
    <col min="11008" max="11008" width="16.7265625" style="132" bestFit="1" customWidth="1"/>
    <col min="11009" max="11012" width="9.1796875" style="132"/>
    <col min="11013" max="11013" width="9.81640625" style="132" customWidth="1"/>
    <col min="11014" max="11263" width="9.1796875" style="132"/>
    <col min="11264" max="11264" width="16.7265625" style="132" bestFit="1" customWidth="1"/>
    <col min="11265" max="11268" width="9.1796875" style="132"/>
    <col min="11269" max="11269" width="9.81640625" style="132" customWidth="1"/>
    <col min="11270" max="11519" width="9.1796875" style="132"/>
    <col min="11520" max="11520" width="16.7265625" style="132" bestFit="1" customWidth="1"/>
    <col min="11521" max="11524" width="9.1796875" style="132"/>
    <col min="11525" max="11525" width="9.81640625" style="132" customWidth="1"/>
    <col min="11526" max="11775" width="9.1796875" style="132"/>
    <col min="11776" max="11776" width="16.7265625" style="132" bestFit="1" customWidth="1"/>
    <col min="11777" max="11780" width="9.1796875" style="132"/>
    <col min="11781" max="11781" width="9.81640625" style="132" customWidth="1"/>
    <col min="11782" max="12031" width="9.1796875" style="132"/>
    <col min="12032" max="12032" width="16.7265625" style="132" bestFit="1" customWidth="1"/>
    <col min="12033" max="12036" width="9.1796875" style="132"/>
    <col min="12037" max="12037" width="9.81640625" style="132" customWidth="1"/>
    <col min="12038" max="12287" width="9.1796875" style="132"/>
    <col min="12288" max="12288" width="16.7265625" style="132" bestFit="1" customWidth="1"/>
    <col min="12289" max="12292" width="9.1796875" style="132"/>
    <col min="12293" max="12293" width="9.81640625" style="132" customWidth="1"/>
    <col min="12294" max="12543" width="9.1796875" style="132"/>
    <col min="12544" max="12544" width="16.7265625" style="132" bestFit="1" customWidth="1"/>
    <col min="12545" max="12548" width="9.1796875" style="132"/>
    <col min="12549" max="12549" width="9.81640625" style="132" customWidth="1"/>
    <col min="12550" max="12799" width="9.1796875" style="132"/>
    <col min="12800" max="12800" width="16.7265625" style="132" bestFit="1" customWidth="1"/>
    <col min="12801" max="12804" width="9.1796875" style="132"/>
    <col min="12805" max="12805" width="9.81640625" style="132" customWidth="1"/>
    <col min="12806" max="13055" width="9.1796875" style="132"/>
    <col min="13056" max="13056" width="16.7265625" style="132" bestFit="1" customWidth="1"/>
    <col min="13057" max="13060" width="9.1796875" style="132"/>
    <col min="13061" max="13061" width="9.81640625" style="132" customWidth="1"/>
    <col min="13062" max="13311" width="9.1796875" style="132"/>
    <col min="13312" max="13312" width="16.7265625" style="132" bestFit="1" customWidth="1"/>
    <col min="13313" max="13316" width="9.1796875" style="132"/>
    <col min="13317" max="13317" width="9.81640625" style="132" customWidth="1"/>
    <col min="13318" max="13567" width="9.1796875" style="132"/>
    <col min="13568" max="13568" width="16.7265625" style="132" bestFit="1" customWidth="1"/>
    <col min="13569" max="13572" width="9.1796875" style="132"/>
    <col min="13573" max="13573" width="9.81640625" style="132" customWidth="1"/>
    <col min="13574" max="13823" width="9.1796875" style="132"/>
    <col min="13824" max="13824" width="16.7265625" style="132" bestFit="1" customWidth="1"/>
    <col min="13825" max="13828" width="9.1796875" style="132"/>
    <col min="13829" max="13829" width="9.81640625" style="132" customWidth="1"/>
    <col min="13830" max="14079" width="9.1796875" style="132"/>
    <col min="14080" max="14080" width="16.7265625" style="132" bestFit="1" customWidth="1"/>
    <col min="14081" max="14084" width="9.1796875" style="132"/>
    <col min="14085" max="14085" width="9.81640625" style="132" customWidth="1"/>
    <col min="14086" max="14335" width="9.1796875" style="132"/>
    <col min="14336" max="14336" width="16.7265625" style="132" bestFit="1" customWidth="1"/>
    <col min="14337" max="14340" width="9.1796875" style="132"/>
    <col min="14341" max="14341" width="9.81640625" style="132" customWidth="1"/>
    <col min="14342" max="14591" width="9.1796875" style="132"/>
    <col min="14592" max="14592" width="16.7265625" style="132" bestFit="1" customWidth="1"/>
    <col min="14593" max="14596" width="9.1796875" style="132"/>
    <col min="14597" max="14597" width="9.81640625" style="132" customWidth="1"/>
    <col min="14598" max="14847" width="9.1796875" style="132"/>
    <col min="14848" max="14848" width="16.7265625" style="132" bestFit="1" customWidth="1"/>
    <col min="14849" max="14852" width="9.1796875" style="132"/>
    <col min="14853" max="14853" width="9.81640625" style="132" customWidth="1"/>
    <col min="14854" max="15103" width="9.1796875" style="132"/>
    <col min="15104" max="15104" width="16.7265625" style="132" bestFit="1" customWidth="1"/>
    <col min="15105" max="15108" width="9.1796875" style="132"/>
    <col min="15109" max="15109" width="9.81640625" style="132" customWidth="1"/>
    <col min="15110" max="15359" width="9.1796875" style="132"/>
    <col min="15360" max="15360" width="16.7265625" style="132" bestFit="1" customWidth="1"/>
    <col min="15361" max="15364" width="9.1796875" style="132"/>
    <col min="15365" max="15365" width="9.81640625" style="132" customWidth="1"/>
    <col min="15366" max="15615" width="9.1796875" style="132"/>
    <col min="15616" max="15616" width="16.7265625" style="132" bestFit="1" customWidth="1"/>
    <col min="15617" max="15620" width="9.1796875" style="132"/>
    <col min="15621" max="15621" width="9.81640625" style="132" customWidth="1"/>
    <col min="15622" max="15871" width="9.1796875" style="132"/>
    <col min="15872" max="15872" width="16.7265625" style="132" bestFit="1" customWidth="1"/>
    <col min="15873" max="15876" width="9.1796875" style="132"/>
    <col min="15877" max="15877" width="9.81640625" style="132" customWidth="1"/>
    <col min="15878" max="16127" width="9.1796875" style="132"/>
    <col min="16128" max="16128" width="16.7265625" style="132" bestFit="1" customWidth="1"/>
    <col min="16129" max="16132" width="9.1796875" style="132"/>
    <col min="16133" max="16133" width="9.81640625" style="132" customWidth="1"/>
    <col min="16134" max="16384" width="9.1796875" style="132"/>
  </cols>
  <sheetData>
    <row r="1" spans="1:10">
      <c r="A1" s="130"/>
      <c r="B1" s="130"/>
      <c r="C1" s="130"/>
      <c r="D1" s="130"/>
      <c r="E1" s="130"/>
      <c r="F1" s="130"/>
      <c r="G1" s="130"/>
      <c r="H1" s="131" t="s">
        <v>84</v>
      </c>
      <c r="I1" s="130"/>
      <c r="J1" s="130"/>
    </row>
    <row r="2" spans="1:10">
      <c r="A2" s="130"/>
      <c r="B2" s="130"/>
      <c r="C2" s="130"/>
      <c r="D2" s="130"/>
      <c r="E2" s="130"/>
      <c r="F2" s="130"/>
      <c r="G2" s="130"/>
      <c r="H2" s="130"/>
      <c r="I2" s="130"/>
      <c r="J2" s="130"/>
    </row>
    <row r="3" spans="1:10">
      <c r="A3" s="130"/>
      <c r="B3" s="130"/>
      <c r="C3" s="130"/>
      <c r="D3" s="130"/>
      <c r="E3" s="130"/>
      <c r="F3" s="130"/>
      <c r="G3" s="130"/>
      <c r="H3" s="130"/>
      <c r="I3" s="130"/>
      <c r="J3" s="130"/>
    </row>
    <row r="4" spans="1:10">
      <c r="A4" s="130"/>
      <c r="B4" s="130"/>
      <c r="C4" s="130"/>
      <c r="D4" s="130"/>
      <c r="E4" s="130"/>
      <c r="F4" s="130" t="s">
        <v>85</v>
      </c>
      <c r="G4" s="130"/>
      <c r="H4" s="130"/>
      <c r="I4" s="130"/>
      <c r="J4" s="130"/>
    </row>
    <row r="5" spans="1:10" ht="15.5">
      <c r="A5" s="130"/>
      <c r="B5" s="392" t="s">
        <v>87</v>
      </c>
      <c r="C5" s="392"/>
      <c r="D5" s="392"/>
      <c r="E5" s="392"/>
      <c r="F5" s="392"/>
      <c r="G5" s="392"/>
      <c r="H5" s="392"/>
      <c r="I5" s="392"/>
      <c r="J5" s="130"/>
    </row>
    <row r="6" spans="1:10">
      <c r="A6" s="130"/>
      <c r="B6" s="130"/>
      <c r="C6" s="130"/>
      <c r="D6" s="130"/>
      <c r="E6" s="130"/>
      <c r="F6" s="130"/>
      <c r="G6" s="130"/>
      <c r="H6" s="130"/>
      <c r="I6" s="130"/>
      <c r="J6" s="130"/>
    </row>
    <row r="7" spans="1:10">
      <c r="A7" s="130"/>
      <c r="B7" s="136"/>
      <c r="C7" s="136"/>
      <c r="D7" s="136"/>
      <c r="E7" s="136"/>
      <c r="F7" s="136"/>
      <c r="G7" s="136"/>
      <c r="H7" s="130"/>
      <c r="I7" s="130"/>
      <c r="J7" s="130"/>
    </row>
    <row r="8" spans="1:10" ht="12.75" customHeight="1">
      <c r="A8" s="130"/>
      <c r="B8" s="393"/>
      <c r="C8" s="393"/>
      <c r="D8" s="393"/>
      <c r="E8" s="393"/>
      <c r="F8" s="393"/>
      <c r="G8" s="137"/>
      <c r="H8" s="130"/>
      <c r="I8" s="130"/>
      <c r="J8" s="130"/>
    </row>
    <row r="9" spans="1:10" ht="12.75" customHeight="1">
      <c r="A9" s="130"/>
      <c r="B9" s="393"/>
      <c r="C9" s="393"/>
      <c r="D9" s="393"/>
      <c r="E9" s="393"/>
      <c r="F9" s="393"/>
      <c r="G9" s="137"/>
      <c r="H9" s="130"/>
      <c r="I9" s="130"/>
      <c r="J9" s="130"/>
    </row>
    <row r="10" spans="1:10" ht="16.5">
      <c r="A10" s="130"/>
      <c r="B10" s="393"/>
      <c r="C10" s="393"/>
      <c r="D10" s="393"/>
      <c r="E10" s="393"/>
      <c r="F10" s="393"/>
      <c r="G10" s="137"/>
      <c r="H10" s="394"/>
      <c r="I10" s="394"/>
      <c r="J10" s="130"/>
    </row>
    <row r="11" spans="1:10" ht="16.5">
      <c r="A11" s="130"/>
      <c r="B11" s="393"/>
      <c r="C11" s="393"/>
      <c r="D11" s="393"/>
      <c r="E11" s="393"/>
      <c r="F11" s="393"/>
      <c r="G11" s="137"/>
      <c r="H11" s="394"/>
      <c r="I11" s="394"/>
      <c r="J11" s="130"/>
    </row>
    <row r="12" spans="1:10" ht="16.5" customHeight="1">
      <c r="A12" s="130"/>
      <c r="B12" s="393"/>
      <c r="C12" s="393"/>
      <c r="D12" s="393"/>
      <c r="E12" s="393"/>
      <c r="F12" s="393"/>
      <c r="G12" s="136"/>
      <c r="H12" s="130"/>
      <c r="I12" s="130"/>
      <c r="J12" s="130"/>
    </row>
    <row r="13" spans="1:10">
      <c r="A13" s="130"/>
      <c r="B13" s="136"/>
      <c r="C13" s="136"/>
      <c r="D13" s="136"/>
      <c r="E13" s="136"/>
      <c r="F13" s="136"/>
      <c r="G13" s="136"/>
      <c r="H13" s="130"/>
      <c r="I13" s="130"/>
      <c r="J13" s="130"/>
    </row>
    <row r="14" spans="1:10">
      <c r="A14" s="130"/>
      <c r="B14" s="136"/>
      <c r="C14" s="136"/>
      <c r="D14" s="136"/>
      <c r="E14" s="136"/>
      <c r="F14" s="136"/>
      <c r="G14" s="136"/>
      <c r="H14" s="130"/>
      <c r="I14" s="130"/>
      <c r="J14" s="130"/>
    </row>
    <row r="15" spans="1:10">
      <c r="A15" s="130"/>
      <c r="B15" s="130"/>
      <c r="C15" s="130"/>
      <c r="D15" s="130"/>
      <c r="E15" s="130"/>
      <c r="F15" s="130"/>
      <c r="G15" s="130"/>
      <c r="H15" s="130"/>
      <c r="I15" s="130"/>
      <c r="J15" s="130"/>
    </row>
    <row r="16" spans="1:10" ht="20">
      <c r="A16" s="133"/>
      <c r="B16" s="395" t="s">
        <v>175</v>
      </c>
      <c r="C16" s="395"/>
      <c r="D16" s="395"/>
      <c r="E16" s="395"/>
      <c r="F16" s="395"/>
      <c r="G16" s="395"/>
      <c r="H16" s="395"/>
      <c r="I16" s="395"/>
      <c r="J16" s="133"/>
    </row>
    <row r="17" spans="1:10" ht="16.5" customHeight="1">
      <c r="A17" s="133"/>
      <c r="B17" s="133"/>
      <c r="C17" s="134"/>
      <c r="D17" s="134"/>
      <c r="E17" s="391"/>
      <c r="F17" s="391"/>
      <c r="G17" s="391"/>
      <c r="H17" s="134"/>
      <c r="I17" s="134"/>
      <c r="J17" s="133"/>
    </row>
    <row r="18" spans="1:10" ht="12.75" customHeight="1">
      <c r="A18" s="133"/>
      <c r="B18" s="133"/>
      <c r="C18" s="135"/>
      <c r="D18" s="135"/>
      <c r="E18" s="135"/>
      <c r="F18" s="135"/>
      <c r="G18" s="135"/>
      <c r="H18" s="135"/>
      <c r="I18" s="135"/>
      <c r="J18" s="133"/>
    </row>
    <row r="19" spans="1:10" ht="25.5" customHeight="1">
      <c r="A19" s="133"/>
      <c r="B19" s="388" t="s">
        <v>86</v>
      </c>
      <c r="C19" s="388"/>
      <c r="D19" s="388"/>
      <c r="E19" s="388"/>
      <c r="F19" s="388"/>
      <c r="G19" s="388"/>
      <c r="H19" s="388"/>
      <c r="I19" s="388"/>
      <c r="J19" s="133"/>
    </row>
    <row r="20" spans="1:10" ht="12.75" customHeight="1">
      <c r="A20" s="133"/>
      <c r="B20" s="135"/>
      <c r="C20" s="135"/>
      <c r="D20" s="135"/>
      <c r="E20" s="135"/>
      <c r="F20" s="135"/>
      <c r="G20" s="135"/>
      <c r="H20" s="135"/>
      <c r="I20" s="135"/>
      <c r="J20" s="133"/>
    </row>
    <row r="21" spans="1:10" ht="12.75" customHeight="1">
      <c r="A21" s="133"/>
      <c r="B21" s="135"/>
      <c r="C21" s="135"/>
      <c r="D21" s="135"/>
      <c r="E21" s="135"/>
      <c r="F21" s="135"/>
      <c r="G21" s="135"/>
      <c r="H21" s="135"/>
      <c r="I21" s="135"/>
      <c r="J21" s="133"/>
    </row>
    <row r="22" spans="1:10" ht="20.25" customHeight="1">
      <c r="A22" s="133"/>
      <c r="B22" s="390" t="s">
        <v>88</v>
      </c>
      <c r="C22" s="390"/>
      <c r="D22" s="390"/>
      <c r="E22" s="390"/>
      <c r="F22" s="390"/>
      <c r="G22" s="390"/>
      <c r="H22" s="390"/>
      <c r="I22" s="390"/>
      <c r="J22" s="133"/>
    </row>
    <row r="23" spans="1:10" ht="20">
      <c r="A23" s="133"/>
      <c r="B23" s="390"/>
      <c r="C23" s="390"/>
      <c r="D23" s="390"/>
      <c r="E23" s="390"/>
      <c r="F23" s="390"/>
      <c r="G23" s="390"/>
      <c r="H23" s="390"/>
      <c r="I23" s="390"/>
      <c r="J23" s="133"/>
    </row>
    <row r="24" spans="1:10">
      <c r="A24" s="133"/>
      <c r="B24" s="133"/>
      <c r="C24" s="133"/>
      <c r="D24" s="133"/>
      <c r="E24" s="133"/>
      <c r="F24" s="133"/>
      <c r="G24" s="133"/>
      <c r="H24" s="133"/>
      <c r="I24" s="133"/>
      <c r="J24" s="133"/>
    </row>
    <row r="25" spans="1:10" ht="20">
      <c r="A25" s="133"/>
      <c r="B25" s="390"/>
      <c r="C25" s="390"/>
      <c r="D25" s="390"/>
      <c r="E25" s="390"/>
      <c r="F25" s="390"/>
      <c r="G25" s="390"/>
      <c r="H25" s="390"/>
      <c r="I25" s="390"/>
      <c r="J25" s="133"/>
    </row>
    <row r="26" spans="1:10">
      <c r="A26" s="133"/>
      <c r="B26" s="133"/>
      <c r="C26" s="133"/>
      <c r="D26" s="133"/>
      <c r="E26" s="133"/>
      <c r="F26" s="133"/>
      <c r="G26" s="133"/>
      <c r="H26" s="133"/>
      <c r="I26" s="133"/>
      <c r="J26" s="133"/>
    </row>
    <row r="27" spans="1:10">
      <c r="A27" s="133"/>
      <c r="B27" s="133"/>
      <c r="C27" s="133"/>
      <c r="D27" s="133"/>
      <c r="E27" s="133"/>
      <c r="F27" s="133"/>
      <c r="G27" s="133"/>
      <c r="H27" s="133"/>
      <c r="I27" s="133"/>
      <c r="J27" s="133"/>
    </row>
    <row r="28" spans="1:10" ht="12.75" customHeight="1">
      <c r="A28" s="389"/>
      <c r="B28" s="389"/>
      <c r="C28" s="389"/>
      <c r="D28" s="389"/>
      <c r="E28" s="389"/>
      <c r="F28" s="389"/>
      <c r="G28" s="389"/>
      <c r="H28" s="389"/>
      <c r="I28" s="389"/>
      <c r="J28" s="389"/>
    </row>
    <row r="29" spans="1:10" ht="12.75" customHeight="1">
      <c r="A29" s="389"/>
      <c r="B29" s="389"/>
      <c r="C29" s="389"/>
      <c r="D29" s="389"/>
      <c r="E29" s="389"/>
      <c r="F29" s="389"/>
      <c r="G29" s="389"/>
      <c r="H29" s="389"/>
      <c r="I29" s="389"/>
      <c r="J29" s="389"/>
    </row>
    <row r="30" spans="1:10" ht="12.75" customHeight="1">
      <c r="A30" s="389"/>
      <c r="B30" s="389"/>
      <c r="C30" s="389"/>
      <c r="D30" s="389"/>
      <c r="E30" s="389"/>
      <c r="F30" s="389"/>
      <c r="G30" s="389"/>
      <c r="H30" s="389"/>
      <c r="I30" s="389"/>
      <c r="J30" s="389"/>
    </row>
    <row r="31" spans="1:10" ht="12.75" customHeight="1">
      <c r="A31" s="389"/>
      <c r="B31" s="389"/>
      <c r="C31" s="389"/>
      <c r="D31" s="389"/>
      <c r="E31" s="389"/>
      <c r="F31" s="389"/>
      <c r="G31" s="389"/>
      <c r="H31" s="389"/>
      <c r="I31" s="389"/>
      <c r="J31" s="389"/>
    </row>
    <row r="32" spans="1:10" ht="12.75" customHeight="1">
      <c r="A32" s="389"/>
      <c r="B32" s="389"/>
      <c r="C32" s="389"/>
      <c r="D32" s="389"/>
      <c r="E32" s="389"/>
      <c r="F32" s="389"/>
      <c r="G32" s="389"/>
      <c r="H32" s="389"/>
      <c r="I32" s="389"/>
      <c r="J32" s="389"/>
    </row>
    <row r="33" spans="1:10" ht="12.75" customHeight="1">
      <c r="A33" s="389"/>
      <c r="B33" s="389"/>
      <c r="C33" s="389"/>
      <c r="D33" s="389"/>
      <c r="E33" s="389"/>
      <c r="F33" s="389"/>
      <c r="G33" s="389"/>
      <c r="H33" s="389"/>
      <c r="I33" s="389"/>
      <c r="J33" s="389"/>
    </row>
    <row r="34" spans="1:10" ht="12.75" customHeight="1">
      <c r="A34" s="389"/>
      <c r="B34" s="389"/>
      <c r="C34" s="389"/>
      <c r="D34" s="389"/>
      <c r="E34" s="389"/>
      <c r="F34" s="389"/>
      <c r="G34" s="389"/>
      <c r="H34" s="389"/>
      <c r="I34" s="389"/>
      <c r="J34" s="389"/>
    </row>
    <row r="35" spans="1:10" ht="12.75" customHeight="1">
      <c r="A35" s="389"/>
      <c r="B35" s="389"/>
      <c r="C35" s="389"/>
      <c r="D35" s="389"/>
      <c r="E35" s="389"/>
      <c r="F35" s="389"/>
      <c r="G35" s="389"/>
      <c r="H35" s="389"/>
      <c r="I35" s="389"/>
      <c r="J35" s="389"/>
    </row>
    <row r="36" spans="1:10">
      <c r="A36" s="133"/>
      <c r="B36" s="133"/>
      <c r="C36" s="133"/>
      <c r="D36" s="133"/>
      <c r="E36" s="133"/>
      <c r="F36" s="133"/>
      <c r="G36" s="133"/>
      <c r="H36" s="133"/>
      <c r="I36" s="133"/>
      <c r="J36" s="133"/>
    </row>
    <row r="37" spans="1:10">
      <c r="A37" s="133"/>
      <c r="B37" s="133"/>
      <c r="C37" s="133"/>
      <c r="D37" s="133"/>
      <c r="E37" s="133"/>
      <c r="F37" s="133"/>
      <c r="G37" s="133"/>
      <c r="H37" s="133"/>
      <c r="I37" s="133"/>
      <c r="J37" s="133"/>
    </row>
    <row r="38" spans="1:10">
      <c r="A38" s="133"/>
      <c r="B38" s="133"/>
      <c r="C38" s="133"/>
      <c r="D38" s="133"/>
      <c r="E38" s="133"/>
      <c r="F38" s="133"/>
      <c r="G38" s="133"/>
      <c r="H38" s="133"/>
      <c r="I38" s="133"/>
      <c r="J38" s="133"/>
    </row>
    <row r="39" spans="1:10" ht="20">
      <c r="A39" s="133"/>
      <c r="B39" s="390">
        <v>43983</v>
      </c>
      <c r="C39" s="390"/>
      <c r="D39" s="390"/>
      <c r="E39" s="390"/>
      <c r="F39" s="390"/>
      <c r="G39" s="390"/>
      <c r="H39" s="390"/>
      <c r="I39" s="390"/>
      <c r="J39" s="133"/>
    </row>
    <row r="40" spans="1:10">
      <c r="A40" s="133"/>
      <c r="B40" s="133"/>
      <c r="C40" s="133"/>
      <c r="D40" s="133"/>
      <c r="E40" s="133"/>
      <c r="F40" s="133"/>
      <c r="G40" s="133"/>
      <c r="H40" s="133"/>
      <c r="I40" s="133"/>
      <c r="J40" s="133"/>
    </row>
    <row r="41" spans="1:10">
      <c r="A41" s="133"/>
      <c r="B41" s="133"/>
      <c r="C41" s="133"/>
      <c r="D41" s="133"/>
      <c r="E41" s="133"/>
      <c r="F41" s="133"/>
      <c r="G41" s="133"/>
      <c r="H41" s="133"/>
      <c r="I41" s="133"/>
      <c r="J41" s="133"/>
    </row>
    <row r="42" spans="1:10">
      <c r="A42" s="133"/>
      <c r="B42" s="133"/>
      <c r="C42" s="133"/>
      <c r="D42" s="133"/>
      <c r="E42" s="133"/>
      <c r="F42" s="133"/>
      <c r="G42" s="133"/>
      <c r="H42" s="133"/>
      <c r="I42" s="133"/>
      <c r="J42" s="133"/>
    </row>
    <row r="43" spans="1:10">
      <c r="A43" s="133"/>
      <c r="B43" s="133"/>
      <c r="C43" s="133"/>
      <c r="D43" s="133"/>
      <c r="E43" s="133"/>
      <c r="F43" s="133"/>
      <c r="G43" s="133"/>
      <c r="H43" s="133"/>
      <c r="I43" s="133"/>
      <c r="J43" s="133"/>
    </row>
    <row r="44" spans="1:10">
      <c r="A44" s="133"/>
      <c r="B44" s="133"/>
      <c r="C44" s="133"/>
      <c r="D44" s="133"/>
      <c r="E44" s="133"/>
      <c r="F44" s="133"/>
      <c r="G44" s="133"/>
      <c r="H44" s="133"/>
      <c r="I44" s="133"/>
      <c r="J44" s="133"/>
    </row>
    <row r="45" spans="1:10">
      <c r="A45" s="133"/>
      <c r="B45" s="133"/>
      <c r="C45" s="133"/>
      <c r="D45" s="133"/>
      <c r="E45" s="133"/>
      <c r="F45" s="133"/>
      <c r="G45" s="133"/>
      <c r="H45" s="133"/>
      <c r="I45" s="133"/>
      <c r="J45" s="133"/>
    </row>
    <row r="46" spans="1:10">
      <c r="A46" s="133"/>
      <c r="B46" s="133"/>
      <c r="C46" s="133"/>
      <c r="D46" s="133"/>
      <c r="E46" s="133"/>
      <c r="F46" s="133"/>
      <c r="G46" s="133"/>
      <c r="H46" s="133"/>
      <c r="I46" s="133"/>
      <c r="J46" s="133"/>
    </row>
    <row r="47" spans="1:10">
      <c r="A47" s="133"/>
      <c r="B47" s="133"/>
      <c r="C47" s="133"/>
      <c r="D47" s="133"/>
      <c r="E47" s="133"/>
      <c r="F47" s="133"/>
      <c r="G47" s="133"/>
      <c r="H47" s="133"/>
      <c r="I47" s="133"/>
      <c r="J47" s="133"/>
    </row>
    <row r="48" spans="1:10">
      <c r="A48" s="133"/>
      <c r="B48" s="133"/>
      <c r="C48" s="133"/>
      <c r="D48" s="133"/>
      <c r="E48" s="133"/>
      <c r="F48" s="133"/>
      <c r="G48" s="133"/>
      <c r="H48" s="133"/>
      <c r="I48" s="133"/>
      <c r="J48" s="133"/>
    </row>
    <row r="49" spans="1:10">
      <c r="A49" s="133"/>
      <c r="B49" s="133"/>
      <c r="C49" s="133"/>
      <c r="D49" s="133"/>
      <c r="E49" s="133"/>
      <c r="F49" s="133"/>
      <c r="G49" s="133"/>
      <c r="H49" s="133"/>
      <c r="I49" s="133"/>
      <c r="J49" s="133"/>
    </row>
    <row r="50" spans="1:10">
      <c r="A50" s="133"/>
      <c r="B50" s="133"/>
      <c r="C50" s="133"/>
      <c r="D50" s="133"/>
      <c r="E50" s="133"/>
      <c r="F50" s="133"/>
      <c r="G50" s="133"/>
      <c r="H50" s="133"/>
      <c r="I50" s="133"/>
      <c r="J50" s="133"/>
    </row>
    <row r="51" spans="1:10">
      <c r="A51" s="133"/>
      <c r="B51" s="133"/>
      <c r="C51" s="133"/>
      <c r="D51" s="133"/>
      <c r="E51" s="133"/>
      <c r="F51" s="133"/>
      <c r="G51" s="133"/>
      <c r="H51" s="133"/>
      <c r="I51" s="133"/>
      <c r="J51" s="133"/>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N70"/>
  <sheetViews>
    <sheetView showGridLines="0" tabSelected="1" view="pageBreakPreview" topLeftCell="A22" zoomScale="70" zoomScaleNormal="100" zoomScaleSheetLayoutView="70" workbookViewId="0">
      <selection activeCell="B26" sqref="B26"/>
    </sheetView>
  </sheetViews>
  <sheetFormatPr defaultColWidth="12.1796875" defaultRowHeight="14.5"/>
  <cols>
    <col min="1" max="1" width="51.26953125" style="1" customWidth="1"/>
    <col min="2" max="12" width="19.1796875" style="1" customWidth="1"/>
    <col min="13" max="16384" width="12.1796875" style="1"/>
  </cols>
  <sheetData>
    <row r="1" spans="1:14">
      <c r="B1" s="13"/>
      <c r="C1" s="13"/>
    </row>
    <row r="2" spans="1:14" ht="21">
      <c r="A2" s="14" t="s">
        <v>3</v>
      </c>
      <c r="B2" s="357" t="s">
        <v>175</v>
      </c>
      <c r="C2" s="358"/>
      <c r="D2" s="358"/>
      <c r="E2" s="358"/>
      <c r="F2" s="359"/>
    </row>
    <row r="3" spans="1:14">
      <c r="B3" s="13"/>
    </row>
    <row r="4" spans="1:14" ht="18.5">
      <c r="A4" s="9" t="s">
        <v>5</v>
      </c>
      <c r="B4" s="396">
        <f>'Title Page'!A39:H39</f>
        <v>43983</v>
      </c>
      <c r="C4" s="397"/>
    </row>
    <row r="5" spans="1:14">
      <c r="B5" s="13"/>
      <c r="C5" s="13"/>
    </row>
    <row r="6" spans="1:14" ht="18.5">
      <c r="A6" s="9" t="s">
        <v>18</v>
      </c>
      <c r="B6" s="2">
        <v>2010</v>
      </c>
      <c r="C6" s="2">
        <f>'Facility Detail'!$B$1897</f>
        <v>2011</v>
      </c>
      <c r="D6" s="2">
        <f>C6+1</f>
        <v>2012</v>
      </c>
      <c r="E6" s="2">
        <f>D6+1</f>
        <v>2013</v>
      </c>
      <c r="F6" s="2">
        <f>E6+1</f>
        <v>2014</v>
      </c>
      <c r="G6" s="2">
        <f>F6+1</f>
        <v>2015</v>
      </c>
      <c r="H6" s="2">
        <f>G6+1</f>
        <v>2016</v>
      </c>
      <c r="I6" s="2">
        <f t="shared" ref="I6:L6" si="0">H6+1</f>
        <v>2017</v>
      </c>
      <c r="J6" s="2">
        <f t="shared" si="0"/>
        <v>2018</v>
      </c>
      <c r="K6" s="2">
        <f t="shared" si="0"/>
        <v>2019</v>
      </c>
      <c r="L6" s="2">
        <f t="shared" si="0"/>
        <v>2020</v>
      </c>
      <c r="M6" s="22"/>
      <c r="N6" s="22"/>
    </row>
    <row r="7" spans="1:14">
      <c r="A7" s="88" t="s">
        <v>11</v>
      </c>
      <c r="B7" s="291">
        <v>3984631</v>
      </c>
      <c r="C7" s="291">
        <v>4005862.6749999998</v>
      </c>
      <c r="D7" s="291">
        <v>4041897.855</v>
      </c>
      <c r="E7" s="291">
        <v>4092687.9720000001</v>
      </c>
      <c r="F7" s="292">
        <v>4117646.1230000001</v>
      </c>
      <c r="G7" s="292">
        <v>4108270</v>
      </c>
      <c r="H7" s="292">
        <v>3981653.9279999998</v>
      </c>
      <c r="I7" s="326">
        <v>4221297.9519999996</v>
      </c>
      <c r="J7" s="326">
        <v>3949115.5449999999</v>
      </c>
      <c r="K7" s="326">
        <v>4144589.8369999998</v>
      </c>
      <c r="L7" s="326">
        <v>4224568.4334350219</v>
      </c>
      <c r="M7" s="15"/>
      <c r="N7" s="15"/>
    </row>
    <row r="8" spans="1:14">
      <c r="A8" s="88" t="s">
        <v>9</v>
      </c>
      <c r="B8" s="70"/>
      <c r="C8" s="100">
        <v>0</v>
      </c>
      <c r="D8" s="100">
        <v>0.03</v>
      </c>
      <c r="E8" s="100">
        <v>0.03</v>
      </c>
      <c r="F8" s="100">
        <v>0.03</v>
      </c>
      <c r="G8" s="100">
        <v>0.03</v>
      </c>
      <c r="H8" s="100">
        <v>0.09</v>
      </c>
      <c r="I8" s="327">
        <v>0.09</v>
      </c>
      <c r="J8" s="327">
        <v>0.09</v>
      </c>
      <c r="K8" s="327">
        <v>0.09</v>
      </c>
      <c r="L8" s="327">
        <v>0.15</v>
      </c>
      <c r="M8" s="23"/>
      <c r="N8" s="23"/>
    </row>
    <row r="9" spans="1:14">
      <c r="A9" s="82" t="s">
        <v>7</v>
      </c>
      <c r="B9" s="242"/>
      <c r="C9" s="242"/>
      <c r="D9" s="243">
        <f t="shared" ref="D9" si="1" xml:space="preserve"> IF( SUM(B7:C7) = 0, 0, AVERAGE(B7:C7) * D8 )</f>
        <v>119857.40512499999</v>
      </c>
      <c r="E9" s="243">
        <f t="shared" ref="E9:K9" si="2" xml:space="preserve"> IF( SUM(C7:D7) = 0, 0, AVERAGE(C7:D7) * E8 )</f>
        <v>120716.40794999998</v>
      </c>
      <c r="F9" s="243">
        <f t="shared" si="2"/>
        <v>122018.787405</v>
      </c>
      <c r="G9" s="243">
        <f t="shared" si="2"/>
        <v>123155.011425</v>
      </c>
      <c r="H9" s="243">
        <f t="shared" si="2"/>
        <v>370166.22553499998</v>
      </c>
      <c r="I9" s="243">
        <f t="shared" si="2"/>
        <v>364046.57675999997</v>
      </c>
      <c r="J9" s="242">
        <f t="shared" si="2"/>
        <v>369132.83459999994</v>
      </c>
      <c r="K9" s="242">
        <f t="shared" si="2"/>
        <v>367668.60736499995</v>
      </c>
      <c r="L9" s="242">
        <f xml:space="preserve"> IF( SUM(J7:K7) = 0, 0, AVERAGE(J7:K7) * L8 )</f>
        <v>607027.90364999988</v>
      </c>
      <c r="M9" s="23"/>
      <c r="N9" s="23"/>
    </row>
    <row r="10" spans="1:14">
      <c r="F10" s="142"/>
      <c r="G10" s="142"/>
      <c r="H10" s="142"/>
      <c r="I10" s="142"/>
      <c r="J10" s="328"/>
      <c r="K10" s="328"/>
      <c r="L10" s="328"/>
      <c r="M10" s="24"/>
      <c r="N10" s="24"/>
    </row>
    <row r="11" spans="1:14" ht="18.5">
      <c r="A11" s="9" t="s">
        <v>19</v>
      </c>
      <c r="B11" s="2">
        <v>2010</v>
      </c>
      <c r="C11" s="2">
        <f>C6</f>
        <v>2011</v>
      </c>
      <c r="D11" s="2">
        <f t="shared" ref="D11:L11" si="3">D6</f>
        <v>2012</v>
      </c>
      <c r="E11" s="2">
        <f t="shared" si="3"/>
        <v>2013</v>
      </c>
      <c r="F11" s="2">
        <f t="shared" si="3"/>
        <v>2014</v>
      </c>
      <c r="G11" s="2">
        <f t="shared" si="3"/>
        <v>2015</v>
      </c>
      <c r="H11" s="2">
        <f t="shared" si="3"/>
        <v>2016</v>
      </c>
      <c r="I11" s="2">
        <f t="shared" si="3"/>
        <v>2017</v>
      </c>
      <c r="J11" s="2">
        <f t="shared" si="3"/>
        <v>2018</v>
      </c>
      <c r="K11" s="2">
        <f t="shared" si="3"/>
        <v>2019</v>
      </c>
      <c r="L11" s="2">
        <f t="shared" si="3"/>
        <v>2020</v>
      </c>
      <c r="M11" s="24"/>
      <c r="N11" s="24"/>
    </row>
    <row r="12" spans="1:14">
      <c r="A12" s="88" t="s">
        <v>31</v>
      </c>
      <c r="B12" s="70"/>
      <c r="C12" s="11">
        <f xml:space="preserve"> 'Facility Detail'!$D$52 + 'Facility Detail'!$D$103 + 'Facility Detail'!$D$154 + 'Facility Detail'!$D$205 + 'Facility Detail'!$D$256 + 'Facility Detail'!$D$300 + 'Facility Detail'!$D$344 + 'Facility Detail'!$D$382 + 'Facility Detail'!$D$420 + 'Facility Detail'!$D$466 + 'Facility Detail'!$D$512 + 'Facility Detail'!$D$558 + 'Facility Detail'!$D$604 + 'Facility Detail'!$D$650 + 'Facility Detail'!$D$692 + 'Facility Detail'!$D$743 + 'Facility Detail'!$D$794 + 'Facility Detail'!$D$845 + 'Facility Detail'!$D$896 + 'Facility Detail'!$D$938 + 'Facility Detail'!$D$978 + 'Facility Detail'!$D$1020 + 'Facility Detail'!$D$1062 + 'Facility Detail'!$D$1104 + 'Facility Detail'!$D$1146 + 'Facility Detail'!$D$1188 + 'Facility Detail'!$D$1230 + 'Facility Detail'!$D$1272 + 'Facility Detail'!$D$1314 + 'Facility Detail'!$D$1355</f>
        <v>104826</v>
      </c>
      <c r="D12" s="11">
        <f xml:space="preserve"> 'Facility Detail'!$E$52 + 'Facility Detail'!$E$103 + 'Facility Detail'!$E$154 + 'Facility Detail'!$E$205 + 'Facility Detail'!$E$256 + 'Facility Detail'!$E$300 + 'Facility Detail'!$E$344 + 'Facility Detail'!$E$382 + 'Facility Detail'!$E$420 + 'Facility Detail'!$E$466 + 'Facility Detail'!$E$512 + 'Facility Detail'!$E$558 + 'Facility Detail'!$E$604 + 'Facility Detail'!$E$650 + 'Facility Detail'!$E$692 + 'Facility Detail'!$E$743 + 'Facility Detail'!$E$794 + 'Facility Detail'!$E$845 + 'Facility Detail'!$E$896 + 'Facility Detail'!$E$938 + 'Facility Detail'!$E$978 + 'Facility Detail'!$E$1020 + 'Facility Detail'!$E$1062 + 'Facility Detail'!$E$1104 + 'Facility Detail'!$E$1146 + 'Facility Detail'!$E$1188 + 'Facility Detail'!$E$1230 + 'Facility Detail'!$E$1272 + 'Facility Detail'!$E$1314 + 'Facility Detail'!$E$1355</f>
        <v>107711</v>
      </c>
      <c r="E12" s="11">
        <f xml:space="preserve"> 'Facility Detail'!$F$52 + 'Facility Detail'!$F$103 + 'Facility Detail'!$F$154 + 'Facility Detail'!$F$205 + 'Facility Detail'!$F$256 + 'Facility Detail'!$F$300 + 'Facility Detail'!$F$344 + 'Facility Detail'!$F$382 + 'Facility Detail'!$F$420 + 'Facility Detail'!$F$466 + 'Facility Detail'!$F$512 + 'Facility Detail'!$F$558 + 'Facility Detail'!$F$604 + 'Facility Detail'!$F$650 + 'Facility Detail'!$F$692 + 'Facility Detail'!$F$743 + 'Facility Detail'!$F$794 + 'Facility Detail'!$F$845 + 'Facility Detail'!$F$896 + 'Facility Detail'!$F$938 + 'Facility Detail'!$F$978 + 'Facility Detail'!$F$1020 + 'Facility Detail'!$F$1062 + 'Facility Detail'!$F$1104 + 'Facility Detail'!$F$1146 + 'Facility Detail'!$F$1188 + 'Facility Detail'!$F$1230 + 'Facility Detail'!$F$1272 + 'Facility Detail'!$F$1314 + 'Facility Detail'!$F$1355</f>
        <v>107158</v>
      </c>
      <c r="F12" s="11">
        <f xml:space="preserve"> 'Facility Detail'!$G$52 + 'Facility Detail'!$G$103 + 'Facility Detail'!$G$154 + 'Facility Detail'!$G$205 + 'Facility Detail'!$G$256 + 'Facility Detail'!$G$300 + 'Facility Detail'!$G$344 + 'Facility Detail'!$G$382 + 'Facility Detail'!$G$420 + 'Facility Detail'!$G$466 + 'Facility Detail'!$G$512 + 'Facility Detail'!$G$558 + 'Facility Detail'!$G$604 + 'Facility Detail'!$G$650 + 'Facility Detail'!$G$692 + 'Facility Detail'!$G$743 + 'Facility Detail'!$G$794 + 'Facility Detail'!$G$845 + 'Facility Detail'!$G$896 + 'Facility Detail'!$G$938 + 'Facility Detail'!$G$978 + 'Facility Detail'!$G$1020 + 'Facility Detail'!$G$1062 + 'Facility Detail'!$G$1104 + 'Facility Detail'!$G$1146 + 'Facility Detail'!$G$1188 + 'Facility Detail'!$G$1230 + 'Facility Detail'!$G$1272 + 'Facility Detail'!$G$1314 + 'Facility Detail'!$G$1355</f>
        <v>114902</v>
      </c>
      <c r="G12" s="11">
        <f xml:space="preserve"> 'Facility Detail'!$H$52 + 'Facility Detail'!$H$103 + 'Facility Detail'!$H$154 + 'Facility Detail'!$H$205 + 'Facility Detail'!$H$256 + 'Facility Detail'!$H$300 + 'Facility Detail'!$H$344 + 'Facility Detail'!$H$382 + 'Facility Detail'!$H$420 + 'Facility Detail'!$H$466 + 'Facility Detail'!$H$512 + 'Facility Detail'!$H$558 + 'Facility Detail'!$H$604 + 'Facility Detail'!$H$650 + 'Facility Detail'!$H$692 + 'Facility Detail'!$H$743 + 'Facility Detail'!$H$794 + 'Facility Detail'!$H$845 + 'Facility Detail'!$H$896 + 'Facility Detail'!$H$938 + 'Facility Detail'!$H$978 + 'Facility Detail'!$H$1020 + 'Facility Detail'!$H$1062 + 'Facility Detail'!$H$1104 + 'Facility Detail'!$H$1146 + 'Facility Detail'!$H$1188 + 'Facility Detail'!$H$1230 + 'Facility Detail'!$H$1272 + 'Facility Detail'!$H$1314 + 'Facility Detail'!$H$1355</f>
        <v>270792</v>
      </c>
      <c r="H12" s="179">
        <f>'Facility Detail'!$I$52+'Facility Detail'!$I$103+'Facility Detail'!$I$154+'Facility Detail'!$I$205+'Facility Detail'!$I$256+'Facility Detail'!$I$300+'Facility Detail'!$I$344+'Facility Detail'!$I$382+'Facility Detail'!$I$420+'Facility Detail'!$I$466+'Facility Detail'!$I$512+'Facility Detail'!$I$558+'Facility Detail'!$I$604+'Facility Detail'!$I$650+'Facility Detail'!$I$692+'Facility Detail'!$I$743+'Facility Detail'!$I$794+'Facility Detail'!$I$845+'Facility Detail'!$I$896+'Facility Detail'!$I$938+'Facility Detail'!$I$978+'Facility Detail'!$I$1020+'Facility Detail'!$I$1062+'Facility Detail'!$I$1104+'Facility Detail'!$I$1146+'Facility Detail'!$I$1188+'Facility Detail'!$I$1230+'Facility Detail'!$I$1272+'Facility Detail'!$I$1314+'Facility Detail'!$I$1355+'Facility Detail'!$I$1396+'Facility Detail'!$I$1437+'Facility Detail'!$I$1478+'Facility Detail'!$I$1523+'Facility Detail'!$I$1568+'Facility Detail'!$I$1656+'Facility Detail'!$I$1705</f>
        <v>373982.40669669915</v>
      </c>
      <c r="I12" s="329">
        <f xml:space="preserve"> 'Facility Detail'!$J$52 + 'Facility Detail'!$J$103 + 'Facility Detail'!$J$154 + 'Facility Detail'!$J$205 + 'Facility Detail'!$J$256 + 'Facility Detail'!$J$300 + 'Facility Detail'!$J$344 + 'Facility Detail'!$J$382 + 'Facility Detail'!$J$420 + 'Facility Detail'!$J$466 + 'Facility Detail'!$J$512 + 'Facility Detail'!$J$558 + 'Facility Detail'!$J$604 + 'Facility Detail'!$J$650 + 'Facility Detail'!$J$692 + 'Facility Detail'!$J$743 + 'Facility Detail'!$J$794 + 'Facility Detail'!$J$845 + 'Facility Detail'!$J$896 + 'Facility Detail'!$J$938 + 'Facility Detail'!$J$978 + 'Facility Detail'!$J$1020 + 'Facility Detail'!$J$1062 + 'Facility Detail'!$J$1104 + 'Facility Detail'!$J$1146 + 'Facility Detail'!$J$1188 + 'Facility Detail'!$J$1230 + 'Facility Detail'!$J$1272 + 'Facility Detail'!$J$1314 + 'Facility Detail'!$J$1355+'Facility Detail'!$J$1396+'Facility Detail'!$J$1437+'Facility Detail'!$J$1478+'Facility Detail'!$J$1523+'Facility Detail'!$J$1568+'Facility Detail'!$J$1612+'Facility Detail'!$J$1656+'Facility Detail'!$J$1705+'Facility Detail'!$J$1803</f>
        <v>285492</v>
      </c>
      <c r="J12" s="329">
        <f xml:space="preserve"> 'Facility Detail'!$K$52 + 'Facility Detail'!$K$103 + 'Facility Detail'!$K$154 + 'Facility Detail'!$K$205 + 'Facility Detail'!$K$256 + 'Facility Detail'!$K$300 + 'Facility Detail'!$K$344 + 'Facility Detail'!$K$382 + 'Facility Detail'!$K$420 + 'Facility Detail'!$K$466 + 'Facility Detail'!$K$512 + 'Facility Detail'!$K$558 + 'Facility Detail'!$K$604 + 'Facility Detail'!$K$650 + 'Facility Detail'!$K$692 + 'Facility Detail'!$K$743 + 'Facility Detail'!$K$794 + 'Facility Detail'!$K$845 + 'Facility Detail'!$K$896 + 'Facility Detail'!$K$938 + 'Facility Detail'!$K$978 + 'Facility Detail'!$K$1020 + 'Facility Detail'!$K$1062 + 'Facility Detail'!$K$1104 + 'Facility Detail'!$K$1146 + 'Facility Detail'!$K$1188 + 'Facility Detail'!$K$1230 + 'Facility Detail'!$K$1272 + 'Facility Detail'!$K$1314 + 'Facility Detail'!$K$1355+'Facility Detail'!$K$1396+'Facility Detail'!$K$1437+'Facility Detail'!$K$1478+'Facility Detail'!$K$1523+'Facility Detail'!$K$1568+'Facility Detail'!$K$1612+'Facility Detail'!$K$1656+'Facility Detail'!$K$1705+'Facility Detail'!$K$1803</f>
        <v>293213</v>
      </c>
      <c r="K12" s="329">
        <f xml:space="preserve"> 'Facility Detail'!$L$52 + 'Facility Detail'!$L$103 + 'Facility Detail'!$L$154 + 'Facility Detail'!$L$205 + 'Facility Detail'!$L$256 + 'Facility Detail'!$L$300 + 'Facility Detail'!$L$344 + 'Facility Detail'!$L$382 + 'Facility Detail'!$L$420 + 'Facility Detail'!$L$466 + 'Facility Detail'!$L$512 + 'Facility Detail'!$L$558 + 'Facility Detail'!$L$604 + 'Facility Detail'!$L$650 + 'Facility Detail'!$L$692 + 'Facility Detail'!$L$743 + 'Facility Detail'!$L$794 + 'Facility Detail'!$L$845 + 'Facility Detail'!$L$896 + 'Facility Detail'!$L$938 + 'Facility Detail'!$L$978 + 'Facility Detail'!$L$1020 + 'Facility Detail'!$L$1062 + 'Facility Detail'!$L$1104 + 'Facility Detail'!$L$1146 + 'Facility Detail'!$L$1188 + 'Facility Detail'!$L$1230 + 'Facility Detail'!$L$1272 + 'Facility Detail'!$L$1314 + 'Facility Detail'!$L$1355+'Facility Detail'!$L$1396+'Facility Detail'!$L$1437+'Facility Detail'!$L$1478+'Facility Detail'!$L$1523+'Facility Detail'!$L$1568+'Facility Detail'!$L$1612+'Facility Detail'!$L$1656+'Facility Detail'!$L$1705+'Facility Detail'!$L$1754+'Facility Detail'!$L$1803</f>
        <v>277454.21635719552</v>
      </c>
      <c r="L12" s="329">
        <f xml:space="preserve"> 'Facility Detail'!$M$52 + 'Facility Detail'!$M$103 + 'Facility Detail'!$M$154 + 'Facility Detail'!$M$205 + 'Facility Detail'!$M$256 + 'Facility Detail'!$M$300 + 'Facility Detail'!$M$344 + 'Facility Detail'!$M$382 + 'Facility Detail'!$M$420 + 'Facility Detail'!$M$466 + 'Facility Detail'!$M$512 + 'Facility Detail'!$M$558 + 'Facility Detail'!$M$604 + 'Facility Detail'!$M$650 + 'Facility Detail'!$M$692 + 'Facility Detail'!$M$743 + 'Facility Detail'!$M$794 + 'Facility Detail'!$M$845 + 'Facility Detail'!$M$896 + 'Facility Detail'!$M$938 + 'Facility Detail'!$M$978 + 'Facility Detail'!$M$1020 + 'Facility Detail'!$M$1062 + 'Facility Detail'!$M$1104 + 'Facility Detail'!$M$1146 + 'Facility Detail'!$M$1188 + 'Facility Detail'!$M$1230 + 'Facility Detail'!$M$1272 + 'Facility Detail'!$M$1314 + 'Facility Detail'!$M$1355+'Facility Detail'!$M$1396+'Facility Detail'!$M$1437+'Facility Detail'!$M$1478+'Facility Detail'!$M$1523+'Facility Detail'!$M$1568+'Facility Detail'!$M$1612+'Facility Detail'!$M$1656+'Facility Detail'!$M$1705+'Facility Detail'!$M$1754+'Facility Detail'!$M$1803</f>
        <v>503898.03351364005</v>
      </c>
      <c r="M12" s="25"/>
      <c r="N12" s="25"/>
    </row>
    <row r="13" spans="1:14">
      <c r="A13" s="88" t="s">
        <v>55</v>
      </c>
      <c r="B13" s="79"/>
      <c r="C13" s="80">
        <f xml:space="preserve"> 'Facility Detail'!C57 + 'Facility Detail'!C108 + 'Facility Detail'!C159 + 'Facility Detail'!C210 + 'Facility Detail'!C261 + 'Facility Detail'!C305 + 'Facility Detail'!C349 + 'Facility Detail'!C387 + 'Facility Detail'!C425 + 'Facility Detail'!C471 + 'Facility Detail'!C517 + 'Facility Detail'!C563 + 'Facility Detail'!C609 + 'Facility Detail'!C655 + 'Facility Detail'!C697 + 'Facility Detail'!C748 + 'Facility Detail'!C799 + 'Facility Detail'!C850 + 'Facility Detail'!C901 + 'Facility Detail'!C943 + 'Facility Detail'!C983 + 'Facility Detail'!C1025 + 'Facility Detail'!C1067 + 'Facility Detail'!C1109 + 'Facility Detail'!C1151 + 'Facility Detail'!C1193 + 'Facility Detail'!C1235 + 'Facility Detail'!C1277 + 'Facility Detail'!C1319 + 'Facility Detail'!C1360</f>
        <v>0</v>
      </c>
      <c r="D13" s="80">
        <f xml:space="preserve"> 'Facility Detail'!D57 + 'Facility Detail'!D108 + 'Facility Detail'!D159 + 'Facility Detail'!D210 + 'Facility Detail'!D261 + 'Facility Detail'!D305 + 'Facility Detail'!D349 + 'Facility Detail'!D387 + 'Facility Detail'!D425 + 'Facility Detail'!D471 + 'Facility Detail'!D517 + 'Facility Detail'!D563 + 'Facility Detail'!D609 + 'Facility Detail'!D655 + 'Facility Detail'!D697 + 'Facility Detail'!D748 + 'Facility Detail'!D799 + 'Facility Detail'!D850 + 'Facility Detail'!D901 + 'Facility Detail'!D943 + 'Facility Detail'!D983 + 'Facility Detail'!D1025 + 'Facility Detail'!D1067 + 'Facility Detail'!D1109 + 'Facility Detail'!D1151 + 'Facility Detail'!D1193 + 'Facility Detail'!D1235 + 'Facility Detail'!D1277 + 'Facility Detail'!D1319 + 'Facility Detail'!D1360</f>
        <v>0</v>
      </c>
      <c r="E13" s="80">
        <f xml:space="preserve"> 'Facility Detail'!E57 + 'Facility Detail'!E108 + 'Facility Detail'!E159 + 'Facility Detail'!E210 + 'Facility Detail'!E261 + 'Facility Detail'!E305 + 'Facility Detail'!E349 + 'Facility Detail'!E387 + 'Facility Detail'!E425 + 'Facility Detail'!E471 + 'Facility Detail'!E517 + 'Facility Detail'!E563 + 'Facility Detail'!E609 + 'Facility Detail'!E655 + 'Facility Detail'!E697 + 'Facility Detail'!E748 + 'Facility Detail'!E799 + 'Facility Detail'!E850 + 'Facility Detail'!E901 + 'Facility Detail'!E943 + 'Facility Detail'!E983 + 'Facility Detail'!E1025 + 'Facility Detail'!E1067 + 'Facility Detail'!E1109 + 'Facility Detail'!E1151 + 'Facility Detail'!E1193 + 'Facility Detail'!E1235 + 'Facility Detail'!E1277 + 'Facility Detail'!E1319 + 'Facility Detail'!E1360</f>
        <v>0</v>
      </c>
      <c r="F13" s="182">
        <f xml:space="preserve"> 'Facility Detail'!F57 + 'Facility Detail'!F108 + 'Facility Detail'!F159 + 'Facility Detail'!F210 + 'Facility Detail'!F261 + 'Facility Detail'!F305 + 'Facility Detail'!F349 + 'Facility Detail'!F387 + 'Facility Detail'!F425 + 'Facility Detail'!F471 + 'Facility Detail'!F517 + 'Facility Detail'!F563 + 'Facility Detail'!F609 + 'Facility Detail'!F655 + 'Facility Detail'!F697 + 'Facility Detail'!F748 + 'Facility Detail'!F799 + 'Facility Detail'!F850 + 'Facility Detail'!F901 + 'Facility Detail'!F943 + 'Facility Detail'!F983 + 'Facility Detail'!F1025 + 'Facility Detail'!F1067 + 'Facility Detail'!F1109 + 'Facility Detail'!F1151 + 'Facility Detail'!F1193 + 'Facility Detail'!F1235 + 'Facility Detail'!F1277 + 'Facility Detail'!F1319 + 'Facility Detail'!F1360</f>
        <v>0</v>
      </c>
      <c r="G13" s="182">
        <f xml:space="preserve"> 'Facility Detail'!G57 + 'Facility Detail'!G108 + 'Facility Detail'!G159 + 'Facility Detail'!G210 + 'Facility Detail'!G261 + 'Facility Detail'!G305 + 'Facility Detail'!G349 + 'Facility Detail'!G387 + 'Facility Detail'!G425 + 'Facility Detail'!G471 + 'Facility Detail'!G517 + 'Facility Detail'!G563 + 'Facility Detail'!G609 + 'Facility Detail'!G655 + 'Facility Detail'!G697 + 'Facility Detail'!G748 + 'Facility Detail'!G799 + 'Facility Detail'!G850 + 'Facility Detail'!G901 + 'Facility Detail'!G943 + 'Facility Detail'!G983 + 'Facility Detail'!G1025 + 'Facility Detail'!G1067 + 'Facility Detail'!G1109 + 'Facility Detail'!G1151 + 'Facility Detail'!G1193 + 'Facility Detail'!G1235 + 'Facility Detail'!G1277 + 'Facility Detail'!G1319 + 'Facility Detail'!G1360</f>
        <v>0</v>
      </c>
      <c r="H13" s="237">
        <f xml:space="preserve"> 'Facility Detail'!H57 + 'Facility Detail'!H108 + 'Facility Detail'!H159 + 'Facility Detail'!H210 + 'Facility Detail'!H261 + 'Facility Detail'!H305 + 'Facility Detail'!H349 + 'Facility Detail'!H387 + 'Facility Detail'!H425 + 'Facility Detail'!H471 + 'Facility Detail'!H517 + 'Facility Detail'!H563 + 'Facility Detail'!H609 + 'Facility Detail'!H655 + 'Facility Detail'!H697 + 'Facility Detail'!H748 + 'Facility Detail'!H799 + 'Facility Detail'!H850 + 'Facility Detail'!H901 + 'Facility Detail'!H943 + 'Facility Detail'!H983 + 'Facility Detail'!H1025 + 'Facility Detail'!H1067 + 'Facility Detail'!H1109 + 'Facility Detail'!H1151 + 'Facility Detail'!H1193 + 'Facility Detail'!H1235 + 'Facility Detail'!H1277 + 'Facility Detail'!H1319 + 'Facility Detail'!H1360</f>
        <v>0</v>
      </c>
      <c r="I13" s="330">
        <f xml:space="preserve"> 'Facility Detail'!I57 + 'Facility Detail'!I108 + 'Facility Detail'!I159 + 'Facility Detail'!I210 + 'Facility Detail'!I261 + 'Facility Detail'!I305 + 'Facility Detail'!I349 + 'Facility Detail'!I387 + 'Facility Detail'!I425 + 'Facility Detail'!I471 + 'Facility Detail'!I517 + 'Facility Detail'!I563 + 'Facility Detail'!I609 + 'Facility Detail'!I655 + 'Facility Detail'!I697 + 'Facility Detail'!I748 + 'Facility Detail'!I799 + 'Facility Detail'!I850 + 'Facility Detail'!I901 + 'Facility Detail'!I943 + 'Facility Detail'!I983 + 'Facility Detail'!I1025 + 'Facility Detail'!I1067 + 'Facility Detail'!I1109 + 'Facility Detail'!I1151 + 'Facility Detail'!I1193 + 'Facility Detail'!I1235 + 'Facility Detail'!I1277 + 'Facility Detail'!I1319 + 'Facility Detail'!I1360</f>
        <v>0</v>
      </c>
      <c r="J13" s="330">
        <f xml:space="preserve"> 'Facility Detail'!J57 + 'Facility Detail'!J108 + 'Facility Detail'!J159 + 'Facility Detail'!J210 + 'Facility Detail'!J261 + 'Facility Detail'!J305 + 'Facility Detail'!J349 + 'Facility Detail'!J387 + 'Facility Detail'!J425 + 'Facility Detail'!J471 + 'Facility Detail'!J517 + 'Facility Detail'!J563 + 'Facility Detail'!J609 + 'Facility Detail'!J655 + 'Facility Detail'!J697 + 'Facility Detail'!J748 + 'Facility Detail'!J799 + 'Facility Detail'!J850 + 'Facility Detail'!J901 + 'Facility Detail'!J943 + 'Facility Detail'!J983 + 'Facility Detail'!J1025 + 'Facility Detail'!J1067 + 'Facility Detail'!J1109 + 'Facility Detail'!J1151 + 'Facility Detail'!J1193 + 'Facility Detail'!J1235 + 'Facility Detail'!J1277 + 'Facility Detail'!J1319 + 'Facility Detail'!J1360</f>
        <v>0</v>
      </c>
      <c r="K13" s="330">
        <f xml:space="preserve"> 'Facility Detail'!K57 + 'Facility Detail'!K108 + 'Facility Detail'!K159 + 'Facility Detail'!K210 + 'Facility Detail'!K261 + 'Facility Detail'!K305 + 'Facility Detail'!K349 + 'Facility Detail'!K387 + 'Facility Detail'!K425 + 'Facility Detail'!K471 + 'Facility Detail'!K517 + 'Facility Detail'!K563 + 'Facility Detail'!K609 + 'Facility Detail'!K655 + 'Facility Detail'!K697 + 'Facility Detail'!K748 + 'Facility Detail'!K799 + 'Facility Detail'!K850 + 'Facility Detail'!K901 + 'Facility Detail'!K943 + 'Facility Detail'!K983 + 'Facility Detail'!K1025 + 'Facility Detail'!K1067 + 'Facility Detail'!K1109 + 'Facility Detail'!K1151 + 'Facility Detail'!K1193 + 'Facility Detail'!K1235 + 'Facility Detail'!K1277 + 'Facility Detail'!K1319 + 'Facility Detail'!K1360</f>
        <v>0</v>
      </c>
      <c r="L13" s="330">
        <f xml:space="preserve"> 'Facility Detail'!L57 + 'Facility Detail'!L108 + 'Facility Detail'!L159 + 'Facility Detail'!L210 + 'Facility Detail'!L261 + 'Facility Detail'!L305 + 'Facility Detail'!L349 + 'Facility Detail'!L387 + 'Facility Detail'!L425 + 'Facility Detail'!L471 + 'Facility Detail'!L517 + 'Facility Detail'!L563 + 'Facility Detail'!L609 + 'Facility Detail'!L655 + 'Facility Detail'!L697 + 'Facility Detail'!L748 + 'Facility Detail'!L799 + 'Facility Detail'!L850 + 'Facility Detail'!L901 + 'Facility Detail'!L943 + 'Facility Detail'!L983 + 'Facility Detail'!L1025 + 'Facility Detail'!L1067 + 'Facility Detail'!L1109 + 'Facility Detail'!L1151 + 'Facility Detail'!L1193 + 'Facility Detail'!L1235 + 'Facility Detail'!L1277 + 'Facility Detail'!L1319 + 'Facility Detail'!L1360</f>
        <v>0</v>
      </c>
      <c r="M13" s="25"/>
      <c r="N13" s="25"/>
    </row>
    <row r="14" spans="1:14">
      <c r="A14" s="82" t="s">
        <v>24</v>
      </c>
      <c r="B14" s="50"/>
      <c r="C14" s="50">
        <f t="shared" ref="C14:H14" si="4">SUM(C12:C13)</f>
        <v>104826</v>
      </c>
      <c r="D14" s="50">
        <f t="shared" si="4"/>
        <v>107711</v>
      </c>
      <c r="E14" s="50">
        <f t="shared" si="4"/>
        <v>107158</v>
      </c>
      <c r="F14" s="50">
        <f t="shared" si="4"/>
        <v>114902</v>
      </c>
      <c r="G14" s="50">
        <f t="shared" si="4"/>
        <v>270792</v>
      </c>
      <c r="H14" s="50">
        <f t="shared" si="4"/>
        <v>373982.40669669915</v>
      </c>
      <c r="I14" s="30">
        <f t="shared" ref="I14:J14" si="5">SUM(I12:I13)</f>
        <v>285492</v>
      </c>
      <c r="J14" s="30">
        <f t="shared" si="5"/>
        <v>293213</v>
      </c>
      <c r="K14" s="30">
        <f t="shared" ref="K14:L14" si="6">SUM(K12:K13)</f>
        <v>277454.21635719552</v>
      </c>
      <c r="L14" s="30">
        <f t="shared" si="6"/>
        <v>503898.03351364005</v>
      </c>
      <c r="M14" s="25"/>
      <c r="N14" s="25"/>
    </row>
    <row r="15" spans="1:14">
      <c r="A15" s="6"/>
      <c r="B15" s="50"/>
      <c r="C15" s="50"/>
      <c r="D15" s="50"/>
      <c r="E15" s="50"/>
      <c r="F15" s="141"/>
      <c r="G15" s="141"/>
      <c r="H15" s="141"/>
      <c r="I15" s="141"/>
      <c r="J15" s="141"/>
      <c r="K15" s="141"/>
      <c r="L15" s="325"/>
      <c r="M15" s="25"/>
      <c r="N15" s="25"/>
    </row>
    <row r="16" spans="1:14" ht="18.5">
      <c r="A16" s="43" t="s">
        <v>16</v>
      </c>
      <c r="B16" s="2">
        <v>2010</v>
      </c>
      <c r="C16" s="2">
        <f>C6</f>
        <v>2011</v>
      </c>
      <c r="D16" s="2">
        <f t="shared" ref="D16:L16" si="7">D6</f>
        <v>2012</v>
      </c>
      <c r="E16" s="2">
        <f t="shared" si="7"/>
        <v>2013</v>
      </c>
      <c r="F16" s="2">
        <f t="shared" si="7"/>
        <v>2014</v>
      </c>
      <c r="G16" s="2">
        <f t="shared" si="7"/>
        <v>2015</v>
      </c>
      <c r="H16" s="2">
        <f t="shared" si="7"/>
        <v>2016</v>
      </c>
      <c r="I16" s="2">
        <f t="shared" si="7"/>
        <v>2017</v>
      </c>
      <c r="J16" s="2">
        <f t="shared" si="7"/>
        <v>2018</v>
      </c>
      <c r="K16" s="2">
        <f t="shared" si="7"/>
        <v>2019</v>
      </c>
      <c r="L16" s="2">
        <f t="shared" si="7"/>
        <v>2020</v>
      </c>
      <c r="M16" s="25"/>
      <c r="N16" s="25"/>
    </row>
    <row r="17" spans="1:14">
      <c r="A17" s="88" t="str">
        <f>'Facility Detail'!B60</f>
        <v>Quantity of RECs Sold</v>
      </c>
      <c r="B17" s="71"/>
      <c r="C17" s="75">
        <f xml:space="preserve"> -1 * ( 'Facility Detail'!C60 + 'Facility Detail'!C111 + 'Facility Detail'!C162 + 'Facility Detail'!C213 + 'Facility Detail'!C264 + 'Facility Detail'!C308 + 'Facility Detail'!C352 + 'Facility Detail'!C390 + 'Facility Detail'!C428 + 'Facility Detail'!C474 + 'Facility Detail'!C520 + 'Facility Detail'!C566 + 'Facility Detail'!C612 + 'Facility Detail'!C658 + 'Facility Detail'!C700 + 'Facility Detail'!C751 + 'Facility Detail'!C802 + 'Facility Detail'!C853 + 'Facility Detail'!C904 + 'Facility Detail'!C946 + 'Facility Detail'!C986 + 'Facility Detail'!C1028 + 'Facility Detail'!C1070 + 'Facility Detail'!C1112 + 'Facility Detail'!C1154 + 'Facility Detail'!C1196 + 'Facility Detail'!C1238 + 'Facility Detail'!C1280 + 'Facility Detail'!C1322 + 'Facility Detail'!C1363 )</f>
        <v>0</v>
      </c>
      <c r="D17" s="75">
        <f xml:space="preserve"> -1 * ( 'Facility Detail'!D60 + 'Facility Detail'!D111 + 'Facility Detail'!D162 + 'Facility Detail'!D213 + 'Facility Detail'!D264 + 'Facility Detail'!D308 + 'Facility Detail'!D352 + 'Facility Detail'!D390 + 'Facility Detail'!D428 + 'Facility Detail'!D474 + 'Facility Detail'!D520 + 'Facility Detail'!D566 + 'Facility Detail'!D612 + 'Facility Detail'!D658 + 'Facility Detail'!D700 + 'Facility Detail'!D751 + 'Facility Detail'!D802 + 'Facility Detail'!D853 + 'Facility Detail'!D904 + 'Facility Detail'!D946 + 'Facility Detail'!D986 + 'Facility Detail'!D1028 + 'Facility Detail'!D1070 + 'Facility Detail'!D1112 + 'Facility Detail'!D1154 + 'Facility Detail'!D1196 + 'Facility Detail'!D1238 + 'Facility Detail'!D1280 + 'Facility Detail'!D1322 + 'Facility Detail'!D1363 )</f>
        <v>0</v>
      </c>
      <c r="E17" s="75">
        <f xml:space="preserve"> -1 * ( 'Facility Detail'!E60 + 'Facility Detail'!E111 + 'Facility Detail'!E162 + 'Facility Detail'!E213 + 'Facility Detail'!E264 + 'Facility Detail'!E308 + 'Facility Detail'!E352 + 'Facility Detail'!E390 + 'Facility Detail'!E428 + 'Facility Detail'!E474 + 'Facility Detail'!E520 + 'Facility Detail'!E566 + 'Facility Detail'!E612 + 'Facility Detail'!E658 + 'Facility Detail'!E700 + 'Facility Detail'!E751 + 'Facility Detail'!E802 + 'Facility Detail'!E853 + 'Facility Detail'!E904 + 'Facility Detail'!E946 + 'Facility Detail'!E986 + 'Facility Detail'!E1028 + 'Facility Detail'!E1070 + 'Facility Detail'!E1112 + 'Facility Detail'!E1154 + 'Facility Detail'!E1196 + 'Facility Detail'!E1238 + 'Facility Detail'!E1280 + 'Facility Detail'!E1322 + 'Facility Detail'!E1363 )</f>
        <v>0</v>
      </c>
      <c r="F17" s="75">
        <f xml:space="preserve"> -1 * ( 'Facility Detail'!F60 + 'Facility Detail'!F111 + 'Facility Detail'!F162 + 'Facility Detail'!F213 + 'Facility Detail'!F264 + 'Facility Detail'!F308 + 'Facility Detail'!F352 + 'Facility Detail'!F390 + 'Facility Detail'!F428 + 'Facility Detail'!F474 + 'Facility Detail'!F520 + 'Facility Detail'!F566 + 'Facility Detail'!F612 + 'Facility Detail'!F658 + 'Facility Detail'!F700 + 'Facility Detail'!F751 + 'Facility Detail'!F802 + 'Facility Detail'!F853 + 'Facility Detail'!F904 + 'Facility Detail'!F946 + 'Facility Detail'!F986 + 'Facility Detail'!F1028 + 'Facility Detail'!F1070 + 'Facility Detail'!F1112 + 'Facility Detail'!F1154 + 'Facility Detail'!F1196 + 'Facility Detail'!F1238 + 'Facility Detail'!F1280 + 'Facility Detail'!F1322 + 'Facility Detail'!F1363 )</f>
        <v>0</v>
      </c>
      <c r="G17" s="183">
        <f xml:space="preserve"> -1 * ( 'Facility Detail'!G60 + 'Facility Detail'!G111 + 'Facility Detail'!G162 + 'Facility Detail'!G213 + 'Facility Detail'!G264 + 'Facility Detail'!G308 + 'Facility Detail'!G352 + 'Facility Detail'!G390 + 'Facility Detail'!G428 + 'Facility Detail'!G474 + 'Facility Detail'!G520 + 'Facility Detail'!G566 + 'Facility Detail'!G612 + 'Facility Detail'!G658 + 'Facility Detail'!G700 + 'Facility Detail'!G751 + 'Facility Detail'!G802 + 'Facility Detail'!G853 + 'Facility Detail'!G904 + 'Facility Detail'!G946 + 'Facility Detail'!G986 + 'Facility Detail'!G1028 + 'Facility Detail'!G1070 + 'Facility Detail'!G1112 + 'Facility Detail'!G1154 + 'Facility Detail'!G1196 + 'Facility Detail'!G1238 + 'Facility Detail'!G1280 + 'Facility Detail'!G1322 + 'Facility Detail'!G1363 )</f>
        <v>0</v>
      </c>
      <c r="H17" s="183">
        <f xml:space="preserve"> -1 * ( 'Facility Detail'!H60 + 'Facility Detail'!H111 + 'Facility Detail'!H162 + 'Facility Detail'!H213 + 'Facility Detail'!H264 + 'Facility Detail'!H308 + 'Facility Detail'!H352 + 'Facility Detail'!H390 + 'Facility Detail'!H428 + 'Facility Detail'!H474 + 'Facility Detail'!H520 + 'Facility Detail'!H566 + 'Facility Detail'!H612 + 'Facility Detail'!H658 + 'Facility Detail'!H700 + 'Facility Detail'!H751 + 'Facility Detail'!H802 + 'Facility Detail'!H853 + 'Facility Detail'!H904 + 'Facility Detail'!H946 + 'Facility Detail'!H986 + 'Facility Detail'!H1028 + 'Facility Detail'!H1070 + 'Facility Detail'!H1112 + 'Facility Detail'!H1154 + 'Facility Detail'!H1196 + 'Facility Detail'!H1238 + 'Facility Detail'!H1280 + 'Facility Detail'!H1322 + 'Facility Detail'!H1363 )</f>
        <v>0</v>
      </c>
      <c r="I17" s="244">
        <f xml:space="preserve"> -1 * ( 'Facility Detail'!I60 + 'Facility Detail'!I111 + 'Facility Detail'!I162 + 'Facility Detail'!I213 + 'Facility Detail'!I264 + 'Facility Detail'!I308 + 'Facility Detail'!I352 + 'Facility Detail'!I390 + 'Facility Detail'!I428 + 'Facility Detail'!I474 + 'Facility Detail'!I520 + 'Facility Detail'!I566 + 'Facility Detail'!I612 + 'Facility Detail'!I658 + 'Facility Detail'!I700 + 'Facility Detail'!I751 + 'Facility Detail'!I802 + 'Facility Detail'!I853 + 'Facility Detail'!I904 + 'Facility Detail'!I946 + 'Facility Detail'!I986 + 'Facility Detail'!I1028 + 'Facility Detail'!I1070 + 'Facility Detail'!I1112 + 'Facility Detail'!I1154 + 'Facility Detail'!I1196 + 'Facility Detail'!I1238 + 'Facility Detail'!I1280 + 'Facility Detail'!I1322 + 'Facility Detail'!I1363 )</f>
        <v>0</v>
      </c>
      <c r="J17" s="244">
        <f xml:space="preserve"> -1 * ( 'Facility Detail'!J60 + 'Facility Detail'!J111 + 'Facility Detail'!J162 + 'Facility Detail'!J213 + 'Facility Detail'!J264 + 'Facility Detail'!J308 + 'Facility Detail'!J352 + 'Facility Detail'!J390 + 'Facility Detail'!J428 + 'Facility Detail'!J474 + 'Facility Detail'!J520 + 'Facility Detail'!J566 + 'Facility Detail'!J612 + 'Facility Detail'!J658 + 'Facility Detail'!J700 + 'Facility Detail'!J751 + 'Facility Detail'!J802 + 'Facility Detail'!J853 + 'Facility Detail'!J904 + 'Facility Detail'!J946 + 'Facility Detail'!J986 + 'Facility Detail'!J1028 + 'Facility Detail'!J1070 + 'Facility Detail'!J1112 + 'Facility Detail'!J1154 + 'Facility Detail'!J1196 + 'Facility Detail'!J1238 + 'Facility Detail'!J1280 + 'Facility Detail'!J1322 + 'Facility Detail'!J1363 )</f>
        <v>0</v>
      </c>
      <c r="K17" s="244">
        <f xml:space="preserve"> -1 * ( 'Facility Detail'!K60 + 'Facility Detail'!K111 + 'Facility Detail'!K162 + 'Facility Detail'!K213 + 'Facility Detail'!K264 + 'Facility Detail'!K308 + 'Facility Detail'!K352 + 'Facility Detail'!K390 + 'Facility Detail'!K428 + 'Facility Detail'!K474 + 'Facility Detail'!K520 + 'Facility Detail'!K566 + 'Facility Detail'!K612 + 'Facility Detail'!K658 + 'Facility Detail'!K700 + 'Facility Detail'!K751 + 'Facility Detail'!K802 + 'Facility Detail'!K853 + 'Facility Detail'!K904 + 'Facility Detail'!K946 + 'Facility Detail'!K986 + 'Facility Detail'!K1028 + 'Facility Detail'!K1070 + 'Facility Detail'!K1112 + 'Facility Detail'!K1154 + 'Facility Detail'!K1196 + 'Facility Detail'!K1238 + 'Facility Detail'!K1280 + 'Facility Detail'!K1322 + 'Facility Detail'!K1363 )</f>
        <v>0</v>
      </c>
      <c r="L17" s="244">
        <f xml:space="preserve"> -1 * ( 'Facility Detail'!L60 + 'Facility Detail'!L111 + 'Facility Detail'!L162 + 'Facility Detail'!L213 + 'Facility Detail'!L264 + 'Facility Detail'!L308 + 'Facility Detail'!L352 + 'Facility Detail'!L390 + 'Facility Detail'!L428 + 'Facility Detail'!L474 + 'Facility Detail'!L520 + 'Facility Detail'!L566 + 'Facility Detail'!L612 + 'Facility Detail'!L658 + 'Facility Detail'!L700 + 'Facility Detail'!L751 + 'Facility Detail'!L802 + 'Facility Detail'!L853 + 'Facility Detail'!L904 + 'Facility Detail'!L946 + 'Facility Detail'!L986 + 'Facility Detail'!L1028 + 'Facility Detail'!L1070 + 'Facility Detail'!L1112 + 'Facility Detail'!L1154 + 'Facility Detail'!L1196 + 'Facility Detail'!L1238 + 'Facility Detail'!L1280 + 'Facility Detail'!L1322 + 'Facility Detail'!L1363 )</f>
        <v>0</v>
      </c>
      <c r="M17" s="15"/>
      <c r="N17" s="15"/>
    </row>
    <row r="18" spans="1:14">
      <c r="A18" s="89" t="str">
        <f>'Facility Detail'!B61</f>
        <v>Bonus Incentives Transferred</v>
      </c>
      <c r="B18" s="98"/>
      <c r="C18" s="99">
        <f xml:space="preserve"> -1 * ( 'Facility Detail'!C61 + 'Facility Detail'!C112 + 'Facility Detail'!C163 + 'Facility Detail'!C214 + 'Facility Detail'!C265 + 'Facility Detail'!C309 + 'Facility Detail'!C353 + 'Facility Detail'!C391 + 'Facility Detail'!C429 + 'Facility Detail'!C475 + 'Facility Detail'!C521 + 'Facility Detail'!C567 + 'Facility Detail'!C613 + 'Facility Detail'!C659 + 'Facility Detail'!C701 + 'Facility Detail'!C752 + 'Facility Detail'!C803 + 'Facility Detail'!C854 + 'Facility Detail'!C905 + 'Facility Detail'!C947 + 'Facility Detail'!C987 + 'Facility Detail'!C1029 + 'Facility Detail'!C1071 + 'Facility Detail'!C1113 + 'Facility Detail'!C1155 + 'Facility Detail'!C1197 + 'Facility Detail'!C1239 + 'Facility Detail'!C1281 + 'Facility Detail'!C1323 + 'Facility Detail'!C1364 )</f>
        <v>0</v>
      </c>
      <c r="D18" s="99">
        <f xml:space="preserve"> -1 * ( 'Facility Detail'!D61 + 'Facility Detail'!D112 + 'Facility Detail'!D163 + 'Facility Detail'!D214 + 'Facility Detail'!D265 + 'Facility Detail'!D309 + 'Facility Detail'!D353 + 'Facility Detail'!D391 + 'Facility Detail'!D429 + 'Facility Detail'!D475 + 'Facility Detail'!D521 + 'Facility Detail'!D567 + 'Facility Detail'!D613 + 'Facility Detail'!D659 + 'Facility Detail'!D701 + 'Facility Detail'!D752 + 'Facility Detail'!D803 + 'Facility Detail'!D854 + 'Facility Detail'!D905 + 'Facility Detail'!D947 + 'Facility Detail'!D987 + 'Facility Detail'!D1029 + 'Facility Detail'!D1071 + 'Facility Detail'!D1113 + 'Facility Detail'!D1155 + 'Facility Detail'!D1197 + 'Facility Detail'!D1239 + 'Facility Detail'!D1281 + 'Facility Detail'!D1323 + 'Facility Detail'!D1364 )</f>
        <v>0</v>
      </c>
      <c r="E18" s="99">
        <f xml:space="preserve"> -1 * ( 'Facility Detail'!E61 + 'Facility Detail'!E112 + 'Facility Detail'!E163 + 'Facility Detail'!E214 + 'Facility Detail'!E265 + 'Facility Detail'!E309 + 'Facility Detail'!E353 + 'Facility Detail'!E391 + 'Facility Detail'!E429 + 'Facility Detail'!E475 + 'Facility Detail'!E521 + 'Facility Detail'!E567 + 'Facility Detail'!E613 + 'Facility Detail'!E659 + 'Facility Detail'!E701 + 'Facility Detail'!E752 + 'Facility Detail'!E803 + 'Facility Detail'!E854 + 'Facility Detail'!E905 + 'Facility Detail'!E947 + 'Facility Detail'!E987 + 'Facility Detail'!E1029 + 'Facility Detail'!E1071 + 'Facility Detail'!E1113 + 'Facility Detail'!E1155 + 'Facility Detail'!E1197 + 'Facility Detail'!E1239 + 'Facility Detail'!E1281 + 'Facility Detail'!E1323 + 'Facility Detail'!E1364 )</f>
        <v>0</v>
      </c>
      <c r="F18" s="99">
        <f xml:space="preserve"> -1 * ( 'Facility Detail'!F61 + 'Facility Detail'!F112 + 'Facility Detail'!F163 + 'Facility Detail'!F214 + 'Facility Detail'!F265 + 'Facility Detail'!F309 + 'Facility Detail'!F353 + 'Facility Detail'!F391 + 'Facility Detail'!F429 + 'Facility Detail'!F475 + 'Facility Detail'!F521 + 'Facility Detail'!F567 + 'Facility Detail'!F613 + 'Facility Detail'!F659 + 'Facility Detail'!F701 + 'Facility Detail'!F752 + 'Facility Detail'!F803 + 'Facility Detail'!F854 + 'Facility Detail'!F905 + 'Facility Detail'!F947 + 'Facility Detail'!F987 + 'Facility Detail'!F1029 + 'Facility Detail'!F1071 + 'Facility Detail'!F1113 + 'Facility Detail'!F1155 + 'Facility Detail'!F1197 + 'Facility Detail'!F1239 + 'Facility Detail'!F1281 + 'Facility Detail'!F1323 + 'Facility Detail'!F1364 )</f>
        <v>0</v>
      </c>
      <c r="G18" s="184">
        <f xml:space="preserve"> -1 * ( 'Facility Detail'!G61 + 'Facility Detail'!G112 + 'Facility Detail'!G163 + 'Facility Detail'!G214 + 'Facility Detail'!G265 + 'Facility Detail'!G309 + 'Facility Detail'!G353 + 'Facility Detail'!G391 + 'Facility Detail'!G429 + 'Facility Detail'!G475 + 'Facility Detail'!G521 + 'Facility Detail'!G567 + 'Facility Detail'!G613 + 'Facility Detail'!G659 + 'Facility Detail'!G701 + 'Facility Detail'!G752 + 'Facility Detail'!G803 + 'Facility Detail'!G854 + 'Facility Detail'!G905 + 'Facility Detail'!G947 + 'Facility Detail'!G987 + 'Facility Detail'!G1029 + 'Facility Detail'!G1071 + 'Facility Detail'!G1113 + 'Facility Detail'!G1155 + 'Facility Detail'!G1197 + 'Facility Detail'!G1239 + 'Facility Detail'!G1281 + 'Facility Detail'!G1323 + 'Facility Detail'!G1364 )</f>
        <v>0</v>
      </c>
      <c r="H18" s="184">
        <f xml:space="preserve"> -1 * ( 'Facility Detail'!H61 + 'Facility Detail'!H112 + 'Facility Detail'!H163 + 'Facility Detail'!H214 + 'Facility Detail'!H265 + 'Facility Detail'!H309 + 'Facility Detail'!H353 + 'Facility Detail'!H391 + 'Facility Detail'!H429 + 'Facility Detail'!H475 + 'Facility Detail'!H521 + 'Facility Detail'!H567 + 'Facility Detail'!H613 + 'Facility Detail'!H659 + 'Facility Detail'!H701 + 'Facility Detail'!H752 + 'Facility Detail'!H803 + 'Facility Detail'!H854 + 'Facility Detail'!H905 + 'Facility Detail'!H947 + 'Facility Detail'!H987 + 'Facility Detail'!H1029 + 'Facility Detail'!H1071 + 'Facility Detail'!H1113 + 'Facility Detail'!H1155 + 'Facility Detail'!H1197 + 'Facility Detail'!H1239 + 'Facility Detail'!H1281 + 'Facility Detail'!H1323 + 'Facility Detail'!H1364 )</f>
        <v>0</v>
      </c>
      <c r="I18" s="238">
        <f xml:space="preserve"> -1 * ( 'Facility Detail'!I61 + 'Facility Detail'!I112 + 'Facility Detail'!I163 + 'Facility Detail'!I214 + 'Facility Detail'!I265 + 'Facility Detail'!I309 + 'Facility Detail'!I353 + 'Facility Detail'!I391 + 'Facility Detail'!I429 + 'Facility Detail'!I475 + 'Facility Detail'!I521 + 'Facility Detail'!I567 + 'Facility Detail'!I613 + 'Facility Detail'!I659 + 'Facility Detail'!I701 + 'Facility Detail'!I752 + 'Facility Detail'!I803 + 'Facility Detail'!I854 + 'Facility Detail'!I905 + 'Facility Detail'!I947 + 'Facility Detail'!I987 + 'Facility Detail'!I1029 + 'Facility Detail'!I1071 + 'Facility Detail'!I1113 + 'Facility Detail'!I1155 + 'Facility Detail'!I1197 + 'Facility Detail'!I1239 + 'Facility Detail'!I1281 + 'Facility Detail'!I1323 + 'Facility Detail'!I1364 )</f>
        <v>0</v>
      </c>
      <c r="J18" s="238">
        <f xml:space="preserve"> -1 * ( 'Facility Detail'!J61 + 'Facility Detail'!J112 + 'Facility Detail'!J163 + 'Facility Detail'!J214 + 'Facility Detail'!J265 + 'Facility Detail'!J309 + 'Facility Detail'!J353 + 'Facility Detail'!J391 + 'Facility Detail'!J429 + 'Facility Detail'!J475 + 'Facility Detail'!J521 + 'Facility Detail'!J567 + 'Facility Detail'!J613 + 'Facility Detail'!J659 + 'Facility Detail'!J701 + 'Facility Detail'!J752 + 'Facility Detail'!J803 + 'Facility Detail'!J854 + 'Facility Detail'!J905 + 'Facility Detail'!J947 + 'Facility Detail'!J987 + 'Facility Detail'!J1029 + 'Facility Detail'!J1071 + 'Facility Detail'!J1113 + 'Facility Detail'!J1155 + 'Facility Detail'!J1197 + 'Facility Detail'!J1239 + 'Facility Detail'!J1281 + 'Facility Detail'!J1323 + 'Facility Detail'!J1364 )</f>
        <v>0</v>
      </c>
      <c r="K18" s="238">
        <f xml:space="preserve"> -1 * ( 'Facility Detail'!K61 + 'Facility Detail'!K112 + 'Facility Detail'!K163 + 'Facility Detail'!K214 + 'Facility Detail'!K265 + 'Facility Detail'!K309 + 'Facility Detail'!K353 + 'Facility Detail'!K391 + 'Facility Detail'!K429 + 'Facility Detail'!K475 + 'Facility Detail'!K521 + 'Facility Detail'!K567 + 'Facility Detail'!K613 + 'Facility Detail'!K659 + 'Facility Detail'!K701 + 'Facility Detail'!K752 + 'Facility Detail'!K803 + 'Facility Detail'!K854 + 'Facility Detail'!K905 + 'Facility Detail'!K947 + 'Facility Detail'!K987 + 'Facility Detail'!K1029 + 'Facility Detail'!K1071 + 'Facility Detail'!K1113 + 'Facility Detail'!K1155 + 'Facility Detail'!K1197 + 'Facility Detail'!K1239 + 'Facility Detail'!K1281 + 'Facility Detail'!K1323 + 'Facility Detail'!K1364 )</f>
        <v>0</v>
      </c>
      <c r="L18" s="238">
        <f xml:space="preserve"> -1 * ( 'Facility Detail'!L61 + 'Facility Detail'!L112 + 'Facility Detail'!L163 + 'Facility Detail'!L214 + 'Facility Detail'!L265 + 'Facility Detail'!L309 + 'Facility Detail'!L353 + 'Facility Detail'!L391 + 'Facility Detail'!L429 + 'Facility Detail'!L475 + 'Facility Detail'!L521 + 'Facility Detail'!L567 + 'Facility Detail'!L613 + 'Facility Detail'!L659 + 'Facility Detail'!L701 + 'Facility Detail'!L752 + 'Facility Detail'!L803 + 'Facility Detail'!L854 + 'Facility Detail'!L905 + 'Facility Detail'!L947 + 'Facility Detail'!L987 + 'Facility Detail'!L1029 + 'Facility Detail'!L1071 + 'Facility Detail'!L1113 + 'Facility Detail'!L1155 + 'Facility Detail'!L1197 + 'Facility Detail'!L1239 + 'Facility Detail'!L1281 + 'Facility Detail'!L1323 + 'Facility Detail'!L1364 )</f>
        <v>0</v>
      </c>
      <c r="M18" s="15"/>
      <c r="N18" s="15"/>
    </row>
    <row r="19" spans="1:14">
      <c r="A19" s="97" t="str">
        <f>'Facility Detail'!B62</f>
        <v>Bonus Incentives Not Realized</v>
      </c>
      <c r="B19" s="72"/>
      <c r="C19" s="76">
        <f xml:space="preserve"> -1 * ( 'Facility Detail'!C62 + 'Facility Detail'!C113 + 'Facility Detail'!C164 + 'Facility Detail'!C215 + 'Facility Detail'!C266 + 'Facility Detail'!C310 + 'Facility Detail'!C354 + 'Facility Detail'!C392 + 'Facility Detail'!C430 + 'Facility Detail'!C476 + 'Facility Detail'!C522 + 'Facility Detail'!C568 + 'Facility Detail'!C614 + 'Facility Detail'!C660 + 'Facility Detail'!C702 + 'Facility Detail'!C753 + 'Facility Detail'!C804 + 'Facility Detail'!C855 + 'Facility Detail'!C906 + 'Facility Detail'!C948 + 'Facility Detail'!C988 + 'Facility Detail'!C1030 + 'Facility Detail'!C1072 + 'Facility Detail'!C1114 + 'Facility Detail'!C1156 + 'Facility Detail'!C1198 + 'Facility Detail'!C1240 + 'Facility Detail'!C1282 + 'Facility Detail'!C1324 + 'Facility Detail'!C1365 )</f>
        <v>0</v>
      </c>
      <c r="D19" s="76">
        <f xml:space="preserve"> -1 * ( 'Facility Detail'!D62 + 'Facility Detail'!D113 + 'Facility Detail'!D164 + 'Facility Detail'!D215 + 'Facility Detail'!D266 + 'Facility Detail'!D310 + 'Facility Detail'!D354 + 'Facility Detail'!D392 + 'Facility Detail'!D430 + 'Facility Detail'!D476 + 'Facility Detail'!D522 + 'Facility Detail'!D568 + 'Facility Detail'!D614 + 'Facility Detail'!D660 + 'Facility Detail'!D702 + 'Facility Detail'!D753 + 'Facility Detail'!D804 + 'Facility Detail'!D855 + 'Facility Detail'!D906 + 'Facility Detail'!D948 + 'Facility Detail'!D988 + 'Facility Detail'!D1030 + 'Facility Detail'!D1072 + 'Facility Detail'!D1114 + 'Facility Detail'!D1156 + 'Facility Detail'!D1198 + 'Facility Detail'!D1240 + 'Facility Detail'!D1282 + 'Facility Detail'!D1324 + 'Facility Detail'!D1365 )</f>
        <v>0</v>
      </c>
      <c r="E19" s="76">
        <f xml:space="preserve"> -1 * ( 'Facility Detail'!E62 + 'Facility Detail'!E113 + 'Facility Detail'!E164 + 'Facility Detail'!E215 + 'Facility Detail'!E266 + 'Facility Detail'!E310 + 'Facility Detail'!E354 + 'Facility Detail'!E392 + 'Facility Detail'!E430 + 'Facility Detail'!E476 + 'Facility Detail'!E522 + 'Facility Detail'!E568 + 'Facility Detail'!E614 + 'Facility Detail'!E660 + 'Facility Detail'!E702 + 'Facility Detail'!E753 + 'Facility Detail'!E804 + 'Facility Detail'!E855 + 'Facility Detail'!E906 + 'Facility Detail'!E948 + 'Facility Detail'!E988 + 'Facility Detail'!E1030 + 'Facility Detail'!E1072 + 'Facility Detail'!E1114 + 'Facility Detail'!E1156 + 'Facility Detail'!E1198 + 'Facility Detail'!E1240 + 'Facility Detail'!E1282 + 'Facility Detail'!E1324 + 'Facility Detail'!E1365 )</f>
        <v>0</v>
      </c>
      <c r="F19" s="76">
        <f xml:space="preserve"> -1 * ( 'Facility Detail'!F62 + 'Facility Detail'!F113 + 'Facility Detail'!F164 + 'Facility Detail'!F215 + 'Facility Detail'!F266 + 'Facility Detail'!F310 + 'Facility Detail'!F354 + 'Facility Detail'!F392 + 'Facility Detail'!F430 + 'Facility Detail'!F476 + 'Facility Detail'!F522 + 'Facility Detail'!F568 + 'Facility Detail'!F614 + 'Facility Detail'!F660 + 'Facility Detail'!F702 + 'Facility Detail'!F753 + 'Facility Detail'!F804 + 'Facility Detail'!F855 + 'Facility Detail'!F906 + 'Facility Detail'!F948 + 'Facility Detail'!F988 + 'Facility Detail'!F1030 + 'Facility Detail'!F1072 + 'Facility Detail'!F1114 + 'Facility Detail'!F1156 + 'Facility Detail'!F1198 + 'Facility Detail'!F1240 + 'Facility Detail'!F1282 + 'Facility Detail'!F1324 + 'Facility Detail'!F1365 )</f>
        <v>0</v>
      </c>
      <c r="G19" s="185">
        <f xml:space="preserve"> -1 * ( 'Facility Detail'!G62 + 'Facility Detail'!G113 + 'Facility Detail'!G164 + 'Facility Detail'!G215 + 'Facility Detail'!G266 + 'Facility Detail'!G310 + 'Facility Detail'!G354 + 'Facility Detail'!G392 + 'Facility Detail'!G430 + 'Facility Detail'!G476 + 'Facility Detail'!G522 + 'Facility Detail'!G568 + 'Facility Detail'!G614 + 'Facility Detail'!G660 + 'Facility Detail'!G702 + 'Facility Detail'!G753 + 'Facility Detail'!G804 + 'Facility Detail'!G855 + 'Facility Detail'!G906 + 'Facility Detail'!G948 + 'Facility Detail'!G988 + 'Facility Detail'!G1030 + 'Facility Detail'!G1072 + 'Facility Detail'!G1114 + 'Facility Detail'!G1156 + 'Facility Detail'!G1198 + 'Facility Detail'!G1240 + 'Facility Detail'!G1282 + 'Facility Detail'!G1324 + 'Facility Detail'!G1365 )</f>
        <v>0</v>
      </c>
      <c r="H19" s="185">
        <f xml:space="preserve"> -1 * ( 'Facility Detail'!H62 + 'Facility Detail'!H113 + 'Facility Detail'!H164 + 'Facility Detail'!H215 + 'Facility Detail'!H266 + 'Facility Detail'!H310 + 'Facility Detail'!H354 + 'Facility Detail'!H392 + 'Facility Detail'!H430 + 'Facility Detail'!H476 + 'Facility Detail'!H522 + 'Facility Detail'!H568 + 'Facility Detail'!H614 + 'Facility Detail'!H660 + 'Facility Detail'!H702 + 'Facility Detail'!H753 + 'Facility Detail'!H804 + 'Facility Detail'!H855 + 'Facility Detail'!H906 + 'Facility Detail'!H948 + 'Facility Detail'!H988 + 'Facility Detail'!H1030 + 'Facility Detail'!H1072 + 'Facility Detail'!H1114 + 'Facility Detail'!H1156 + 'Facility Detail'!H1198 + 'Facility Detail'!H1240 + 'Facility Detail'!H1282 + 'Facility Detail'!H1324 + 'Facility Detail'!H1365 )</f>
        <v>0</v>
      </c>
      <c r="I19" s="239">
        <f xml:space="preserve"> -1 * ( 'Facility Detail'!I62 + 'Facility Detail'!I113 + 'Facility Detail'!I164 + 'Facility Detail'!I215 + 'Facility Detail'!I266 + 'Facility Detail'!I310 + 'Facility Detail'!I354 + 'Facility Detail'!I392 + 'Facility Detail'!I430 + 'Facility Detail'!I476 + 'Facility Detail'!I522 + 'Facility Detail'!I568 + 'Facility Detail'!I614 + 'Facility Detail'!I660 + 'Facility Detail'!I702 + 'Facility Detail'!I753 + 'Facility Detail'!I804 + 'Facility Detail'!I855 + 'Facility Detail'!I906 + 'Facility Detail'!I948 + 'Facility Detail'!I988 + 'Facility Detail'!I1030 + 'Facility Detail'!I1072 + 'Facility Detail'!I1114 + 'Facility Detail'!I1156 + 'Facility Detail'!I1198 + 'Facility Detail'!I1240 + 'Facility Detail'!I1282 + 'Facility Detail'!I1324 + 'Facility Detail'!I1365 )</f>
        <v>0</v>
      </c>
      <c r="J19" s="239">
        <f xml:space="preserve"> -1 * ( 'Facility Detail'!J62 + 'Facility Detail'!J113 + 'Facility Detail'!J164 + 'Facility Detail'!J215 + 'Facility Detail'!J266 + 'Facility Detail'!J310 + 'Facility Detail'!J354 + 'Facility Detail'!J392 + 'Facility Detail'!J430 + 'Facility Detail'!J476 + 'Facility Detail'!J522 + 'Facility Detail'!J568 + 'Facility Detail'!J614 + 'Facility Detail'!J660 + 'Facility Detail'!J702 + 'Facility Detail'!J753 + 'Facility Detail'!J804 + 'Facility Detail'!J855 + 'Facility Detail'!J906 + 'Facility Detail'!J948 + 'Facility Detail'!J988 + 'Facility Detail'!J1030 + 'Facility Detail'!J1072 + 'Facility Detail'!J1114 + 'Facility Detail'!J1156 + 'Facility Detail'!J1198 + 'Facility Detail'!J1240 + 'Facility Detail'!J1282 + 'Facility Detail'!J1324 + 'Facility Detail'!J1365 )</f>
        <v>0</v>
      </c>
      <c r="K19" s="239">
        <f xml:space="preserve"> -1 * ( 'Facility Detail'!K62 + 'Facility Detail'!K113 + 'Facility Detail'!K164 + 'Facility Detail'!K215 + 'Facility Detail'!K266 + 'Facility Detail'!K310 + 'Facility Detail'!K354 + 'Facility Detail'!K392 + 'Facility Detail'!K430 + 'Facility Detail'!K476 + 'Facility Detail'!K522 + 'Facility Detail'!K568 + 'Facility Detail'!K614 + 'Facility Detail'!K660 + 'Facility Detail'!K702 + 'Facility Detail'!K753 + 'Facility Detail'!K804 + 'Facility Detail'!K855 + 'Facility Detail'!K906 + 'Facility Detail'!K948 + 'Facility Detail'!K988 + 'Facility Detail'!K1030 + 'Facility Detail'!K1072 + 'Facility Detail'!K1114 + 'Facility Detail'!K1156 + 'Facility Detail'!K1198 + 'Facility Detail'!K1240 + 'Facility Detail'!K1282 + 'Facility Detail'!K1324 + 'Facility Detail'!K1365 )</f>
        <v>0</v>
      </c>
      <c r="L19" s="239">
        <f xml:space="preserve"> -1 * ( 'Facility Detail'!L62 + 'Facility Detail'!L113 + 'Facility Detail'!L164 + 'Facility Detail'!L215 + 'Facility Detail'!L266 + 'Facility Detail'!L310 + 'Facility Detail'!L354 + 'Facility Detail'!L392 + 'Facility Detail'!L430 + 'Facility Detail'!L476 + 'Facility Detail'!L522 + 'Facility Detail'!L568 + 'Facility Detail'!L614 + 'Facility Detail'!L660 + 'Facility Detail'!L702 + 'Facility Detail'!L753 + 'Facility Detail'!L804 + 'Facility Detail'!L855 + 'Facility Detail'!L906 + 'Facility Detail'!L948 + 'Facility Detail'!L988 + 'Facility Detail'!L1030 + 'Facility Detail'!L1072 + 'Facility Detail'!L1114 + 'Facility Detail'!L1156 + 'Facility Detail'!L1198 + 'Facility Detail'!L1240 + 'Facility Detail'!L1282 + 'Facility Detail'!L1324 + 'Facility Detail'!L1365 )</f>
        <v>0</v>
      </c>
      <c r="M19" s="15"/>
      <c r="N19" s="15"/>
    </row>
    <row r="20" spans="1:14">
      <c r="A20" s="82" t="str">
        <f>'Facility Detail'!B63</f>
        <v>Total Sold / Transferred / Unrealized</v>
      </c>
      <c r="B20" s="20"/>
      <c r="C20" s="20">
        <f t="shared" ref="C20" si="8">SUM(C17:C19)</f>
        <v>0</v>
      </c>
      <c r="D20" s="20">
        <f t="shared" ref="D20:I20" si="9">SUM(D17:D19)</f>
        <v>0</v>
      </c>
      <c r="E20" s="20">
        <f t="shared" si="9"/>
        <v>0</v>
      </c>
      <c r="F20" s="20">
        <f t="shared" si="9"/>
        <v>0</v>
      </c>
      <c r="G20" s="143">
        <f t="shared" si="9"/>
        <v>0</v>
      </c>
      <c r="H20" s="143">
        <f t="shared" si="9"/>
        <v>0</v>
      </c>
      <c r="I20" s="143">
        <f t="shared" si="9"/>
        <v>0</v>
      </c>
      <c r="J20" s="143">
        <f t="shared" ref="J20:K20" si="10">SUM(J17:J19)</f>
        <v>0</v>
      </c>
      <c r="K20" s="143">
        <f t="shared" si="10"/>
        <v>0</v>
      </c>
      <c r="L20" s="143">
        <f t="shared" ref="L20" si="11">SUM(L17:L19)</f>
        <v>0</v>
      </c>
      <c r="M20" s="20"/>
      <c r="N20" s="20"/>
    </row>
    <row r="21" spans="1:14">
      <c r="B21" s="15"/>
      <c r="C21" s="15"/>
      <c r="D21" s="15"/>
      <c r="E21" s="15"/>
      <c r="F21" s="144"/>
      <c r="G21" s="144"/>
      <c r="H21" s="144"/>
      <c r="I21" s="144"/>
      <c r="J21" s="144"/>
      <c r="K21" s="144"/>
      <c r="L21" s="144"/>
      <c r="M21" s="15"/>
      <c r="N21" s="15"/>
    </row>
    <row r="22" spans="1:14" ht="18.5">
      <c r="A22" s="9" t="s">
        <v>40</v>
      </c>
      <c r="B22" s="2">
        <v>2010</v>
      </c>
      <c r="C22" s="2">
        <f>C6</f>
        <v>2011</v>
      </c>
      <c r="D22" s="2">
        <f t="shared" ref="D22:L22" si="12">D6</f>
        <v>2012</v>
      </c>
      <c r="E22" s="2">
        <f t="shared" si="12"/>
        <v>2013</v>
      </c>
      <c r="F22" s="2">
        <f t="shared" si="12"/>
        <v>2014</v>
      </c>
      <c r="G22" s="2">
        <f t="shared" si="12"/>
        <v>2015</v>
      </c>
      <c r="H22" s="2">
        <f t="shared" si="12"/>
        <v>2016</v>
      </c>
      <c r="I22" s="2">
        <f t="shared" si="12"/>
        <v>2017</v>
      </c>
      <c r="J22" s="2">
        <f t="shared" si="12"/>
        <v>2018</v>
      </c>
      <c r="K22" s="2">
        <f t="shared" si="12"/>
        <v>2019</v>
      </c>
      <c r="L22" s="2">
        <f t="shared" si="12"/>
        <v>2020</v>
      </c>
      <c r="M22" s="15"/>
      <c r="N22" s="15"/>
    </row>
    <row r="23" spans="1:14">
      <c r="A23" s="106" t="str">
        <f xml:space="preserve"> 'Facility Detail'!$B$1897 &amp; " Surplus Applied to " &amp; ( 'Facility Detail'!$B$1897 + 1 )</f>
        <v>2011 Surplus Applied to 2012</v>
      </c>
      <c r="B23" s="176"/>
      <c r="C23" s="66">
        <f xml:space="preserve"> -1 * ( 'Facility Detail'!$D66 + 'Facility Detail'!$D117 + 'Facility Detail'!$D168 + 'Facility Detail'!$D219 + 'Facility Detail'!$D270 + 'Facility Detail'!$D314 + 'Facility Detail'!$D358 + 'Facility Detail'!$D396 + 'Facility Detail'!$D434 + 'Facility Detail'!$D480 + 'Facility Detail'!$D526 + 'Facility Detail'!$D572 + 'Facility Detail'!$D618 + 'Facility Detail'!$D664 + 'Facility Detail'!$D706 + 'Facility Detail'!$D757 + 'Facility Detail'!$D813 + 'Facility Detail'!$D859 + 'Facility Detail'!$D915 + 'Facility Detail'!$D957 + 'Facility Detail'!$D997 + 'Facility Detail'!$D1034 + 'Facility Detail'!$D1076 + 'Facility Detail'!$D1118 + 'Facility Detail'!$D1160 + 'Facility Detail'!$D1202 + 'Facility Detail'!$D1244 + 'Facility Detail'!$D1286 + 'Facility Detail'!$D1328 + 'Facility Detail'!$D1369 )</f>
        <v>-104826</v>
      </c>
      <c r="D23" s="66">
        <f xml:space="preserve"> 'Facility Detail'!$E$66 + 'Facility Detail'!$E$117 + 'Facility Detail'!$E$168 + 'Facility Detail'!$E$219 + 'Facility Detail'!$E$270 + 'Facility Detail'!$E$314 + 'Facility Detail'!$E$358 + 'Facility Detail'!$E$396 + 'Facility Detail'!$E$434 + 'Facility Detail'!$E$480 + 'Facility Detail'!$E$526 + 'Facility Detail'!$E$572 + 'Facility Detail'!$E$618 + 'Facility Detail'!$E$664 + 'Facility Detail'!$E$706 + 'Facility Detail'!$E$757 + 'Facility Detail'!$E$813 + 'Facility Detail'!$E$859 + 'Facility Detail'!$E$915 + 'Facility Detail'!$E$957 + 'Facility Detail'!$E$997 + 'Facility Detail'!$E$1034 + 'Facility Detail'!$E$1076 + 'Facility Detail'!$E$1118 + 'Facility Detail'!$E$1160 + 'Facility Detail'!$E$1202 + 'Facility Detail'!$E$1244 + 'Facility Detail'!$E$1286 + 'Facility Detail'!$E$1328 + 'Facility Detail'!$E$1369</f>
        <v>104826</v>
      </c>
      <c r="E23" s="354"/>
      <c r="F23" s="354"/>
      <c r="G23" s="354"/>
      <c r="H23" s="354"/>
      <c r="I23" s="360"/>
      <c r="J23" s="360"/>
      <c r="K23" s="360"/>
      <c r="L23" s="360"/>
      <c r="M23" s="15"/>
      <c r="N23" s="15"/>
    </row>
    <row r="24" spans="1:14">
      <c r="A24" s="106" t="str">
        <f xml:space="preserve"> ( 'Facility Detail'!$B$1897 + 1 ) &amp; " Surplus Applied to " &amp; ( 'Facility Detail'!$B$1897 )</f>
        <v>2012 Surplus Applied to 2011</v>
      </c>
      <c r="B24" s="177"/>
      <c r="C24" s="77">
        <f xml:space="preserve"> 'Facility Detail'!$D$67 + 'Facility Detail'!$D$118 + 'Facility Detail'!$D$169 + 'Facility Detail'!$D$220 + 'Facility Detail'!$D$271 + 'Facility Detail'!$D$315 + 'Facility Detail'!$D$359 + 'Facility Detail'!$D$397 + 'Facility Detail'!$D$435 + 'Facility Detail'!$D$481 + 'Facility Detail'!$D$527 + 'Facility Detail'!$D$573 + 'Facility Detail'!$D$619 + 'Facility Detail'!$D$665 + 'Facility Detail'!$D$707 + 'Facility Detail'!$D$758 + 'Facility Detail'!$D$814 + 'Facility Detail'!$D$863 + 'Facility Detail'!$D$916 + 'Facility Detail'!$D$958 + 'Facility Detail'!$D$998 + 'Facility Detail'!$D$1035 + 'Facility Detail'!$D$1077 + 'Facility Detail'!$D$1119 + 'Facility Detail'!$D$1161 + 'Facility Detail'!$D$1203 + 'Facility Detail'!$D$1245 + 'Facility Detail'!$D$1287 + 'Facility Detail'!$D$1329 + 'Facility Detail'!$D$1370</f>
        <v>0</v>
      </c>
      <c r="D24" s="77">
        <f xml:space="preserve"> -1 * ( 'Facility Detail'!$E$67 + 'Facility Detail'!$E$118 + 'Facility Detail'!$E$169 + 'Facility Detail'!$E$220 + 'Facility Detail'!$E$271 + 'Facility Detail'!$E$315 + 'Facility Detail'!$E$359 + 'Facility Detail'!$E$397 + 'Facility Detail'!$E$435 + 'Facility Detail'!$E$481 + 'Facility Detail'!$E$527 + 'Facility Detail'!$E$573 + 'Facility Detail'!$E$619 + 'Facility Detail'!$E$665 + 'Facility Detail'!$E$707 + 'Facility Detail'!$E$758 + 'Facility Detail'!$E$814 + 'Facility Detail'!$E$863 + 'Facility Detail'!$E$916 + 'Facility Detail'!$E$958 + 'Facility Detail'!$E$998 + 'Facility Detail'!$E$1035 + 'Facility Detail'!$E$1077 + 'Facility Detail'!$E$1119 + 'Facility Detail'!$E$1161 + 'Facility Detail'!$E$1203 + 'Facility Detail'!$E$1245 + 'Facility Detail'!$E$1287 + 'Facility Detail'!$E$1329 + 'Facility Detail'!$E$1370 )</f>
        <v>0</v>
      </c>
      <c r="E24" s="355"/>
      <c r="F24" s="355"/>
      <c r="G24" s="355"/>
      <c r="H24" s="355"/>
      <c r="I24" s="361"/>
      <c r="J24" s="361"/>
      <c r="K24" s="361"/>
      <c r="L24" s="361"/>
      <c r="M24" s="15"/>
      <c r="N24" s="15"/>
    </row>
    <row r="25" spans="1:14">
      <c r="A25" s="106" t="str">
        <f xml:space="preserve"> ( 'Facility Detail'!$B$1897 + 1 ) &amp; " Surplus Applied to " &amp; ( 'Facility Detail'!$B$1897 + 2 )</f>
        <v>2012 Surplus Applied to 2013</v>
      </c>
      <c r="B25" s="177"/>
      <c r="C25" s="177"/>
      <c r="D25" s="77">
        <f xml:space="preserve"> -1 * ( 'Facility Detail'!$E$68 + 'Facility Detail'!$E$119 + 'Facility Detail'!$E$170 + 'Facility Detail'!$E$221 + 'Facility Detail'!$E$272 + 'Facility Detail'!$E$316 + 'Facility Detail'!$E$360 + 'Facility Detail'!$E$398 + 'Facility Detail'!$E$436 + 'Facility Detail'!$E$482 + 'Facility Detail'!$E$528 + 'Facility Detail'!$E$574 + 'Facility Detail'!$E$620 + 'Facility Detail'!$E$666 + 'Facility Detail'!$E$708 + 'Facility Detail'!$E$759 + 'Facility Detail'!$E$815 + 'Facility Detail'!$E$864 + 'Facility Detail'!$E$917 + 'Facility Detail'!$E$959 + 'Facility Detail'!$E$999 + 'Facility Detail'!$E$1036 + 'Facility Detail'!$E$1078 + 'Facility Detail'!$E$1120 + 'Facility Detail'!$E$1162 + 'Facility Detail'!$E$1204 + 'Facility Detail'!$E$1246 + 'Facility Detail'!$E$1288 + 'Facility Detail'!$E$1330 + 'Facility Detail'!$E$1371 )</f>
        <v>-92679</v>
      </c>
      <c r="E25" s="77">
        <f xml:space="preserve"> 'Facility Detail'!$F$68 + 'Facility Detail'!$F$119 + 'Facility Detail'!$F$170 + 'Facility Detail'!$F$221 + 'Facility Detail'!$F$272 + 'Facility Detail'!$F$316 + 'Facility Detail'!$F$360 + 'Facility Detail'!$F$398 + 'Facility Detail'!$F$436 + 'Facility Detail'!$F$482 + 'Facility Detail'!$F$528 + 'Facility Detail'!$F$574 + 'Facility Detail'!$F$620 + 'Facility Detail'!$F$666 + 'Facility Detail'!$F$708 + 'Facility Detail'!$F$759 + 'Facility Detail'!$F$815 + 'Facility Detail'!$F$864 + 'Facility Detail'!$F$917 + 'Facility Detail'!$F$959 + 'Facility Detail'!$F$999 + 'Facility Detail'!$F$1036 + 'Facility Detail'!$F$1078 + 'Facility Detail'!$F$1120 + 'Facility Detail'!$F$1162 + 'Facility Detail'!$F$1204 + 'Facility Detail'!$F$1246 + 'Facility Detail'!$F$1288 + 'Facility Detail'!$F$1330 + 'Facility Detail'!$F$1371</f>
        <v>92679</v>
      </c>
      <c r="F25" s="138"/>
      <c r="G25" s="355"/>
      <c r="H25" s="355"/>
      <c r="I25" s="361"/>
      <c r="J25" s="361"/>
      <c r="K25" s="361"/>
      <c r="L25" s="361"/>
      <c r="M25" s="15"/>
      <c r="N25" s="15"/>
    </row>
    <row r="26" spans="1:14">
      <c r="A26" s="106" t="str">
        <f xml:space="preserve"> ( 'Facility Detail'!$B$1897 + 2 ) &amp; " Surplus Applied to " &amp; ( 'Facility Detail'!$B$1897 + 1 )</f>
        <v>2013 Surplus Applied to 2012</v>
      </c>
      <c r="B26" s="68"/>
      <c r="C26" s="68"/>
      <c r="D26" s="81"/>
      <c r="E26" s="77">
        <f xml:space="preserve"> -1 * ( 'Facility Detail'!$F$69 + 'Facility Detail'!$F$120 + 'Facility Detail'!$F$171 + 'Facility Detail'!$F$222 + 'Facility Detail'!$F$273 + 'Facility Detail'!$F$317 + 'Facility Detail'!$F$361 + 'Facility Detail'!$F$399 + 'Facility Detail'!$F$437 + 'Facility Detail'!$F$483 + 'Facility Detail'!$F$529 + 'Facility Detail'!$F$575 + 'Facility Detail'!$F$621 + 'Facility Detail'!$F$667 + 'Facility Detail'!$F$709 + 'Facility Detail'!$F$760 + 'Facility Detail'!$F$816 + 'Facility Detail'!$F$867 + 'Facility Detail'!$F$918 + 'Facility Detail'!$F$960 + 'Facility Detail'!$F$1000 + 'Facility Detail'!$F$1037 + 'Facility Detail'!$F$1079 + 'Facility Detail'!$F$1121 + 'Facility Detail'!$F$1163 + 'Facility Detail'!$F$1205 + 'Facility Detail'!$F$1247 + 'Facility Detail'!$F$1289 + 'Facility Detail'!$F$1331 + 'Facility Detail'!$F$1372 )</f>
        <v>0</v>
      </c>
      <c r="F26" s="138"/>
      <c r="G26" s="362"/>
      <c r="H26" s="362"/>
      <c r="I26" s="361"/>
      <c r="J26" s="361"/>
      <c r="K26" s="361"/>
      <c r="L26" s="361"/>
      <c r="M26" s="15"/>
      <c r="N26" s="15"/>
    </row>
    <row r="27" spans="1:14">
      <c r="A27" s="106" t="str">
        <f xml:space="preserve"> ( 'Facility Detail'!$B$1897 + 2 ) &amp; " Surplus Applied to " &amp; ( 'Facility Detail'!$B$1897 + 3 )</f>
        <v>2013 Surplus Applied to 2014</v>
      </c>
      <c r="B27" s="68"/>
      <c r="C27" s="68"/>
      <c r="D27" s="81"/>
      <c r="E27" s="77">
        <f xml:space="preserve"> -1 * ( 'Facility Detail'!$F$70 + 'Facility Detail'!$F$121 + 'Facility Detail'!$F$172 + 'Facility Detail'!$F$223 + 'Facility Detail'!$F$274 + 'Facility Detail'!$F$318 + 'Facility Detail'!$F$362 + 'Facility Detail'!$F$400 + 'Facility Detail'!$F$438 + 'Facility Detail'!$F$484 + 'Facility Detail'!$F$530 + 'Facility Detail'!$F$576 + 'Facility Detail'!$F$622 + 'Facility Detail'!$F$677 + 'Facility Detail'!$F$728 + 'Facility Detail'!$F$779 + 'Facility Detail'!$F$830 + 'Facility Detail'!$F$881 + 'Facility Detail'!$F$923 + 'Facility Detail'!$F$963 + 'Facility Detail'!$F$1005 + 'Facility Detail'!$F$1047 + 'Facility Detail'!$F$1089 + 'Facility Detail'!$F$1131 + 'Facility Detail'!$F$1173 + 'Facility Detail'!$F$1215 + 'Facility Detail'!$F$1257 + 'Facility Detail'!$F$1299 + 'Facility Detail'!$F$1340 + 'Facility Detail'!$F$1382 )</f>
        <v>-79121</v>
      </c>
      <c r="F27" s="77">
        <f xml:space="preserve"> 'Facility Detail'!$G$70 + 'Facility Detail'!$G$121 + 'Facility Detail'!$G$172 + 'Facility Detail'!$G$223 + 'Facility Detail'!$G$274 + 'Facility Detail'!$G$318 + 'Facility Detail'!$G$362 + 'Facility Detail'!$G$400 + 'Facility Detail'!$G$438 + 'Facility Detail'!$G$484 + 'Facility Detail'!$G$530 + 'Facility Detail'!$G$576 + 'Facility Detail'!$G$622 + 'Facility Detail'!$G$668 + 'Facility Detail'!$G$710 + 'Facility Detail'!$G$779 + 'Facility Detail'!$G$830 + 'Facility Detail'!$G$881 + 'Facility Detail'!$G$923 + 'Facility Detail'!$G$963 + 'Facility Detail'!$G$1005 + 'Facility Detail'!$G$1047 + 'Facility Detail'!$G$1089 + 'Facility Detail'!$G$1131 + 'Facility Detail'!$G$1173 + 'Facility Detail'!$G$1215 + 'Facility Detail'!$G$1257 + 'Facility Detail'!$G$1299 + 'Facility Detail'!$G$1340 + 'Facility Detail'!$G$1382</f>
        <v>79121</v>
      </c>
      <c r="G27" s="355"/>
      <c r="H27" s="356"/>
      <c r="I27" s="363"/>
      <c r="J27" s="363"/>
      <c r="K27" s="363"/>
      <c r="L27" s="363"/>
      <c r="M27" s="15"/>
      <c r="N27" s="15"/>
    </row>
    <row r="28" spans="1:14">
      <c r="A28" s="106" t="str">
        <f xml:space="preserve"> ( 'Facility Detail'!$B$1897 + 3 ) &amp; " Surplus Applied to " &amp; ( 'Facility Detail'!$B$1897 + 2 )</f>
        <v>2014 Surplus Applied to 2013</v>
      </c>
      <c r="B28" s="68"/>
      <c r="C28" s="68"/>
      <c r="D28" s="81"/>
      <c r="E28" s="81"/>
      <c r="F28" s="77">
        <f xml:space="preserve"> -1 * ( 'Facility Detail'!$G$71 + 'Facility Detail'!$G$122 + 'Facility Detail'!$G$173 + 'Facility Detail'!$G$224 + 'Facility Detail'!$G$275 + 'Facility Detail'!$G$319 + 'Facility Detail'!$G$363 + 'Facility Detail'!$G$401 + 'Facility Detail'!$G$439 + 'Facility Detail'!$G$485 + 'Facility Detail'!$G$531 + 'Facility Detail'!$G$577 + 'Facility Detail'!$G$623 + 'Facility Detail'!$G$669 + 'Facility Detail'!$G$729 + 'Facility Detail'!$G$780 + 'Facility Detail'!$G$831 + 'Facility Detail'!$G$882 + 'Facility Detail'!$G$924 + 'Facility Detail'!$G$964 + 'Facility Detail'!$G$1006 + 'Facility Detail'!$G$1048 + 'Facility Detail'!$G$1090 + 'Facility Detail'!$G$1132 + 'Facility Detail'!$G$1174 + 'Facility Detail'!$G$1216 + 'Facility Detail'!$G$1258 + 'Facility Detail'!$G$1300 + 'Facility Detail'!$G$1341 + 'Facility Detail'!$G$1383 )</f>
        <v>0</v>
      </c>
      <c r="G28" s="355"/>
      <c r="H28" s="356"/>
      <c r="I28" s="363"/>
      <c r="J28" s="363"/>
      <c r="K28" s="363"/>
      <c r="L28" s="363"/>
      <c r="M28" s="15"/>
      <c r="N28" s="15"/>
    </row>
    <row r="29" spans="1:14">
      <c r="A29" s="106" t="str">
        <f xml:space="preserve"> ( 'Facility Detail'!$B$1897 + 3 ) &amp; " Surplus Applied to " &amp; ( 'Facility Detail'!$B$1897 + 4 )</f>
        <v>2014 Surplus Applied to 2015</v>
      </c>
      <c r="B29" s="68"/>
      <c r="C29" s="68"/>
      <c r="D29" s="81"/>
      <c r="E29" s="81"/>
      <c r="F29" s="77">
        <f xml:space="preserve"> -1 * ( 'Facility Detail'!$G$72 + 'Facility Detail'!$G$123 + 'Facility Detail'!$G$174 + 'Facility Detail'!$G$225 + 'Facility Detail'!$G$276 + 'Facility Detail'!$G$320 + 'Facility Detail'!$G$364 + 'Facility Detail'!$G$402 + 'Facility Detail'!$G$440 + 'Facility Detail'!$G$486 + 'Facility Detail'!$G$532 + 'Facility Detail'!$G$578 + 'Facility Detail'!$G$624 + 'Facility Detail'!$G$670 + 'Facility Detail'!$G$712 + 'Facility Detail'!$G$781 + 'Facility Detail'!$G$832 + 'Facility Detail'!$G$883 + 'Facility Detail'!$G$925 + 'Facility Detail'!$G$965 + 'Facility Detail'!$G$1007 + 'Facility Detail'!$G$1049 + 'Facility Detail'!$G$1091 + 'Facility Detail'!$G$1133 + 'Facility Detail'!$G$1175 + 'Facility Detail'!$G$1217 + 'Facility Detail'!$G$1259 + 'Facility Detail'!$G$1301 + 'Facility Detail'!$G$1342 + 'Facility Detail'!$G$1384 )</f>
        <v>-72004</v>
      </c>
      <c r="G29" s="77">
        <f xml:space="preserve"> ( 'Facility Detail'!$H$72 + 'Facility Detail'!$H$123 + 'Facility Detail'!$H$174 + 'Facility Detail'!$H$225 + 'Facility Detail'!$H$276 + 'Facility Detail'!$H$320 + 'Facility Detail'!$H$364 + 'Facility Detail'!$H$402 + 'Facility Detail'!$H$440 + 'Facility Detail'!$H$486 + 'Facility Detail'!$H$532 + 'Facility Detail'!$H$578 + 'Facility Detail'!$H$624 + 'Facility Detail'!$H$670 + 'Facility Detail'!$H$712 + 'Facility Detail'!$H$781 + 'Facility Detail'!$H$832 + 'Facility Detail'!$H$883 + 'Facility Detail'!$H$925 + 'Facility Detail'!$H$965 + 'Facility Detail'!$H$1007 + 'Facility Detail'!$H$1049 + 'Facility Detail'!$H$1091 + 'Facility Detail'!$H$1133 + 'Facility Detail'!$H$1175 + 'Facility Detail'!$H$1217 + 'Facility Detail'!$H$1259 + 'Facility Detail'!$H$1301 + 'Facility Detail'!$H$1342 + 'Facility Detail'!$H$1384 )</f>
        <v>72004</v>
      </c>
      <c r="H29" s="362"/>
      <c r="I29" s="363"/>
      <c r="J29" s="363"/>
      <c r="K29" s="363"/>
      <c r="L29" s="363"/>
      <c r="M29" s="15"/>
      <c r="N29" s="15"/>
    </row>
    <row r="30" spans="1:14">
      <c r="A30" s="106" t="str">
        <f xml:space="preserve"> ( 'Facility Detail'!$B$1897 + 4 ) &amp; " Surplus Applied to " &amp; ( 'Facility Detail'!$B$1897 + 3 )</f>
        <v>2015 Surplus Applied to 2014</v>
      </c>
      <c r="B30" s="68"/>
      <c r="C30" s="68"/>
      <c r="D30" s="81"/>
      <c r="E30" s="355"/>
      <c r="F30" s="355"/>
      <c r="G30" s="77">
        <f xml:space="preserve"> ( 'Facility Detail'!$H$73 + 'Facility Detail'!$H$124 + 'Facility Detail'!$H$175 + 'Facility Detail'!$H$226 + 'Facility Detail'!$H$277 + 'Facility Detail'!$H$321 + 'Facility Detail'!$H$365 + 'Facility Detail'!$H$403 + 'Facility Detail'!$H$441 + 'Facility Detail'!$H$487 + 'Facility Detail'!$H$533 + 'Facility Detail'!$H$579 + 'Facility Detail'!$H$625 + 'Facility Detail'!$H$671 + 'Facility Detail'!$H$713 + 'Facility Detail'!$H$782 + 'Facility Detail'!$H$833 + 'Facility Detail'!$H$884 + 'Facility Detail'!$H$926 + 'Facility Detail'!$H$966 + 'Facility Detail'!$H$1008 + 'Facility Detail'!$H$1050 + 'Facility Detail'!$H$1092 + 'Facility Detail'!$H$1134 + 'Facility Detail'!$H$1176 + 'Facility Detail'!$H$1218 + 'Facility Detail'!$H$1260 + 'Facility Detail'!$H$1302 + 'Facility Detail'!$H$1343 + 'Facility Detail'!$H$1385 )</f>
        <v>0</v>
      </c>
      <c r="H30" s="362"/>
      <c r="I30" s="363"/>
      <c r="J30" s="363"/>
      <c r="K30" s="363"/>
      <c r="L30" s="363"/>
      <c r="M30" s="15"/>
      <c r="N30" s="15"/>
    </row>
    <row r="31" spans="1:14">
      <c r="A31" s="106" t="str">
        <f xml:space="preserve"> ( 'Facility Detail'!$B$1897 + 4 ) &amp; " Surplus Applied to " &amp; ( 'Facility Detail'!$B$1897 + 5 )</f>
        <v>2015 Surplus Applied to 2016</v>
      </c>
      <c r="B31" s="68"/>
      <c r="C31" s="68"/>
      <c r="D31" s="81"/>
      <c r="E31" s="355"/>
      <c r="F31" s="355"/>
      <c r="G31" s="77">
        <f xml:space="preserve"> -1 * ( 'Facility Detail'!$H$74 + 'Facility Detail'!$H$125 + 'Facility Detail'!$H$176 + 'Facility Detail'!$H$227 + 'Facility Detail'!$H$278 + 'Facility Detail'!$H$322 + 'Facility Detail'!$H$366 + 'Facility Detail'!$H$404 + 'Facility Detail'!$H$442 + 'Facility Detail'!$H$488 + 'Facility Detail'!$H$534 + 'Facility Detail'!$H$580 + 'Facility Detail'!$H$626 + 'Facility Detail'!$H$672 + 'Facility Detail'!$H$714 + 'Facility Detail'!$H$765 + 'Facility Detail'!$H$816 + 'Facility Detail'!$H$867 + 'Facility Detail'!$H$918 + 'Facility Detail'!$H$960 + 'Facility Detail'!$H$1000+'Facility Detail'!$H$1042+ 'Facility Detail'!$H$1084+'Facility Detail'!$H$1126+'Facility Detail'!$H$1168+'Facility Detail'!$H$1210)</f>
        <v>-219641</v>
      </c>
      <c r="H31" s="241">
        <f>('Facility Detail'!$I$74+'Facility Detail'!$I$125+'Facility Detail'!$I$176+'Facility Detail'!$I$227+'Facility Detail'!$I$278+'Facility Detail'!$I$322+'Facility Detail'!$I$366+'Facility Detail'!$I$404+'Facility Detail'!$I$442+'Facility Detail'!$I$488+'Facility Detail'!$I$534+'Facility Detail'!$I$580+'Facility Detail'!$I$626+'Facility Detail'!$I$672+'Facility Detail'!$I$714+'Facility Detail'!$I$765+'Facility Detail'!$I$816+'Facility Detail'!$I$867+'Facility Detail'!$I$918+'Facility Detail'!$I$960+'Facility Detail'!$I$1000+'Facility Detail'!$I$1042+'Facility Detail'!$I$1084+'Facility Detail'!$I$1126+'Facility Detail'!$I$1168+'Facility Detail'!$I$1210+'Facility Detail'!$H$1252+'Facility Detail'!$H$1294+'Facility Detail'!$H$1336+'Facility Detail'!$H$1377+'Facility Detail'!$H$1418+'Facility Detail'!$H$1459+'Facility Detail'!$H$1500+'Facility Detail'!$H$1545+'Facility Detail'!$H$1590+'Facility Detail'!$H$1634+'Facility Detail'!$H$1678+'Facility Detail'!$H$1727)</f>
        <v>219957</v>
      </c>
      <c r="I31" s="363"/>
      <c r="J31" s="363"/>
      <c r="K31" s="363"/>
      <c r="L31" s="363"/>
      <c r="M31" s="15"/>
      <c r="N31" s="15"/>
    </row>
    <row r="32" spans="1:14">
      <c r="A32" s="106" t="str">
        <f xml:space="preserve"> ( 'Facility Detail'!$B$1897 + 5 ) &amp; " Surplus Applied to " &amp; ( 'Facility Detail'!$B$1897 + 4 )</f>
        <v>2016 Surplus Applied to 2015</v>
      </c>
      <c r="B32" s="153"/>
      <c r="C32" s="153"/>
      <c r="D32" s="139"/>
      <c r="E32" s="364"/>
      <c r="F32" s="364"/>
      <c r="G32" s="246"/>
      <c r="H32" s="188"/>
      <c r="I32" s="363"/>
      <c r="J32" s="363"/>
      <c r="K32" s="363"/>
      <c r="L32" s="363"/>
      <c r="M32" s="15"/>
      <c r="N32" s="15"/>
    </row>
    <row r="33" spans="1:14">
      <c r="A33" s="106" t="str">
        <f xml:space="preserve"> ( 'Facility Detail'!$B$1897 + 5 ) &amp; " Surplus Applied to " &amp; ( 'Facility Detail'!$B$1897 + 6 )</f>
        <v>2016 Surplus Applied to 2017</v>
      </c>
      <c r="B33" s="153"/>
      <c r="C33" s="153"/>
      <c r="D33" s="139"/>
      <c r="E33" s="364"/>
      <c r="F33" s="364"/>
      <c r="G33" s="246"/>
      <c r="H33" s="188">
        <f xml:space="preserve"> -1 * ( 'Facility Detail'!$I$76 + 'Facility Detail'!$I$127 + 'Facility Detail'!$I$178 + 'Facility Detail'!$I$229 + 'Facility Detail'!$I$280+'Facility Detail'!$I$324 + 'Facility Detail'!$I$444 + 'Facility Detail'!$I$490 + 'Facility Detail'!$I$536 + 'Facility Detail'!$I$582 + 'Facility Detail'!$I$628 + 'Facility Detail'!$I$674 + 'Facility Detail'!$I$716 + 'Facility Detail'!$I$767 + 'Facility Detail'!$I$818 + 'Facility Detail'!$I$869 + 'Facility Detail'!$I$920 + 'Facility Detail'!$I$962 + 'Facility Detail'!$I$1002+ 'Facility Detail'!$I$1044 + 'Facility Detail'!$I$1086 + 'Facility Detail'!$I$1128 + 'Facility Detail'!$I$1170 + 'Facility Detail'!$I$1212+'Facility Detail'!$I$1254+'Facility Detail'!$I$1296+'Facility Detail'!$I$1338+'Facility Detail'!$I$1379+'Facility Detail'!$I$1420+'Facility Detail'!$I$1461+'Facility Detail'!$I$1502+'Facility Detail'!$I$1547+'Facility Detail'!$I$1592+'Facility Detail'!$I$1636+'Facility Detail'!$I$1680+'Facility Detail'!$I$1729)</f>
        <v>-223773.40669669915</v>
      </c>
      <c r="I33" s="188">
        <f xml:space="preserve"> ( 'Facility Detail'!$J$76 + 'Facility Detail'!$J$127 + 'Facility Detail'!$J$178 + 'Facility Detail'!$J$229 + 'Facility Detail'!$J$280+'Facility Detail'!$J$324 + 'Facility Detail'!$J$444 + 'Facility Detail'!$J$490 + 'Facility Detail'!$J$536 + 'Facility Detail'!$J$582 + 'Facility Detail'!$J$628 + 'Facility Detail'!$J$674 + 'Facility Detail'!$J$716 + 'Facility Detail'!$J$767 + 'Facility Detail'!$J$818 + 'Facility Detail'!$J$869 + 'Facility Detail'!$J$920 + 'Facility Detail'!$J$962 + 'Facility Detail'!$J$1002+ 'Facility Detail'!$J$1044 + 'Facility Detail'!$J$1086 + 'Facility Detail'!$J$1128 + 'Facility Detail'!$J$1170 + 'Facility Detail'!$J$1212+'Facility Detail'!$J$1254+'Facility Detail'!$J$1296+'Facility Detail'!$J$1338+'Facility Detail'!$J$1379+'Facility Detail'!$J$1420+'Facility Detail'!$J$1461+'Facility Detail'!$J$1502+'Facility Detail'!$J$1547+'Facility Detail'!$J$1592+'Facility Detail'!$J$1636+'Facility Detail'!$J$1680+'Facility Detail'!$J$1729)</f>
        <v>223773.40669669915</v>
      </c>
      <c r="J33" s="240"/>
      <c r="K33" s="240"/>
      <c r="L33" s="363"/>
      <c r="M33" s="15"/>
      <c r="N33" s="15"/>
    </row>
    <row r="34" spans="1:14">
      <c r="A34" s="106" t="s">
        <v>119</v>
      </c>
      <c r="B34" s="153"/>
      <c r="C34" s="153"/>
      <c r="D34" s="139"/>
      <c r="E34" s="364"/>
      <c r="F34" s="364"/>
      <c r="G34" s="246"/>
      <c r="H34" s="246"/>
      <c r="I34" s="188"/>
      <c r="J34" s="240"/>
      <c r="K34" s="240"/>
      <c r="L34" s="363"/>
      <c r="M34" s="15"/>
      <c r="N34" s="15"/>
    </row>
    <row r="35" spans="1:14">
      <c r="A35" s="106" t="s">
        <v>120</v>
      </c>
      <c r="B35" s="153"/>
      <c r="C35" s="153"/>
      <c r="D35" s="139"/>
      <c r="E35" s="364"/>
      <c r="F35" s="364"/>
      <c r="G35" s="246"/>
      <c r="H35" s="246"/>
      <c r="I35" s="154">
        <f xml:space="preserve"> -1 * ( 'Facility Detail'!$J$78 + 'Facility Detail'!$J$129 + 'Facility Detail'!$J$180 + 'Facility Detail'!$J$231 + 'Facility Detail'!$J$282+'Facility Detail'!$J$326 + 'Facility Detail'!$J$446 + 'Facility Detail'!$J$492 + 'Facility Detail'!$J$538 + 'Facility Detail'!$J$584 + 'Facility Detail'!$J$630 + 'Facility Detail'!$J$676 + 'Facility Detail'!$J$718 + 'Facility Detail'!$J$769 + 'Facility Detail'!$J$820 + 'Facility Detail'!$J$871 + 'Facility Detail'!$J$922 + 'Facility Detail'!$J$964 + 'Facility Detail'!$J$1004+ 'Facility Detail'!$J$1046 + 'Facility Detail'!$J$1088 + 'Facility Detail'!$J$1130 + 'Facility Detail'!$J$1172 + 'Facility Detail'!$J$1214+'Facility Detail'!$J$1256+'Facility Detail'!$J$1298+'Facility Detail'!$J$1340+'Facility Detail'!$J$1381+'Facility Detail'!$J$1422+'Facility Detail'!$J$1463+'Facility Detail'!$J$1504+'Facility Detail'!$J$1549+'Facility Detail'!$J$1594+'Facility Detail'!$J$1638+'Facility Detail'!$J$1682+'Facility Detail'!$J$1731+'Facility Detail'!$J$1829)</f>
        <v>-145218</v>
      </c>
      <c r="J35" s="188">
        <f xml:space="preserve"> ( 'Facility Detail'!$K$78 + 'Facility Detail'!$K$129 + 'Facility Detail'!$K$180 + 'Facility Detail'!$K$231 + 'Facility Detail'!$K$282+'Facility Detail'!$K$326 + 'Facility Detail'!$K$446+ 'Facility Detail'!$K$492 + 'Facility Detail'!$K$538 + 'Facility Detail'!$K$584 + 'Facility Detail'!$K$630 + 'Facility Detail'!$K$676 + 'Facility Detail'!$K$718 + 'Facility Detail'!$K$769 + 'Facility Detail'!$K$820 + 'Facility Detail'!$K$871 + 'Facility Detail'!$K$922 + 'Facility Detail'!$K$964 + 'Facility Detail'!$K$1004+ 'Facility Detail'!$K$1046 + 'Facility Detail'!$K$1088 + 'Facility Detail'!$K$1130 + 'Facility Detail'!$K$1172 + 'Facility Detail'!$K$1214+'Facility Detail'!$K$1256+'Facility Detail'!$K$1298+'Facility Detail'!$K$1340+'Facility Detail'!$K$1381+'Facility Detail'!$K$1422+'Facility Detail'!$K$1463+'Facility Detail'!$K$1504+'Facility Detail'!$K$1549+'Facility Detail'!$K$1594+'Facility Detail'!$K$1638+'Facility Detail'!$K$1682+'Facility Detail'!$K$1731)</f>
        <v>145218</v>
      </c>
      <c r="K35" s="240"/>
      <c r="L35" s="363"/>
      <c r="M35" s="15"/>
      <c r="N35" s="15"/>
    </row>
    <row r="36" spans="1:14">
      <c r="A36" s="106" t="s">
        <v>152</v>
      </c>
      <c r="B36" s="153"/>
      <c r="C36" s="153"/>
      <c r="D36" s="139"/>
      <c r="E36" s="364"/>
      <c r="F36" s="364"/>
      <c r="G36" s="246"/>
      <c r="H36" s="246"/>
      <c r="I36" s="155"/>
      <c r="J36" s="188"/>
      <c r="K36" s="240"/>
      <c r="L36" s="363"/>
      <c r="M36" s="15"/>
      <c r="N36" s="15"/>
    </row>
    <row r="37" spans="1:14">
      <c r="A37" s="106" t="s">
        <v>153</v>
      </c>
      <c r="B37" s="153"/>
      <c r="C37" s="153"/>
      <c r="D37" s="139"/>
      <c r="E37" s="364"/>
      <c r="F37" s="364"/>
      <c r="G37" s="246"/>
      <c r="H37" s="246"/>
      <c r="I37" s="155"/>
      <c r="J37" s="188">
        <f xml:space="preserve"> -1 * ( 'Facility Detail'!$K$80 + 'Facility Detail'!$K$131 + 'Facility Detail'!$K$182 + 'Facility Detail'!$K$233 + 'Facility Detail'!$K$284+'Facility Detail'!$K$328 + 'Facility Detail'!$K$448 + 'Facility Detail'!$K$494 + 'Facility Detail'!$K$540 + 'Facility Detail'!$K$586 + 'Facility Detail'!$K$632 +'Facility Detail'!$K$720 + 'Facility Detail'!$K$771+ 'Facility Detail'!$K$822 + 'Facility Detail'!$K$873 +'Facility Detail'!$K$1506+'Facility Detail'!$K$1551+'Facility Detail'!$K$1596+'Facility Detail'!$K$1640+'Facility Detail'!$K$1684+'Facility Detail'!$K$1733+'Facility Detail'!$K$1831)</f>
        <v>-69298</v>
      </c>
      <c r="K37" s="188">
        <f xml:space="preserve"> ( 'Facility Detail'!$L$80 + 'Facility Detail'!$L$131 + 'Facility Detail'!$L$182 + 'Facility Detail'!$L$233 + 'Facility Detail'!$L$284+'Facility Detail'!$L$328 + 'Facility Detail'!$L$448 + 'Facility Detail'!$L$494 + 'Facility Detail'!$L$540 + 'Facility Detail'!$L$586 + 'Facility Detail'!$L$632 +'Facility Detail'!$L$720 + 'Facility Detail'!$L$771+ 'Facility Detail'!$L$822 + 'Facility Detail'!$L$873 +'Facility Detail'!$L$1506+'Facility Detail'!$L$1551+'Facility Detail'!$L$1596+'Facility Detail'!$L$1640+'Facility Detail'!$L$1684+'Facility Detail'!$L$1733+'Facility Detail'!$L$1831)</f>
        <v>69298</v>
      </c>
      <c r="L37" s="363"/>
      <c r="M37" s="15"/>
      <c r="N37" s="15"/>
    </row>
    <row r="38" spans="1:14">
      <c r="A38" s="106" t="s">
        <v>154</v>
      </c>
      <c r="B38" s="153"/>
      <c r="C38" s="153"/>
      <c r="D38" s="139"/>
      <c r="E38" s="364"/>
      <c r="F38" s="364"/>
      <c r="G38" s="246"/>
      <c r="H38" s="246"/>
      <c r="I38" s="155"/>
      <c r="J38" s="155"/>
      <c r="K38" s="188"/>
      <c r="L38" s="363"/>
      <c r="M38" s="15"/>
      <c r="N38" s="15"/>
    </row>
    <row r="39" spans="1:14">
      <c r="A39" s="106" t="s">
        <v>155</v>
      </c>
      <c r="B39" s="153"/>
      <c r="C39" s="153"/>
      <c r="D39" s="139"/>
      <c r="E39" s="364"/>
      <c r="F39" s="364"/>
      <c r="G39" s="246"/>
      <c r="H39" s="246"/>
      <c r="I39" s="155"/>
      <c r="J39" s="155"/>
      <c r="K39" s="154">
        <v>0</v>
      </c>
      <c r="L39" s="363"/>
      <c r="M39" s="15"/>
      <c r="N39" s="15"/>
    </row>
    <row r="40" spans="1:14">
      <c r="A40" s="106" t="s">
        <v>156</v>
      </c>
      <c r="B40" s="153"/>
      <c r="C40" s="153"/>
      <c r="D40" s="139"/>
      <c r="E40" s="364"/>
      <c r="F40" s="364"/>
      <c r="G40" s="246"/>
      <c r="H40" s="246"/>
      <c r="I40" s="155"/>
      <c r="J40" s="155"/>
      <c r="K40" s="154">
        <f>'Facility Detail'!$L$1687+'Facility Detail'!L1736</f>
        <v>20916</v>
      </c>
      <c r="L40" s="154">
        <f>K40*-1</f>
        <v>-20916</v>
      </c>
      <c r="M40" s="15"/>
      <c r="N40" s="15"/>
    </row>
    <row r="41" spans="1:14">
      <c r="A41" s="106" t="s">
        <v>157</v>
      </c>
      <c r="B41" s="364"/>
      <c r="C41" s="364"/>
      <c r="D41" s="364"/>
      <c r="E41" s="364"/>
      <c r="F41" s="364"/>
      <c r="G41" s="364"/>
      <c r="H41" s="364"/>
      <c r="I41" s="364"/>
      <c r="J41" s="364"/>
      <c r="K41" s="364"/>
      <c r="L41" s="365"/>
      <c r="M41" s="15"/>
      <c r="N41" s="15"/>
    </row>
    <row r="42" spans="1:14">
      <c r="A42" s="106" t="s">
        <v>173</v>
      </c>
      <c r="B42" s="364"/>
      <c r="C42" s="364"/>
      <c r="D42" s="364"/>
      <c r="E42" s="364"/>
      <c r="F42" s="364"/>
      <c r="G42" s="364"/>
      <c r="H42" s="364"/>
      <c r="I42" s="364"/>
      <c r="J42" s="364"/>
      <c r="K42" s="364"/>
      <c r="L42" s="154">
        <f>SUM('Facility Detail'!N85,'Facility Detail'!N136,'Facility Detail'!N187,'Facility Detail'!N238,'Facility Detail'!N725,'Facility Detail'!N776,'Facility Detail'!N827,'Facility Detail'!N878,'Facility Detail'!N1689,'Facility Detail'!N1738)</f>
        <v>124046</v>
      </c>
      <c r="M42" s="15"/>
      <c r="N42" s="15"/>
    </row>
    <row r="43" spans="1:14">
      <c r="A43" s="106"/>
      <c r="B43" s="364"/>
      <c r="C43" s="364"/>
      <c r="D43" s="364"/>
      <c r="E43" s="364"/>
      <c r="F43" s="364"/>
      <c r="G43" s="364"/>
      <c r="H43" s="364"/>
      <c r="I43" s="364"/>
      <c r="J43" s="364"/>
      <c r="K43" s="364"/>
      <c r="L43" s="364"/>
      <c r="M43" s="15"/>
      <c r="N43" s="15"/>
    </row>
    <row r="44" spans="1:14">
      <c r="A44" s="82" t="s">
        <v>17</v>
      </c>
      <c r="B44" s="50"/>
      <c r="C44" s="50">
        <f>SUM(C23:C24)</f>
        <v>-104826</v>
      </c>
      <c r="D44" s="50">
        <f>SUM(D23:D25)</f>
        <v>12147</v>
      </c>
      <c r="E44" s="50">
        <f>SUM(E25:E27)</f>
        <v>13558</v>
      </c>
      <c r="F44" s="50">
        <f>SUM(F27:F29)</f>
        <v>7117</v>
      </c>
      <c r="G44" s="50">
        <f>SUM(G29:G31)</f>
        <v>-147637</v>
      </c>
      <c r="H44" s="50">
        <f>SUM(H31:H33)</f>
        <v>-3816.4066966991522</v>
      </c>
      <c r="I44" s="50">
        <f>SUM(I33:I35)</f>
        <v>78555.406696699152</v>
      </c>
      <c r="J44" s="50">
        <f>SUM(J35:J37)</f>
        <v>75920</v>
      </c>
      <c r="K44" s="30">
        <f>SUM(K37:K40)</f>
        <v>90214</v>
      </c>
      <c r="L44" s="30">
        <f>SUM(L40:L42)</f>
        <v>103130</v>
      </c>
      <c r="M44" s="15"/>
      <c r="N44" s="15"/>
    </row>
    <row r="45" spans="1:14">
      <c r="B45" s="50"/>
      <c r="C45" s="50"/>
      <c r="D45" s="50"/>
      <c r="E45" s="50"/>
      <c r="F45" s="141"/>
      <c r="G45" s="141"/>
      <c r="H45" s="141"/>
      <c r="I45" s="141"/>
      <c r="J45" s="325"/>
      <c r="K45" s="325"/>
      <c r="L45" s="325"/>
      <c r="M45" s="15"/>
      <c r="N45" s="15"/>
    </row>
    <row r="46" spans="1:14">
      <c r="A46" s="107" t="s">
        <v>12</v>
      </c>
      <c r="B46" s="104"/>
      <c r="C46" s="105">
        <f xml:space="preserve"> 'Facility Detail'!C90 + 'Facility Detail'!C141 + 'Facility Detail'!C192 + 'Facility Detail'!C243 + 'Facility Detail'!C287 + 'Facility Detail'!C331 + 'Facility Detail'!C369 + 'Facility Detail'!C407 + 'Facility Detail'!C453 + 'Facility Detail'!C499 + 'Facility Detail'!C545 + 'Facility Detail'!C591 + 'Facility Detail'!C637 + 'Facility Detail'!C679 + 'Facility Detail'!C730 + 'Facility Detail'!C781 + 'Facility Detail'!C832 + 'Facility Detail'!C883 + 'Facility Detail'!C925 + 'Facility Detail'!C965 + 'Facility Detail'!C1007 + 'Facility Detail'!C1049 + 'Facility Detail'!C1091 + 'Facility Detail'!C1133 + 'Facility Detail'!C1175 + 'Facility Detail'!C1217 + 'Facility Detail'!C1259 + 'Facility Detail'!C1301 + 'Facility Detail'!C1342 + 'Facility Detail'!C1384</f>
        <v>0</v>
      </c>
      <c r="D46" s="105">
        <f xml:space="preserve"> 'Facility Detail'!D90 + 'Facility Detail'!D141 + 'Facility Detail'!D192 + 'Facility Detail'!D243 + 'Facility Detail'!D287 + 'Facility Detail'!D331 + 'Facility Detail'!D369 + 'Facility Detail'!D407 + 'Facility Detail'!D453 + 'Facility Detail'!D499 + 'Facility Detail'!D545 + 'Facility Detail'!D591 + 'Facility Detail'!D637 + 'Facility Detail'!D679 + 'Facility Detail'!D730 + 'Facility Detail'!D781 + 'Facility Detail'!D832 + 'Facility Detail'!D883 + 'Facility Detail'!D925 + 'Facility Detail'!D965 + 'Facility Detail'!D1007 + 'Facility Detail'!D1049 + 'Facility Detail'!D1091 + 'Facility Detail'!D1133 + 'Facility Detail'!D1175 + 'Facility Detail'!D1217 + 'Facility Detail'!D1259 + 'Facility Detail'!D1301 + 'Facility Detail'!D1342 + 'Facility Detail'!D1384</f>
        <v>0</v>
      </c>
      <c r="E46" s="105">
        <f xml:space="preserve"> 'Facility Detail'!E90 + 'Facility Detail'!E141 + 'Facility Detail'!E192 + 'Facility Detail'!E243 + 'Facility Detail'!E287 + 'Facility Detail'!E331 + 'Facility Detail'!E369 + 'Facility Detail'!E407 + 'Facility Detail'!E453 + 'Facility Detail'!E499 + 'Facility Detail'!E545 + 'Facility Detail'!E591 + 'Facility Detail'!E637 + 'Facility Detail'!E679 + 'Facility Detail'!E730 + 'Facility Detail'!E781 + 'Facility Detail'!E832 + 'Facility Detail'!E883 + 'Facility Detail'!E925 + 'Facility Detail'!E965 + 'Facility Detail'!E1007 + 'Facility Detail'!E1049 + 'Facility Detail'!E1091 + 'Facility Detail'!E1133 + 'Facility Detail'!E1175 + 'Facility Detail'!E1217 + 'Facility Detail'!E1259 + 'Facility Detail'!E1301 + 'Facility Detail'!E1342 + 'Facility Detail'!E1384</f>
        <v>0</v>
      </c>
      <c r="F46" s="105">
        <f xml:space="preserve"> 'Facility Detail'!F90 + 'Facility Detail'!F141 + 'Facility Detail'!F192 + 'Facility Detail'!F243 + 'Facility Detail'!F287 + 'Facility Detail'!F331 + 'Facility Detail'!F369 + 'Facility Detail'!F407 + 'Facility Detail'!F453 + 'Facility Detail'!F499 + 'Facility Detail'!F545 + 'Facility Detail'!F591 + 'Facility Detail'!F637 + 'Facility Detail'!F679 + 'Facility Detail'!F730 + 'Facility Detail'!F781 + 'Facility Detail'!F832 + 'Facility Detail'!F883 + 'Facility Detail'!F925 + 'Facility Detail'!F965 + 'Facility Detail'!F1007 + 'Facility Detail'!F1049 + 'Facility Detail'!F1091 + 'Facility Detail'!F1133 + 'Facility Detail'!F1175 + 'Facility Detail'!F1217 + 'Facility Detail'!F1259 + 'Facility Detail'!F1301 + 'Facility Detail'!F1342 + 'Facility Detail'!F1384</f>
        <v>0</v>
      </c>
      <c r="G46" s="186">
        <f xml:space="preserve"> 'Facility Detail'!G90 + 'Facility Detail'!G141 + 'Facility Detail'!G192 + 'Facility Detail'!G243 + 'Facility Detail'!G287 + 'Facility Detail'!G331 + 'Facility Detail'!G369 + 'Facility Detail'!G407 + 'Facility Detail'!G453 + 'Facility Detail'!G499 + 'Facility Detail'!G545 + 'Facility Detail'!G591 + 'Facility Detail'!G637 + 'Facility Detail'!G679 + 'Facility Detail'!G730 + 'Facility Detail'!G781 + 'Facility Detail'!G832 + 'Facility Detail'!G883 + 'Facility Detail'!G925 + 'Facility Detail'!G965 + 'Facility Detail'!G1007 + 'Facility Detail'!G1049 + 'Facility Detail'!G1091 + 'Facility Detail'!G1133 + 'Facility Detail'!G1175 + 'Facility Detail'!G1217 + 'Facility Detail'!G1259 + 'Facility Detail'!G1301 + 'Facility Detail'!G1342 + 'Facility Detail'!G1384</f>
        <v>0</v>
      </c>
      <c r="H46" s="186">
        <f xml:space="preserve"> 'Facility Detail'!H90 + 'Facility Detail'!H141 + 'Facility Detail'!H192 + 'Facility Detail'!H243 + 'Facility Detail'!H287 + 'Facility Detail'!H331 + 'Facility Detail'!H369 + 'Facility Detail'!H407 + 'Facility Detail'!H453 + 'Facility Detail'!H499 + 'Facility Detail'!H545 + 'Facility Detail'!H591 + 'Facility Detail'!H637 + 'Facility Detail'!H679 + 'Facility Detail'!H730 + 'Facility Detail'!H781 + 'Facility Detail'!H832 + 'Facility Detail'!H883 + 'Facility Detail'!H925 + 'Facility Detail'!H965 + 'Facility Detail'!H1007 + 'Facility Detail'!H1049 + 'Facility Detail'!H1091 + 'Facility Detail'!H1133 + 'Facility Detail'!H1175 + 'Facility Detail'!H1217 + 'Facility Detail'!H1259 + 'Facility Detail'!H1301 + 'Facility Detail'!H1342 + 'Facility Detail'!H1384</f>
        <v>0</v>
      </c>
      <c r="I46" s="186">
        <f xml:space="preserve"> 'Facility Detail'!I90 + 'Facility Detail'!I141 + 'Facility Detail'!I192 + 'Facility Detail'!I243 + 'Facility Detail'!I287 + 'Facility Detail'!I331 + 'Facility Detail'!I369 + 'Facility Detail'!I407 + 'Facility Detail'!I453 + 'Facility Detail'!I499 + 'Facility Detail'!I545 + 'Facility Detail'!I591 + 'Facility Detail'!I637 + 'Facility Detail'!I679 + 'Facility Detail'!I730 + 'Facility Detail'!I781 + 'Facility Detail'!I832 + 'Facility Detail'!I883 + 'Facility Detail'!I925 + 'Facility Detail'!I965 + 'Facility Detail'!I1007 + 'Facility Detail'!I1049 + 'Facility Detail'!I1091 + 'Facility Detail'!I1133 + 'Facility Detail'!I1175 + 'Facility Detail'!I1217 + 'Facility Detail'!I1259 + 'Facility Detail'!I1301 + 'Facility Detail'!I1342 + 'Facility Detail'!I1384</f>
        <v>0</v>
      </c>
      <c r="J46" s="186">
        <f xml:space="preserve"> 'Facility Detail'!J90 + 'Facility Detail'!J141 + 'Facility Detail'!J192 + 'Facility Detail'!J243 + 'Facility Detail'!J287 + 'Facility Detail'!J331 + 'Facility Detail'!J369 + 'Facility Detail'!J407 + 'Facility Detail'!J453 + 'Facility Detail'!J499 + 'Facility Detail'!J545 + 'Facility Detail'!J591 + 'Facility Detail'!J637 + 'Facility Detail'!J679 + 'Facility Detail'!J730 + 'Facility Detail'!J781 + 'Facility Detail'!J832 + 'Facility Detail'!J883 + 'Facility Detail'!J925 + 'Facility Detail'!J965 + 'Facility Detail'!J1007 + 'Facility Detail'!J1049 + 'Facility Detail'!J1091 + 'Facility Detail'!J1133 + 'Facility Detail'!J1175 + 'Facility Detail'!J1217 + 'Facility Detail'!J1259 + 'Facility Detail'!J1301 + 'Facility Detail'!J1342 + 'Facility Detail'!J1384</f>
        <v>0</v>
      </c>
      <c r="K46" s="186">
        <f xml:space="preserve"> 'Facility Detail'!K90 + 'Facility Detail'!K141 + 'Facility Detail'!K192 + 'Facility Detail'!K243 + 'Facility Detail'!K287 + 'Facility Detail'!K331 + 'Facility Detail'!K369 + 'Facility Detail'!K407 + 'Facility Detail'!K453 + 'Facility Detail'!K499 + 'Facility Detail'!K545 + 'Facility Detail'!K591 + 'Facility Detail'!K637 + 'Facility Detail'!K679 + 'Facility Detail'!K730 + 'Facility Detail'!K781 + 'Facility Detail'!K832 + 'Facility Detail'!K883 + 'Facility Detail'!K925 + 'Facility Detail'!K965 + 'Facility Detail'!K1007 + 'Facility Detail'!K1049 + 'Facility Detail'!K1091 + 'Facility Detail'!K1133 + 'Facility Detail'!K1175 + 'Facility Detail'!K1217 + 'Facility Detail'!K1259 + 'Facility Detail'!K1301 + 'Facility Detail'!K1342 + 'Facility Detail'!K1384</f>
        <v>0</v>
      </c>
      <c r="L46" s="186">
        <f xml:space="preserve"> 'Facility Detail'!L90 + 'Facility Detail'!L141 + 'Facility Detail'!L192 + 'Facility Detail'!L243 + 'Facility Detail'!L287 + 'Facility Detail'!L331 + 'Facility Detail'!L369 + 'Facility Detail'!L407 + 'Facility Detail'!L453 + 'Facility Detail'!L499 + 'Facility Detail'!L545 + 'Facility Detail'!L591 + 'Facility Detail'!L637 + 'Facility Detail'!L679 + 'Facility Detail'!L730 + 'Facility Detail'!L781 + 'Facility Detail'!L832 + 'Facility Detail'!L883 + 'Facility Detail'!L925 + 'Facility Detail'!L965 + 'Facility Detail'!L1007 + 'Facility Detail'!L1049 + 'Facility Detail'!L1091 + 'Facility Detail'!L1133 + 'Facility Detail'!L1175 + 'Facility Detail'!L1217 + 'Facility Detail'!L1259 + 'Facility Detail'!L1301 + 'Facility Detail'!L1342 + 'Facility Detail'!L1384</f>
        <v>0</v>
      </c>
      <c r="M46" s="15"/>
      <c r="N46" s="15"/>
    </row>
    <row r="47" spans="1:14">
      <c r="B47" s="50"/>
      <c r="C47" s="50"/>
      <c r="D47" s="50"/>
      <c r="E47" s="50"/>
      <c r="F47" s="141"/>
      <c r="G47" s="141"/>
      <c r="H47" s="141"/>
      <c r="I47" s="141"/>
      <c r="J47" s="141"/>
      <c r="K47" s="141"/>
      <c r="L47" s="141"/>
      <c r="M47" s="15"/>
      <c r="N47" s="15"/>
    </row>
    <row r="48" spans="1:14">
      <c r="B48" s="2">
        <f>B6</f>
        <v>2010</v>
      </c>
      <c r="C48" s="2">
        <f t="shared" ref="C48:L48" si="13">C6</f>
        <v>2011</v>
      </c>
      <c r="D48" s="2">
        <f t="shared" si="13"/>
        <v>2012</v>
      </c>
      <c r="E48" s="2">
        <f t="shared" si="13"/>
        <v>2013</v>
      </c>
      <c r="F48" s="2">
        <f t="shared" si="13"/>
        <v>2014</v>
      </c>
      <c r="G48" s="2">
        <f t="shared" si="13"/>
        <v>2015</v>
      </c>
      <c r="H48" s="2">
        <f t="shared" si="13"/>
        <v>2016</v>
      </c>
      <c r="I48" s="2">
        <f t="shared" si="13"/>
        <v>2017</v>
      </c>
      <c r="J48" s="2">
        <f t="shared" si="13"/>
        <v>2018</v>
      </c>
      <c r="K48" s="2">
        <f t="shared" si="13"/>
        <v>2019</v>
      </c>
      <c r="L48" s="2">
        <f t="shared" si="13"/>
        <v>2020</v>
      </c>
      <c r="M48" s="15"/>
      <c r="N48" s="15"/>
    </row>
    <row r="49" spans="1:14" ht="32.25" customHeight="1">
      <c r="A49" s="74" t="s">
        <v>27</v>
      </c>
      <c r="B49" s="73"/>
      <c r="C49" s="245">
        <f t="shared" ref="C49:L49" si="14">C14 + C20 - C9 + C44 + C46</f>
        <v>0</v>
      </c>
      <c r="D49" s="245">
        <f t="shared" si="14"/>
        <v>0.59487500000977889</v>
      </c>
      <c r="E49" s="245">
        <f t="shared" si="14"/>
        <v>-0.40794999997888226</v>
      </c>
      <c r="F49" s="245">
        <f t="shared" si="14"/>
        <v>0.21259500000451226</v>
      </c>
      <c r="G49" s="245">
        <f t="shared" si="14"/>
        <v>-1.1425000004237518E-2</v>
      </c>
      <c r="H49" s="245">
        <f t="shared" si="14"/>
        <v>-0.22553499997593462</v>
      </c>
      <c r="I49" s="245">
        <f t="shared" si="14"/>
        <v>0.82993669918505475</v>
      </c>
      <c r="J49" s="245">
        <f t="shared" si="14"/>
        <v>0.16540000005625188</v>
      </c>
      <c r="K49" s="245">
        <f t="shared" si="14"/>
        <v>-0.39100780442822725</v>
      </c>
      <c r="L49" s="245">
        <f t="shared" si="14"/>
        <v>0.12986364017706364</v>
      </c>
      <c r="M49" s="21"/>
      <c r="N49" s="21"/>
    </row>
    <row r="51" spans="1:14" ht="21.75" hidden="1" customHeight="1">
      <c r="A51" s="398"/>
      <c r="B51" s="398"/>
      <c r="C51" s="398"/>
      <c r="D51" s="398"/>
      <c r="E51" s="398"/>
      <c r="F51" s="398"/>
      <c r="G51" s="398"/>
      <c r="H51" s="398"/>
      <c r="I51" s="398"/>
    </row>
    <row r="52" spans="1:14" hidden="1">
      <c r="A52" s="193"/>
      <c r="B52" s="193"/>
      <c r="C52" s="193"/>
    </row>
    <row r="53" spans="1:14" ht="18.75" customHeight="1">
      <c r="A53" s="403" t="s">
        <v>57</v>
      </c>
      <c r="B53" s="403"/>
      <c r="C53" s="403"/>
      <c r="D53" s="403"/>
      <c r="E53" s="403"/>
      <c r="F53" s="403"/>
      <c r="G53" s="403"/>
      <c r="H53" s="403"/>
      <c r="I53" s="403"/>
    </row>
    <row r="54" spans="1:14" s="236" customFormat="1" ht="18" customHeight="1"/>
    <row r="55" spans="1:14" ht="14.25" customHeight="1">
      <c r="A55" s="404" t="s">
        <v>159</v>
      </c>
      <c r="B55" s="404"/>
      <c r="C55" s="404"/>
      <c r="D55" s="404"/>
      <c r="E55" s="404"/>
      <c r="F55" s="404"/>
      <c r="G55" s="404"/>
      <c r="H55" s="404"/>
      <c r="I55" s="404"/>
      <c r="J55" s="404"/>
    </row>
    <row r="57" spans="1:14">
      <c r="A57" s="400" t="s">
        <v>81</v>
      </c>
      <c r="B57" s="400"/>
      <c r="C57" s="400"/>
      <c r="D57" s="400"/>
      <c r="E57" s="400"/>
      <c r="F57" s="400"/>
      <c r="G57" s="236"/>
      <c r="H57" s="236"/>
      <c r="I57" s="236"/>
      <c r="J57" s="236"/>
    </row>
    <row r="58" spans="1:14">
      <c r="A58" s="401" t="s">
        <v>89</v>
      </c>
      <c r="B58" s="401"/>
      <c r="C58" s="401"/>
      <c r="D58" s="401"/>
      <c r="E58" s="401"/>
      <c r="F58" s="401"/>
      <c r="G58" s="236"/>
      <c r="H58" s="236"/>
      <c r="I58" s="236"/>
      <c r="J58" s="236"/>
    </row>
    <row r="59" spans="1:14" s="309" customFormat="1" ht="15" customHeight="1">
      <c r="A59" s="401" t="s">
        <v>170</v>
      </c>
      <c r="B59" s="401"/>
      <c r="C59" s="401"/>
      <c r="D59" s="401"/>
      <c r="E59" s="401"/>
      <c r="F59" s="401"/>
      <c r="G59" s="345"/>
      <c r="H59" s="343"/>
      <c r="I59" s="343"/>
      <c r="J59" s="343"/>
    </row>
    <row r="60" spans="1:14">
      <c r="A60" s="402" t="s">
        <v>90</v>
      </c>
      <c r="B60" s="402"/>
      <c r="C60" s="401"/>
      <c r="D60" s="401"/>
      <c r="E60" s="401"/>
      <c r="F60" s="401"/>
      <c r="G60" s="236"/>
      <c r="H60" s="236"/>
      <c r="I60" s="236"/>
      <c r="J60" s="236"/>
    </row>
    <row r="61" spans="1:14" s="309" customFormat="1" ht="81" customHeight="1">
      <c r="A61" s="401" t="s">
        <v>171</v>
      </c>
      <c r="B61" s="401"/>
      <c r="C61" s="401"/>
      <c r="D61" s="401"/>
      <c r="E61" s="401"/>
      <c r="F61" s="401"/>
      <c r="G61" s="401"/>
      <c r="H61" s="401"/>
      <c r="I61" s="401"/>
      <c r="J61" s="346"/>
    </row>
    <row r="62" spans="1:14" ht="15" customHeight="1">
      <c r="A62" s="6" t="s">
        <v>158</v>
      </c>
      <c r="B62" s="343"/>
      <c r="C62" s="343"/>
      <c r="D62" s="343"/>
      <c r="E62" s="343"/>
      <c r="F62" s="343"/>
      <c r="G62" s="236"/>
      <c r="H62" s="236"/>
      <c r="I62" s="236"/>
      <c r="J62" s="236"/>
    </row>
    <row r="63" spans="1:14" ht="17.25" customHeight="1">
      <c r="A63" s="344" t="s">
        <v>172</v>
      </c>
      <c r="B63" s="343"/>
      <c r="C63" s="343"/>
      <c r="D63" s="343"/>
      <c r="E63" s="343"/>
      <c r="F63" s="343"/>
      <c r="G63" s="236"/>
      <c r="H63" s="236"/>
      <c r="I63" s="236"/>
      <c r="J63" s="236"/>
    </row>
    <row r="64" spans="1:14">
      <c r="A64" s="402" t="s">
        <v>82</v>
      </c>
      <c r="B64" s="402"/>
      <c r="C64" s="401"/>
      <c r="D64" s="401"/>
      <c r="E64" s="401"/>
      <c r="F64" s="401"/>
      <c r="G64" s="236"/>
      <c r="H64" s="236"/>
      <c r="I64" s="236"/>
      <c r="J64" s="236"/>
    </row>
    <row r="65" spans="1:10">
      <c r="A65" s="401" t="s">
        <v>83</v>
      </c>
      <c r="B65" s="401"/>
      <c r="C65" s="401"/>
      <c r="D65" s="401"/>
      <c r="E65" s="401"/>
      <c r="F65" s="401"/>
      <c r="G65" s="236"/>
      <c r="H65" s="236"/>
      <c r="I65" s="236"/>
      <c r="J65" s="236"/>
    </row>
    <row r="66" spans="1:10">
      <c r="A66" s="343"/>
      <c r="B66" s="343"/>
      <c r="C66" s="343"/>
      <c r="D66" s="343"/>
      <c r="E66" s="343"/>
      <c r="F66" s="343"/>
      <c r="G66" s="236"/>
      <c r="H66" s="236"/>
      <c r="I66" s="236"/>
      <c r="J66" s="236"/>
    </row>
    <row r="67" spans="1:10" ht="32.25" customHeight="1">
      <c r="A67" s="343"/>
      <c r="B67" s="343"/>
      <c r="C67" s="343"/>
      <c r="D67" s="343"/>
      <c r="E67" s="343"/>
      <c r="F67" s="343"/>
      <c r="G67" s="236"/>
      <c r="H67" s="236"/>
      <c r="I67" s="236"/>
      <c r="J67" s="236"/>
    </row>
    <row r="68" spans="1:10">
      <c r="G68" s="236"/>
      <c r="H68" s="236"/>
      <c r="I68" s="236"/>
      <c r="J68" s="236"/>
    </row>
    <row r="69" spans="1:10" ht="15" customHeight="1">
      <c r="G69" s="236"/>
      <c r="H69" s="236"/>
      <c r="I69" s="236"/>
      <c r="J69" s="236"/>
    </row>
    <row r="70" spans="1:10">
      <c r="A70" s="399"/>
      <c r="B70" s="399"/>
      <c r="C70" s="399"/>
      <c r="D70" s="399"/>
      <c r="E70" s="399"/>
      <c r="F70" s="399"/>
      <c r="G70" s="236"/>
      <c r="H70" s="236"/>
      <c r="I70" s="236"/>
      <c r="J70" s="236"/>
    </row>
  </sheetData>
  <mergeCells count="12">
    <mergeCell ref="B4:C4"/>
    <mergeCell ref="A51:I51"/>
    <mergeCell ref="A70:F70"/>
    <mergeCell ref="A57:F57"/>
    <mergeCell ref="A58:F58"/>
    <mergeCell ref="A59:F59"/>
    <mergeCell ref="A60:F60"/>
    <mergeCell ref="A64:F64"/>
    <mergeCell ref="A65:F65"/>
    <mergeCell ref="A53:I53"/>
    <mergeCell ref="A55:J55"/>
    <mergeCell ref="A61:I61"/>
  </mergeCells>
  <phoneticPr fontId="5" type="noConversion"/>
  <conditionalFormatting sqref="C49:N49">
    <cfRule type="cellIs" dxfId="1" priority="4" stopIfTrue="1" operator="lessThan">
      <formula>0</formula>
    </cfRule>
  </conditionalFormatting>
  <conditionalFormatting sqref="B49">
    <cfRule type="cellIs" dxfId="0" priority="1" stopIfTrue="1" operator="lessThan">
      <formula>0</formula>
    </cfRule>
  </conditionalFormatting>
  <printOptions horizontalCentered="1"/>
  <pageMargins left="0" right="0" top="0" bottom="0.25" header="0.3" footer="0.3"/>
  <pageSetup scale="53" fitToHeight="0" orientation="landscape" r:id="rId1"/>
  <headerFooter alignWithMargins="0">
    <oddFooter>&amp;CCONFIDENTIAL PER WAC 480-07-160</oddFooter>
  </headerFooter>
  <ignoredErrors>
    <ignoredError sqref="E9:K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P1911"/>
  <sheetViews>
    <sheetView showGridLines="0" tabSelected="1" view="pageBreakPreview" topLeftCell="C1827" zoomScaleNormal="70" zoomScaleSheetLayoutView="100" workbookViewId="0">
      <selection activeCell="B26" sqref="B26"/>
    </sheetView>
  </sheetViews>
  <sheetFormatPr defaultColWidth="9.1796875" defaultRowHeight="14.5" outlineLevelRow="1"/>
  <cols>
    <col min="1" max="1" width="9" style="1" customWidth="1"/>
    <col min="2" max="2" width="47.54296875" style="1" customWidth="1"/>
    <col min="3" max="3" width="12.26953125" style="1" customWidth="1"/>
    <col min="4" max="12" width="19.453125" style="1" customWidth="1"/>
    <col min="13" max="14" width="17.81640625" style="1" customWidth="1"/>
    <col min="15" max="15" width="13.7265625" style="1" customWidth="1"/>
    <col min="16" max="26" width="12.1796875" style="1" customWidth="1"/>
    <col min="27" max="16384" width="9.1796875" style="1"/>
  </cols>
  <sheetData>
    <row r="1" spans="1:16" ht="46.5">
      <c r="B1" s="34" t="s">
        <v>4</v>
      </c>
      <c r="C1" s="34" t="s">
        <v>13</v>
      </c>
      <c r="D1" s="34" t="s">
        <v>50</v>
      </c>
      <c r="E1" s="34" t="s">
        <v>14</v>
      </c>
      <c r="F1" s="34" t="s">
        <v>15</v>
      </c>
      <c r="G1" s="34" t="s">
        <v>56</v>
      </c>
      <c r="H1" s="34"/>
      <c r="I1" s="34"/>
      <c r="P1" s="31"/>
    </row>
    <row r="2" spans="1:16">
      <c r="B2" s="258" t="s">
        <v>58</v>
      </c>
      <c r="C2" s="36" t="s">
        <v>59</v>
      </c>
      <c r="D2" s="27" t="s">
        <v>42</v>
      </c>
      <c r="E2" s="27" t="s">
        <v>1</v>
      </c>
      <c r="F2" s="124" t="s">
        <v>1</v>
      </c>
      <c r="G2" s="127">
        <v>39599</v>
      </c>
      <c r="H2" s="146"/>
      <c r="I2" s="146"/>
      <c r="P2" s="26"/>
    </row>
    <row r="3" spans="1:16">
      <c r="B3" s="259" t="s">
        <v>60</v>
      </c>
      <c r="C3" s="37" t="s">
        <v>61</v>
      </c>
      <c r="D3" s="28" t="s">
        <v>42</v>
      </c>
      <c r="E3" s="28" t="s">
        <v>1</v>
      </c>
      <c r="F3" s="125" t="s">
        <v>1</v>
      </c>
      <c r="G3" s="128">
        <v>38974</v>
      </c>
      <c r="H3" s="146"/>
      <c r="I3" s="146"/>
      <c r="P3" s="26"/>
    </row>
    <row r="4" spans="1:16">
      <c r="B4" s="259" t="s">
        <v>62</v>
      </c>
      <c r="C4" s="37" t="s">
        <v>63</v>
      </c>
      <c r="D4" s="28" t="s">
        <v>42</v>
      </c>
      <c r="E4" s="28" t="s">
        <v>1</v>
      </c>
      <c r="F4" s="125" t="s">
        <v>1</v>
      </c>
      <c r="G4" s="128">
        <v>39295</v>
      </c>
      <c r="H4" s="146"/>
      <c r="I4" s="146"/>
      <c r="P4" s="26"/>
    </row>
    <row r="5" spans="1:16">
      <c r="B5" s="259" t="s">
        <v>64</v>
      </c>
      <c r="C5" s="37" t="s">
        <v>65</v>
      </c>
      <c r="D5" s="28" t="s">
        <v>42</v>
      </c>
      <c r="E5" s="28" t="s">
        <v>1</v>
      </c>
      <c r="F5" s="125" t="s">
        <v>1</v>
      </c>
      <c r="G5" s="128">
        <v>39627</v>
      </c>
      <c r="H5" s="146"/>
      <c r="I5" s="146"/>
      <c r="P5" s="26"/>
    </row>
    <row r="6" spans="1:16">
      <c r="B6" s="259" t="s">
        <v>66</v>
      </c>
      <c r="C6" s="37" t="s">
        <v>67</v>
      </c>
      <c r="D6" s="28" t="s">
        <v>42</v>
      </c>
      <c r="E6" s="28" t="s">
        <v>1</v>
      </c>
      <c r="F6" s="125" t="s">
        <v>1</v>
      </c>
      <c r="G6" s="128">
        <v>39721</v>
      </c>
      <c r="H6" s="146"/>
      <c r="I6" s="146"/>
      <c r="P6" s="26"/>
    </row>
    <row r="7" spans="1:16">
      <c r="B7" s="259" t="s">
        <v>68</v>
      </c>
      <c r="C7" s="37" t="s">
        <v>69</v>
      </c>
      <c r="D7" s="28" t="s">
        <v>42</v>
      </c>
      <c r="E7" s="28" t="s">
        <v>1</v>
      </c>
      <c r="F7" s="125" t="s">
        <v>1</v>
      </c>
      <c r="G7" s="128">
        <v>39721</v>
      </c>
      <c r="H7" s="146"/>
      <c r="I7" s="146"/>
      <c r="P7" s="26"/>
    </row>
    <row r="8" spans="1:16" ht="15.5">
      <c r="A8" s="194"/>
      <c r="B8" s="259" t="s">
        <v>93</v>
      </c>
      <c r="C8" s="37" t="s">
        <v>70</v>
      </c>
      <c r="D8" s="28" t="s">
        <v>42</v>
      </c>
      <c r="E8" s="28" t="s">
        <v>1</v>
      </c>
      <c r="F8" s="125" t="s">
        <v>1</v>
      </c>
      <c r="G8" s="128">
        <v>40312</v>
      </c>
      <c r="I8" s="146"/>
      <c r="P8" s="26"/>
    </row>
    <row r="9" spans="1:16">
      <c r="B9" s="259" t="s">
        <v>71</v>
      </c>
      <c r="C9" s="37" t="s">
        <v>72</v>
      </c>
      <c r="D9" s="28" t="s">
        <v>49</v>
      </c>
      <c r="E9" s="28" t="s">
        <v>1</v>
      </c>
      <c r="F9" s="125" t="s">
        <v>1</v>
      </c>
      <c r="G9" s="128">
        <v>23193</v>
      </c>
      <c r="H9" s="146"/>
      <c r="I9" s="146"/>
      <c r="P9" s="26"/>
    </row>
    <row r="10" spans="1:16">
      <c r="B10" s="259" t="s">
        <v>73</v>
      </c>
      <c r="C10" s="37" t="s">
        <v>74</v>
      </c>
      <c r="D10" s="28" t="s">
        <v>49</v>
      </c>
      <c r="E10" s="28" t="s">
        <v>1</v>
      </c>
      <c r="F10" s="125" t="s">
        <v>1</v>
      </c>
      <c r="G10" s="128">
        <v>21459</v>
      </c>
      <c r="H10" s="146"/>
      <c r="I10" s="146"/>
      <c r="P10" s="26"/>
    </row>
    <row r="11" spans="1:16">
      <c r="B11" s="259" t="s">
        <v>75</v>
      </c>
      <c r="C11" s="37" t="s">
        <v>76</v>
      </c>
      <c r="D11" s="28" t="s">
        <v>49</v>
      </c>
      <c r="E11" s="28" t="s">
        <v>1</v>
      </c>
      <c r="F11" s="125" t="s">
        <v>1</v>
      </c>
      <c r="G11" s="128">
        <v>20271</v>
      </c>
      <c r="H11" s="146"/>
      <c r="I11" s="146"/>
      <c r="P11" s="26"/>
    </row>
    <row r="12" spans="1:16">
      <c r="B12" s="259" t="s">
        <v>77</v>
      </c>
      <c r="C12" s="37" t="s">
        <v>78</v>
      </c>
      <c r="D12" s="28" t="s">
        <v>49</v>
      </c>
      <c r="E12" s="28" t="s">
        <v>1</v>
      </c>
      <c r="F12" s="125" t="s">
        <v>1</v>
      </c>
      <c r="G12" s="128">
        <v>10228</v>
      </c>
      <c r="H12" s="146"/>
      <c r="I12" s="146"/>
      <c r="P12" s="26"/>
    </row>
    <row r="13" spans="1:16">
      <c r="B13" s="259" t="s">
        <v>79</v>
      </c>
      <c r="C13" s="37" t="s">
        <v>80</v>
      </c>
      <c r="D13" s="28" t="s">
        <v>49</v>
      </c>
      <c r="E13" s="28" t="s">
        <v>1</v>
      </c>
      <c r="F13" s="125" t="s">
        <v>1</v>
      </c>
      <c r="G13" s="128">
        <v>20760</v>
      </c>
      <c r="H13" s="146"/>
      <c r="I13" s="146"/>
      <c r="P13" s="26"/>
    </row>
    <row r="14" spans="1:16">
      <c r="B14" s="259" t="s">
        <v>117</v>
      </c>
      <c r="C14" s="37" t="s">
        <v>118</v>
      </c>
      <c r="D14" s="28" t="s">
        <v>42</v>
      </c>
      <c r="E14" s="28" t="s">
        <v>1</v>
      </c>
      <c r="F14" s="125" t="s">
        <v>1</v>
      </c>
      <c r="G14" s="128">
        <v>39813</v>
      </c>
      <c r="H14" s="146"/>
      <c r="I14" s="146"/>
      <c r="P14" s="26"/>
    </row>
    <row r="15" spans="1:16">
      <c r="B15" s="259" t="s">
        <v>113</v>
      </c>
      <c r="C15" s="37" t="s">
        <v>115</v>
      </c>
      <c r="D15" s="28" t="s">
        <v>42</v>
      </c>
      <c r="E15" s="28" t="s">
        <v>1</v>
      </c>
      <c r="F15" s="125" t="s">
        <v>1</v>
      </c>
      <c r="G15" s="128">
        <v>37500</v>
      </c>
      <c r="H15" s="146"/>
      <c r="I15" s="146"/>
      <c r="P15" s="26"/>
    </row>
    <row r="16" spans="1:16">
      <c r="B16" s="259" t="s">
        <v>91</v>
      </c>
      <c r="C16" s="37" t="s">
        <v>92</v>
      </c>
      <c r="D16" s="28" t="s">
        <v>42</v>
      </c>
      <c r="E16" s="28" t="s">
        <v>1</v>
      </c>
      <c r="F16" s="125" t="s">
        <v>1</v>
      </c>
      <c r="G16" s="128">
        <v>40452</v>
      </c>
      <c r="H16" s="146"/>
      <c r="I16" s="146"/>
      <c r="P16" s="26"/>
    </row>
    <row r="17" spans="2:16">
      <c r="B17" s="259" t="s">
        <v>94</v>
      </c>
      <c r="C17" s="37" t="s">
        <v>95</v>
      </c>
      <c r="D17" s="28" t="s">
        <v>42</v>
      </c>
      <c r="E17" s="28" t="s">
        <v>1</v>
      </c>
      <c r="F17" s="125" t="s">
        <v>1</v>
      </c>
      <c r="G17" s="128">
        <v>40452</v>
      </c>
      <c r="H17" s="146"/>
      <c r="I17" s="146"/>
      <c r="P17" s="26"/>
    </row>
    <row r="18" spans="2:16">
      <c r="B18" s="259" t="s">
        <v>96</v>
      </c>
      <c r="C18" s="37" t="s">
        <v>97</v>
      </c>
      <c r="D18" s="28" t="s">
        <v>42</v>
      </c>
      <c r="E18" s="28" t="s">
        <v>1</v>
      </c>
      <c r="F18" s="125" t="s">
        <v>1</v>
      </c>
      <c r="G18" s="128">
        <v>40178</v>
      </c>
      <c r="H18" s="146"/>
      <c r="I18" s="146"/>
      <c r="P18" s="26"/>
    </row>
    <row r="19" spans="2:16">
      <c r="B19" s="259" t="s">
        <v>98</v>
      </c>
      <c r="C19" s="37" t="s">
        <v>99</v>
      </c>
      <c r="D19" s="28" t="s">
        <v>42</v>
      </c>
      <c r="E19" s="28" t="s">
        <v>1</v>
      </c>
      <c r="F19" s="125" t="s">
        <v>1</v>
      </c>
      <c r="G19" s="128">
        <v>39813</v>
      </c>
      <c r="H19" s="146"/>
      <c r="I19" s="146"/>
      <c r="P19" s="26"/>
    </row>
    <row r="20" spans="2:16">
      <c r="B20" s="259" t="s">
        <v>100</v>
      </c>
      <c r="C20" s="37" t="s">
        <v>101</v>
      </c>
      <c r="D20" s="28" t="s">
        <v>42</v>
      </c>
      <c r="E20" s="28" t="s">
        <v>1</v>
      </c>
      <c r="F20" s="125" t="s">
        <v>1</v>
      </c>
      <c r="G20" s="128">
        <v>39830</v>
      </c>
      <c r="H20" s="146"/>
      <c r="I20" s="146"/>
      <c r="P20" s="26"/>
    </row>
    <row r="21" spans="2:16">
      <c r="B21" s="259" t="s">
        <v>104</v>
      </c>
      <c r="C21" s="37" t="s">
        <v>107</v>
      </c>
      <c r="D21" s="28" t="s">
        <v>47</v>
      </c>
      <c r="E21" s="28" t="s">
        <v>1</v>
      </c>
      <c r="F21" s="125" t="s">
        <v>1</v>
      </c>
      <c r="G21" s="128">
        <v>37695</v>
      </c>
      <c r="H21" s="146"/>
      <c r="I21" s="146"/>
      <c r="P21" s="26"/>
    </row>
    <row r="22" spans="2:16">
      <c r="B22" s="259" t="s">
        <v>105</v>
      </c>
      <c r="C22" s="37" t="s">
        <v>106</v>
      </c>
      <c r="D22" s="28" t="s">
        <v>45</v>
      </c>
      <c r="E22" s="28" t="s">
        <v>1</v>
      </c>
      <c r="F22" s="125" t="s">
        <v>1</v>
      </c>
      <c r="G22" s="128">
        <v>38636</v>
      </c>
      <c r="H22" s="146"/>
      <c r="I22" s="146"/>
      <c r="P22" s="26"/>
    </row>
    <row r="23" spans="2:16">
      <c r="B23" s="259" t="s">
        <v>109</v>
      </c>
      <c r="C23" s="37" t="s">
        <v>108</v>
      </c>
      <c r="D23" s="28" t="s">
        <v>45</v>
      </c>
      <c r="E23" s="28" t="s">
        <v>1</v>
      </c>
      <c r="F23" s="125" t="s">
        <v>1</v>
      </c>
      <c r="G23" s="128">
        <v>40973</v>
      </c>
      <c r="H23" s="146"/>
      <c r="I23" s="146"/>
      <c r="P23" s="26"/>
    </row>
    <row r="24" spans="2:16">
      <c r="B24" s="259" t="s">
        <v>111</v>
      </c>
      <c r="C24" s="37" t="s">
        <v>114</v>
      </c>
      <c r="D24" s="28" t="s">
        <v>42</v>
      </c>
      <c r="E24" s="28" t="s">
        <v>1</v>
      </c>
      <c r="F24" s="125" t="s">
        <v>1</v>
      </c>
      <c r="G24" s="128">
        <v>40968</v>
      </c>
      <c r="H24" s="146"/>
      <c r="I24" s="146"/>
      <c r="P24" s="26"/>
    </row>
    <row r="25" spans="2:16">
      <c r="B25" s="259" t="s">
        <v>112</v>
      </c>
      <c r="C25" s="37" t="s">
        <v>116</v>
      </c>
      <c r="D25" s="28" t="s">
        <v>42</v>
      </c>
      <c r="E25" s="28" t="s">
        <v>1</v>
      </c>
      <c r="F25" s="125" t="s">
        <v>1</v>
      </c>
      <c r="G25" s="128">
        <v>39406</v>
      </c>
      <c r="H25" s="146"/>
      <c r="I25" s="146"/>
      <c r="P25" s="26"/>
    </row>
    <row r="26" spans="2:16">
      <c r="B26" s="259" t="s">
        <v>130</v>
      </c>
      <c r="C26" s="37" t="s">
        <v>131</v>
      </c>
      <c r="D26" s="28" t="s">
        <v>42</v>
      </c>
      <c r="E26" s="28" t="s">
        <v>1</v>
      </c>
      <c r="F26" s="125" t="s">
        <v>1</v>
      </c>
      <c r="G26" s="128">
        <v>37408</v>
      </c>
      <c r="H26" s="146"/>
      <c r="I26" s="146"/>
      <c r="P26" s="26"/>
    </row>
    <row r="27" spans="2:16">
      <c r="B27" s="259" t="s">
        <v>132</v>
      </c>
      <c r="C27" s="37" t="s">
        <v>133</v>
      </c>
      <c r="D27" s="28" t="s">
        <v>42</v>
      </c>
      <c r="E27" s="28" t="s">
        <v>1</v>
      </c>
      <c r="F27" s="125" t="s">
        <v>1</v>
      </c>
      <c r="G27" s="128">
        <v>37256</v>
      </c>
      <c r="H27" s="146"/>
      <c r="I27" s="146"/>
      <c r="P27" s="26"/>
    </row>
    <row r="28" spans="2:16">
      <c r="B28" s="259" t="s">
        <v>134</v>
      </c>
      <c r="C28" s="37" t="s">
        <v>135</v>
      </c>
      <c r="D28" s="28" t="s">
        <v>42</v>
      </c>
      <c r="E28" s="28" t="s">
        <v>1</v>
      </c>
      <c r="F28" s="125" t="s">
        <v>1</v>
      </c>
      <c r="G28" s="128">
        <v>37257</v>
      </c>
      <c r="H28" s="146"/>
      <c r="I28" s="146"/>
      <c r="P28" s="26"/>
    </row>
    <row r="29" spans="2:16">
      <c r="B29" s="259" t="s">
        <v>136</v>
      </c>
      <c r="C29" s="37" t="s">
        <v>129</v>
      </c>
      <c r="D29" s="28" t="s">
        <v>42</v>
      </c>
      <c r="E29" s="28" t="s">
        <v>1</v>
      </c>
      <c r="F29" s="125" t="s">
        <v>1</v>
      </c>
      <c r="G29" s="128">
        <v>41265</v>
      </c>
      <c r="H29" s="146"/>
      <c r="I29" s="146"/>
      <c r="P29" s="26"/>
    </row>
    <row r="30" spans="2:16">
      <c r="B30" s="259" t="s">
        <v>137</v>
      </c>
      <c r="C30" s="37" t="s">
        <v>138</v>
      </c>
      <c r="D30" s="28" t="s">
        <v>42</v>
      </c>
      <c r="E30" s="28" t="s">
        <v>1</v>
      </c>
      <c r="F30" s="125" t="s">
        <v>1</v>
      </c>
      <c r="G30" s="128">
        <v>41254</v>
      </c>
      <c r="H30" s="146"/>
      <c r="I30" s="146"/>
      <c r="P30" s="26"/>
    </row>
    <row r="31" spans="2:16">
      <c r="B31" s="259" t="s">
        <v>139</v>
      </c>
      <c r="C31" s="37" t="s">
        <v>140</v>
      </c>
      <c r="D31" s="28" t="s">
        <v>42</v>
      </c>
      <c r="E31" s="28" t="s">
        <v>1</v>
      </c>
      <c r="F31" s="125" t="s">
        <v>1</v>
      </c>
      <c r="G31" s="128">
        <v>39569</v>
      </c>
      <c r="H31" s="146"/>
      <c r="I31" s="146"/>
      <c r="P31" s="26"/>
    </row>
    <row r="32" spans="2:16">
      <c r="B32" s="259" t="s">
        <v>141</v>
      </c>
      <c r="C32" s="37" t="s">
        <v>142</v>
      </c>
      <c r="D32" s="28" t="s">
        <v>42</v>
      </c>
      <c r="E32" s="28" t="s">
        <v>1</v>
      </c>
      <c r="F32" s="125" t="s">
        <v>1</v>
      </c>
      <c r="G32" s="128">
        <v>37239</v>
      </c>
      <c r="H32" s="146"/>
      <c r="I32" s="146"/>
      <c r="P32" s="26"/>
    </row>
    <row r="33" spans="1:16">
      <c r="B33" s="259" t="s">
        <v>143</v>
      </c>
      <c r="C33" s="37" t="s">
        <v>160</v>
      </c>
      <c r="D33" s="28" t="s">
        <v>43</v>
      </c>
      <c r="E33" s="28" t="s">
        <v>1</v>
      </c>
      <c r="F33" s="125" t="s">
        <v>1</v>
      </c>
      <c r="G33" s="128">
        <v>43308</v>
      </c>
      <c r="H33" s="146"/>
      <c r="I33" s="146"/>
      <c r="P33" s="26"/>
    </row>
    <row r="34" spans="1:16">
      <c r="B34" s="259" t="s">
        <v>144</v>
      </c>
      <c r="C34" s="37" t="s">
        <v>161</v>
      </c>
      <c r="D34" s="28" t="s">
        <v>43</v>
      </c>
      <c r="E34" s="28" t="s">
        <v>1</v>
      </c>
      <c r="F34" s="125" t="s">
        <v>1</v>
      </c>
      <c r="G34" s="128">
        <v>43371</v>
      </c>
      <c r="H34" s="146"/>
      <c r="I34" s="146"/>
      <c r="P34" s="26"/>
    </row>
    <row r="35" spans="1:16">
      <c r="B35" s="259" t="s">
        <v>145</v>
      </c>
      <c r="C35" s="37" t="s">
        <v>162</v>
      </c>
      <c r="D35" s="28" t="s">
        <v>43</v>
      </c>
      <c r="E35" s="28" t="s">
        <v>1</v>
      </c>
      <c r="F35" s="125" t="s">
        <v>1</v>
      </c>
      <c r="G35" s="128">
        <v>43455</v>
      </c>
      <c r="H35" s="146"/>
      <c r="I35" s="146"/>
      <c r="P35" s="26"/>
    </row>
    <row r="36" spans="1:16">
      <c r="B36" s="259" t="s">
        <v>146</v>
      </c>
      <c r="C36" s="37" t="s">
        <v>163</v>
      </c>
      <c r="D36" s="28" t="s">
        <v>43</v>
      </c>
      <c r="E36" s="28" t="s">
        <v>1</v>
      </c>
      <c r="F36" s="125" t="s">
        <v>1</v>
      </c>
      <c r="G36" s="128">
        <v>43322</v>
      </c>
      <c r="H36" s="146"/>
      <c r="I36" s="146"/>
      <c r="P36" s="26"/>
    </row>
    <row r="37" spans="1:16">
      <c r="B37" s="259" t="s">
        <v>147</v>
      </c>
      <c r="C37" s="37" t="s">
        <v>150</v>
      </c>
      <c r="D37" s="28" t="s">
        <v>43</v>
      </c>
      <c r="E37" s="28" t="s">
        <v>1</v>
      </c>
      <c r="F37" s="125" t="s">
        <v>1</v>
      </c>
      <c r="G37" s="128">
        <v>42580</v>
      </c>
      <c r="H37" s="146"/>
      <c r="I37" s="146"/>
      <c r="P37" s="26"/>
    </row>
    <row r="38" spans="1:16">
      <c r="B38" s="259" t="s">
        <v>148</v>
      </c>
      <c r="C38" s="37" t="s">
        <v>149</v>
      </c>
      <c r="D38" s="28" t="s">
        <v>43</v>
      </c>
      <c r="E38" s="28" t="s">
        <v>1</v>
      </c>
      <c r="F38" s="125" t="s">
        <v>1</v>
      </c>
      <c r="G38" s="128">
        <v>42368</v>
      </c>
      <c r="H38" s="146"/>
      <c r="I38" s="146"/>
      <c r="P38" s="26"/>
    </row>
    <row r="39" spans="1:16">
      <c r="B39" s="259" t="s">
        <v>151</v>
      </c>
      <c r="C39" s="37" t="s">
        <v>103</v>
      </c>
      <c r="D39" s="28" t="s">
        <v>103</v>
      </c>
      <c r="E39" s="28" t="s">
        <v>2</v>
      </c>
      <c r="F39" s="125" t="s">
        <v>2</v>
      </c>
      <c r="G39" s="128"/>
      <c r="H39" s="146"/>
      <c r="I39" s="146"/>
      <c r="P39" s="26"/>
    </row>
    <row r="40" spans="1:16">
      <c r="B40" s="348" t="s">
        <v>164</v>
      </c>
      <c r="C40" s="349" t="s">
        <v>166</v>
      </c>
      <c r="D40" s="350" t="s">
        <v>43</v>
      </c>
      <c r="E40" s="350" t="s">
        <v>1</v>
      </c>
      <c r="F40" s="351" t="s">
        <v>1</v>
      </c>
      <c r="G40" s="129">
        <v>42668</v>
      </c>
      <c r="H40" s="146"/>
      <c r="I40" s="146"/>
      <c r="P40" s="26"/>
    </row>
    <row r="41" spans="1:16">
      <c r="B41" s="288" t="s">
        <v>165</v>
      </c>
      <c r="C41" s="349" t="s">
        <v>167</v>
      </c>
      <c r="D41" s="29" t="s">
        <v>43</v>
      </c>
      <c r="E41" s="29" t="s">
        <v>1</v>
      </c>
      <c r="F41" s="126" t="s">
        <v>1</v>
      </c>
      <c r="G41" s="129">
        <v>42668</v>
      </c>
      <c r="H41" s="146"/>
      <c r="I41" s="146"/>
      <c r="P41" s="26"/>
    </row>
    <row r="42" spans="1:16" ht="16.5" customHeight="1">
      <c r="B42" s="405" t="s">
        <v>110</v>
      </c>
      <c r="C42" s="405"/>
      <c r="D42" s="405"/>
      <c r="E42" s="405"/>
      <c r="F42" s="405"/>
      <c r="G42" s="405"/>
    </row>
    <row r="43" spans="1:16" ht="31.5" customHeight="1" thickBot="1">
      <c r="B43" s="406" t="s">
        <v>57</v>
      </c>
      <c r="C43" s="406"/>
      <c r="D43" s="406"/>
      <c r="E43" s="406"/>
      <c r="F43" s="406"/>
      <c r="G43" s="406"/>
      <c r="J43" s="218"/>
      <c r="K43" s="218"/>
      <c r="L43" s="218"/>
      <c r="M43" s="218"/>
      <c r="N43" s="218"/>
      <c r="O43" s="32"/>
    </row>
    <row r="44" spans="1:16">
      <c r="A44" s="8"/>
      <c r="B44" s="8"/>
      <c r="C44" s="8"/>
      <c r="D44" s="8"/>
      <c r="E44" s="8"/>
      <c r="F44" s="8"/>
      <c r="G44" s="8"/>
      <c r="H44" s="8"/>
      <c r="I44" s="8"/>
      <c r="J44" s="32"/>
      <c r="K44" s="32"/>
      <c r="L44" s="32"/>
      <c r="M44" s="32"/>
      <c r="N44" s="32"/>
      <c r="O44" s="32"/>
    </row>
    <row r="45" spans="1:16">
      <c r="O45" s="32"/>
    </row>
    <row r="46" spans="1:16" ht="21">
      <c r="A46" s="14" t="s">
        <v>4</v>
      </c>
      <c r="C46" s="44" t="str">
        <f>B2</f>
        <v>Goodnoe Hills</v>
      </c>
      <c r="D46" s="45"/>
      <c r="E46" s="24"/>
      <c r="F46" s="24"/>
      <c r="O46" s="32"/>
    </row>
    <row r="47" spans="1:16">
      <c r="O47" s="32"/>
    </row>
    <row r="48" spans="1:16" ht="18.5">
      <c r="A48" s="9" t="s">
        <v>21</v>
      </c>
      <c r="D48" s="2">
        <f>'Facility Detail'!$B$1897</f>
        <v>2011</v>
      </c>
      <c r="E48" s="2">
        <f t="shared" ref="E48:L48" si="0">D48+1</f>
        <v>2012</v>
      </c>
      <c r="F48" s="2">
        <f t="shared" si="0"/>
        <v>2013</v>
      </c>
      <c r="G48" s="2">
        <f t="shared" si="0"/>
        <v>2014</v>
      </c>
      <c r="H48" s="2">
        <f t="shared" si="0"/>
        <v>2015</v>
      </c>
      <c r="I48" s="2">
        <f t="shared" si="0"/>
        <v>2016</v>
      </c>
      <c r="J48" s="2">
        <f t="shared" si="0"/>
        <v>2017</v>
      </c>
      <c r="K48" s="2">
        <f t="shared" si="0"/>
        <v>2018</v>
      </c>
      <c r="L48" s="2">
        <f t="shared" si="0"/>
        <v>2019</v>
      </c>
      <c r="M48" s="2">
        <f t="shared" ref="M48" si="1">L48+1</f>
        <v>2020</v>
      </c>
      <c r="N48" s="2">
        <f t="shared" ref="N48" si="2">M48+1</f>
        <v>2021</v>
      </c>
      <c r="O48" s="32"/>
    </row>
    <row r="49" spans="1:15">
      <c r="B49" s="86" t="str">
        <f>"Total MWh Produced / Purchased from " &amp; C46</f>
        <v>Total MWh Produced / Purchased from Goodnoe Hills</v>
      </c>
      <c r="C49" s="78"/>
      <c r="D49" s="90">
        <v>239431</v>
      </c>
      <c r="E49" s="91">
        <v>221156</v>
      </c>
      <c r="F49" s="91">
        <v>227258</v>
      </c>
      <c r="G49" s="91">
        <v>216762</v>
      </c>
      <c r="H49" s="91">
        <v>186746</v>
      </c>
      <c r="I49" s="91">
        <v>223899</v>
      </c>
      <c r="J49" s="293">
        <v>191917</v>
      </c>
      <c r="K49" s="293">
        <v>230513</v>
      </c>
      <c r="L49" s="293">
        <v>57616</v>
      </c>
      <c r="M49" s="378">
        <v>269259</v>
      </c>
      <c r="N49" s="378">
        <v>259460</v>
      </c>
      <c r="O49" s="32"/>
    </row>
    <row r="50" spans="1:15">
      <c r="B50" s="86" t="s">
        <v>25</v>
      </c>
      <c r="C50" s="78"/>
      <c r="D50" s="250">
        <v>1</v>
      </c>
      <c r="E50" s="251">
        <v>1</v>
      </c>
      <c r="F50" s="252">
        <v>1</v>
      </c>
      <c r="G50" s="251">
        <v>1</v>
      </c>
      <c r="H50" s="251">
        <v>1</v>
      </c>
      <c r="I50" s="251">
        <v>1</v>
      </c>
      <c r="J50" s="251">
        <v>1</v>
      </c>
      <c r="K50" s="251">
        <v>1</v>
      </c>
      <c r="L50" s="251">
        <v>1</v>
      </c>
      <c r="M50" s="379">
        <v>1</v>
      </c>
      <c r="N50" s="379">
        <v>1</v>
      </c>
      <c r="O50" s="32"/>
    </row>
    <row r="51" spans="1:15">
      <c r="B51" s="86" t="s">
        <v>20</v>
      </c>
      <c r="C51" s="78"/>
      <c r="D51" s="253">
        <v>7.8921000000000005E-2</v>
      </c>
      <c r="E51" s="254">
        <v>7.9619999999999996E-2</v>
      </c>
      <c r="F51" s="254">
        <v>7.8747999999999999E-2</v>
      </c>
      <c r="G51" s="254">
        <v>8.0235000000000001E-2</v>
      </c>
      <c r="H51" s="254">
        <v>8.0535999999999996E-2</v>
      </c>
      <c r="I51" s="254">
        <v>8.1698151927344531E-2</v>
      </c>
      <c r="J51" s="254">
        <v>8.0833713568703974E-2</v>
      </c>
      <c r="K51" s="254">
        <v>7.9451999999999995E-2</v>
      </c>
      <c r="L51" s="254">
        <v>7.6724662968274293E-2</v>
      </c>
      <c r="M51" s="380">
        <v>7.9127103690396022E-2</v>
      </c>
      <c r="N51" s="380">
        <v>7.9127103690396022E-2</v>
      </c>
      <c r="O51" s="32"/>
    </row>
    <row r="52" spans="1:15">
      <c r="B52" s="83" t="s">
        <v>22</v>
      </c>
      <c r="C52" s="84"/>
      <c r="D52" s="334">
        <v>18896</v>
      </c>
      <c r="E52" s="334">
        <v>17608</v>
      </c>
      <c r="F52" s="334">
        <v>17896</v>
      </c>
      <c r="G52" s="334">
        <v>17392</v>
      </c>
      <c r="H52" s="334">
        <v>15039</v>
      </c>
      <c r="I52" s="334">
        <v>18292</v>
      </c>
      <c r="J52" s="335">
        <v>15514</v>
      </c>
      <c r="K52" s="335">
        <v>18315</v>
      </c>
      <c r="L52" s="335">
        <f t="shared" ref="L52:N52" si="3">L49 * L50 * L51</f>
        <v>4420.5681815800917</v>
      </c>
      <c r="M52" s="335">
        <f t="shared" ref="M52" si="4">M49 * M50 * M51</f>
        <v>21305.684812572341</v>
      </c>
      <c r="N52" s="335">
        <f t="shared" si="3"/>
        <v>20530.318323510153</v>
      </c>
      <c r="O52" s="32"/>
    </row>
    <row r="53" spans="1:15">
      <c r="B53" s="24"/>
      <c r="C53" s="32"/>
      <c r="D53" s="38"/>
      <c r="E53" s="38"/>
      <c r="F53" s="38"/>
      <c r="G53" s="25"/>
      <c r="H53" s="25"/>
      <c r="I53" s="25"/>
      <c r="J53" s="25"/>
      <c r="K53" s="25"/>
      <c r="L53" s="347"/>
      <c r="M53" s="25"/>
      <c r="N53" s="25"/>
      <c r="O53" s="32"/>
    </row>
    <row r="54" spans="1:15" ht="18.5">
      <c r="A54" s="46" t="s">
        <v>52</v>
      </c>
      <c r="C54" s="32"/>
      <c r="D54" s="2">
        <f t="shared" ref="D54:J54" si="5">D48</f>
        <v>2011</v>
      </c>
      <c r="E54" s="2">
        <f t="shared" si="5"/>
        <v>2012</v>
      </c>
      <c r="F54" s="2">
        <f t="shared" si="5"/>
        <v>2013</v>
      </c>
      <c r="G54" s="2">
        <f t="shared" si="5"/>
        <v>2014</v>
      </c>
      <c r="H54" s="2">
        <f t="shared" si="5"/>
        <v>2015</v>
      </c>
      <c r="I54" s="2">
        <f t="shared" si="5"/>
        <v>2016</v>
      </c>
      <c r="J54" s="2">
        <f t="shared" si="5"/>
        <v>2017</v>
      </c>
      <c r="K54" s="2">
        <f t="shared" ref="K54:N54" si="6">K48</f>
        <v>2018</v>
      </c>
      <c r="L54" s="2">
        <f t="shared" si="6"/>
        <v>2019</v>
      </c>
      <c r="M54" s="2">
        <f t="shared" si="6"/>
        <v>2020</v>
      </c>
      <c r="N54" s="2">
        <f t="shared" si="6"/>
        <v>2021</v>
      </c>
      <c r="O54" s="32"/>
    </row>
    <row r="55" spans="1:15">
      <c r="B55" s="86" t="s">
        <v>10</v>
      </c>
      <c r="C55" s="78"/>
      <c r="D55" s="55">
        <f>IF( $E2 = "Eligible", D52 * 'Facility Detail'!$B$1894, 0 )</f>
        <v>0</v>
      </c>
      <c r="E55" s="11">
        <f>IF( $E2 = "Eligible", E52 * 'Facility Detail'!$B$1894, 0 )</f>
        <v>0</v>
      </c>
      <c r="F55" s="11">
        <f>IF( $E2 = "Eligible", F52 * 'Facility Detail'!$B$1894, 0 )</f>
        <v>0</v>
      </c>
      <c r="G55" s="11">
        <f>IF( $E2 = "Eligible", G52 * 'Facility Detail'!$B$1894, 0 )</f>
        <v>0</v>
      </c>
      <c r="H55" s="11">
        <f>IF( $E2 = "Eligible", H52 * 'Facility Detail'!$B$1894, 0 )</f>
        <v>0</v>
      </c>
      <c r="I55" s="11">
        <f>IF( $E2 = "Eligible", I52 * 'Facility Detail'!$B$1894, 0 )</f>
        <v>0</v>
      </c>
      <c r="J55" s="11">
        <f>IF( $E2 = "Eligible", J52 * 'Facility Detail'!$B$1894, 0 )</f>
        <v>0</v>
      </c>
      <c r="K55" s="11">
        <f>IF( $E2 = "Eligible", K52 * 'Facility Detail'!$B$1894, 0 )</f>
        <v>0</v>
      </c>
      <c r="L55" s="11">
        <f>IF( $E2 = "Eligible", L52 * 'Facility Detail'!$B$1894, 0 )</f>
        <v>0</v>
      </c>
      <c r="M55" s="12">
        <f>IF( $E2 = "Eligible", M52 * 'Facility Detail'!$B$1894, 0 )</f>
        <v>0</v>
      </c>
      <c r="N55" s="12">
        <f>IF( $E2 = "Eligible", N52 * 'Facility Detail'!$B$1894, 0 )</f>
        <v>0</v>
      </c>
      <c r="O55" s="32"/>
    </row>
    <row r="56" spans="1:15">
      <c r="B56" s="86" t="s">
        <v>6</v>
      </c>
      <c r="C56" s="78"/>
      <c r="D56" s="56">
        <f t="shared" ref="D56:J56" si="7">IF( $F2 = "Eligible", D52, 0 )</f>
        <v>0</v>
      </c>
      <c r="E56" s="57">
        <f t="shared" si="7"/>
        <v>0</v>
      </c>
      <c r="F56" s="57">
        <f t="shared" si="7"/>
        <v>0</v>
      </c>
      <c r="G56" s="57">
        <f t="shared" si="7"/>
        <v>0</v>
      </c>
      <c r="H56" s="57">
        <f t="shared" si="7"/>
        <v>0</v>
      </c>
      <c r="I56" s="57">
        <f t="shared" si="7"/>
        <v>0</v>
      </c>
      <c r="J56" s="57">
        <f t="shared" si="7"/>
        <v>0</v>
      </c>
      <c r="K56" s="57">
        <f t="shared" ref="K56:L56" si="8">IF( $F2 = "Eligible", K52, 0 )</f>
        <v>0</v>
      </c>
      <c r="L56" s="57">
        <f t="shared" si="8"/>
        <v>0</v>
      </c>
      <c r="M56" s="58">
        <f t="shared" ref="M56:N56" si="9">IF( $F2 = "Eligible", M52, 0 )</f>
        <v>0</v>
      </c>
      <c r="N56" s="58">
        <f t="shared" si="9"/>
        <v>0</v>
      </c>
      <c r="O56" s="32"/>
    </row>
    <row r="57" spans="1:15">
      <c r="B57" s="85" t="s">
        <v>54</v>
      </c>
      <c r="C57" s="84"/>
      <c r="D57" s="41">
        <f t="shared" ref="D57:I57" si="10">SUM(D55:D56)</f>
        <v>0</v>
      </c>
      <c r="E57" s="42">
        <f t="shared" si="10"/>
        <v>0</v>
      </c>
      <c r="F57" s="42">
        <f t="shared" si="10"/>
        <v>0</v>
      </c>
      <c r="G57" s="42">
        <f t="shared" si="10"/>
        <v>0</v>
      </c>
      <c r="H57" s="42">
        <f t="shared" si="10"/>
        <v>0</v>
      </c>
      <c r="I57" s="42">
        <f t="shared" si="10"/>
        <v>0</v>
      </c>
      <c r="J57" s="42">
        <f t="shared" ref="J57:L57" si="11">SUM(J55:J56)</f>
        <v>0</v>
      </c>
      <c r="K57" s="42">
        <f t="shared" si="11"/>
        <v>0</v>
      </c>
      <c r="L57" s="42">
        <f t="shared" si="11"/>
        <v>0</v>
      </c>
      <c r="M57" s="42">
        <f t="shared" ref="M57:N57" si="12">SUM(M55:M56)</f>
        <v>0</v>
      </c>
      <c r="N57" s="42">
        <f t="shared" si="12"/>
        <v>0</v>
      </c>
      <c r="O57" s="32"/>
    </row>
    <row r="58" spans="1:15">
      <c r="B58" s="32"/>
      <c r="C58" s="32"/>
      <c r="D58" s="40"/>
      <c r="E58" s="33"/>
      <c r="F58" s="33"/>
      <c r="G58" s="25"/>
      <c r="H58" s="25"/>
      <c r="I58" s="25"/>
      <c r="J58" s="25"/>
      <c r="K58" s="25"/>
      <c r="L58" s="25"/>
      <c r="M58" s="25"/>
      <c r="N58" s="25"/>
      <c r="O58" s="32"/>
    </row>
    <row r="59" spans="1:15" ht="18.5">
      <c r="A59" s="43" t="s">
        <v>30</v>
      </c>
      <c r="C59" s="32"/>
      <c r="D59" s="2">
        <f t="shared" ref="D59:J59" si="13">D48</f>
        <v>2011</v>
      </c>
      <c r="E59" s="2">
        <f t="shared" si="13"/>
        <v>2012</v>
      </c>
      <c r="F59" s="2">
        <f t="shared" si="13"/>
        <v>2013</v>
      </c>
      <c r="G59" s="2">
        <f t="shared" si="13"/>
        <v>2014</v>
      </c>
      <c r="H59" s="2">
        <f t="shared" si="13"/>
        <v>2015</v>
      </c>
      <c r="I59" s="180">
        <f t="shared" si="13"/>
        <v>2016</v>
      </c>
      <c r="J59" s="180">
        <f t="shared" si="13"/>
        <v>2017</v>
      </c>
      <c r="K59" s="180">
        <f t="shared" ref="K59:N59" si="14">K48</f>
        <v>2018</v>
      </c>
      <c r="L59" s="180">
        <f t="shared" si="14"/>
        <v>2019</v>
      </c>
      <c r="M59" s="180">
        <f t="shared" si="14"/>
        <v>2020</v>
      </c>
      <c r="N59" s="180">
        <f t="shared" si="14"/>
        <v>2021</v>
      </c>
      <c r="O59" s="32"/>
    </row>
    <row r="60" spans="1:15">
      <c r="B60" s="86" t="s">
        <v>32</v>
      </c>
      <c r="C60" s="32"/>
      <c r="D60" s="90"/>
      <c r="E60" s="91"/>
      <c r="F60" s="91"/>
      <c r="G60" s="91"/>
      <c r="H60" s="91"/>
      <c r="I60" s="91"/>
      <c r="J60" s="91"/>
      <c r="K60" s="91"/>
      <c r="L60" s="91"/>
      <c r="M60" s="92"/>
      <c r="N60" s="92"/>
      <c r="O60" s="32"/>
    </row>
    <row r="61" spans="1:15">
      <c r="B61" s="87" t="s">
        <v>23</v>
      </c>
      <c r="C61" s="190"/>
      <c r="D61" s="93"/>
      <c r="E61" s="94"/>
      <c r="F61" s="94"/>
      <c r="G61" s="94"/>
      <c r="H61" s="94"/>
      <c r="I61" s="94"/>
      <c r="J61" s="94"/>
      <c r="K61" s="94"/>
      <c r="L61" s="94"/>
      <c r="M61" s="95"/>
      <c r="N61" s="95"/>
      <c r="O61" s="32"/>
    </row>
    <row r="62" spans="1:15">
      <c r="B62" s="96" t="s">
        <v>38</v>
      </c>
      <c r="C62" s="190"/>
      <c r="D62" s="63"/>
      <c r="E62" s="64"/>
      <c r="F62" s="64"/>
      <c r="G62" s="64"/>
      <c r="H62" s="64"/>
      <c r="I62" s="64"/>
      <c r="J62" s="64"/>
      <c r="K62" s="64"/>
      <c r="L62" s="64"/>
      <c r="M62" s="65"/>
      <c r="N62" s="65"/>
      <c r="O62" s="32"/>
    </row>
    <row r="63" spans="1:15">
      <c r="B63" s="35" t="s">
        <v>39</v>
      </c>
      <c r="D63" s="7">
        <f t="shared" ref="D63:J63" si="15">SUM(D60:D62)</f>
        <v>0</v>
      </c>
      <c r="E63" s="7">
        <f t="shared" si="15"/>
        <v>0</v>
      </c>
      <c r="F63" s="7">
        <f t="shared" si="15"/>
        <v>0</v>
      </c>
      <c r="G63" s="7">
        <f t="shared" si="15"/>
        <v>0</v>
      </c>
      <c r="H63" s="7">
        <f t="shared" si="15"/>
        <v>0</v>
      </c>
      <c r="I63" s="198">
        <f t="shared" si="15"/>
        <v>0</v>
      </c>
      <c r="J63" s="198">
        <f t="shared" si="15"/>
        <v>0</v>
      </c>
      <c r="K63" s="198">
        <f t="shared" ref="K63:L63" si="16">SUM(K60:K62)</f>
        <v>0</v>
      </c>
      <c r="L63" s="198">
        <f t="shared" si="16"/>
        <v>0</v>
      </c>
      <c r="M63" s="198">
        <f t="shared" ref="M63:N63" si="17">SUM(M60:M62)</f>
        <v>0</v>
      </c>
      <c r="N63" s="198">
        <f t="shared" si="17"/>
        <v>0</v>
      </c>
      <c r="O63" s="32"/>
    </row>
    <row r="64" spans="1:15">
      <c r="B64" s="6"/>
      <c r="D64" s="7"/>
      <c r="E64" s="7"/>
      <c r="F64" s="7"/>
      <c r="G64" s="30"/>
      <c r="H64" s="30"/>
      <c r="I64" s="30"/>
      <c r="J64" s="30"/>
      <c r="K64" s="30"/>
      <c r="L64" s="30"/>
      <c r="M64" s="30"/>
      <c r="N64" s="30"/>
      <c r="O64" s="32"/>
    </row>
    <row r="65" spans="1:15" ht="18.5">
      <c r="A65" s="9" t="s">
        <v>40</v>
      </c>
      <c r="D65" s="181">
        <f>'Facility Detail'!$B$1897</f>
        <v>2011</v>
      </c>
      <c r="E65" s="181">
        <f t="shared" ref="E65:K65" si="18">D65+1</f>
        <v>2012</v>
      </c>
      <c r="F65" s="181">
        <f t="shared" si="18"/>
        <v>2013</v>
      </c>
      <c r="G65" s="181">
        <f t="shared" si="18"/>
        <v>2014</v>
      </c>
      <c r="H65" s="181">
        <f t="shared" si="18"/>
        <v>2015</v>
      </c>
      <c r="I65" s="181">
        <f t="shared" si="18"/>
        <v>2016</v>
      </c>
      <c r="J65" s="181">
        <f t="shared" si="18"/>
        <v>2017</v>
      </c>
      <c r="K65" s="181">
        <f t="shared" si="18"/>
        <v>2018</v>
      </c>
      <c r="L65" s="181">
        <f t="shared" ref="L65" si="19">K65+1</f>
        <v>2019</v>
      </c>
      <c r="M65" s="181">
        <f t="shared" ref="M65" si="20">L65+1</f>
        <v>2020</v>
      </c>
      <c r="N65" s="181">
        <f t="shared" ref="N65" si="21">M65+1</f>
        <v>2021</v>
      </c>
      <c r="O65" s="32"/>
    </row>
    <row r="66" spans="1:15">
      <c r="B66" s="86" t="str">
        <f xml:space="preserve"> 'Facility Detail'!$B$1897 &amp; " Surplus Applied to " &amp; ( 'Facility Detail'!$B$1897 + 1 )</f>
        <v>2011 Surplus Applied to 2012</v>
      </c>
      <c r="C66" s="32"/>
      <c r="D66" s="3">
        <f>D52</f>
        <v>18896</v>
      </c>
      <c r="E66" s="66">
        <f>D66</f>
        <v>18896</v>
      </c>
      <c r="F66" s="138"/>
      <c r="G66" s="138"/>
      <c r="H66" s="138"/>
      <c r="I66" s="138"/>
      <c r="J66" s="138"/>
      <c r="K66" s="138"/>
      <c r="L66" s="138"/>
      <c r="M66" s="67"/>
      <c r="N66" s="67"/>
      <c r="O66" s="32"/>
    </row>
    <row r="67" spans="1:15">
      <c r="B67" s="86" t="str">
        <f xml:space="preserve"> ( 'Facility Detail'!$B$1897 + 1 ) &amp; " Surplus Applied to " &amp; ( 'Facility Detail'!$B$1897 )</f>
        <v>2012 Surplus Applied to 2011</v>
      </c>
      <c r="C67" s="32"/>
      <c r="D67" s="174">
        <f>E67</f>
        <v>0</v>
      </c>
      <c r="E67" s="10"/>
      <c r="F67" s="81"/>
      <c r="G67" s="81"/>
      <c r="H67" s="81"/>
      <c r="I67" s="81"/>
      <c r="J67" s="81"/>
      <c r="K67" s="81"/>
      <c r="L67" s="81"/>
      <c r="M67" s="175"/>
      <c r="N67" s="175"/>
      <c r="O67" s="32"/>
    </row>
    <row r="68" spans="1:15">
      <c r="B68" s="86" t="str">
        <f xml:space="preserve"> ( 'Facility Detail'!$B$1897 + 1 ) &amp; " Surplus Applied to " &amp; ( 'Facility Detail'!$B$1897 + 2 )</f>
        <v>2012 Surplus Applied to 2013</v>
      </c>
      <c r="C68" s="32"/>
      <c r="D68" s="68"/>
      <c r="E68" s="10">
        <f>E52</f>
        <v>17608</v>
      </c>
      <c r="F68" s="77">
        <f>E68</f>
        <v>17608</v>
      </c>
      <c r="G68" s="81"/>
      <c r="H68" s="81"/>
      <c r="I68" s="81"/>
      <c r="J68" s="81"/>
      <c r="K68" s="81"/>
      <c r="L68" s="81"/>
      <c r="M68" s="175"/>
      <c r="N68" s="175"/>
      <c r="O68" s="32"/>
    </row>
    <row r="69" spans="1:15">
      <c r="B69" s="86" t="str">
        <f xml:space="preserve"> ( 'Facility Detail'!$B$1897 + 2 ) &amp; " Surplus Applied to " &amp; ( 'Facility Detail'!$B$1897 + 1 )</f>
        <v>2013 Surplus Applied to 2012</v>
      </c>
      <c r="C69" s="32"/>
      <c r="D69" s="68"/>
      <c r="E69" s="77">
        <f>F69</f>
        <v>0</v>
      </c>
      <c r="F69" s="173"/>
      <c r="G69" s="81"/>
      <c r="H69" s="81"/>
      <c r="I69" s="81"/>
      <c r="J69" s="81"/>
      <c r="K69" s="81"/>
      <c r="L69" s="81"/>
      <c r="M69" s="175"/>
      <c r="N69" s="175"/>
      <c r="O69" s="32"/>
    </row>
    <row r="70" spans="1:15">
      <c r="B70" s="86" t="str">
        <f xml:space="preserve"> ( 'Facility Detail'!$B$1897 + 2 ) &amp; " Surplus Applied to " &amp; ( 'Facility Detail'!$B$1897 + 3 )</f>
        <v>2013 Surplus Applied to 2014</v>
      </c>
      <c r="C70" s="32"/>
      <c r="D70" s="68"/>
      <c r="E70" s="157"/>
      <c r="F70" s="10">
        <f>F52</f>
        <v>17896</v>
      </c>
      <c r="G70" s="158">
        <f>F70</f>
        <v>17896</v>
      </c>
      <c r="H70" s="81"/>
      <c r="I70" s="81"/>
      <c r="J70" s="81"/>
      <c r="K70" s="81"/>
      <c r="L70" s="81"/>
      <c r="M70" s="175"/>
      <c r="N70" s="175"/>
      <c r="O70" s="32"/>
    </row>
    <row r="71" spans="1:15">
      <c r="B71" s="86" t="str">
        <f xml:space="preserve"> ( 'Facility Detail'!$B$1897 + 3 ) &amp; " Surplus Applied to " &amp; ( 'Facility Detail'!$B$1897 + 2 )</f>
        <v>2014 Surplus Applied to 2013</v>
      </c>
      <c r="C71" s="32"/>
      <c r="D71" s="68"/>
      <c r="E71" s="157"/>
      <c r="F71" s="77">
        <f>G71</f>
        <v>0</v>
      </c>
      <c r="G71" s="10"/>
      <c r="H71" s="81"/>
      <c r="I71" s="81"/>
      <c r="J71" s="81"/>
      <c r="K71" s="81"/>
      <c r="L71" s="81"/>
      <c r="M71" s="175"/>
      <c r="N71" s="175"/>
      <c r="O71" s="32"/>
    </row>
    <row r="72" spans="1:15">
      <c r="B72" s="86" t="str">
        <f xml:space="preserve"> ( 'Facility Detail'!$B$1897 + 3 ) &amp; " Surplus Applied to " &amp; ( 'Facility Detail'!$B$1897 + 4 )</f>
        <v>2014 Surplus Applied to 2015</v>
      </c>
      <c r="C72" s="32"/>
      <c r="D72" s="68"/>
      <c r="E72" s="157"/>
      <c r="F72" s="157"/>
      <c r="G72" s="10">
        <f>G52-6158</f>
        <v>11234</v>
      </c>
      <c r="H72" s="158">
        <f>G72</f>
        <v>11234</v>
      </c>
      <c r="I72" s="157"/>
      <c r="J72" s="81"/>
      <c r="K72" s="81"/>
      <c r="L72" s="81"/>
      <c r="M72" s="161"/>
      <c r="N72" s="161"/>
      <c r="O72" s="32"/>
    </row>
    <row r="73" spans="1:15">
      <c r="B73" s="86" t="str">
        <f xml:space="preserve"> ( 'Facility Detail'!$B$1897 + 4 ) &amp; " Surplus Applied to " &amp; ( 'Facility Detail'!$B$1897 + 3 )</f>
        <v>2015 Surplus Applied to 2014</v>
      </c>
      <c r="C73" s="32"/>
      <c r="D73" s="68"/>
      <c r="E73" s="157"/>
      <c r="F73" s="157"/>
      <c r="G73" s="77">
        <f>H73</f>
        <v>0</v>
      </c>
      <c r="H73" s="10"/>
      <c r="I73" s="157"/>
      <c r="J73" s="81"/>
      <c r="K73" s="81"/>
      <c r="L73" s="81"/>
      <c r="M73" s="161"/>
      <c r="N73" s="161"/>
      <c r="O73" s="32"/>
    </row>
    <row r="74" spans="1:15">
      <c r="B74" s="86" t="str">
        <f xml:space="preserve"> ( 'Facility Detail'!$B$1897 + 4 ) &amp; " Surplus Applied to " &amp; ( 'Facility Detail'!$B$1897 + 5 )</f>
        <v>2015 Surplus Applied to 2016</v>
      </c>
      <c r="C74" s="32"/>
      <c r="D74" s="68"/>
      <c r="E74" s="157"/>
      <c r="F74" s="157"/>
      <c r="G74" s="157"/>
      <c r="H74" s="10">
        <v>5383</v>
      </c>
      <c r="I74" s="158">
        <f>H74</f>
        <v>5383</v>
      </c>
      <c r="J74" s="81"/>
      <c r="K74" s="81"/>
      <c r="L74" s="81"/>
      <c r="M74" s="161"/>
      <c r="N74" s="161"/>
      <c r="O74" s="32"/>
    </row>
    <row r="75" spans="1:15">
      <c r="B75" s="86" t="str">
        <f xml:space="preserve"> ( 'Facility Detail'!$B$1897 + 5 ) &amp; " Surplus Applied to " &amp; ( 'Facility Detail'!$B$1897 + 4 )</f>
        <v>2016 Surplus Applied to 2015</v>
      </c>
      <c r="C75" s="32"/>
      <c r="D75" s="68"/>
      <c r="E75" s="157"/>
      <c r="F75" s="157"/>
      <c r="G75" s="157"/>
      <c r="H75" s="77">
        <f>I75</f>
        <v>0</v>
      </c>
      <c r="I75" s="10"/>
      <c r="J75" s="81"/>
      <c r="K75" s="81"/>
      <c r="L75" s="81"/>
      <c r="M75" s="161"/>
      <c r="N75" s="161"/>
      <c r="O75" s="32"/>
    </row>
    <row r="76" spans="1:15">
      <c r="B76" s="86" t="str">
        <f xml:space="preserve"> ( 'Facility Detail'!$B$1897 + 5 ) &amp; " Surplus Applied to " &amp; ( 'Facility Detail'!$B$1897 + 6 )</f>
        <v>2016 Surplus Applied to 2017</v>
      </c>
      <c r="C76" s="32"/>
      <c r="D76" s="68"/>
      <c r="E76" s="157"/>
      <c r="F76" s="157"/>
      <c r="G76" s="157"/>
      <c r="H76" s="157"/>
      <c r="I76" s="247"/>
      <c r="J76" s="159">
        <f>I76</f>
        <v>0</v>
      </c>
      <c r="K76" s="81"/>
      <c r="L76" s="81"/>
      <c r="M76" s="161"/>
      <c r="N76" s="161"/>
      <c r="O76" s="32"/>
    </row>
    <row r="77" spans="1:15">
      <c r="B77" s="86" t="s">
        <v>119</v>
      </c>
      <c r="C77" s="32"/>
      <c r="D77" s="68"/>
      <c r="E77" s="157"/>
      <c r="F77" s="157"/>
      <c r="G77" s="157"/>
      <c r="H77" s="157"/>
      <c r="I77" s="248">
        <f>J77</f>
        <v>0</v>
      </c>
      <c r="J77" s="160"/>
      <c r="K77" s="81"/>
      <c r="L77" s="81"/>
      <c r="M77" s="161"/>
      <c r="N77" s="161"/>
      <c r="O77" s="32"/>
    </row>
    <row r="78" spans="1:15">
      <c r="B78" s="86" t="s">
        <v>120</v>
      </c>
      <c r="C78" s="32"/>
      <c r="D78" s="68"/>
      <c r="E78" s="157"/>
      <c r="F78" s="157"/>
      <c r="G78" s="157"/>
      <c r="H78" s="157"/>
      <c r="I78" s="157"/>
      <c r="J78" s="160"/>
      <c r="K78" s="159">
        <f>J78</f>
        <v>0</v>
      </c>
      <c r="L78" s="81"/>
      <c r="M78" s="161"/>
      <c r="N78" s="161"/>
      <c r="O78" s="32"/>
    </row>
    <row r="79" spans="1:15">
      <c r="B79" s="86" t="s">
        <v>152</v>
      </c>
      <c r="C79" s="32"/>
      <c r="D79" s="68"/>
      <c r="E79" s="157"/>
      <c r="F79" s="157"/>
      <c r="G79" s="157"/>
      <c r="H79" s="157"/>
      <c r="I79" s="157"/>
      <c r="J79" s="305">
        <f>K79</f>
        <v>0</v>
      </c>
      <c r="K79" s="160"/>
      <c r="L79" s="81"/>
      <c r="M79" s="161"/>
      <c r="N79" s="161"/>
      <c r="O79" s="32"/>
    </row>
    <row r="80" spans="1:15">
      <c r="B80" s="86" t="s">
        <v>153</v>
      </c>
      <c r="C80" s="32"/>
      <c r="D80" s="68"/>
      <c r="E80" s="157"/>
      <c r="F80" s="157"/>
      <c r="G80" s="157"/>
      <c r="H80" s="157"/>
      <c r="I80" s="157"/>
      <c r="J80" s="157"/>
      <c r="K80" s="160"/>
      <c r="L80" s="159">
        <f>K80</f>
        <v>0</v>
      </c>
      <c r="M80" s="161"/>
      <c r="N80" s="161"/>
      <c r="O80" s="32"/>
    </row>
    <row r="81" spans="1:15">
      <c r="B81" s="86" t="s">
        <v>154</v>
      </c>
      <c r="C81" s="32"/>
      <c r="D81" s="68"/>
      <c r="E81" s="157"/>
      <c r="F81" s="157"/>
      <c r="G81" s="157"/>
      <c r="H81" s="157"/>
      <c r="I81" s="157"/>
      <c r="J81" s="157"/>
      <c r="K81" s="305">
        <f>L81</f>
        <v>0</v>
      </c>
      <c r="L81" s="160"/>
      <c r="M81" s="161"/>
      <c r="N81" s="161"/>
      <c r="O81" s="32"/>
    </row>
    <row r="82" spans="1:15">
      <c r="B82" s="86" t="s">
        <v>155</v>
      </c>
      <c r="C82" s="32"/>
      <c r="D82" s="68"/>
      <c r="E82" s="157"/>
      <c r="F82" s="157"/>
      <c r="G82" s="157"/>
      <c r="H82" s="157"/>
      <c r="I82" s="157"/>
      <c r="J82" s="157"/>
      <c r="K82" s="157"/>
      <c r="L82" s="160"/>
      <c r="M82" s="159">
        <f>L82</f>
        <v>0</v>
      </c>
      <c r="N82" s="157"/>
      <c r="O82" s="32"/>
    </row>
    <row r="83" spans="1:15">
      <c r="B83" s="86" t="s">
        <v>156</v>
      </c>
      <c r="C83" s="32"/>
      <c r="D83" s="68"/>
      <c r="E83" s="157"/>
      <c r="F83" s="157"/>
      <c r="G83" s="157"/>
      <c r="H83" s="157"/>
      <c r="I83" s="157"/>
      <c r="J83" s="157"/>
      <c r="K83" s="157"/>
      <c r="L83" s="305">
        <f>M83</f>
        <v>0</v>
      </c>
      <c r="M83" s="160"/>
      <c r="N83" s="157"/>
      <c r="O83" s="32"/>
    </row>
    <row r="84" spans="1:15">
      <c r="B84" s="86" t="s">
        <v>157</v>
      </c>
      <c r="C84" s="32"/>
      <c r="D84" s="68"/>
      <c r="E84" s="157"/>
      <c r="F84" s="157"/>
      <c r="G84" s="157"/>
      <c r="H84" s="157"/>
      <c r="I84" s="157"/>
      <c r="J84" s="157"/>
      <c r="K84" s="157"/>
      <c r="L84" s="157"/>
      <c r="M84" s="160"/>
      <c r="N84" s="159">
        <f>M84</f>
        <v>0</v>
      </c>
      <c r="O84" s="32"/>
    </row>
    <row r="85" spans="1:15">
      <c r="B85" s="86" t="s">
        <v>173</v>
      </c>
      <c r="C85" s="32"/>
      <c r="D85" s="68"/>
      <c r="E85" s="157"/>
      <c r="F85" s="157"/>
      <c r="G85" s="157"/>
      <c r="H85" s="157"/>
      <c r="I85" s="157"/>
      <c r="J85" s="157"/>
      <c r="K85" s="157"/>
      <c r="L85" s="157"/>
      <c r="M85" s="159">
        <f>N85</f>
        <v>10000</v>
      </c>
      <c r="N85" s="160">
        <v>10000</v>
      </c>
      <c r="O85" s="32"/>
    </row>
    <row r="86" spans="1:15">
      <c r="B86" s="86" t="s">
        <v>174</v>
      </c>
      <c r="C86" s="32"/>
      <c r="D86" s="68"/>
      <c r="E86" s="157"/>
      <c r="F86" s="157"/>
      <c r="G86" s="157"/>
      <c r="H86" s="157"/>
      <c r="I86" s="157"/>
      <c r="J86" s="157"/>
      <c r="K86" s="157"/>
      <c r="L86" s="157"/>
      <c r="M86" s="157"/>
      <c r="N86" s="160"/>
      <c r="O86" s="32"/>
    </row>
    <row r="87" spans="1:15">
      <c r="B87" s="86"/>
      <c r="C87" s="32"/>
      <c r="D87" s="69"/>
      <c r="E87" s="140"/>
      <c r="F87" s="140"/>
      <c r="G87" s="140"/>
      <c r="H87" s="140"/>
      <c r="I87" s="140"/>
      <c r="J87" s="140"/>
      <c r="K87" s="140"/>
      <c r="L87" s="140"/>
      <c r="M87" s="140"/>
      <c r="N87" s="371">
        <f>O87</f>
        <v>0</v>
      </c>
      <c r="O87" s="32"/>
    </row>
    <row r="88" spans="1:15">
      <c r="B88" s="35" t="s">
        <v>17</v>
      </c>
      <c r="D88" s="198">
        <f xml:space="preserve"> D67 - D66</f>
        <v>-18896</v>
      </c>
      <c r="E88" s="198">
        <f xml:space="preserve"> E66 + E69 - E68 - E67</f>
        <v>1288</v>
      </c>
      <c r="F88" s="198">
        <f>F68 - F69 - F70</f>
        <v>-288</v>
      </c>
      <c r="G88" s="198">
        <f>G70-G71-G72</f>
        <v>6662</v>
      </c>
      <c r="H88" s="198">
        <f>H72-H73-H74</f>
        <v>5851</v>
      </c>
      <c r="I88" s="198">
        <f>I74-I75-I76</f>
        <v>5383</v>
      </c>
      <c r="J88" s="198">
        <f>J76-J77-J78</f>
        <v>0</v>
      </c>
      <c r="K88" s="198">
        <f>K78-K79-K80</f>
        <v>0</v>
      </c>
      <c r="L88" s="198">
        <f>L80-L81-L82</f>
        <v>0</v>
      </c>
      <c r="M88" s="198">
        <f>M82</f>
        <v>0</v>
      </c>
      <c r="N88" s="198">
        <f>N85*-1</f>
        <v>-10000</v>
      </c>
      <c r="O88" s="32"/>
    </row>
    <row r="89" spans="1:15">
      <c r="B89" s="6"/>
      <c r="D89" s="7"/>
      <c r="E89" s="7"/>
      <c r="F89" s="7"/>
      <c r="G89" s="7"/>
      <c r="H89" s="7"/>
      <c r="I89" s="7"/>
      <c r="J89" s="7"/>
      <c r="K89" s="7"/>
      <c r="L89" s="7"/>
      <c r="M89" s="7"/>
      <c r="N89" s="7"/>
      <c r="O89" s="32"/>
    </row>
    <row r="90" spans="1:15">
      <c r="B90" s="83" t="s">
        <v>12</v>
      </c>
      <c r="C90" s="78"/>
      <c r="D90" s="101"/>
      <c r="E90" s="102"/>
      <c r="F90" s="102"/>
      <c r="G90" s="102"/>
      <c r="H90" s="102"/>
      <c r="I90" s="102"/>
      <c r="J90" s="102"/>
      <c r="K90" s="102"/>
      <c r="L90" s="102"/>
      <c r="M90" s="103"/>
      <c r="N90" s="103"/>
      <c r="O90" s="32"/>
    </row>
    <row r="91" spans="1:15">
      <c r="B91" s="6"/>
      <c r="D91" s="7"/>
      <c r="E91" s="7"/>
      <c r="F91" s="7"/>
      <c r="G91" s="7"/>
      <c r="H91" s="7"/>
      <c r="I91" s="7"/>
      <c r="J91" s="7"/>
      <c r="K91" s="7"/>
      <c r="L91" s="7"/>
      <c r="M91" s="7"/>
      <c r="N91" s="7"/>
      <c r="O91" s="32"/>
    </row>
    <row r="92" spans="1:15" ht="18.5">
      <c r="A92" s="43" t="s">
        <v>26</v>
      </c>
      <c r="C92" s="78"/>
      <c r="D92" s="47">
        <f t="shared" ref="D92:J92" si="22" xml:space="preserve"> D52 + D57 - D63 + D88 + D90</f>
        <v>0</v>
      </c>
      <c r="E92" s="48">
        <f t="shared" si="22"/>
        <v>18896</v>
      </c>
      <c r="F92" s="48">
        <f t="shared" si="22"/>
        <v>17608</v>
      </c>
      <c r="G92" s="48">
        <f t="shared" si="22"/>
        <v>24054</v>
      </c>
      <c r="H92" s="48">
        <f t="shared" si="22"/>
        <v>20890</v>
      </c>
      <c r="I92" s="48">
        <f t="shared" si="22"/>
        <v>23675</v>
      </c>
      <c r="J92" s="48">
        <f t="shared" si="22"/>
        <v>15514</v>
      </c>
      <c r="K92" s="48">
        <f t="shared" ref="K92:N92" si="23" xml:space="preserve"> K52 + K57 - K63 + K88 + K90</f>
        <v>18315</v>
      </c>
      <c r="L92" s="48">
        <f t="shared" si="23"/>
        <v>4420.5681815800917</v>
      </c>
      <c r="M92" s="152">
        <f t="shared" ref="M92" si="24" xml:space="preserve"> M52 + M57 - M63 + M88 + M90</f>
        <v>21305.684812572341</v>
      </c>
      <c r="N92" s="152">
        <f t="shared" si="23"/>
        <v>10530.318323510153</v>
      </c>
      <c r="O92" s="32"/>
    </row>
    <row r="93" spans="1:15">
      <c r="B93" s="6"/>
      <c r="D93" s="7"/>
      <c r="E93" s="7"/>
      <c r="F93" s="7"/>
      <c r="G93" s="30"/>
      <c r="H93" s="30"/>
      <c r="I93" s="30"/>
      <c r="J93" s="30"/>
      <c r="K93" s="30"/>
      <c r="L93" s="30"/>
      <c r="M93" s="30"/>
      <c r="N93" s="30"/>
      <c r="O93" s="32"/>
    </row>
    <row r="94" spans="1:15" ht="15" thickBot="1">
      <c r="O94" s="32"/>
    </row>
    <row r="95" spans="1:15">
      <c r="A95" s="8"/>
      <c r="B95" s="8"/>
      <c r="C95" s="8"/>
      <c r="D95" s="8"/>
      <c r="E95" s="8"/>
      <c r="F95" s="8"/>
      <c r="G95" s="8"/>
      <c r="H95" s="8"/>
      <c r="I95" s="8"/>
      <c r="J95" s="8"/>
      <c r="K95" s="8"/>
      <c r="L95" s="8"/>
      <c r="M95" s="8"/>
      <c r="N95" s="8"/>
      <c r="O95" s="32"/>
    </row>
    <row r="96" spans="1:15">
      <c r="B96" s="32"/>
      <c r="C96" s="32"/>
      <c r="D96" s="32"/>
      <c r="E96" s="32"/>
      <c r="F96" s="32"/>
      <c r="G96" s="32"/>
      <c r="H96" s="32"/>
      <c r="I96" s="32"/>
      <c r="J96" s="32"/>
      <c r="K96" s="32"/>
      <c r="L96" s="32"/>
      <c r="M96" s="32"/>
      <c r="N96" s="32"/>
      <c r="O96" s="32"/>
    </row>
    <row r="97" spans="1:15" ht="21">
      <c r="A97" s="14" t="s">
        <v>4</v>
      </c>
      <c r="B97" s="14"/>
      <c r="C97" s="44" t="str">
        <f>B3</f>
        <v>Leaning Juniper</v>
      </c>
      <c r="D97" s="45"/>
      <c r="E97" s="24"/>
      <c r="F97" s="24"/>
      <c r="O97" s="32"/>
    </row>
    <row r="98" spans="1:15">
      <c r="O98" s="32"/>
    </row>
    <row r="99" spans="1:15" ht="18.5">
      <c r="A99" s="9" t="s">
        <v>21</v>
      </c>
      <c r="B99" s="9"/>
      <c r="D99" s="2">
        <f>'Facility Detail'!$B$1897</f>
        <v>2011</v>
      </c>
      <c r="E99" s="2">
        <f t="shared" ref="E99:K99" si="25">D99+1</f>
        <v>2012</v>
      </c>
      <c r="F99" s="2">
        <f t="shared" si="25"/>
        <v>2013</v>
      </c>
      <c r="G99" s="2">
        <f t="shared" si="25"/>
        <v>2014</v>
      </c>
      <c r="H99" s="2">
        <f t="shared" si="25"/>
        <v>2015</v>
      </c>
      <c r="I99" s="2">
        <f t="shared" si="25"/>
        <v>2016</v>
      </c>
      <c r="J99" s="2">
        <f t="shared" si="25"/>
        <v>2017</v>
      </c>
      <c r="K99" s="2">
        <f t="shared" si="25"/>
        <v>2018</v>
      </c>
      <c r="L99" s="2">
        <f t="shared" ref="L99" si="26">K99+1</f>
        <v>2019</v>
      </c>
      <c r="M99" s="2">
        <f t="shared" ref="M99" si="27">L99+1</f>
        <v>2020</v>
      </c>
      <c r="N99" s="2">
        <f t="shared" ref="N99" si="28">M99+1</f>
        <v>2021</v>
      </c>
      <c r="O99" s="32"/>
    </row>
    <row r="100" spans="1:15">
      <c r="B100" s="86" t="str">
        <f>"Total MWh Produced / Purchased from " &amp; C97</f>
        <v>Total MWh Produced / Purchased from Leaning Juniper</v>
      </c>
      <c r="C100" s="78"/>
      <c r="D100" s="3">
        <v>234789</v>
      </c>
      <c r="E100" s="4">
        <v>190905</v>
      </c>
      <c r="F100" s="4">
        <v>206164</v>
      </c>
      <c r="G100" s="4">
        <v>215245</v>
      </c>
      <c r="H100" s="191">
        <v>188567</v>
      </c>
      <c r="I100" s="91">
        <v>202605</v>
      </c>
      <c r="J100" s="91">
        <v>155685</v>
      </c>
      <c r="K100" s="293">
        <v>201665</v>
      </c>
      <c r="L100" s="148">
        <v>167178</v>
      </c>
      <c r="M100" s="378">
        <v>306434</v>
      </c>
      <c r="N100" s="378">
        <v>299259</v>
      </c>
      <c r="O100" s="32"/>
    </row>
    <row r="101" spans="1:15">
      <c r="B101" s="86" t="s">
        <v>25</v>
      </c>
      <c r="C101" s="78"/>
      <c r="D101" s="60">
        <v>1</v>
      </c>
      <c r="E101" s="61">
        <v>1</v>
      </c>
      <c r="F101" s="61">
        <v>1</v>
      </c>
      <c r="G101" s="61">
        <v>1</v>
      </c>
      <c r="H101" s="61">
        <v>1</v>
      </c>
      <c r="I101" s="251">
        <v>1</v>
      </c>
      <c r="J101" s="251">
        <v>1</v>
      </c>
      <c r="K101" s="251">
        <v>1</v>
      </c>
      <c r="L101" s="251">
        <v>1</v>
      </c>
      <c r="M101" s="381">
        <v>1</v>
      </c>
      <c r="N101" s="381">
        <v>1</v>
      </c>
      <c r="O101" s="32"/>
    </row>
    <row r="102" spans="1:15">
      <c r="B102" s="86" t="s">
        <v>20</v>
      </c>
      <c r="C102" s="78"/>
      <c r="D102" s="52">
        <f>D51</f>
        <v>7.8921000000000005E-2</v>
      </c>
      <c r="E102" s="52">
        <f t="shared" ref="E102:L102" si="29">E51</f>
        <v>7.9619999999999996E-2</v>
      </c>
      <c r="F102" s="52">
        <f t="shared" si="29"/>
        <v>7.8747999999999999E-2</v>
      </c>
      <c r="G102" s="52">
        <f t="shared" si="29"/>
        <v>8.0235000000000001E-2</v>
      </c>
      <c r="H102" s="52">
        <f t="shared" si="29"/>
        <v>8.0535999999999996E-2</v>
      </c>
      <c r="I102" s="52">
        <f t="shared" si="29"/>
        <v>8.1698151927344531E-2</v>
      </c>
      <c r="J102" s="52">
        <f t="shared" si="29"/>
        <v>8.0833713568703974E-2</v>
      </c>
      <c r="K102" s="52">
        <f t="shared" si="29"/>
        <v>7.9451999999999995E-2</v>
      </c>
      <c r="L102" s="52">
        <f t="shared" si="29"/>
        <v>7.6724662968274293E-2</v>
      </c>
      <c r="M102" s="380">
        <f>M51</f>
        <v>7.9127103690396022E-2</v>
      </c>
      <c r="N102" s="380">
        <f>N51</f>
        <v>7.9127103690396022E-2</v>
      </c>
      <c r="O102" s="32"/>
    </row>
    <row r="103" spans="1:15">
      <c r="B103" s="83" t="s">
        <v>22</v>
      </c>
      <c r="C103" s="84"/>
      <c r="D103" s="39">
        <v>18530</v>
      </c>
      <c r="E103" s="39">
        <v>15200</v>
      </c>
      <c r="F103" s="39">
        <v>16235</v>
      </c>
      <c r="G103" s="39">
        <v>17270</v>
      </c>
      <c r="H103" s="39">
        <v>15187</v>
      </c>
      <c r="I103" s="39">
        <v>16552</v>
      </c>
      <c r="J103" s="39">
        <v>12585</v>
      </c>
      <c r="K103" s="306">
        <v>16022</v>
      </c>
      <c r="L103" s="39">
        <f>ROUND(L100*L102,0)</f>
        <v>12827</v>
      </c>
      <c r="M103" s="39">
        <f xml:space="preserve"> M100 * M102</f>
        <v>24247.234892262815</v>
      </c>
      <c r="N103" s="39">
        <f xml:space="preserve"> N100 * N102</f>
        <v>23679.497923284223</v>
      </c>
      <c r="O103" s="32"/>
    </row>
    <row r="104" spans="1:15">
      <c r="B104" s="24"/>
      <c r="C104" s="32"/>
      <c r="D104" s="38"/>
      <c r="E104" s="38"/>
      <c r="F104" s="38"/>
      <c r="G104" s="25"/>
      <c r="H104" s="25"/>
      <c r="I104" s="25"/>
      <c r="J104" s="25"/>
      <c r="K104" s="25"/>
      <c r="L104" s="347"/>
      <c r="M104" s="25"/>
      <c r="N104" s="25"/>
      <c r="O104" s="32"/>
    </row>
    <row r="105" spans="1:15" ht="18.5">
      <c r="A105" s="46" t="s">
        <v>52</v>
      </c>
      <c r="C105" s="32"/>
      <c r="D105" s="2">
        <f>'Facility Detail'!$B$1897</f>
        <v>2011</v>
      </c>
      <c r="E105" s="2">
        <f>D105+1</f>
        <v>2012</v>
      </c>
      <c r="F105" s="2">
        <f>E105+1</f>
        <v>2013</v>
      </c>
      <c r="G105" s="2">
        <f>G99</f>
        <v>2014</v>
      </c>
      <c r="H105" s="2">
        <f>H99</f>
        <v>2015</v>
      </c>
      <c r="I105" s="2">
        <f>I99</f>
        <v>2016</v>
      </c>
      <c r="J105" s="2">
        <f>J99</f>
        <v>2017</v>
      </c>
      <c r="K105" s="2">
        <f t="shared" ref="K105:N105" si="30">K99</f>
        <v>2018</v>
      </c>
      <c r="L105" s="2">
        <f t="shared" si="30"/>
        <v>2019</v>
      </c>
      <c r="M105" s="2">
        <f t="shared" si="30"/>
        <v>2020</v>
      </c>
      <c r="N105" s="2">
        <f t="shared" si="30"/>
        <v>2021</v>
      </c>
      <c r="O105" s="32"/>
    </row>
    <row r="106" spans="1:15">
      <c r="B106" s="86" t="s">
        <v>10</v>
      </c>
      <c r="C106" s="78"/>
      <c r="D106" s="257">
        <f>IF( $E3 = "Eligible",D103 * 'Facility Detail'!$B$1894, 0 )</f>
        <v>0</v>
      </c>
      <c r="E106" s="11">
        <f>IF( $E3 = "Eligible",E103 * 'Facility Detail'!$B$1894, 0 )</f>
        <v>0</v>
      </c>
      <c r="F106" s="11">
        <f>IF( $E3 = "Eligible",F103 * 'Facility Detail'!$B$1894, 0 )</f>
        <v>0</v>
      </c>
      <c r="G106" s="11">
        <f>IF( $E3 = "Eligible",G103 * 'Facility Detail'!$B$1894, 0 )</f>
        <v>0</v>
      </c>
      <c r="H106" s="11">
        <f>IF( $E3 = "Eligible",H103 * 'Facility Detail'!$B$1894, 0 )</f>
        <v>0</v>
      </c>
      <c r="I106" s="11">
        <f>IF( $E3 = "Eligible",I103 * 'Facility Detail'!$B$1894, 0 )</f>
        <v>0</v>
      </c>
      <c r="J106" s="11">
        <f>IF( $E3 = "Eligible",J103 * 'Facility Detail'!$B$1894, 0 )</f>
        <v>0</v>
      </c>
      <c r="K106" s="11">
        <f>IF( $E3 = "Eligible",K103 * 'Facility Detail'!$B$1894, 0 )</f>
        <v>0</v>
      </c>
      <c r="L106" s="11">
        <f>IF( $E3 = "Eligible",L103 * 'Facility Detail'!$B$1894, 0 )</f>
        <v>0</v>
      </c>
      <c r="M106" s="163">
        <f>IF( $E3 = "Eligible",M103 * 'Facility Detail'!$B$1894, 0 )</f>
        <v>0</v>
      </c>
      <c r="N106" s="163">
        <f>IF( $E3 = "Eligible",N103 * 'Facility Detail'!$B$1894, 0 )</f>
        <v>0</v>
      </c>
      <c r="O106" s="32"/>
    </row>
    <row r="107" spans="1:15">
      <c r="B107" s="86" t="s">
        <v>6</v>
      </c>
      <c r="C107" s="78"/>
      <c r="D107" s="56">
        <f t="shared" ref="D107:J107" si="31">IF( $F3 = "Eligible", D103, 0 )</f>
        <v>0</v>
      </c>
      <c r="E107" s="57">
        <f t="shared" si="31"/>
        <v>0</v>
      </c>
      <c r="F107" s="57">
        <f t="shared" si="31"/>
        <v>0</v>
      </c>
      <c r="G107" s="57">
        <f t="shared" si="31"/>
        <v>0</v>
      </c>
      <c r="H107" s="57">
        <f t="shared" si="31"/>
        <v>0</v>
      </c>
      <c r="I107" s="57">
        <f t="shared" si="31"/>
        <v>0</v>
      </c>
      <c r="J107" s="57">
        <f t="shared" si="31"/>
        <v>0</v>
      </c>
      <c r="K107" s="57">
        <f t="shared" ref="K107:L107" si="32">IF( $F3 = "Eligible", K103, 0 )</f>
        <v>0</v>
      </c>
      <c r="L107" s="57">
        <f t="shared" si="32"/>
        <v>0</v>
      </c>
      <c r="M107" s="147">
        <f t="shared" ref="M107:N107" si="33">IF( $F3 = "Eligible", M103, 0 )</f>
        <v>0</v>
      </c>
      <c r="N107" s="147">
        <f t="shared" si="33"/>
        <v>0</v>
      </c>
      <c r="O107" s="32"/>
    </row>
    <row r="108" spans="1:15">
      <c r="B108" s="85" t="s">
        <v>54</v>
      </c>
      <c r="C108" s="84"/>
      <c r="D108" s="41">
        <f t="shared" ref="D108:I108" si="34">SUM(D106:D107)</f>
        <v>0</v>
      </c>
      <c r="E108" s="42">
        <f t="shared" si="34"/>
        <v>0</v>
      </c>
      <c r="F108" s="42">
        <f t="shared" si="34"/>
        <v>0</v>
      </c>
      <c r="G108" s="42">
        <f t="shared" si="34"/>
        <v>0</v>
      </c>
      <c r="H108" s="42">
        <f t="shared" si="34"/>
        <v>0</v>
      </c>
      <c r="I108" s="42">
        <f t="shared" si="34"/>
        <v>0</v>
      </c>
      <c r="J108" s="42">
        <f t="shared" ref="J108" si="35">SUM(J106:J107)</f>
        <v>0</v>
      </c>
      <c r="K108" s="42">
        <f t="shared" ref="K108:L108" si="36">SUM(K106:K107)</f>
        <v>0</v>
      </c>
      <c r="L108" s="42">
        <f t="shared" si="36"/>
        <v>0</v>
      </c>
      <c r="M108" s="42">
        <f t="shared" ref="M108:N108" si="37">SUM(M106:M107)</f>
        <v>0</v>
      </c>
      <c r="N108" s="42">
        <f t="shared" si="37"/>
        <v>0</v>
      </c>
      <c r="O108" s="32"/>
    </row>
    <row r="109" spans="1:15">
      <c r="B109" s="32"/>
      <c r="C109" s="32"/>
      <c r="D109" s="40"/>
      <c r="E109" s="33"/>
      <c r="F109" s="33"/>
      <c r="G109" s="25"/>
      <c r="H109" s="25"/>
      <c r="I109" s="25"/>
      <c r="J109" s="25"/>
      <c r="K109" s="25"/>
      <c r="L109" s="25"/>
      <c r="M109" s="25"/>
      <c r="N109" s="25"/>
      <c r="O109" s="32"/>
    </row>
    <row r="110" spans="1:15" ht="18.5">
      <c r="A110" s="43" t="s">
        <v>30</v>
      </c>
      <c r="C110" s="32"/>
      <c r="D110" s="2">
        <f>'Facility Detail'!$B$1897</f>
        <v>2011</v>
      </c>
      <c r="E110" s="2">
        <f>D110+1</f>
        <v>2012</v>
      </c>
      <c r="F110" s="2">
        <f>E110+1</f>
        <v>2013</v>
      </c>
      <c r="G110" s="2">
        <f>G99</f>
        <v>2014</v>
      </c>
      <c r="H110" s="2">
        <f>H99</f>
        <v>2015</v>
      </c>
      <c r="I110" s="2">
        <f>I99</f>
        <v>2016</v>
      </c>
      <c r="J110" s="2">
        <f>J99</f>
        <v>2017</v>
      </c>
      <c r="K110" s="2">
        <f t="shared" ref="K110:N110" si="38">K99</f>
        <v>2018</v>
      </c>
      <c r="L110" s="2">
        <f t="shared" si="38"/>
        <v>2019</v>
      </c>
      <c r="M110" s="2">
        <f t="shared" si="38"/>
        <v>2020</v>
      </c>
      <c r="N110" s="2">
        <f t="shared" si="38"/>
        <v>2021</v>
      </c>
      <c r="O110" s="32"/>
    </row>
    <row r="111" spans="1:15">
      <c r="B111" s="86" t="s">
        <v>32</v>
      </c>
      <c r="C111" s="78"/>
      <c r="D111" s="90"/>
      <c r="E111" s="91"/>
      <c r="F111" s="91"/>
      <c r="G111" s="91"/>
      <c r="H111" s="91"/>
      <c r="I111" s="91"/>
      <c r="J111" s="91"/>
      <c r="K111" s="91"/>
      <c r="L111" s="91"/>
      <c r="M111" s="148"/>
      <c r="N111" s="148"/>
      <c r="O111" s="32"/>
    </row>
    <row r="112" spans="1:15">
      <c r="B112" s="87" t="s">
        <v>23</v>
      </c>
      <c r="C112" s="192"/>
      <c r="D112" s="93"/>
      <c r="E112" s="94"/>
      <c r="F112" s="94"/>
      <c r="G112" s="94"/>
      <c r="H112" s="94"/>
      <c r="I112" s="94"/>
      <c r="J112" s="94"/>
      <c r="K112" s="94"/>
      <c r="L112" s="94"/>
      <c r="M112" s="149"/>
      <c r="N112" s="149"/>
      <c r="O112" s="32"/>
    </row>
    <row r="113" spans="1:15">
      <c r="B113" s="96" t="s">
        <v>38</v>
      </c>
      <c r="C113" s="190"/>
      <c r="D113" s="63"/>
      <c r="E113" s="64"/>
      <c r="F113" s="64"/>
      <c r="G113" s="64"/>
      <c r="H113" s="64"/>
      <c r="I113" s="64"/>
      <c r="J113" s="64"/>
      <c r="K113" s="64"/>
      <c r="L113" s="64"/>
      <c r="M113" s="150"/>
      <c r="N113" s="150"/>
      <c r="O113" s="32"/>
    </row>
    <row r="114" spans="1:15">
      <c r="B114" s="35" t="s">
        <v>39</v>
      </c>
      <c r="D114" s="7">
        <f t="shared" ref="D114:J114" si="39">SUM(D111:D113)</f>
        <v>0</v>
      </c>
      <c r="E114" s="7">
        <f t="shared" si="39"/>
        <v>0</v>
      </c>
      <c r="F114" s="7">
        <f t="shared" si="39"/>
        <v>0</v>
      </c>
      <c r="G114" s="7">
        <f t="shared" si="39"/>
        <v>0</v>
      </c>
      <c r="H114" s="7">
        <f t="shared" si="39"/>
        <v>0</v>
      </c>
      <c r="I114" s="7">
        <f t="shared" si="39"/>
        <v>0</v>
      </c>
      <c r="J114" s="7">
        <f t="shared" si="39"/>
        <v>0</v>
      </c>
      <c r="K114" s="7">
        <f t="shared" ref="K114:L114" si="40">SUM(K111:K113)</f>
        <v>0</v>
      </c>
      <c r="L114" s="7">
        <f t="shared" si="40"/>
        <v>0</v>
      </c>
      <c r="M114" s="7">
        <f t="shared" ref="M114:N114" si="41">SUM(M111:M113)</f>
        <v>0</v>
      </c>
      <c r="N114" s="7">
        <f t="shared" si="41"/>
        <v>0</v>
      </c>
      <c r="O114" s="32"/>
    </row>
    <row r="115" spans="1:15">
      <c r="B115" s="6"/>
      <c r="D115" s="7"/>
      <c r="E115" s="7"/>
      <c r="F115" s="7"/>
      <c r="G115" s="30"/>
      <c r="H115" s="30"/>
      <c r="I115" s="30"/>
      <c r="J115" s="30"/>
      <c r="K115" s="30"/>
      <c r="L115" s="30"/>
      <c r="M115" s="30"/>
      <c r="N115" s="30"/>
      <c r="O115" s="32"/>
    </row>
    <row r="116" spans="1:15" ht="18.5">
      <c r="A116" s="9" t="s">
        <v>40</v>
      </c>
      <c r="D116" s="2">
        <f>'Facility Detail'!$B$1897</f>
        <v>2011</v>
      </c>
      <c r="E116" s="2">
        <f t="shared" ref="E116:K116" si="42">D116+1</f>
        <v>2012</v>
      </c>
      <c r="F116" s="2">
        <f t="shared" si="42"/>
        <v>2013</v>
      </c>
      <c r="G116" s="2">
        <f t="shared" si="42"/>
        <v>2014</v>
      </c>
      <c r="H116" s="2">
        <f t="shared" si="42"/>
        <v>2015</v>
      </c>
      <c r="I116" s="2">
        <f t="shared" si="42"/>
        <v>2016</v>
      </c>
      <c r="J116" s="2">
        <f t="shared" si="42"/>
        <v>2017</v>
      </c>
      <c r="K116" s="2">
        <f t="shared" si="42"/>
        <v>2018</v>
      </c>
      <c r="L116" s="2">
        <f t="shared" ref="L116" si="43">K116+1</f>
        <v>2019</v>
      </c>
      <c r="M116" s="2">
        <f t="shared" ref="M116" si="44">L116+1</f>
        <v>2020</v>
      </c>
      <c r="N116" s="2">
        <f t="shared" ref="N116" si="45">M116+1</f>
        <v>2021</v>
      </c>
      <c r="O116" s="32"/>
    </row>
    <row r="117" spans="1:15">
      <c r="B117" s="86" t="str">
        <f xml:space="preserve"> 'Facility Detail'!$B$1897 &amp; " Surplus Applied to " &amp; ( 'Facility Detail'!$B$1897 + 1 )</f>
        <v>2011 Surplus Applied to 2012</v>
      </c>
      <c r="C117" s="32"/>
      <c r="D117" s="3">
        <v>18530</v>
      </c>
      <c r="E117" s="66">
        <f>D117</f>
        <v>18530</v>
      </c>
      <c r="F117" s="138"/>
      <c r="G117" s="138"/>
      <c r="H117" s="138"/>
      <c r="I117" s="138"/>
      <c r="J117" s="138"/>
      <c r="K117" s="138"/>
      <c r="L117" s="138"/>
      <c r="M117" s="67"/>
      <c r="N117" s="67"/>
      <c r="O117" s="32"/>
    </row>
    <row r="118" spans="1:15">
      <c r="B118" s="86" t="str">
        <f xml:space="preserve"> ( 'Facility Detail'!$B$1897 + 1 ) &amp; " Surplus Applied to " &amp; ( 'Facility Detail'!$B$1897 )</f>
        <v>2012 Surplus Applied to 2011</v>
      </c>
      <c r="C118" s="32"/>
      <c r="D118" s="174">
        <f>E118</f>
        <v>0</v>
      </c>
      <c r="E118" s="10"/>
      <c r="F118" s="81"/>
      <c r="G118" s="81"/>
      <c r="H118" s="81"/>
      <c r="I118" s="81"/>
      <c r="J118" s="81"/>
      <c r="K118" s="81"/>
      <c r="L118" s="81"/>
      <c r="M118" s="175"/>
      <c r="N118" s="175"/>
      <c r="O118" s="32"/>
    </row>
    <row r="119" spans="1:15">
      <c r="B119" s="86" t="str">
        <f xml:space="preserve"> ( 'Facility Detail'!$B$1897 + 1 ) &amp; " Surplus Applied to " &amp; ( 'Facility Detail'!$B$1897 + 2 )</f>
        <v>2012 Surplus Applied to 2013</v>
      </c>
      <c r="C119" s="32"/>
      <c r="D119" s="68"/>
      <c r="E119" s="10">
        <f>E103</f>
        <v>15200</v>
      </c>
      <c r="F119" s="77">
        <f>E119</f>
        <v>15200</v>
      </c>
      <c r="G119" s="81"/>
      <c r="H119" s="81"/>
      <c r="I119" s="81"/>
      <c r="J119" s="81"/>
      <c r="K119" s="81"/>
      <c r="L119" s="81"/>
      <c r="M119" s="175"/>
      <c r="N119" s="175"/>
      <c r="O119" s="32"/>
    </row>
    <row r="120" spans="1:15">
      <c r="B120" s="86" t="str">
        <f xml:space="preserve"> ( 'Facility Detail'!$B$1897 + 2 ) &amp; " Surplus Applied to " &amp; ( 'Facility Detail'!$B$1897 + 1 )</f>
        <v>2013 Surplus Applied to 2012</v>
      </c>
      <c r="C120" s="32"/>
      <c r="D120" s="68"/>
      <c r="E120" s="77">
        <f>F120</f>
        <v>0</v>
      </c>
      <c r="F120" s="173"/>
      <c r="G120" s="81"/>
      <c r="H120" s="81"/>
      <c r="I120" s="81"/>
      <c r="J120" s="81"/>
      <c r="K120" s="81"/>
      <c r="L120" s="81"/>
      <c r="M120" s="175"/>
      <c r="N120" s="175"/>
      <c r="O120" s="32"/>
    </row>
    <row r="121" spans="1:15">
      <c r="B121" s="86" t="str">
        <f xml:space="preserve"> ( 'Facility Detail'!$B$1897 + 2 ) &amp; " Surplus Applied to " &amp; ( 'Facility Detail'!$B$1897 + 3 )</f>
        <v>2013 Surplus Applied to 2014</v>
      </c>
      <c r="C121" s="32"/>
      <c r="D121" s="68"/>
      <c r="E121" s="157"/>
      <c r="F121" s="10">
        <f>F103</f>
        <v>16235</v>
      </c>
      <c r="G121" s="158">
        <f>F121</f>
        <v>16235</v>
      </c>
      <c r="H121" s="81"/>
      <c r="I121" s="81"/>
      <c r="J121" s="81"/>
      <c r="K121" s="81"/>
      <c r="L121" s="81"/>
      <c r="M121" s="175"/>
      <c r="N121" s="175"/>
      <c r="O121" s="32"/>
    </row>
    <row r="122" spans="1:15">
      <c r="B122" s="86" t="str">
        <f xml:space="preserve"> ( 'Facility Detail'!$B$1897 + 3 ) &amp; " Surplus Applied to " &amp; ( 'Facility Detail'!$B$1897 + 2 )</f>
        <v>2014 Surplus Applied to 2013</v>
      </c>
      <c r="C122" s="32"/>
      <c r="D122" s="68"/>
      <c r="E122" s="157"/>
      <c r="F122" s="77">
        <f>G122</f>
        <v>0</v>
      </c>
      <c r="G122" s="10"/>
      <c r="H122" s="81"/>
      <c r="I122" s="81"/>
      <c r="J122" s="81"/>
      <c r="K122" s="81"/>
      <c r="L122" s="81"/>
      <c r="M122" s="175"/>
      <c r="N122" s="175"/>
      <c r="O122" s="32"/>
    </row>
    <row r="123" spans="1:15">
      <c r="B123" s="86" t="str">
        <f xml:space="preserve"> ( 'Facility Detail'!$B$1897 + 3 ) &amp; " Surplus Applied to " &amp; ( 'Facility Detail'!$B$1897 + 4 )</f>
        <v>2014 Surplus Applied to 2015</v>
      </c>
      <c r="C123" s="32"/>
      <c r="D123" s="68"/>
      <c r="E123" s="157"/>
      <c r="F123" s="157"/>
      <c r="G123" s="10">
        <f>G103</f>
        <v>17270</v>
      </c>
      <c r="H123" s="158">
        <f>G123</f>
        <v>17270</v>
      </c>
      <c r="I123" s="157"/>
      <c r="J123" s="81"/>
      <c r="K123" s="81"/>
      <c r="L123" s="81"/>
      <c r="M123" s="161"/>
      <c r="N123" s="161"/>
      <c r="O123" s="32"/>
    </row>
    <row r="124" spans="1:15">
      <c r="B124" s="86" t="str">
        <f xml:space="preserve"> ( 'Facility Detail'!$B$1897 + 4 ) &amp; " Surplus Applied to " &amp; ( 'Facility Detail'!$B$1897 + 3 )</f>
        <v>2015 Surplus Applied to 2014</v>
      </c>
      <c r="C124" s="32"/>
      <c r="D124" s="68"/>
      <c r="E124" s="157"/>
      <c r="F124" s="157"/>
      <c r="G124" s="77"/>
      <c r="H124" s="10"/>
      <c r="I124" s="157"/>
      <c r="J124" s="81"/>
      <c r="K124" s="81"/>
      <c r="L124" s="81"/>
      <c r="M124" s="161"/>
      <c r="N124" s="161"/>
      <c r="O124" s="32"/>
    </row>
    <row r="125" spans="1:15">
      <c r="B125" s="86" t="str">
        <f xml:space="preserve"> ( 'Facility Detail'!$B$1897 + 4 ) &amp; " Surplus Applied to " &amp; ( 'Facility Detail'!$B$1897 + 5 )</f>
        <v>2015 Surplus Applied to 2016</v>
      </c>
      <c r="C125" s="32"/>
      <c r="D125" s="68"/>
      <c r="E125" s="157"/>
      <c r="F125" s="157"/>
      <c r="G125" s="157"/>
      <c r="H125" s="10">
        <f>H103</f>
        <v>15187</v>
      </c>
      <c r="I125" s="158">
        <f>H125</f>
        <v>15187</v>
      </c>
      <c r="J125" s="81"/>
      <c r="K125" s="81"/>
      <c r="L125" s="81"/>
      <c r="M125" s="161"/>
      <c r="N125" s="161"/>
      <c r="O125" s="32"/>
    </row>
    <row r="126" spans="1:15">
      <c r="B126" s="86" t="str">
        <f xml:space="preserve"> ( 'Facility Detail'!$B$1897 + 5 ) &amp; " Surplus Applied to " &amp; ( 'Facility Detail'!$B$1897 + 4 )</f>
        <v>2016 Surplus Applied to 2015</v>
      </c>
      <c r="C126" s="32"/>
      <c r="D126" s="68"/>
      <c r="E126" s="157"/>
      <c r="F126" s="157"/>
      <c r="G126" s="157"/>
      <c r="H126" s="77"/>
      <c r="I126" s="10"/>
      <c r="J126" s="81"/>
      <c r="K126" s="81"/>
      <c r="L126" s="81"/>
      <c r="M126" s="161"/>
      <c r="N126" s="161"/>
      <c r="O126" s="32"/>
    </row>
    <row r="127" spans="1:15">
      <c r="B127" s="86" t="str">
        <f xml:space="preserve"> ( 'Facility Detail'!$B$1897 + 5 ) &amp; " Surplus Applied to " &amp; ( 'Facility Detail'!$B$1897 + 6 )</f>
        <v>2016 Surplus Applied to 2017</v>
      </c>
      <c r="C127" s="32"/>
      <c r="D127" s="68"/>
      <c r="E127" s="157"/>
      <c r="F127" s="157"/>
      <c r="G127" s="157"/>
      <c r="H127" s="157"/>
      <c r="I127" s="247">
        <v>0</v>
      </c>
      <c r="J127" s="159">
        <f>I127</f>
        <v>0</v>
      </c>
      <c r="K127" s="81"/>
      <c r="L127" s="81"/>
      <c r="M127" s="161"/>
      <c r="N127" s="161"/>
      <c r="O127" s="32"/>
    </row>
    <row r="128" spans="1:15">
      <c r="B128" s="86" t="s">
        <v>119</v>
      </c>
      <c r="C128" s="32"/>
      <c r="D128" s="68"/>
      <c r="E128" s="157"/>
      <c r="F128" s="157"/>
      <c r="G128" s="157"/>
      <c r="H128" s="157"/>
      <c r="I128" s="248">
        <f>J128</f>
        <v>0</v>
      </c>
      <c r="J128" s="160"/>
      <c r="K128" s="81"/>
      <c r="L128" s="81"/>
      <c r="M128" s="161"/>
      <c r="N128" s="161"/>
      <c r="O128" s="32"/>
    </row>
    <row r="129" spans="1:15">
      <c r="B129" s="86" t="s">
        <v>120</v>
      </c>
      <c r="C129" s="32"/>
      <c r="D129" s="68"/>
      <c r="E129" s="157"/>
      <c r="F129" s="157"/>
      <c r="G129" s="157"/>
      <c r="H129" s="157"/>
      <c r="I129" s="157"/>
      <c r="J129" s="160"/>
      <c r="K129" s="159">
        <f>J129</f>
        <v>0</v>
      </c>
      <c r="L129" s="81"/>
      <c r="M129" s="161"/>
      <c r="N129" s="161"/>
      <c r="O129" s="32"/>
    </row>
    <row r="130" spans="1:15">
      <c r="B130" s="86" t="s">
        <v>152</v>
      </c>
      <c r="C130" s="32"/>
      <c r="D130" s="68"/>
      <c r="E130" s="157"/>
      <c r="F130" s="157"/>
      <c r="G130" s="157"/>
      <c r="H130" s="157"/>
      <c r="I130" s="157"/>
      <c r="J130" s="159">
        <f>K130</f>
        <v>0</v>
      </c>
      <c r="K130" s="160"/>
      <c r="L130" s="81"/>
      <c r="M130" s="161"/>
      <c r="N130" s="161"/>
      <c r="O130" s="32"/>
    </row>
    <row r="131" spans="1:15">
      <c r="B131" s="86" t="s">
        <v>153</v>
      </c>
      <c r="C131" s="32"/>
      <c r="D131" s="68"/>
      <c r="E131" s="157"/>
      <c r="F131" s="157"/>
      <c r="G131" s="157"/>
      <c r="H131" s="157"/>
      <c r="I131" s="157"/>
      <c r="J131" s="157"/>
      <c r="K131" s="160"/>
      <c r="L131" s="159">
        <f>K131</f>
        <v>0</v>
      </c>
      <c r="M131" s="161"/>
      <c r="N131" s="161"/>
      <c r="O131" s="32"/>
    </row>
    <row r="132" spans="1:15">
      <c r="B132" s="86" t="s">
        <v>154</v>
      </c>
      <c r="C132" s="32"/>
      <c r="D132" s="157"/>
      <c r="E132" s="157"/>
      <c r="F132" s="157"/>
      <c r="G132" s="157"/>
      <c r="H132" s="157"/>
      <c r="I132" s="157"/>
      <c r="J132" s="157"/>
      <c r="K132" s="159">
        <f>L132</f>
        <v>0</v>
      </c>
      <c r="L132" s="160"/>
      <c r="M132" s="157"/>
      <c r="N132" s="157"/>
      <c r="O132" s="32"/>
    </row>
    <row r="133" spans="1:15">
      <c r="B133" s="86" t="s">
        <v>155</v>
      </c>
      <c r="C133" s="32"/>
      <c r="D133" s="157"/>
      <c r="E133" s="157"/>
      <c r="F133" s="157"/>
      <c r="G133" s="157"/>
      <c r="H133" s="157"/>
      <c r="I133" s="157"/>
      <c r="J133" s="157"/>
      <c r="K133" s="157"/>
      <c r="L133" s="160"/>
      <c r="M133" s="159">
        <f>L133</f>
        <v>0</v>
      </c>
      <c r="N133" s="157"/>
      <c r="O133" s="32"/>
    </row>
    <row r="134" spans="1:15">
      <c r="B134" s="86" t="s">
        <v>156</v>
      </c>
      <c r="C134" s="32"/>
      <c r="D134" s="157"/>
      <c r="E134" s="157"/>
      <c r="F134" s="157"/>
      <c r="G134" s="157"/>
      <c r="H134" s="157"/>
      <c r="I134" s="157"/>
      <c r="J134" s="157"/>
      <c r="K134" s="157"/>
      <c r="L134" s="159">
        <f>M134</f>
        <v>0</v>
      </c>
      <c r="M134" s="160"/>
      <c r="N134" s="157"/>
      <c r="O134" s="32"/>
    </row>
    <row r="135" spans="1:15">
      <c r="B135" s="86" t="s">
        <v>157</v>
      </c>
      <c r="C135" s="32"/>
      <c r="D135" s="157"/>
      <c r="E135" s="157"/>
      <c r="F135" s="157"/>
      <c r="G135" s="157"/>
      <c r="H135" s="157"/>
      <c r="I135" s="157"/>
      <c r="J135" s="157"/>
      <c r="K135" s="157"/>
      <c r="L135" s="157"/>
      <c r="M135" s="160"/>
      <c r="N135" s="159">
        <f>M135</f>
        <v>0</v>
      </c>
      <c r="O135" s="32"/>
    </row>
    <row r="136" spans="1:15">
      <c r="B136" s="86" t="s">
        <v>173</v>
      </c>
      <c r="C136" s="32"/>
      <c r="D136" s="157"/>
      <c r="E136" s="157"/>
      <c r="F136" s="157"/>
      <c r="G136" s="157"/>
      <c r="H136" s="157"/>
      <c r="I136" s="157"/>
      <c r="J136" s="157"/>
      <c r="K136" s="157"/>
      <c r="L136" s="157"/>
      <c r="M136" s="159">
        <f>N136</f>
        <v>10000</v>
      </c>
      <c r="N136" s="160">
        <v>10000</v>
      </c>
      <c r="O136" s="32"/>
    </row>
    <row r="137" spans="1:15">
      <c r="B137" s="86" t="s">
        <v>174</v>
      </c>
      <c r="C137" s="32"/>
      <c r="D137" s="157"/>
      <c r="E137" s="157"/>
      <c r="F137" s="157"/>
      <c r="G137" s="157"/>
      <c r="H137" s="157"/>
      <c r="I137" s="157"/>
      <c r="J137" s="157"/>
      <c r="K137" s="157"/>
      <c r="L137" s="157"/>
      <c r="M137" s="157"/>
      <c r="N137" s="160"/>
      <c r="O137" s="32"/>
    </row>
    <row r="138" spans="1:15">
      <c r="B138" s="86"/>
      <c r="C138" s="32"/>
      <c r="D138" s="140"/>
      <c r="E138" s="140"/>
      <c r="F138" s="140"/>
      <c r="G138" s="140"/>
      <c r="H138" s="140"/>
      <c r="I138" s="140"/>
      <c r="J138" s="140"/>
      <c r="K138" s="140"/>
      <c r="L138" s="140"/>
      <c r="M138" s="140"/>
      <c r="N138" s="159">
        <f>O138</f>
        <v>0</v>
      </c>
      <c r="O138" s="32"/>
    </row>
    <row r="139" spans="1:15">
      <c r="B139" s="35" t="s">
        <v>17</v>
      </c>
      <c r="D139" s="198">
        <f xml:space="preserve"> D118 - D117</f>
        <v>-18530</v>
      </c>
      <c r="E139" s="198">
        <f xml:space="preserve"> E117 + E120 - E119 - E118</f>
        <v>3330</v>
      </c>
      <c r="F139" s="198">
        <f>F119 - F120 - F121</f>
        <v>-1035</v>
      </c>
      <c r="G139" s="198">
        <f>G121-G122-G123</f>
        <v>-1035</v>
      </c>
      <c r="H139" s="198">
        <f>H123-H124-H125</f>
        <v>2083</v>
      </c>
      <c r="I139" s="198">
        <f>I125-I126-I127</f>
        <v>15187</v>
      </c>
      <c r="J139" s="198">
        <f>J127-J128-J129</f>
        <v>0</v>
      </c>
      <c r="K139" s="198">
        <f>K129-K130-K131</f>
        <v>0</v>
      </c>
      <c r="L139" s="198">
        <f>L131-L132-L133</f>
        <v>0</v>
      </c>
      <c r="M139" s="198">
        <f>M136</f>
        <v>10000</v>
      </c>
      <c r="N139" s="198">
        <f>N133</f>
        <v>0</v>
      </c>
      <c r="O139" s="32"/>
    </row>
    <row r="140" spans="1:15">
      <c r="B140" s="6"/>
      <c r="D140" s="7"/>
      <c r="E140" s="7"/>
      <c r="F140" s="7"/>
      <c r="G140" s="7"/>
      <c r="H140" s="7"/>
      <c r="I140" s="7"/>
      <c r="J140" s="7"/>
      <c r="K140" s="7"/>
      <c r="L140" s="7"/>
      <c r="M140" s="7"/>
      <c r="N140" s="7"/>
      <c r="O140" s="32"/>
    </row>
    <row r="141" spans="1:15">
      <c r="B141" s="83" t="s">
        <v>12</v>
      </c>
      <c r="C141" s="78"/>
      <c r="D141" s="101"/>
      <c r="E141" s="102"/>
      <c r="F141" s="102"/>
      <c r="G141" s="102"/>
      <c r="H141" s="102"/>
      <c r="I141" s="102"/>
      <c r="J141" s="102"/>
      <c r="K141" s="102"/>
      <c r="L141" s="102"/>
      <c r="M141" s="103"/>
      <c r="N141" s="103"/>
      <c r="O141" s="32"/>
    </row>
    <row r="142" spans="1:15">
      <c r="B142" s="6"/>
      <c r="D142" s="7"/>
      <c r="E142" s="7"/>
      <c r="F142" s="7"/>
      <c r="G142" s="7"/>
      <c r="H142" s="7"/>
      <c r="I142" s="7"/>
      <c r="J142" s="7"/>
      <c r="K142" s="7"/>
      <c r="L142" s="7"/>
      <c r="M142" s="7"/>
      <c r="N142" s="7"/>
      <c r="O142" s="32"/>
    </row>
    <row r="143" spans="1:15" ht="18.5">
      <c r="A143" s="43" t="s">
        <v>26</v>
      </c>
      <c r="C143" s="78"/>
      <c r="D143" s="47">
        <f t="shared" ref="D143:N143" si="46" xml:space="preserve"> D103 + D108 - D114 + D139 + D141</f>
        <v>0</v>
      </c>
      <c r="E143" s="48">
        <f t="shared" si="46"/>
        <v>18530</v>
      </c>
      <c r="F143" s="48">
        <f t="shared" si="46"/>
        <v>15200</v>
      </c>
      <c r="G143" s="48">
        <f t="shared" si="46"/>
        <v>16235</v>
      </c>
      <c r="H143" s="168">
        <f t="shared" si="46"/>
        <v>17270</v>
      </c>
      <c r="I143" s="48">
        <f t="shared" si="46"/>
        <v>31739</v>
      </c>
      <c r="J143" s="48">
        <f t="shared" si="46"/>
        <v>12585</v>
      </c>
      <c r="K143" s="48">
        <f t="shared" si="46"/>
        <v>16022</v>
      </c>
      <c r="L143" s="48">
        <f t="shared" si="46"/>
        <v>12827</v>
      </c>
      <c r="M143" s="49">
        <f t="shared" ref="M143" si="47" xml:space="preserve"> M103 + M108 - M114 + M139 + M141</f>
        <v>34247.234892262815</v>
      </c>
      <c r="N143" s="49">
        <f t="shared" si="46"/>
        <v>23679.497923284223</v>
      </c>
      <c r="O143" s="32"/>
    </row>
    <row r="144" spans="1:15">
      <c r="B144" s="6"/>
      <c r="D144" s="7"/>
      <c r="E144" s="7"/>
      <c r="F144" s="7"/>
      <c r="G144" s="30"/>
      <c r="H144" s="30"/>
      <c r="I144" s="30"/>
      <c r="J144" s="30"/>
      <c r="K144" s="30"/>
      <c r="L144" s="30"/>
      <c r="M144" s="30"/>
      <c r="N144" s="30"/>
      <c r="O144" s="32"/>
    </row>
    <row r="145" spans="1:15" ht="15" thickBot="1">
      <c r="O145" s="32"/>
    </row>
    <row r="146" spans="1:15">
      <c r="A146" s="8"/>
      <c r="B146" s="8"/>
      <c r="C146" s="8"/>
      <c r="D146" s="8"/>
      <c r="E146" s="8"/>
      <c r="F146" s="8"/>
      <c r="G146" s="8"/>
      <c r="H146" s="8"/>
      <c r="I146" s="8"/>
      <c r="J146" s="8"/>
      <c r="K146" s="8"/>
      <c r="L146" s="8"/>
      <c r="M146" s="8"/>
      <c r="N146" s="8"/>
      <c r="O146" s="32"/>
    </row>
    <row r="147" spans="1:15">
      <c r="B147" s="32"/>
      <c r="C147" s="32"/>
      <c r="D147" s="32"/>
      <c r="E147" s="32"/>
      <c r="F147" s="32"/>
      <c r="G147" s="32"/>
      <c r="H147" s="32"/>
      <c r="I147" s="32"/>
      <c r="J147" s="32"/>
      <c r="K147" s="32"/>
      <c r="L147" s="32"/>
      <c r="M147" s="32"/>
      <c r="N147" s="32"/>
      <c r="O147" s="32"/>
    </row>
    <row r="148" spans="1:15" ht="21">
      <c r="A148" s="14" t="s">
        <v>4</v>
      </c>
      <c r="B148" s="14"/>
      <c r="C148" s="44" t="str">
        <f>B4</f>
        <v>Marengo I</v>
      </c>
      <c r="D148" s="45"/>
      <c r="E148" s="24"/>
      <c r="F148" s="24"/>
      <c r="O148" s="32"/>
    </row>
    <row r="149" spans="1:15">
      <c r="O149" s="32"/>
    </row>
    <row r="150" spans="1:15" ht="18.5">
      <c r="A150" s="9" t="s">
        <v>21</v>
      </c>
      <c r="B150" s="9"/>
      <c r="D150" s="2">
        <f>'Facility Detail'!$B$1897</f>
        <v>2011</v>
      </c>
      <c r="E150" s="2">
        <f t="shared" ref="E150:K150" si="48">D150+1</f>
        <v>2012</v>
      </c>
      <c r="F150" s="2">
        <f t="shared" si="48"/>
        <v>2013</v>
      </c>
      <c r="G150" s="2">
        <f t="shared" si="48"/>
        <v>2014</v>
      </c>
      <c r="H150" s="2">
        <f t="shared" si="48"/>
        <v>2015</v>
      </c>
      <c r="I150" s="2">
        <f t="shared" si="48"/>
        <v>2016</v>
      </c>
      <c r="J150" s="2">
        <f t="shared" si="48"/>
        <v>2017</v>
      </c>
      <c r="K150" s="2">
        <f t="shared" si="48"/>
        <v>2018</v>
      </c>
      <c r="L150" s="2">
        <f t="shared" ref="L150" si="49">K150+1</f>
        <v>2019</v>
      </c>
      <c r="M150" s="2">
        <f t="shared" ref="M150" si="50">L150+1</f>
        <v>2020</v>
      </c>
      <c r="N150" s="2">
        <f t="shared" ref="N150" si="51">M150+1</f>
        <v>2021</v>
      </c>
      <c r="O150" s="32"/>
    </row>
    <row r="151" spans="1:15">
      <c r="B151" s="86" t="str">
        <f>"Total MWh Produced / Purchased from " &amp; C148</f>
        <v>Total MWh Produced / Purchased from Marengo I</v>
      </c>
      <c r="C151" s="78"/>
      <c r="D151" s="3">
        <v>403408</v>
      </c>
      <c r="E151" s="4">
        <v>358669</v>
      </c>
      <c r="F151" s="4">
        <v>331240</v>
      </c>
      <c r="G151" s="4">
        <v>367390</v>
      </c>
      <c r="H151" s="191">
        <v>298771</v>
      </c>
      <c r="I151" s="91">
        <v>356053</v>
      </c>
      <c r="J151" s="91">
        <v>315543</v>
      </c>
      <c r="K151" s="293">
        <v>336426</v>
      </c>
      <c r="L151" s="91">
        <v>145648</v>
      </c>
      <c r="M151" s="378">
        <v>477310</v>
      </c>
      <c r="N151" s="378">
        <v>464963</v>
      </c>
      <c r="O151" s="32"/>
    </row>
    <row r="152" spans="1:15">
      <c r="B152" s="86" t="s">
        <v>25</v>
      </c>
      <c r="C152" s="78"/>
      <c r="D152" s="60">
        <v>1</v>
      </c>
      <c r="E152" s="61">
        <v>1</v>
      </c>
      <c r="F152" s="61">
        <v>1</v>
      </c>
      <c r="G152" s="61">
        <v>1</v>
      </c>
      <c r="H152" s="61">
        <v>1</v>
      </c>
      <c r="I152" s="251">
        <v>1</v>
      </c>
      <c r="J152" s="251">
        <v>1</v>
      </c>
      <c r="K152" s="251">
        <v>1</v>
      </c>
      <c r="L152" s="251">
        <v>1</v>
      </c>
      <c r="M152" s="379">
        <v>1</v>
      </c>
      <c r="N152" s="379">
        <v>1</v>
      </c>
      <c r="O152" s="32"/>
    </row>
    <row r="153" spans="1:15">
      <c r="B153" s="86" t="s">
        <v>20</v>
      </c>
      <c r="C153" s="78"/>
      <c r="D153" s="52">
        <f>D51</f>
        <v>7.8921000000000005E-2</v>
      </c>
      <c r="E153" s="52">
        <f t="shared" ref="E153:N153" si="52">E51</f>
        <v>7.9619999999999996E-2</v>
      </c>
      <c r="F153" s="52">
        <f t="shared" si="52"/>
        <v>7.8747999999999999E-2</v>
      </c>
      <c r="G153" s="52">
        <f t="shared" si="52"/>
        <v>8.0235000000000001E-2</v>
      </c>
      <c r="H153" s="52">
        <f t="shared" si="52"/>
        <v>8.0535999999999996E-2</v>
      </c>
      <c r="I153" s="52">
        <f t="shared" si="52"/>
        <v>8.1698151927344531E-2</v>
      </c>
      <c r="J153" s="52">
        <f t="shared" si="52"/>
        <v>8.0833713568703974E-2</v>
      </c>
      <c r="K153" s="52">
        <f t="shared" si="52"/>
        <v>7.9451999999999995E-2</v>
      </c>
      <c r="L153" s="52">
        <f t="shared" si="52"/>
        <v>7.6724662968274293E-2</v>
      </c>
      <c r="M153" s="382">
        <f t="shared" ref="M153" si="53">M51</f>
        <v>7.9127103690396022E-2</v>
      </c>
      <c r="N153" s="382">
        <f t="shared" si="52"/>
        <v>7.9127103690396022E-2</v>
      </c>
      <c r="O153" s="32"/>
    </row>
    <row r="154" spans="1:15">
      <c r="B154" s="83" t="s">
        <v>22</v>
      </c>
      <c r="C154" s="84"/>
      <c r="D154" s="39">
        <v>31837</v>
      </c>
      <c r="E154" s="39">
        <v>28557</v>
      </c>
      <c r="F154" s="39">
        <v>26084</v>
      </c>
      <c r="G154" s="39">
        <v>29478</v>
      </c>
      <c r="H154" s="39">
        <v>24062</v>
      </c>
      <c r="I154" s="302">
        <v>29087</v>
      </c>
      <c r="J154" s="302">
        <v>25507</v>
      </c>
      <c r="K154" s="39">
        <v>26729</v>
      </c>
      <c r="L154" s="302">
        <f>L151*L153</f>
        <v>11174.793712003215</v>
      </c>
      <c r="M154" s="302">
        <f>M151*M153</f>
        <v>37768.157862462926</v>
      </c>
      <c r="N154" s="302">
        <f>N151*N153</f>
        <v>36791.175513197602</v>
      </c>
      <c r="O154" s="32"/>
    </row>
    <row r="155" spans="1:15">
      <c r="B155" s="24"/>
      <c r="C155" s="32"/>
      <c r="D155" s="38"/>
      <c r="E155" s="38"/>
      <c r="F155" s="38"/>
      <c r="G155" s="25"/>
      <c r="H155" s="25"/>
      <c r="I155" s="25"/>
      <c r="J155" s="25"/>
      <c r="K155" s="25"/>
      <c r="L155" s="25"/>
      <c r="M155" s="25"/>
      <c r="N155" s="25"/>
      <c r="O155" s="32"/>
    </row>
    <row r="156" spans="1:15" ht="18.5">
      <c r="A156" s="46" t="s">
        <v>52</v>
      </c>
      <c r="C156" s="32"/>
      <c r="D156" s="2">
        <f>'Facility Detail'!$B$1897</f>
        <v>2011</v>
      </c>
      <c r="E156" s="2">
        <f>D156+1</f>
        <v>2012</v>
      </c>
      <c r="F156" s="2">
        <f>E156+1</f>
        <v>2013</v>
      </c>
      <c r="G156" s="2">
        <f>G150</f>
        <v>2014</v>
      </c>
      <c r="H156" s="2">
        <f>H150</f>
        <v>2015</v>
      </c>
      <c r="I156" s="2">
        <f>I150</f>
        <v>2016</v>
      </c>
      <c r="J156" s="2">
        <f>J150</f>
        <v>2017</v>
      </c>
      <c r="K156" s="2">
        <f>K150</f>
        <v>2018</v>
      </c>
      <c r="L156" s="2">
        <f t="shared" ref="L156:N156" si="54">L150</f>
        <v>2019</v>
      </c>
      <c r="M156" s="2">
        <f t="shared" si="54"/>
        <v>2020</v>
      </c>
      <c r="N156" s="2">
        <f t="shared" si="54"/>
        <v>2021</v>
      </c>
      <c r="O156" s="32"/>
    </row>
    <row r="157" spans="1:15">
      <c r="B157" s="86" t="s">
        <v>10</v>
      </c>
      <c r="C157" s="78"/>
      <c r="D157" s="55">
        <f>IF( $E4 = "Eligible", D154 * 'Facility Detail'!$B$1894, 0 )</f>
        <v>0</v>
      </c>
      <c r="E157" s="11">
        <f>IF( $E4 = "Eligible", E154 * 'Facility Detail'!$B$1894, 0 )</f>
        <v>0</v>
      </c>
      <c r="F157" s="11">
        <f>IF( $E4 = "Eligible", F154 * 'Facility Detail'!$B$1894, 0 )</f>
        <v>0</v>
      </c>
      <c r="G157" s="11">
        <f>IF( $E4 = "Eligible", G154 * 'Facility Detail'!$B$1894, 0 )</f>
        <v>0</v>
      </c>
      <c r="H157" s="11">
        <f>IF( $E4 = "Eligible", H154 * 'Facility Detail'!$B$1894, 0 )</f>
        <v>0</v>
      </c>
      <c r="I157" s="11">
        <f>IF( $E4 = "Eligible", I154 * 'Facility Detail'!$B$1894, 0 )</f>
        <v>0</v>
      </c>
      <c r="J157" s="11">
        <f>IF( $E4 = "Eligible", J154 * 'Facility Detail'!$B$1894, 0 )</f>
        <v>0</v>
      </c>
      <c r="K157" s="11">
        <f>IF( $E4 = "Eligible", K154 * 'Facility Detail'!$B$1894, 0 )</f>
        <v>0</v>
      </c>
      <c r="L157" s="11">
        <f>IF( $E4 = "Eligible", L154 * 'Facility Detail'!$B$1894, 0 )</f>
        <v>0</v>
      </c>
      <c r="M157" s="12">
        <f>IF( $E4 = "Eligible", M154 * 'Facility Detail'!$B$1894, 0 )</f>
        <v>0</v>
      </c>
      <c r="N157" s="12">
        <f>IF( $E4 = "Eligible", N154 * 'Facility Detail'!$B$1894, 0 )</f>
        <v>0</v>
      </c>
      <c r="O157" s="32"/>
    </row>
    <row r="158" spans="1:15">
      <c r="B158" s="86" t="s">
        <v>6</v>
      </c>
      <c r="C158" s="78"/>
      <c r="D158" s="56">
        <f t="shared" ref="D158:N158" si="55">IF( $F4 = "Eligible", D154, 0 )</f>
        <v>0</v>
      </c>
      <c r="E158" s="57">
        <f t="shared" si="55"/>
        <v>0</v>
      </c>
      <c r="F158" s="57">
        <f t="shared" si="55"/>
        <v>0</v>
      </c>
      <c r="G158" s="57">
        <f t="shared" si="55"/>
        <v>0</v>
      </c>
      <c r="H158" s="57">
        <f t="shared" si="55"/>
        <v>0</v>
      </c>
      <c r="I158" s="57">
        <f t="shared" si="55"/>
        <v>0</v>
      </c>
      <c r="J158" s="57">
        <f t="shared" si="55"/>
        <v>0</v>
      </c>
      <c r="K158" s="57">
        <f t="shared" si="55"/>
        <v>0</v>
      </c>
      <c r="L158" s="57">
        <f t="shared" si="55"/>
        <v>0</v>
      </c>
      <c r="M158" s="58">
        <f t="shared" ref="M158" si="56">IF( $F4 = "Eligible", M154, 0 )</f>
        <v>0</v>
      </c>
      <c r="N158" s="58">
        <f t="shared" si="55"/>
        <v>0</v>
      </c>
      <c r="O158" s="32"/>
    </row>
    <row r="159" spans="1:15">
      <c r="B159" s="85" t="s">
        <v>54</v>
      </c>
      <c r="C159" s="84"/>
      <c r="D159" s="41">
        <f t="shared" ref="D159:I159" si="57">SUM(D157:D158)</f>
        <v>0</v>
      </c>
      <c r="E159" s="42">
        <f t="shared" si="57"/>
        <v>0</v>
      </c>
      <c r="F159" s="42">
        <f t="shared" si="57"/>
        <v>0</v>
      </c>
      <c r="G159" s="42">
        <f t="shared" si="57"/>
        <v>0</v>
      </c>
      <c r="H159" s="42">
        <f t="shared" si="57"/>
        <v>0</v>
      </c>
      <c r="I159" s="42">
        <f t="shared" si="57"/>
        <v>0</v>
      </c>
      <c r="J159" s="42">
        <f t="shared" ref="J159" si="58">SUM(J157:J158)</f>
        <v>0</v>
      </c>
      <c r="K159" s="42">
        <f t="shared" ref="K159:L159" si="59">SUM(K157:K158)</f>
        <v>0</v>
      </c>
      <c r="L159" s="42">
        <f t="shared" si="59"/>
        <v>0</v>
      </c>
      <c r="M159" s="42">
        <f t="shared" ref="M159:N159" si="60">SUM(M157:M158)</f>
        <v>0</v>
      </c>
      <c r="N159" s="42">
        <f t="shared" si="60"/>
        <v>0</v>
      </c>
      <c r="O159" s="32"/>
    </row>
    <row r="160" spans="1:15">
      <c r="B160" s="32"/>
      <c r="C160" s="32"/>
      <c r="D160" s="40"/>
      <c r="E160" s="33"/>
      <c r="F160" s="33"/>
      <c r="G160" s="25"/>
      <c r="H160" s="25"/>
      <c r="I160" s="25"/>
      <c r="J160" s="25"/>
      <c r="K160" s="25"/>
      <c r="L160" s="25"/>
      <c r="M160" s="25"/>
      <c r="N160" s="25"/>
      <c r="O160" s="32"/>
    </row>
    <row r="161" spans="1:15" ht="18.5">
      <c r="A161" s="43" t="s">
        <v>30</v>
      </c>
      <c r="C161" s="32"/>
      <c r="D161" s="2">
        <f>'Facility Detail'!$B$1897</f>
        <v>2011</v>
      </c>
      <c r="E161" s="2">
        <f>D161+1</f>
        <v>2012</v>
      </c>
      <c r="F161" s="2">
        <f>E161+1</f>
        <v>2013</v>
      </c>
      <c r="G161" s="2">
        <f>G150</f>
        <v>2014</v>
      </c>
      <c r="H161" s="2">
        <f>H150</f>
        <v>2015</v>
      </c>
      <c r="I161" s="2">
        <f>I150</f>
        <v>2016</v>
      </c>
      <c r="J161" s="2">
        <f>J150</f>
        <v>2017</v>
      </c>
      <c r="K161" s="2">
        <f>K150</f>
        <v>2018</v>
      </c>
      <c r="L161" s="2">
        <f t="shared" ref="L161:N161" si="61">L150</f>
        <v>2019</v>
      </c>
      <c r="M161" s="2">
        <f t="shared" ref="M161" si="62">M150</f>
        <v>2020</v>
      </c>
      <c r="N161" s="2">
        <f t="shared" si="61"/>
        <v>2021</v>
      </c>
      <c r="O161" s="32"/>
    </row>
    <row r="162" spans="1:15">
      <c r="B162" s="86" t="s">
        <v>32</v>
      </c>
      <c r="C162" s="78"/>
      <c r="D162" s="90"/>
      <c r="E162" s="91"/>
      <c r="F162" s="91"/>
      <c r="G162" s="91"/>
      <c r="H162" s="91"/>
      <c r="I162" s="91"/>
      <c r="J162" s="91"/>
      <c r="K162" s="91"/>
      <c r="L162" s="91"/>
      <c r="M162" s="92"/>
      <c r="N162" s="92"/>
      <c r="O162" s="32"/>
    </row>
    <row r="163" spans="1:15">
      <c r="B163" s="87" t="s">
        <v>23</v>
      </c>
      <c r="C163" s="192"/>
      <c r="D163" s="93"/>
      <c r="E163" s="94"/>
      <c r="F163" s="94"/>
      <c r="G163" s="94"/>
      <c r="H163" s="94"/>
      <c r="I163" s="94"/>
      <c r="J163" s="94"/>
      <c r="K163" s="94"/>
      <c r="L163" s="94"/>
      <c r="M163" s="95"/>
      <c r="N163" s="95"/>
      <c r="O163" s="32"/>
    </row>
    <row r="164" spans="1:15">
      <c r="B164" s="96" t="s">
        <v>38</v>
      </c>
      <c r="C164" s="190"/>
      <c r="D164" s="63"/>
      <c r="E164" s="64"/>
      <c r="F164" s="64"/>
      <c r="G164" s="64"/>
      <c r="H164" s="64"/>
      <c r="I164" s="64"/>
      <c r="J164" s="64"/>
      <c r="K164" s="64"/>
      <c r="L164" s="64"/>
      <c r="M164" s="65"/>
      <c r="N164" s="65"/>
      <c r="O164" s="32"/>
    </row>
    <row r="165" spans="1:15">
      <c r="B165" s="35" t="s">
        <v>39</v>
      </c>
      <c r="D165" s="7">
        <f t="shared" ref="D165:J165" si="63">SUM(D162:D164)</f>
        <v>0</v>
      </c>
      <c r="E165" s="7">
        <f t="shared" si="63"/>
        <v>0</v>
      </c>
      <c r="F165" s="7">
        <f t="shared" si="63"/>
        <v>0</v>
      </c>
      <c r="G165" s="7">
        <f t="shared" si="63"/>
        <v>0</v>
      </c>
      <c r="H165" s="7">
        <f t="shared" si="63"/>
        <v>0</v>
      </c>
      <c r="I165" s="7">
        <f t="shared" si="63"/>
        <v>0</v>
      </c>
      <c r="J165" s="7">
        <f t="shared" si="63"/>
        <v>0</v>
      </c>
      <c r="K165" s="7">
        <f t="shared" ref="K165:L165" si="64">SUM(K162:K164)</f>
        <v>0</v>
      </c>
      <c r="L165" s="7">
        <f t="shared" si="64"/>
        <v>0</v>
      </c>
      <c r="M165" s="7">
        <f t="shared" ref="M165:N165" si="65">SUM(M162:M164)</f>
        <v>0</v>
      </c>
      <c r="N165" s="7">
        <f t="shared" si="65"/>
        <v>0</v>
      </c>
      <c r="O165" s="32"/>
    </row>
    <row r="166" spans="1:15">
      <c r="B166" s="6"/>
      <c r="D166" s="7"/>
      <c r="E166" s="7"/>
      <c r="F166" s="7"/>
      <c r="G166" s="30"/>
      <c r="H166" s="30"/>
      <c r="I166" s="30"/>
      <c r="J166" s="30"/>
      <c r="K166" s="30"/>
      <c r="L166" s="30"/>
      <c r="M166" s="30"/>
      <c r="N166" s="30"/>
      <c r="O166" s="32"/>
    </row>
    <row r="167" spans="1:15" ht="18.5">
      <c r="A167" s="9" t="s">
        <v>40</v>
      </c>
      <c r="D167" s="181">
        <f>'Facility Detail'!$B$1897</f>
        <v>2011</v>
      </c>
      <c r="E167" s="181">
        <f t="shared" ref="E167:K167" si="66">D167+1</f>
        <v>2012</v>
      </c>
      <c r="F167" s="181">
        <f t="shared" si="66"/>
        <v>2013</v>
      </c>
      <c r="G167" s="181">
        <f t="shared" si="66"/>
        <v>2014</v>
      </c>
      <c r="H167" s="181">
        <f t="shared" si="66"/>
        <v>2015</v>
      </c>
      <c r="I167" s="181">
        <f t="shared" si="66"/>
        <v>2016</v>
      </c>
      <c r="J167" s="181">
        <f t="shared" si="66"/>
        <v>2017</v>
      </c>
      <c r="K167" s="181">
        <f t="shared" si="66"/>
        <v>2018</v>
      </c>
      <c r="L167" s="181">
        <f t="shared" ref="L167" si="67">K167+1</f>
        <v>2019</v>
      </c>
      <c r="M167" s="181">
        <f t="shared" ref="M167" si="68">L167+1</f>
        <v>2020</v>
      </c>
      <c r="N167" s="181">
        <f t="shared" ref="N167" si="69">M167+1</f>
        <v>2021</v>
      </c>
      <c r="O167" s="32"/>
    </row>
    <row r="168" spans="1:15">
      <c r="B168" s="86" t="s">
        <v>34</v>
      </c>
      <c r="C168" s="78"/>
      <c r="D168" s="3">
        <v>31837</v>
      </c>
      <c r="E168" s="66">
        <f>D168</f>
        <v>31837</v>
      </c>
      <c r="F168" s="138"/>
      <c r="G168" s="138"/>
      <c r="H168" s="138"/>
      <c r="I168" s="138"/>
      <c r="J168" s="138"/>
      <c r="K168" s="138"/>
      <c r="L168" s="138"/>
      <c r="M168" s="67"/>
      <c r="N168" s="67"/>
      <c r="O168" s="32"/>
    </row>
    <row r="169" spans="1:15">
      <c r="B169" s="86" t="s">
        <v>35</v>
      </c>
      <c r="C169" s="78"/>
      <c r="D169" s="174">
        <f>E169</f>
        <v>0</v>
      </c>
      <c r="E169" s="10"/>
      <c r="F169" s="81"/>
      <c r="G169" s="81"/>
      <c r="H169" s="81"/>
      <c r="I169" s="81"/>
      <c r="J169" s="81"/>
      <c r="K169" s="81"/>
      <c r="L169" s="81"/>
      <c r="M169" s="175"/>
      <c r="N169" s="175"/>
      <c r="O169" s="32"/>
    </row>
    <row r="170" spans="1:15">
      <c r="B170" s="86" t="s">
        <v>36</v>
      </c>
      <c r="C170" s="78"/>
      <c r="D170" s="68"/>
      <c r="E170" s="10">
        <f>E154</f>
        <v>28557</v>
      </c>
      <c r="F170" s="77">
        <f>E170</f>
        <v>28557</v>
      </c>
      <c r="G170" s="81"/>
      <c r="H170" s="81"/>
      <c r="I170" s="81"/>
      <c r="J170" s="81"/>
      <c r="K170" s="81"/>
      <c r="L170" s="81"/>
      <c r="M170" s="175"/>
      <c r="N170" s="175"/>
      <c r="O170" s="32"/>
    </row>
    <row r="171" spans="1:15">
      <c r="B171" s="86" t="s">
        <v>37</v>
      </c>
      <c r="C171" s="78"/>
      <c r="D171" s="68"/>
      <c r="E171" s="77">
        <f>F171</f>
        <v>0</v>
      </c>
      <c r="F171" s="173"/>
      <c r="G171" s="81"/>
      <c r="H171" s="81"/>
      <c r="I171" s="81"/>
      <c r="J171" s="81"/>
      <c r="K171" s="81"/>
      <c r="L171" s="81"/>
      <c r="M171" s="175"/>
      <c r="N171" s="175"/>
      <c r="O171" s="32"/>
    </row>
    <row r="172" spans="1:15">
      <c r="B172" s="86" t="s">
        <v>122</v>
      </c>
      <c r="C172" s="78"/>
      <c r="D172" s="68"/>
      <c r="E172" s="157"/>
      <c r="F172" s="10">
        <f>F154</f>
        <v>26084</v>
      </c>
      <c r="G172" s="158">
        <f>F172</f>
        <v>26084</v>
      </c>
      <c r="H172" s="81"/>
      <c r="I172" s="81"/>
      <c r="J172" s="81"/>
      <c r="K172" s="81"/>
      <c r="L172" s="81"/>
      <c r="M172" s="175"/>
      <c r="N172" s="175"/>
      <c r="O172" s="32"/>
    </row>
    <row r="173" spans="1:15">
      <c r="B173" s="86" t="s">
        <v>123</v>
      </c>
      <c r="C173" s="78"/>
      <c r="D173" s="68"/>
      <c r="E173" s="157"/>
      <c r="F173" s="77">
        <f>G173</f>
        <v>0</v>
      </c>
      <c r="G173" s="10"/>
      <c r="H173" s="81"/>
      <c r="I173" s="81"/>
      <c r="J173" s="81" t="s">
        <v>121</v>
      </c>
      <c r="K173" s="81" t="s">
        <v>121</v>
      </c>
      <c r="L173" s="81"/>
      <c r="M173" s="175"/>
      <c r="N173" s="175"/>
      <c r="O173" s="32"/>
    </row>
    <row r="174" spans="1:15">
      <c r="B174" s="86" t="s">
        <v>124</v>
      </c>
      <c r="C174" s="78"/>
      <c r="D174" s="68"/>
      <c r="E174" s="157"/>
      <c r="F174" s="157"/>
      <c r="G174" s="10">
        <f>G154</f>
        <v>29478</v>
      </c>
      <c r="H174" s="158">
        <f>G174</f>
        <v>29478</v>
      </c>
      <c r="I174" s="157"/>
      <c r="J174" s="81"/>
      <c r="K174" s="81"/>
      <c r="L174" s="81"/>
      <c r="M174" s="161"/>
      <c r="N174" s="161"/>
      <c r="O174" s="32"/>
    </row>
    <row r="175" spans="1:15">
      <c r="B175" s="86" t="s">
        <v>125</v>
      </c>
      <c r="C175" s="78"/>
      <c r="D175" s="68"/>
      <c r="E175" s="157"/>
      <c r="F175" s="157"/>
      <c r="G175" s="77"/>
      <c r="H175" s="10"/>
      <c r="I175" s="157"/>
      <c r="J175" s="81"/>
      <c r="K175" s="81"/>
      <c r="L175" s="81"/>
      <c r="M175" s="161"/>
      <c r="N175" s="161"/>
      <c r="O175" s="32"/>
    </row>
    <row r="176" spans="1:15">
      <c r="B176" s="86" t="s">
        <v>126</v>
      </c>
      <c r="C176" s="78"/>
      <c r="D176" s="68"/>
      <c r="E176" s="157"/>
      <c r="F176" s="157"/>
      <c r="G176" s="157"/>
      <c r="H176" s="10">
        <f>H154</f>
        <v>24062</v>
      </c>
      <c r="I176" s="158">
        <f>H176</f>
        <v>24062</v>
      </c>
      <c r="J176" s="81"/>
      <c r="K176" s="81"/>
      <c r="L176" s="81"/>
      <c r="M176" s="161"/>
      <c r="N176" s="161"/>
      <c r="O176" s="32"/>
    </row>
    <row r="177" spans="2:15">
      <c r="B177" s="86" t="s">
        <v>127</v>
      </c>
      <c r="C177" s="78"/>
      <c r="D177" s="68"/>
      <c r="E177" s="157"/>
      <c r="F177" s="157"/>
      <c r="G177" s="157"/>
      <c r="H177" s="77"/>
      <c r="I177" s="10"/>
      <c r="J177" s="81"/>
      <c r="K177" s="81"/>
      <c r="L177" s="81"/>
      <c r="M177" s="161"/>
      <c r="N177" s="161"/>
      <c r="O177" s="32"/>
    </row>
    <row r="178" spans="2:15">
      <c r="B178" s="86" t="s">
        <v>128</v>
      </c>
      <c r="C178" s="78"/>
      <c r="D178" s="68"/>
      <c r="E178" s="157"/>
      <c r="F178" s="157"/>
      <c r="G178" s="157"/>
      <c r="H178" s="157"/>
      <c r="I178" s="247"/>
      <c r="J178" s="159">
        <f>I178</f>
        <v>0</v>
      </c>
      <c r="K178" s="81"/>
      <c r="L178" s="81"/>
      <c r="M178" s="161"/>
      <c r="N178" s="161"/>
      <c r="O178" s="32"/>
    </row>
    <row r="179" spans="2:15">
      <c r="B179" s="86" t="s">
        <v>119</v>
      </c>
      <c r="C179" s="32"/>
      <c r="D179" s="68"/>
      <c r="E179" s="157"/>
      <c r="F179" s="157"/>
      <c r="G179" s="157"/>
      <c r="H179" s="157"/>
      <c r="I179" s="248">
        <v>0</v>
      </c>
      <c r="J179" s="160"/>
      <c r="K179" s="81"/>
      <c r="L179" s="81"/>
      <c r="M179" s="161"/>
      <c r="N179" s="161"/>
      <c r="O179" s="32"/>
    </row>
    <row r="180" spans="2:15">
      <c r="B180" s="86" t="s">
        <v>120</v>
      </c>
      <c r="C180" s="32"/>
      <c r="D180" s="68"/>
      <c r="E180" s="157"/>
      <c r="F180" s="157"/>
      <c r="G180" s="157"/>
      <c r="H180" s="157"/>
      <c r="I180" s="157"/>
      <c r="J180" s="160"/>
      <c r="K180" s="159">
        <f>J180</f>
        <v>0</v>
      </c>
      <c r="L180" s="81"/>
      <c r="M180" s="161"/>
      <c r="N180" s="161"/>
      <c r="O180" s="32"/>
    </row>
    <row r="181" spans="2:15">
      <c r="B181" s="86" t="s">
        <v>152</v>
      </c>
      <c r="C181" s="32"/>
      <c r="D181" s="68"/>
      <c r="E181" s="157"/>
      <c r="F181" s="157"/>
      <c r="G181" s="157"/>
      <c r="H181" s="157"/>
      <c r="I181" s="157"/>
      <c r="J181" s="305"/>
      <c r="K181" s="160"/>
      <c r="L181" s="81"/>
      <c r="M181" s="161"/>
      <c r="N181" s="161"/>
      <c r="O181" s="32"/>
    </row>
    <row r="182" spans="2:15">
      <c r="B182" s="86" t="s">
        <v>153</v>
      </c>
      <c r="C182" s="32"/>
      <c r="D182" s="68"/>
      <c r="E182" s="157"/>
      <c r="F182" s="157"/>
      <c r="G182" s="157"/>
      <c r="H182" s="157"/>
      <c r="I182" s="157"/>
      <c r="J182" s="157"/>
      <c r="K182" s="160"/>
      <c r="L182" s="159">
        <f>K182</f>
        <v>0</v>
      </c>
      <c r="M182" s="161"/>
      <c r="N182" s="161"/>
      <c r="O182" s="32"/>
    </row>
    <row r="183" spans="2:15">
      <c r="B183" s="86" t="s">
        <v>154</v>
      </c>
      <c r="C183" s="32"/>
      <c r="D183" s="68"/>
      <c r="E183" s="157"/>
      <c r="F183" s="157"/>
      <c r="G183" s="157"/>
      <c r="H183" s="157"/>
      <c r="I183" s="157"/>
      <c r="J183" s="157"/>
      <c r="K183" s="305"/>
      <c r="L183" s="160"/>
      <c r="M183" s="161"/>
      <c r="N183" s="161"/>
      <c r="O183" s="32"/>
    </row>
    <row r="184" spans="2:15">
      <c r="B184" s="86" t="s">
        <v>155</v>
      </c>
      <c r="C184" s="32"/>
      <c r="D184" s="157"/>
      <c r="E184" s="157"/>
      <c r="F184" s="157"/>
      <c r="G184" s="157"/>
      <c r="H184" s="157"/>
      <c r="I184" s="157"/>
      <c r="J184" s="157"/>
      <c r="K184" s="157"/>
      <c r="L184" s="160"/>
      <c r="M184" s="159">
        <f>L184</f>
        <v>0</v>
      </c>
      <c r="N184" s="157"/>
      <c r="O184" s="32"/>
    </row>
    <row r="185" spans="2:15">
      <c r="B185" s="86" t="s">
        <v>156</v>
      </c>
      <c r="C185" s="32"/>
      <c r="D185" s="157"/>
      <c r="E185" s="157"/>
      <c r="F185" s="157"/>
      <c r="G185" s="157"/>
      <c r="H185" s="157"/>
      <c r="I185" s="157"/>
      <c r="J185" s="157"/>
      <c r="K185" s="157"/>
      <c r="L185" s="305"/>
      <c r="M185" s="160"/>
      <c r="N185" s="157"/>
      <c r="O185" s="32"/>
    </row>
    <row r="186" spans="2:15">
      <c r="B186" s="86" t="s">
        <v>157</v>
      </c>
      <c r="C186" s="32"/>
      <c r="D186" s="157"/>
      <c r="E186" s="157"/>
      <c r="F186" s="157"/>
      <c r="G186" s="157"/>
      <c r="H186" s="157"/>
      <c r="I186" s="157"/>
      <c r="J186" s="157"/>
      <c r="K186" s="157"/>
      <c r="L186" s="157"/>
      <c r="M186" s="160"/>
      <c r="N186" s="159">
        <f>M186</f>
        <v>0</v>
      </c>
      <c r="O186" s="32"/>
    </row>
    <row r="187" spans="2:15">
      <c r="B187" s="86" t="s">
        <v>173</v>
      </c>
      <c r="C187" s="32"/>
      <c r="D187" s="157"/>
      <c r="E187" s="157"/>
      <c r="F187" s="157"/>
      <c r="G187" s="157"/>
      <c r="H187" s="157"/>
      <c r="I187" s="157"/>
      <c r="J187" s="157"/>
      <c r="K187" s="157"/>
      <c r="L187" s="157"/>
      <c r="M187" s="159">
        <f>N187</f>
        <v>10000</v>
      </c>
      <c r="N187" s="160">
        <v>10000</v>
      </c>
      <c r="O187" s="32"/>
    </row>
    <row r="188" spans="2:15">
      <c r="B188" s="86" t="s">
        <v>174</v>
      </c>
      <c r="C188" s="32"/>
      <c r="D188" s="157"/>
      <c r="E188" s="157"/>
      <c r="F188" s="157"/>
      <c r="G188" s="157"/>
      <c r="H188" s="157"/>
      <c r="I188" s="157"/>
      <c r="J188" s="157"/>
      <c r="K188" s="157"/>
      <c r="L188" s="157"/>
      <c r="M188" s="157"/>
      <c r="N188" s="160"/>
      <c r="O188" s="32"/>
    </row>
    <row r="189" spans="2:15">
      <c r="B189" s="86"/>
      <c r="C189" s="32"/>
      <c r="D189" s="140"/>
      <c r="E189" s="140"/>
      <c r="F189" s="140"/>
      <c r="G189" s="140"/>
      <c r="H189" s="140"/>
      <c r="I189" s="140"/>
      <c r="J189" s="140"/>
      <c r="K189" s="140"/>
      <c r="L189" s="140"/>
      <c r="M189" s="140"/>
      <c r="N189" s="305"/>
      <c r="O189" s="32"/>
    </row>
    <row r="190" spans="2:15">
      <c r="B190" s="35" t="s">
        <v>17</v>
      </c>
      <c r="D190" s="198">
        <f xml:space="preserve"> D169 - D168</f>
        <v>-31837</v>
      </c>
      <c r="E190" s="198">
        <f xml:space="preserve"> E168 + E171 - E170 - E169</f>
        <v>3280</v>
      </c>
      <c r="F190" s="198">
        <f>F170 - F171 - F172</f>
        <v>2473</v>
      </c>
      <c r="G190" s="198">
        <f>G172-G173-G174</f>
        <v>-3394</v>
      </c>
      <c r="H190" s="198">
        <f>H174-H175-H176</f>
        <v>5416</v>
      </c>
      <c r="I190" s="198">
        <f>I176-I177-I178</f>
        <v>24062</v>
      </c>
      <c r="J190" s="198">
        <f>J178-J179-J180</f>
        <v>0</v>
      </c>
      <c r="K190" s="198">
        <f>K180-K181-K182</f>
        <v>0</v>
      </c>
      <c r="L190" s="198">
        <f>L182-L183-L184</f>
        <v>0</v>
      </c>
      <c r="M190" s="198">
        <f>M187</f>
        <v>10000</v>
      </c>
      <c r="N190" s="198">
        <f>N187*-1</f>
        <v>-10000</v>
      </c>
      <c r="O190" s="32"/>
    </row>
    <row r="191" spans="2:15">
      <c r="B191" s="6"/>
      <c r="D191" s="7"/>
      <c r="E191" s="7"/>
      <c r="F191" s="7"/>
      <c r="G191" s="7"/>
      <c r="H191" s="7"/>
      <c r="I191" s="7"/>
      <c r="J191" s="7"/>
      <c r="K191" s="7"/>
      <c r="L191" s="7"/>
      <c r="M191" s="7"/>
      <c r="N191" s="7"/>
      <c r="O191" s="32"/>
    </row>
    <row r="192" spans="2:15">
      <c r="B192" s="83" t="s">
        <v>12</v>
      </c>
      <c r="C192" s="78"/>
      <c r="D192" s="101"/>
      <c r="E192" s="102"/>
      <c r="F192" s="102"/>
      <c r="G192" s="102"/>
      <c r="H192" s="169"/>
      <c r="I192" s="102"/>
      <c r="J192" s="102"/>
      <c r="K192" s="102"/>
      <c r="L192" s="102"/>
      <c r="M192" s="103"/>
      <c r="N192" s="103"/>
      <c r="O192" s="32"/>
    </row>
    <row r="193" spans="1:15">
      <c r="B193" s="6"/>
      <c r="D193" s="7"/>
      <c r="E193" s="7"/>
      <c r="F193" s="7"/>
      <c r="G193" s="7"/>
      <c r="H193" s="7"/>
      <c r="I193" s="7"/>
      <c r="J193" s="7"/>
      <c r="K193" s="7"/>
      <c r="L193" s="7"/>
      <c r="M193" s="7"/>
      <c r="N193" s="7"/>
      <c r="O193" s="32"/>
    </row>
    <row r="194" spans="1:15" ht="18.5">
      <c r="A194" s="43" t="s">
        <v>26</v>
      </c>
      <c r="C194" s="78"/>
      <c r="D194" s="47">
        <f t="shared" ref="D194:J194" si="70" xml:space="preserve"> D154 + D159 - D165 + D190 + D192</f>
        <v>0</v>
      </c>
      <c r="E194" s="48">
        <f t="shared" si="70"/>
        <v>31837</v>
      </c>
      <c r="F194" s="48">
        <f t="shared" si="70"/>
        <v>28557</v>
      </c>
      <c r="G194" s="48">
        <f t="shared" si="70"/>
        <v>26084</v>
      </c>
      <c r="H194" s="168">
        <f t="shared" si="70"/>
        <v>29478</v>
      </c>
      <c r="I194" s="171">
        <f t="shared" si="70"/>
        <v>53149</v>
      </c>
      <c r="J194" s="171">
        <f t="shared" si="70"/>
        <v>25507</v>
      </c>
      <c r="K194" s="171">
        <f t="shared" ref="K194:L194" si="71" xml:space="preserve"> K154 + K159 - K165 + K190 + K192</f>
        <v>26729</v>
      </c>
      <c r="L194" s="171">
        <f t="shared" si="71"/>
        <v>11174.793712003215</v>
      </c>
      <c r="M194" s="49">
        <f t="shared" ref="M194:N194" si="72" xml:space="preserve"> M154 + M159 - M165 + M190 + M192</f>
        <v>47768.157862462926</v>
      </c>
      <c r="N194" s="49">
        <f t="shared" si="72"/>
        <v>26791.175513197602</v>
      </c>
      <c r="O194" s="32"/>
    </row>
    <row r="195" spans="1:15">
      <c r="B195" s="6"/>
      <c r="D195" s="7"/>
      <c r="E195" s="7"/>
      <c r="F195" s="7"/>
      <c r="G195" s="30"/>
      <c r="H195" s="30"/>
      <c r="I195" s="30"/>
      <c r="J195" s="30"/>
      <c r="K195" s="30"/>
      <c r="L195" s="30"/>
      <c r="M195" s="30"/>
      <c r="N195" s="30"/>
      <c r="O195" s="32"/>
    </row>
    <row r="196" spans="1:15" ht="15" thickBot="1">
      <c r="O196" s="32"/>
    </row>
    <row r="197" spans="1:15">
      <c r="A197" s="8"/>
      <c r="B197" s="8"/>
      <c r="C197" s="8"/>
      <c r="D197" s="8"/>
      <c r="E197" s="8"/>
      <c r="F197" s="8"/>
      <c r="G197" s="8"/>
      <c r="H197" s="8"/>
      <c r="I197" s="8"/>
      <c r="J197" s="8"/>
      <c r="K197" s="8"/>
      <c r="L197" s="8"/>
      <c r="M197" s="8"/>
      <c r="N197" s="8"/>
      <c r="O197" s="32"/>
    </row>
    <row r="198" spans="1:15">
      <c r="B198" s="32"/>
      <c r="C198" s="32"/>
      <c r="D198" s="32"/>
      <c r="E198" s="32"/>
      <c r="F198" s="32"/>
      <c r="G198" s="32"/>
      <c r="H198" s="32"/>
      <c r="I198" s="32"/>
      <c r="J198" s="32"/>
      <c r="K198" s="32"/>
      <c r="L198" s="32"/>
      <c r="M198" s="32"/>
      <c r="N198" s="32"/>
      <c r="O198" s="32"/>
    </row>
    <row r="199" spans="1:15" ht="21">
      <c r="A199" s="14" t="s">
        <v>4</v>
      </c>
      <c r="B199" s="14"/>
      <c r="C199" s="44" t="str">
        <f>B5</f>
        <v>Marengo II</v>
      </c>
      <c r="D199" s="45"/>
      <c r="E199" s="24"/>
      <c r="F199" s="24"/>
      <c r="O199" s="32"/>
    </row>
    <row r="200" spans="1:15">
      <c r="O200" s="32"/>
    </row>
    <row r="201" spans="1:15" ht="18.5">
      <c r="A201" s="9" t="s">
        <v>21</v>
      </c>
      <c r="B201" s="9"/>
      <c r="D201" s="2">
        <f>'Facility Detail'!$B$1897</f>
        <v>2011</v>
      </c>
      <c r="E201" s="2">
        <f t="shared" ref="E201:K201" si="73">D201+1</f>
        <v>2012</v>
      </c>
      <c r="F201" s="2">
        <f t="shared" si="73"/>
        <v>2013</v>
      </c>
      <c r="G201" s="2">
        <f t="shared" si="73"/>
        <v>2014</v>
      </c>
      <c r="H201" s="2">
        <f t="shared" si="73"/>
        <v>2015</v>
      </c>
      <c r="I201" s="2">
        <f t="shared" si="73"/>
        <v>2016</v>
      </c>
      <c r="J201" s="2">
        <f t="shared" si="73"/>
        <v>2017</v>
      </c>
      <c r="K201" s="2">
        <f t="shared" si="73"/>
        <v>2018</v>
      </c>
      <c r="L201" s="2">
        <f t="shared" ref="L201" si="74">K201+1</f>
        <v>2019</v>
      </c>
      <c r="M201" s="2">
        <f t="shared" ref="M201" si="75">L201+1</f>
        <v>2020</v>
      </c>
      <c r="N201" s="2">
        <f t="shared" ref="N201" si="76">M201+1</f>
        <v>2021</v>
      </c>
      <c r="O201" s="32"/>
    </row>
    <row r="202" spans="1:15">
      <c r="B202" s="86" t="str">
        <f>"Total MWh Produced / Purchased from " &amp; C199</f>
        <v>Total MWh Produced / Purchased from Marengo II</v>
      </c>
      <c r="C202" s="78"/>
      <c r="D202" s="3">
        <v>194378</v>
      </c>
      <c r="E202" s="4">
        <v>177552</v>
      </c>
      <c r="F202" s="4">
        <v>154612</v>
      </c>
      <c r="G202" s="4">
        <v>174766</v>
      </c>
      <c r="H202" s="4">
        <v>137848</v>
      </c>
      <c r="I202" s="91">
        <v>170369</v>
      </c>
      <c r="J202" s="293">
        <v>153361</v>
      </c>
      <c r="K202" s="293">
        <v>164436</v>
      </c>
      <c r="L202" s="293">
        <v>91366</v>
      </c>
      <c r="M202" s="303">
        <v>205812</v>
      </c>
      <c r="N202" s="303">
        <v>222938</v>
      </c>
      <c r="O202" s="32"/>
    </row>
    <row r="203" spans="1:15">
      <c r="B203" s="86" t="s">
        <v>25</v>
      </c>
      <c r="C203" s="78"/>
      <c r="D203" s="60">
        <v>1</v>
      </c>
      <c r="E203" s="61">
        <v>1</v>
      </c>
      <c r="F203" s="61">
        <v>1</v>
      </c>
      <c r="G203" s="61">
        <v>1</v>
      </c>
      <c r="H203" s="61">
        <v>1</v>
      </c>
      <c r="I203" s="251">
        <v>1</v>
      </c>
      <c r="J203" s="251">
        <v>1</v>
      </c>
      <c r="K203" s="251">
        <v>1</v>
      </c>
      <c r="L203" s="251">
        <v>1</v>
      </c>
      <c r="M203" s="379">
        <v>1</v>
      </c>
      <c r="N203" s="379">
        <v>1</v>
      </c>
      <c r="O203" s="32"/>
    </row>
    <row r="204" spans="1:15">
      <c r="B204" s="86" t="s">
        <v>20</v>
      </c>
      <c r="C204" s="78"/>
      <c r="D204" s="52">
        <f>D51</f>
        <v>7.8921000000000005E-2</v>
      </c>
      <c r="E204" s="52">
        <f t="shared" ref="E204:L204" si="77">E51</f>
        <v>7.9619999999999996E-2</v>
      </c>
      <c r="F204" s="52">
        <f t="shared" si="77"/>
        <v>7.8747999999999999E-2</v>
      </c>
      <c r="G204" s="52">
        <f t="shared" si="77"/>
        <v>8.0235000000000001E-2</v>
      </c>
      <c r="H204" s="52">
        <f t="shared" si="77"/>
        <v>8.0535999999999996E-2</v>
      </c>
      <c r="I204" s="52">
        <f t="shared" si="77"/>
        <v>8.1698151927344531E-2</v>
      </c>
      <c r="J204" s="52">
        <f t="shared" si="77"/>
        <v>8.0833713568703974E-2</v>
      </c>
      <c r="K204" s="52">
        <f t="shared" si="77"/>
        <v>7.9451999999999995E-2</v>
      </c>
      <c r="L204" s="52">
        <f t="shared" si="77"/>
        <v>7.6724662968274293E-2</v>
      </c>
      <c r="M204" s="383">
        <f>M51</f>
        <v>7.9127103690396022E-2</v>
      </c>
      <c r="N204" s="383">
        <f>N51</f>
        <v>7.9127103690396022E-2</v>
      </c>
      <c r="O204" s="32"/>
    </row>
    <row r="205" spans="1:15">
      <c r="B205" s="83" t="s">
        <v>22</v>
      </c>
      <c r="C205" s="84"/>
      <c r="D205" s="39">
        <v>15341</v>
      </c>
      <c r="E205" s="39">
        <v>14137</v>
      </c>
      <c r="F205" s="39">
        <v>12175</v>
      </c>
      <c r="G205" s="39">
        <v>14022</v>
      </c>
      <c r="H205" s="39">
        <v>11102</v>
      </c>
      <c r="I205" s="306">
        <v>13918</v>
      </c>
      <c r="J205" s="306">
        <v>12396</v>
      </c>
      <c r="K205" s="306">
        <v>13065</v>
      </c>
      <c r="L205" s="306">
        <f>L202*L204</f>
        <v>7010.0255567593495</v>
      </c>
      <c r="M205" s="306">
        <f>M202*M204</f>
        <v>16285.307464727786</v>
      </c>
      <c r="N205" s="306">
        <f>N202*N204</f>
        <v>17640.438242529508</v>
      </c>
      <c r="O205" s="32"/>
    </row>
    <row r="206" spans="1:15">
      <c r="B206" s="24"/>
      <c r="C206" s="32"/>
      <c r="D206" s="38"/>
      <c r="E206" s="38"/>
      <c r="F206" s="38"/>
      <c r="G206" s="25"/>
      <c r="H206" s="25"/>
      <c r="I206" s="25"/>
      <c r="J206" s="25"/>
      <c r="K206" s="25"/>
      <c r="L206" s="25"/>
      <c r="M206" s="25"/>
      <c r="N206" s="25"/>
      <c r="O206" s="32"/>
    </row>
    <row r="207" spans="1:15" ht="18.5">
      <c r="A207" s="46" t="s">
        <v>52</v>
      </c>
      <c r="C207" s="32"/>
      <c r="D207" s="2">
        <f>'Facility Detail'!$B$1897</f>
        <v>2011</v>
      </c>
      <c r="E207" s="2">
        <f>D207+1</f>
        <v>2012</v>
      </c>
      <c r="F207" s="2">
        <f>E207+1</f>
        <v>2013</v>
      </c>
      <c r="G207" s="2">
        <f t="shared" ref="G207:L207" si="78">G201</f>
        <v>2014</v>
      </c>
      <c r="H207" s="2">
        <f t="shared" si="78"/>
        <v>2015</v>
      </c>
      <c r="I207" s="2">
        <f t="shared" si="78"/>
        <v>2016</v>
      </c>
      <c r="J207" s="2">
        <f t="shared" si="78"/>
        <v>2017</v>
      </c>
      <c r="K207" s="2">
        <f t="shared" si="78"/>
        <v>2018</v>
      </c>
      <c r="L207" s="2">
        <f t="shared" si="78"/>
        <v>2019</v>
      </c>
      <c r="M207" s="2">
        <f t="shared" ref="M207:N207" si="79">M201</f>
        <v>2020</v>
      </c>
      <c r="N207" s="2">
        <f t="shared" si="79"/>
        <v>2021</v>
      </c>
      <c r="O207" s="32"/>
    </row>
    <row r="208" spans="1:15">
      <c r="B208" s="86" t="s">
        <v>10</v>
      </c>
      <c r="C208" s="78"/>
      <c r="D208" s="55">
        <f>IF( $E5 = "Eligible",D205 * 'Facility Detail'!$B$1894, 0 )</f>
        <v>0</v>
      </c>
      <c r="E208" s="11">
        <f>IF( $E5 = "Eligible",E205 * 'Facility Detail'!$B$1894, 0 )</f>
        <v>0</v>
      </c>
      <c r="F208" s="11">
        <f>IF( $E5 = "Eligible",F205 * 'Facility Detail'!$B$1894, 0 )</f>
        <v>0</v>
      </c>
      <c r="G208" s="11">
        <f>IF( $E5 = "Eligible",G205 * 'Facility Detail'!$B$1894, 0 )</f>
        <v>0</v>
      </c>
      <c r="H208" s="11">
        <f>IF( $E5 = "Eligible",H205 * 'Facility Detail'!$B$1894, 0 )</f>
        <v>0</v>
      </c>
      <c r="I208" s="11">
        <f>IF( $E5 = "Eligible",I205 * 'Facility Detail'!$B$1894, 0 )</f>
        <v>0</v>
      </c>
      <c r="J208" s="11">
        <f>IF( $E5 = "Eligible",J205 * 'Facility Detail'!$B$1894, 0 )</f>
        <v>0</v>
      </c>
      <c r="K208" s="11">
        <f>IF( $E5 = "Eligible",K205 * 'Facility Detail'!$B$1894, 0 )</f>
        <v>0</v>
      </c>
      <c r="L208" s="11">
        <f>IF( $E5 = "Eligible",L205 * 'Facility Detail'!$B$1894, 0 )</f>
        <v>0</v>
      </c>
      <c r="M208" s="12">
        <f>IF( $E5 = "Eligible",M205 * 'Facility Detail'!$B$1894, 0 )</f>
        <v>0</v>
      </c>
      <c r="N208" s="12">
        <f>IF( $E5 = "Eligible",N205 * 'Facility Detail'!$B$1894, 0 )</f>
        <v>0</v>
      </c>
      <c r="O208" s="32"/>
    </row>
    <row r="209" spans="1:15">
      <c r="B209" s="86" t="s">
        <v>6</v>
      </c>
      <c r="C209" s="78"/>
      <c r="D209" s="56">
        <f t="shared" ref="D209:N209" si="80">IF( $F5 = "Eligible", D205, 0 )</f>
        <v>0</v>
      </c>
      <c r="E209" s="57">
        <f t="shared" si="80"/>
        <v>0</v>
      </c>
      <c r="F209" s="57">
        <f t="shared" si="80"/>
        <v>0</v>
      </c>
      <c r="G209" s="57">
        <f t="shared" si="80"/>
        <v>0</v>
      </c>
      <c r="H209" s="57">
        <f t="shared" si="80"/>
        <v>0</v>
      </c>
      <c r="I209" s="57">
        <f t="shared" si="80"/>
        <v>0</v>
      </c>
      <c r="J209" s="57">
        <f t="shared" si="80"/>
        <v>0</v>
      </c>
      <c r="K209" s="57">
        <f t="shared" si="80"/>
        <v>0</v>
      </c>
      <c r="L209" s="57">
        <f t="shared" si="80"/>
        <v>0</v>
      </c>
      <c r="M209" s="58">
        <f t="shared" ref="M209" si="81">IF( $F5 = "Eligible", M205, 0 )</f>
        <v>0</v>
      </c>
      <c r="N209" s="58">
        <f t="shared" si="80"/>
        <v>0</v>
      </c>
      <c r="O209" s="32"/>
    </row>
    <row r="210" spans="1:15">
      <c r="B210" s="85" t="s">
        <v>54</v>
      </c>
      <c r="C210" s="84"/>
      <c r="D210" s="41">
        <f t="shared" ref="D210:I210" si="82">SUM(D208:D209)</f>
        <v>0</v>
      </c>
      <c r="E210" s="42">
        <f t="shared" si="82"/>
        <v>0</v>
      </c>
      <c r="F210" s="42">
        <f t="shared" si="82"/>
        <v>0</v>
      </c>
      <c r="G210" s="42">
        <f t="shared" si="82"/>
        <v>0</v>
      </c>
      <c r="H210" s="42">
        <f t="shared" si="82"/>
        <v>0</v>
      </c>
      <c r="I210" s="42">
        <f t="shared" si="82"/>
        <v>0</v>
      </c>
      <c r="J210" s="42">
        <f t="shared" ref="J210:K210" si="83">SUM(J208:J209)</f>
        <v>0</v>
      </c>
      <c r="K210" s="42">
        <f t="shared" si="83"/>
        <v>0</v>
      </c>
      <c r="L210" s="42">
        <f t="shared" ref="L210:N210" si="84">SUM(L208:L209)</f>
        <v>0</v>
      </c>
      <c r="M210" s="42">
        <f t="shared" ref="M210" si="85">SUM(M208:M209)</f>
        <v>0</v>
      </c>
      <c r="N210" s="42">
        <f t="shared" si="84"/>
        <v>0</v>
      </c>
      <c r="O210" s="32"/>
    </row>
    <row r="211" spans="1:15">
      <c r="B211" s="32"/>
      <c r="C211" s="32"/>
      <c r="D211" s="40"/>
      <c r="E211" s="33"/>
      <c r="F211" s="33"/>
      <c r="G211" s="25"/>
      <c r="H211" s="25"/>
      <c r="I211" s="25"/>
      <c r="J211" s="25"/>
      <c r="K211" s="25"/>
      <c r="L211" s="25"/>
      <c r="M211" s="25"/>
      <c r="N211" s="25"/>
      <c r="O211" s="32"/>
    </row>
    <row r="212" spans="1:15" ht="18.5">
      <c r="A212" s="43" t="s">
        <v>30</v>
      </c>
      <c r="C212" s="32"/>
      <c r="D212" s="2">
        <f>'Facility Detail'!$B$1897</f>
        <v>2011</v>
      </c>
      <c r="E212" s="2">
        <f>D212+1</f>
        <v>2012</v>
      </c>
      <c r="F212" s="2">
        <f>E212+1</f>
        <v>2013</v>
      </c>
      <c r="G212" s="2">
        <f t="shared" ref="G212:L212" si="86">G201</f>
        <v>2014</v>
      </c>
      <c r="H212" s="2">
        <f t="shared" si="86"/>
        <v>2015</v>
      </c>
      <c r="I212" s="2">
        <f t="shared" si="86"/>
        <v>2016</v>
      </c>
      <c r="J212" s="2">
        <f t="shared" si="86"/>
        <v>2017</v>
      </c>
      <c r="K212" s="2">
        <f t="shared" si="86"/>
        <v>2018</v>
      </c>
      <c r="L212" s="2">
        <f t="shared" si="86"/>
        <v>2019</v>
      </c>
      <c r="M212" s="2">
        <f t="shared" ref="M212:N212" si="87">M201</f>
        <v>2020</v>
      </c>
      <c r="N212" s="2">
        <f t="shared" si="87"/>
        <v>2021</v>
      </c>
      <c r="O212" s="32"/>
    </row>
    <row r="213" spans="1:15">
      <c r="B213" s="86" t="s">
        <v>32</v>
      </c>
      <c r="C213" s="78"/>
      <c r="D213" s="90"/>
      <c r="E213" s="91"/>
      <c r="F213" s="91"/>
      <c r="G213" s="91"/>
      <c r="H213" s="165"/>
      <c r="I213" s="91"/>
      <c r="J213" s="91"/>
      <c r="K213" s="91"/>
      <c r="L213" s="91"/>
      <c r="M213" s="92"/>
      <c r="N213" s="92"/>
      <c r="O213" s="32"/>
    </row>
    <row r="214" spans="1:15">
      <c r="B214" s="87" t="s">
        <v>23</v>
      </c>
      <c r="C214" s="192"/>
      <c r="D214" s="93"/>
      <c r="E214" s="94"/>
      <c r="F214" s="94"/>
      <c r="G214" s="94"/>
      <c r="H214" s="166"/>
      <c r="I214" s="94"/>
      <c r="J214" s="94"/>
      <c r="K214" s="94"/>
      <c r="L214" s="94"/>
      <c r="M214" s="95"/>
      <c r="N214" s="95"/>
      <c r="O214" s="32"/>
    </row>
    <row r="215" spans="1:15">
      <c r="B215" s="96" t="s">
        <v>38</v>
      </c>
      <c r="C215" s="190"/>
      <c r="D215" s="63"/>
      <c r="E215" s="64"/>
      <c r="F215" s="64"/>
      <c r="G215" s="64"/>
      <c r="H215" s="167"/>
      <c r="I215" s="64"/>
      <c r="J215" s="64"/>
      <c r="K215" s="64"/>
      <c r="L215" s="64"/>
      <c r="M215" s="65"/>
      <c r="N215" s="65"/>
      <c r="O215" s="32"/>
    </row>
    <row r="216" spans="1:15">
      <c r="B216" s="35" t="s">
        <v>39</v>
      </c>
      <c r="D216" s="7">
        <f t="shared" ref="D216:J216" si="88">SUM(D213:D215)</f>
        <v>0</v>
      </c>
      <c r="E216" s="7">
        <f t="shared" si="88"/>
        <v>0</v>
      </c>
      <c r="F216" s="7">
        <f t="shared" si="88"/>
        <v>0</v>
      </c>
      <c r="G216" s="7">
        <f t="shared" si="88"/>
        <v>0</v>
      </c>
      <c r="H216" s="42">
        <f t="shared" si="88"/>
        <v>0</v>
      </c>
      <c r="I216" s="42">
        <f t="shared" si="88"/>
        <v>0</v>
      </c>
      <c r="J216" s="7">
        <f t="shared" si="88"/>
        <v>0</v>
      </c>
      <c r="K216" s="7">
        <f t="shared" ref="K216:L216" si="89">SUM(K213:K215)</f>
        <v>0</v>
      </c>
      <c r="L216" s="7">
        <f t="shared" si="89"/>
        <v>0</v>
      </c>
      <c r="M216" s="7">
        <f t="shared" ref="M216:N216" si="90">SUM(M213:M215)</f>
        <v>0</v>
      </c>
      <c r="N216" s="7">
        <f t="shared" si="90"/>
        <v>0</v>
      </c>
      <c r="O216" s="32"/>
    </row>
    <row r="217" spans="1:15">
      <c r="B217" s="6"/>
      <c r="D217" s="7"/>
      <c r="E217" s="7"/>
      <c r="F217" s="7"/>
      <c r="G217" s="30"/>
      <c r="H217" s="30"/>
      <c r="I217" s="30"/>
      <c r="J217" s="30"/>
      <c r="K217" s="30"/>
      <c r="L217" s="30"/>
      <c r="M217" s="30"/>
      <c r="N217" s="30"/>
      <c r="O217" s="32"/>
    </row>
    <row r="218" spans="1:15" ht="18.5">
      <c r="A218" s="9" t="s">
        <v>40</v>
      </c>
      <c r="D218" s="181">
        <f>'Facility Detail'!$B$1897</f>
        <v>2011</v>
      </c>
      <c r="E218" s="181">
        <f t="shared" ref="E218:K218" si="91">D218+1</f>
        <v>2012</v>
      </c>
      <c r="F218" s="181">
        <f t="shared" si="91"/>
        <v>2013</v>
      </c>
      <c r="G218" s="181">
        <f t="shared" si="91"/>
        <v>2014</v>
      </c>
      <c r="H218" s="181">
        <f t="shared" si="91"/>
        <v>2015</v>
      </c>
      <c r="I218" s="181">
        <f t="shared" si="91"/>
        <v>2016</v>
      </c>
      <c r="J218" s="181">
        <f t="shared" si="91"/>
        <v>2017</v>
      </c>
      <c r="K218" s="181">
        <f t="shared" si="91"/>
        <v>2018</v>
      </c>
      <c r="L218" s="181">
        <f t="shared" ref="L218" si="92">K218+1</f>
        <v>2019</v>
      </c>
      <c r="M218" s="181">
        <f t="shared" ref="M218" si="93">L218+1</f>
        <v>2020</v>
      </c>
      <c r="N218" s="181">
        <f t="shared" ref="N218" si="94">M218+1</f>
        <v>2021</v>
      </c>
      <c r="O218" s="32"/>
    </row>
    <row r="219" spans="1:15">
      <c r="B219" s="86" t="s">
        <v>34</v>
      </c>
      <c r="C219" s="78"/>
      <c r="D219" s="3">
        <f>D205</f>
        <v>15341</v>
      </c>
      <c r="E219" s="66">
        <f>D219</f>
        <v>15341</v>
      </c>
      <c r="F219" s="138"/>
      <c r="G219" s="138"/>
      <c r="H219" s="138"/>
      <c r="I219" s="138"/>
      <c r="J219" s="138"/>
      <c r="K219" s="138"/>
      <c r="L219" s="138"/>
      <c r="M219" s="67"/>
      <c r="N219" s="67"/>
      <c r="O219" s="32"/>
    </row>
    <row r="220" spans="1:15">
      <c r="B220" s="86" t="s">
        <v>35</v>
      </c>
      <c r="C220" s="78"/>
      <c r="D220" s="174">
        <f>E220</f>
        <v>0</v>
      </c>
      <c r="E220" s="10"/>
      <c r="F220" s="81"/>
      <c r="G220" s="81"/>
      <c r="H220" s="81"/>
      <c r="I220" s="81"/>
      <c r="J220" s="81"/>
      <c r="K220" s="81"/>
      <c r="L220" s="81"/>
      <c r="M220" s="175"/>
      <c r="N220" s="175"/>
      <c r="O220" s="32"/>
    </row>
    <row r="221" spans="1:15">
      <c r="B221" s="86" t="s">
        <v>36</v>
      </c>
      <c r="C221" s="78"/>
      <c r="D221" s="68"/>
      <c r="E221" s="10">
        <f>E205</f>
        <v>14137</v>
      </c>
      <c r="F221" s="77">
        <f>E221</f>
        <v>14137</v>
      </c>
      <c r="G221" s="81"/>
      <c r="H221" s="81"/>
      <c r="I221" s="81"/>
      <c r="J221" s="81"/>
      <c r="K221" s="81"/>
      <c r="L221" s="81"/>
      <c r="M221" s="175"/>
      <c r="N221" s="175"/>
      <c r="O221" s="32"/>
    </row>
    <row r="222" spans="1:15">
      <c r="B222" s="86" t="s">
        <v>37</v>
      </c>
      <c r="C222" s="78"/>
      <c r="D222" s="68"/>
      <c r="E222" s="77">
        <f>F222</f>
        <v>0</v>
      </c>
      <c r="F222" s="173"/>
      <c r="G222" s="81"/>
      <c r="H222" s="81"/>
      <c r="I222" s="81"/>
      <c r="J222" s="81"/>
      <c r="K222" s="81"/>
      <c r="L222" s="81"/>
      <c r="M222" s="175"/>
      <c r="N222" s="175"/>
      <c r="O222" s="32"/>
    </row>
    <row r="223" spans="1:15">
      <c r="B223" s="86" t="s">
        <v>122</v>
      </c>
      <c r="C223" s="78"/>
      <c r="D223" s="68"/>
      <c r="E223" s="157"/>
      <c r="F223" s="10">
        <f>F205</f>
        <v>12175</v>
      </c>
      <c r="G223" s="158">
        <f>F223</f>
        <v>12175</v>
      </c>
      <c r="H223" s="81"/>
      <c r="I223" s="81"/>
      <c r="J223" s="81"/>
      <c r="K223" s="81"/>
      <c r="L223" s="81"/>
      <c r="M223" s="175"/>
      <c r="N223" s="175"/>
      <c r="O223" s="32"/>
    </row>
    <row r="224" spans="1:15">
      <c r="B224" s="86" t="s">
        <v>123</v>
      </c>
      <c r="C224" s="78"/>
      <c r="D224" s="68"/>
      <c r="E224" s="157"/>
      <c r="F224" s="77">
        <f>G224</f>
        <v>0</v>
      </c>
      <c r="G224" s="10"/>
      <c r="H224" s="81"/>
      <c r="I224" s="81"/>
      <c r="J224" s="81" t="s">
        <v>121</v>
      </c>
      <c r="K224" s="81" t="s">
        <v>121</v>
      </c>
      <c r="L224" s="81" t="s">
        <v>121</v>
      </c>
      <c r="M224" s="175" t="s">
        <v>121</v>
      </c>
      <c r="N224" s="175" t="s">
        <v>121</v>
      </c>
      <c r="O224" s="32"/>
    </row>
    <row r="225" spans="2:15">
      <c r="B225" s="86" t="s">
        <v>124</v>
      </c>
      <c r="C225" s="78"/>
      <c r="D225" s="68"/>
      <c r="E225" s="157"/>
      <c r="F225" s="157"/>
      <c r="G225" s="10">
        <f>G205</f>
        <v>14022</v>
      </c>
      <c r="H225" s="158">
        <f>G225</f>
        <v>14022</v>
      </c>
      <c r="I225" s="157"/>
      <c r="J225" s="81"/>
      <c r="K225" s="81"/>
      <c r="L225" s="81"/>
      <c r="M225" s="161"/>
      <c r="N225" s="161"/>
      <c r="O225" s="32"/>
    </row>
    <row r="226" spans="2:15">
      <c r="B226" s="86" t="s">
        <v>125</v>
      </c>
      <c r="C226" s="78"/>
      <c r="D226" s="68"/>
      <c r="E226" s="157"/>
      <c r="F226" s="157"/>
      <c r="G226" s="77"/>
      <c r="H226" s="10"/>
      <c r="I226" s="157"/>
      <c r="J226" s="81"/>
      <c r="K226" s="81"/>
      <c r="L226" s="81"/>
      <c r="M226" s="161"/>
      <c r="N226" s="161"/>
      <c r="O226" s="32"/>
    </row>
    <row r="227" spans="2:15">
      <c r="B227" s="86" t="s">
        <v>126</v>
      </c>
      <c r="C227" s="78"/>
      <c r="D227" s="68"/>
      <c r="E227" s="157"/>
      <c r="F227" s="157"/>
      <c r="G227" s="157"/>
      <c r="H227" s="10">
        <f>H205</f>
        <v>11102</v>
      </c>
      <c r="I227" s="158">
        <f>H227</f>
        <v>11102</v>
      </c>
      <c r="J227" s="81"/>
      <c r="K227" s="81"/>
      <c r="L227" s="81"/>
      <c r="M227" s="161"/>
      <c r="N227" s="161"/>
      <c r="O227" s="32"/>
    </row>
    <row r="228" spans="2:15">
      <c r="B228" s="86" t="s">
        <v>127</v>
      </c>
      <c r="C228" s="78"/>
      <c r="D228" s="68"/>
      <c r="E228" s="157"/>
      <c r="F228" s="157"/>
      <c r="G228" s="157"/>
      <c r="H228" s="77"/>
      <c r="I228" s="10"/>
      <c r="J228" s="81"/>
      <c r="K228" s="81"/>
      <c r="L228" s="81"/>
      <c r="M228" s="161"/>
      <c r="N228" s="161"/>
      <c r="O228" s="32"/>
    </row>
    <row r="229" spans="2:15">
      <c r="B229" s="86" t="s">
        <v>128</v>
      </c>
      <c r="C229" s="78"/>
      <c r="D229" s="68"/>
      <c r="E229" s="157"/>
      <c r="F229" s="157"/>
      <c r="G229" s="157"/>
      <c r="H229" s="157"/>
      <c r="I229" s="247"/>
      <c r="J229" s="159">
        <f>I229</f>
        <v>0</v>
      </c>
      <c r="K229" s="81"/>
      <c r="L229" s="81"/>
      <c r="M229" s="161"/>
      <c r="N229" s="161"/>
      <c r="O229" s="32"/>
    </row>
    <row r="230" spans="2:15">
      <c r="B230" s="86" t="s">
        <v>119</v>
      </c>
      <c r="C230" s="32"/>
      <c r="D230" s="68"/>
      <c r="E230" s="157"/>
      <c r="F230" s="157"/>
      <c r="G230" s="157"/>
      <c r="H230" s="157"/>
      <c r="I230" s="248"/>
      <c r="J230" s="160"/>
      <c r="K230" s="81"/>
      <c r="L230" s="81"/>
      <c r="M230" s="161"/>
      <c r="N230" s="161"/>
      <c r="O230" s="32"/>
    </row>
    <row r="231" spans="2:15">
      <c r="B231" s="86" t="s">
        <v>120</v>
      </c>
      <c r="C231" s="32"/>
      <c r="D231" s="68"/>
      <c r="E231" s="157"/>
      <c r="F231" s="157"/>
      <c r="G231" s="157"/>
      <c r="H231" s="157"/>
      <c r="I231" s="157"/>
      <c r="J231" s="160"/>
      <c r="K231" s="159">
        <f>J231</f>
        <v>0</v>
      </c>
      <c r="L231" s="81"/>
      <c r="M231" s="161"/>
      <c r="N231" s="161"/>
      <c r="O231" s="32"/>
    </row>
    <row r="232" spans="2:15">
      <c r="B232" s="86" t="s">
        <v>152</v>
      </c>
      <c r="C232" s="32"/>
      <c r="D232" s="68"/>
      <c r="E232" s="157"/>
      <c r="F232" s="157"/>
      <c r="G232" s="157"/>
      <c r="H232" s="157"/>
      <c r="I232" s="157"/>
      <c r="J232" s="305"/>
      <c r="K232" s="160"/>
      <c r="L232" s="81"/>
      <c r="M232" s="161"/>
      <c r="N232" s="161"/>
      <c r="O232" s="32"/>
    </row>
    <row r="233" spans="2:15">
      <c r="B233" s="86" t="s">
        <v>153</v>
      </c>
      <c r="C233" s="32"/>
      <c r="D233" s="68"/>
      <c r="E233" s="157"/>
      <c r="F233" s="157"/>
      <c r="G233" s="157"/>
      <c r="H233" s="157"/>
      <c r="I233" s="157"/>
      <c r="J233" s="157"/>
      <c r="K233" s="160"/>
      <c r="L233" s="77">
        <f>K233</f>
        <v>0</v>
      </c>
      <c r="M233" s="161"/>
      <c r="N233" s="161"/>
      <c r="O233" s="32"/>
    </row>
    <row r="234" spans="2:15">
      <c r="B234" s="86" t="s">
        <v>154</v>
      </c>
      <c r="C234" s="32"/>
      <c r="D234" s="68"/>
      <c r="E234" s="157"/>
      <c r="F234" s="157"/>
      <c r="G234" s="157"/>
      <c r="H234" s="157"/>
      <c r="I234" s="157"/>
      <c r="J234" s="157"/>
      <c r="K234" s="305"/>
      <c r="L234" s="333"/>
      <c r="M234" s="161"/>
      <c r="N234" s="161"/>
      <c r="O234" s="32"/>
    </row>
    <row r="235" spans="2:15">
      <c r="B235" s="86" t="s">
        <v>155</v>
      </c>
      <c r="C235" s="32"/>
      <c r="D235" s="69"/>
      <c r="E235" s="140"/>
      <c r="F235" s="140"/>
      <c r="G235" s="140"/>
      <c r="H235" s="140"/>
      <c r="I235" s="140"/>
      <c r="J235" s="140"/>
      <c r="K235" s="140"/>
      <c r="L235" s="162"/>
      <c r="M235" s="319">
        <f>K235</f>
        <v>0</v>
      </c>
      <c r="N235" s="161"/>
      <c r="O235" s="32"/>
    </row>
    <row r="236" spans="2:15">
      <c r="B236" s="86" t="s">
        <v>156</v>
      </c>
      <c r="C236" s="32"/>
      <c r="D236" s="157"/>
      <c r="E236" s="157"/>
      <c r="F236" s="157"/>
      <c r="G236" s="157"/>
      <c r="H236" s="157"/>
      <c r="I236" s="157"/>
      <c r="J236" s="157"/>
      <c r="K236" s="157"/>
      <c r="L236" s="305"/>
      <c r="M236" s="160"/>
      <c r="N236" s="161"/>
      <c r="O236" s="32"/>
    </row>
    <row r="237" spans="2:15">
      <c r="B237" s="86" t="s">
        <v>157</v>
      </c>
      <c r="C237" s="32"/>
      <c r="D237" s="157"/>
      <c r="E237" s="157"/>
      <c r="F237" s="157"/>
      <c r="G237" s="157"/>
      <c r="H237" s="157"/>
      <c r="I237" s="157"/>
      <c r="J237" s="157"/>
      <c r="K237" s="157"/>
      <c r="L237" s="157"/>
      <c r="M237" s="160"/>
      <c r="N237" s="159">
        <f>M237</f>
        <v>0</v>
      </c>
      <c r="O237" s="32"/>
    </row>
    <row r="238" spans="2:15">
      <c r="B238" s="86" t="s">
        <v>173</v>
      </c>
      <c r="C238" s="32"/>
      <c r="D238" s="157"/>
      <c r="E238" s="157"/>
      <c r="F238" s="157"/>
      <c r="G238" s="157"/>
      <c r="H238" s="157"/>
      <c r="I238" s="157"/>
      <c r="J238" s="157"/>
      <c r="K238" s="157"/>
      <c r="L238" s="157"/>
      <c r="M238" s="159">
        <f>N238</f>
        <v>3130</v>
      </c>
      <c r="N238" s="160">
        <v>3130</v>
      </c>
      <c r="O238" s="32"/>
    </row>
    <row r="239" spans="2:15">
      <c r="B239" s="86" t="s">
        <v>174</v>
      </c>
      <c r="C239" s="32"/>
      <c r="D239" s="157"/>
      <c r="E239" s="157"/>
      <c r="F239" s="157"/>
      <c r="G239" s="157"/>
      <c r="H239" s="157"/>
      <c r="I239" s="157"/>
      <c r="J239" s="157"/>
      <c r="K239" s="157"/>
      <c r="L239" s="157"/>
      <c r="M239" s="157"/>
      <c r="N239" s="160"/>
      <c r="O239" s="32"/>
    </row>
    <row r="240" spans="2:15">
      <c r="B240" s="86"/>
      <c r="C240" s="32"/>
      <c r="D240" s="140"/>
      <c r="E240" s="140"/>
      <c r="F240" s="140"/>
      <c r="G240" s="140"/>
      <c r="H240" s="140"/>
      <c r="I240" s="140"/>
      <c r="J240" s="140"/>
      <c r="K240" s="140"/>
      <c r="L240" s="140"/>
      <c r="M240" s="140"/>
      <c r="N240" s="305"/>
      <c r="O240" s="32"/>
    </row>
    <row r="241" spans="1:15">
      <c r="B241" s="35" t="s">
        <v>17</v>
      </c>
      <c r="D241" s="198">
        <f xml:space="preserve"> D220 - D219</f>
        <v>-15341</v>
      </c>
      <c r="E241" s="198">
        <f xml:space="preserve"> E219 + E222 - E221 - E220</f>
        <v>1204</v>
      </c>
      <c r="F241" s="198">
        <f>F221 - F222 -F223</f>
        <v>1962</v>
      </c>
      <c r="G241" s="198">
        <f>G223-G224-G225</f>
        <v>-1847</v>
      </c>
      <c r="H241" s="198">
        <f>H225-H226-H227</f>
        <v>2920</v>
      </c>
      <c r="I241" s="198">
        <f>I227-I228-I229</f>
        <v>11102</v>
      </c>
      <c r="J241" s="198">
        <f>J229-J230-J231</f>
        <v>0</v>
      </c>
      <c r="K241" s="198">
        <f>K231-K232-K233</f>
        <v>0</v>
      </c>
      <c r="L241" s="198">
        <f>L233-L234-L235</f>
        <v>0</v>
      </c>
      <c r="M241" s="198">
        <f>M238</f>
        <v>3130</v>
      </c>
      <c r="N241" s="198">
        <f>N238*-1</f>
        <v>-3130</v>
      </c>
      <c r="O241" s="32"/>
    </row>
    <row r="242" spans="1:15">
      <c r="B242" s="6"/>
      <c r="D242" s="7"/>
      <c r="E242" s="7"/>
      <c r="F242" s="7"/>
      <c r="G242" s="7"/>
      <c r="H242" s="7"/>
      <c r="I242" s="7"/>
      <c r="J242" s="7"/>
      <c r="K242" s="7"/>
      <c r="L242" s="7"/>
      <c r="M242" s="7"/>
      <c r="N242" s="7"/>
      <c r="O242" s="32"/>
    </row>
    <row r="243" spans="1:15">
      <c r="B243" s="83" t="s">
        <v>12</v>
      </c>
      <c r="C243" s="78"/>
      <c r="D243" s="101"/>
      <c r="E243" s="102"/>
      <c r="F243" s="102"/>
      <c r="G243" s="102"/>
      <c r="H243" s="169"/>
      <c r="I243" s="170"/>
      <c r="J243" s="170"/>
      <c r="K243" s="170"/>
      <c r="L243" s="170"/>
      <c r="M243" s="103"/>
      <c r="N243" s="103"/>
      <c r="O243" s="32"/>
    </row>
    <row r="244" spans="1:15">
      <c r="B244" s="6"/>
      <c r="D244" s="7"/>
      <c r="E244" s="7"/>
      <c r="F244" s="7"/>
      <c r="G244" s="7"/>
      <c r="H244" s="7"/>
      <c r="I244" s="7"/>
      <c r="J244" s="7"/>
      <c r="K244" s="7"/>
      <c r="L244" s="7"/>
      <c r="M244" s="7"/>
      <c r="N244" s="7"/>
      <c r="O244" s="32"/>
    </row>
    <row r="245" spans="1:15" ht="18.5">
      <c r="A245" s="43" t="s">
        <v>26</v>
      </c>
      <c r="C245" s="78"/>
      <c r="D245" s="47">
        <f t="shared" ref="D245:J245" si="95" xml:space="preserve"> D205 + D210 - D216 + D241 + D243</f>
        <v>0</v>
      </c>
      <c r="E245" s="48">
        <f t="shared" si="95"/>
        <v>15341</v>
      </c>
      <c r="F245" s="48">
        <f t="shared" si="95"/>
        <v>14137</v>
      </c>
      <c r="G245" s="48">
        <f t="shared" si="95"/>
        <v>12175</v>
      </c>
      <c r="H245" s="168">
        <f t="shared" si="95"/>
        <v>14022</v>
      </c>
      <c r="I245" s="171">
        <f t="shared" si="95"/>
        <v>25020</v>
      </c>
      <c r="J245" s="171">
        <f t="shared" si="95"/>
        <v>12396</v>
      </c>
      <c r="K245" s="171">
        <f t="shared" ref="K245:L245" si="96" xml:space="preserve"> K205 + K210 - K216 + K241 + K243</f>
        <v>13065</v>
      </c>
      <c r="L245" s="171">
        <f t="shared" si="96"/>
        <v>7010.0255567593495</v>
      </c>
      <c r="M245" s="49">
        <f t="shared" ref="M245:N245" si="97" xml:space="preserve"> M205 + M210 - M216 + M241 + M243</f>
        <v>19415.307464727786</v>
      </c>
      <c r="N245" s="49">
        <f t="shared" si="97"/>
        <v>14510.438242529508</v>
      </c>
      <c r="O245" s="32"/>
    </row>
    <row r="246" spans="1:15">
      <c r="B246" s="6"/>
      <c r="D246" s="7"/>
      <c r="E246" s="7"/>
      <c r="F246" s="7"/>
      <c r="G246" s="30"/>
      <c r="H246" s="30"/>
      <c r="I246" s="30"/>
      <c r="J246" s="30"/>
      <c r="K246" s="30"/>
      <c r="L246" s="30"/>
      <c r="M246" s="30"/>
      <c r="N246" s="30"/>
      <c r="O246" s="32"/>
    </row>
    <row r="247" spans="1:15" ht="15" thickBot="1">
      <c r="O247" s="32"/>
    </row>
    <row r="248" spans="1:15" ht="15" customHeight="1">
      <c r="A248" s="8"/>
      <c r="B248" s="8"/>
      <c r="C248" s="8"/>
      <c r="D248" s="8"/>
      <c r="E248" s="8"/>
      <c r="F248" s="8"/>
      <c r="G248" s="8"/>
      <c r="H248" s="8"/>
      <c r="I248" s="8"/>
      <c r="J248" s="8"/>
      <c r="K248" s="8"/>
      <c r="L248" s="8"/>
      <c r="M248" s="8"/>
      <c r="N248" s="8"/>
      <c r="O248" s="32"/>
    </row>
    <row r="249" spans="1:15" ht="15" customHeight="1">
      <c r="B249" s="32"/>
      <c r="C249" s="32"/>
      <c r="D249" s="32"/>
      <c r="E249" s="32"/>
      <c r="F249" s="32"/>
      <c r="G249" s="32"/>
      <c r="H249" s="32"/>
      <c r="I249" s="32"/>
      <c r="J249" s="32"/>
      <c r="K249" s="32"/>
      <c r="L249" s="32"/>
      <c r="M249" s="32"/>
      <c r="N249" s="32"/>
      <c r="O249" s="32"/>
    </row>
    <row r="250" spans="1:15" ht="21" customHeight="1">
      <c r="A250" s="14" t="s">
        <v>4</v>
      </c>
      <c r="B250" s="14"/>
      <c r="C250" s="44" t="str">
        <f>B6</f>
        <v>Bennett Creek Windfarm - REC Only</v>
      </c>
      <c r="D250" s="45"/>
      <c r="E250" s="24"/>
      <c r="F250" s="24"/>
      <c r="O250" s="32"/>
    </row>
    <row r="251" spans="1:15" ht="15" customHeight="1">
      <c r="O251" s="32"/>
    </row>
    <row r="252" spans="1:15" ht="18.75" customHeight="1">
      <c r="A252" s="9" t="s">
        <v>21</v>
      </c>
      <c r="B252" s="9"/>
      <c r="D252" s="2">
        <f>'Facility Detail'!$B$1897</f>
        <v>2011</v>
      </c>
      <c r="E252" s="2">
        <f t="shared" ref="E252:K252" si="98">D252+1</f>
        <v>2012</v>
      </c>
      <c r="F252" s="2">
        <f t="shared" si="98"/>
        <v>2013</v>
      </c>
      <c r="G252" s="2">
        <f t="shared" si="98"/>
        <v>2014</v>
      </c>
      <c r="H252" s="2">
        <f t="shared" si="98"/>
        <v>2015</v>
      </c>
      <c r="I252" s="2">
        <f t="shared" si="98"/>
        <v>2016</v>
      </c>
      <c r="J252" s="2">
        <f t="shared" si="98"/>
        <v>2017</v>
      </c>
      <c r="K252" s="2">
        <f t="shared" si="98"/>
        <v>2018</v>
      </c>
      <c r="L252" s="2">
        <f t="shared" ref="L252" si="99">K252+1</f>
        <v>2019</v>
      </c>
      <c r="M252" s="2">
        <f t="shared" ref="M252" si="100">L252+1</f>
        <v>2020</v>
      </c>
      <c r="N252" s="2">
        <f t="shared" ref="N252" si="101">M252+1</f>
        <v>2021</v>
      </c>
      <c r="O252" s="32"/>
    </row>
    <row r="253" spans="1:15" ht="15" customHeight="1">
      <c r="B253" s="86" t="str">
        <f>"Total MWh Produced / Purchased from " &amp; C250</f>
        <v>Total MWh Produced / Purchased from Bennett Creek Windfarm - REC Only</v>
      </c>
      <c r="C253" s="78"/>
      <c r="D253" s="3">
        <v>12259</v>
      </c>
      <c r="E253" s="4"/>
      <c r="F253" s="4"/>
      <c r="G253" s="4"/>
      <c r="H253" s="4">
        <v>8656</v>
      </c>
      <c r="I253" s="307">
        <v>11174</v>
      </c>
      <c r="J253" s="307">
        <v>9667</v>
      </c>
      <c r="K253" s="91">
        <v>3216</v>
      </c>
      <c r="L253" s="91"/>
      <c r="M253" s="148"/>
      <c r="N253" s="148"/>
      <c r="O253" s="32"/>
    </row>
    <row r="254" spans="1:15" ht="15" customHeight="1">
      <c r="B254" s="86" t="s">
        <v>25</v>
      </c>
      <c r="C254" s="78"/>
      <c r="D254" s="60">
        <v>1</v>
      </c>
      <c r="E254" s="61"/>
      <c r="F254" s="61"/>
      <c r="G254" s="61"/>
      <c r="H254" s="61">
        <v>1</v>
      </c>
      <c r="I254" s="61">
        <v>1</v>
      </c>
      <c r="J254" s="61">
        <v>1</v>
      </c>
      <c r="K254" s="61">
        <v>1</v>
      </c>
      <c r="L254" s="251"/>
      <c r="M254" s="336"/>
      <c r="N254" s="336"/>
      <c r="O254" s="32"/>
    </row>
    <row r="255" spans="1:15" ht="15" customHeight="1">
      <c r="B255" s="86" t="s">
        <v>20</v>
      </c>
      <c r="C255" s="78"/>
      <c r="D255" s="52">
        <v>1</v>
      </c>
      <c r="E255" s="53"/>
      <c r="F255" s="53"/>
      <c r="G255" s="53"/>
      <c r="H255" s="53">
        <v>1</v>
      </c>
      <c r="I255" s="53">
        <v>1</v>
      </c>
      <c r="J255" s="53">
        <v>1</v>
      </c>
      <c r="K255" s="53">
        <v>1</v>
      </c>
      <c r="L255" s="254"/>
      <c r="M255" s="255"/>
      <c r="N255" s="255"/>
      <c r="O255" s="32"/>
    </row>
    <row r="256" spans="1:15" ht="15" customHeight="1">
      <c r="B256" s="83" t="s">
        <v>22</v>
      </c>
      <c r="C256" s="84"/>
      <c r="D256" s="39">
        <v>12259</v>
      </c>
      <c r="E256" s="39">
        <v>0</v>
      </c>
      <c r="F256" s="39">
        <v>0</v>
      </c>
      <c r="G256" s="39">
        <v>0</v>
      </c>
      <c r="H256" s="39">
        <v>8656</v>
      </c>
      <c r="I256" s="306">
        <v>11174</v>
      </c>
      <c r="J256" s="302">
        <v>9667</v>
      </c>
      <c r="K256" s="39">
        <v>3216</v>
      </c>
      <c r="L256" s="39">
        <f t="shared" ref="L256" si="102">L253 * L254 * L255</f>
        <v>0</v>
      </c>
      <c r="M256" s="39">
        <f t="shared" ref="M256:N256" si="103">M253 * M254 * M255</f>
        <v>0</v>
      </c>
      <c r="N256" s="39">
        <f t="shared" si="103"/>
        <v>0</v>
      </c>
      <c r="O256" s="32"/>
    </row>
    <row r="257" spans="1:15" ht="15" customHeight="1">
      <c r="B257" s="24"/>
      <c r="C257" s="32"/>
      <c r="D257" s="38"/>
      <c r="E257" s="38"/>
      <c r="F257" s="38"/>
      <c r="G257" s="25"/>
      <c r="H257" s="25"/>
      <c r="I257" s="25"/>
      <c r="J257" s="25"/>
      <c r="K257" s="25"/>
      <c r="L257" s="25"/>
      <c r="M257" s="25"/>
      <c r="N257" s="25"/>
      <c r="O257" s="32"/>
    </row>
    <row r="258" spans="1:15" ht="18.75" customHeight="1">
      <c r="A258" s="46" t="s">
        <v>52</v>
      </c>
      <c r="C258" s="32"/>
      <c r="D258" s="2">
        <f>'Facility Detail'!$B$1897</f>
        <v>2011</v>
      </c>
      <c r="E258" s="2">
        <f>D258+1</f>
        <v>2012</v>
      </c>
      <c r="F258" s="2">
        <f>E258+1</f>
        <v>2013</v>
      </c>
      <c r="G258" s="2">
        <f>G252</f>
        <v>2014</v>
      </c>
      <c r="H258" s="2">
        <f>H252</f>
        <v>2015</v>
      </c>
      <c r="I258" s="2">
        <f>I252</f>
        <v>2016</v>
      </c>
      <c r="J258" s="2">
        <f>J252</f>
        <v>2017</v>
      </c>
      <c r="K258" s="2">
        <f t="shared" ref="K258:L258" si="104">K252</f>
        <v>2018</v>
      </c>
      <c r="L258" s="2">
        <f t="shared" si="104"/>
        <v>2019</v>
      </c>
      <c r="M258" s="2">
        <f t="shared" ref="M258:N258" si="105">M252</f>
        <v>2020</v>
      </c>
      <c r="N258" s="2">
        <f t="shared" si="105"/>
        <v>2021</v>
      </c>
      <c r="O258" s="32"/>
    </row>
    <row r="259" spans="1:15" ht="15" customHeight="1">
      <c r="B259" s="86" t="s">
        <v>10</v>
      </c>
      <c r="C259" s="78"/>
      <c r="D259" s="55">
        <f>IF( $E6 = "Eligible", D256 * 'Facility Detail'!$B$1894, 0 )</f>
        <v>0</v>
      </c>
      <c r="E259" s="11">
        <f>IF( $E6 = "Eligible", E256 * 'Facility Detail'!$B$1894, 0 )</f>
        <v>0</v>
      </c>
      <c r="F259" s="11">
        <f>IF( $E6 = "Eligible", F256 * 'Facility Detail'!$B$1894, 0 )</f>
        <v>0</v>
      </c>
      <c r="G259" s="11">
        <f>IF( $E6 = "Eligible", G256 * 'Facility Detail'!$B$1894, 0 )</f>
        <v>0</v>
      </c>
      <c r="H259" s="11">
        <f>IF( $E6 = "Eligible", H256 * 'Facility Detail'!$B$1894, 0 )</f>
        <v>0</v>
      </c>
      <c r="I259" s="11">
        <f>IF( $E6 = "Eligible", I256 * 'Facility Detail'!$B$1894, 0 )</f>
        <v>0</v>
      </c>
      <c r="J259" s="11">
        <f>IF( $E6 = "Eligible", J256 * 'Facility Detail'!$B$1894, 0 )</f>
        <v>0</v>
      </c>
      <c r="K259" s="11">
        <f>IF( $E6 = "Eligible", K256 * 'Facility Detail'!$B$1894, 0 )</f>
        <v>0</v>
      </c>
      <c r="L259" s="11">
        <f>IF( $E6 = "Eligible", L256 * 'Facility Detail'!$B$1894, 0 )</f>
        <v>0</v>
      </c>
      <c r="M259" s="163">
        <f>IF( $E6 = "Eligible", M256 * 'Facility Detail'!$B$1894, 0 )</f>
        <v>0</v>
      </c>
      <c r="N259" s="163">
        <f>IF( $E6 = "Eligible", N256 * 'Facility Detail'!$B$1894, 0 )</f>
        <v>0</v>
      </c>
      <c r="O259" s="32"/>
    </row>
    <row r="260" spans="1:15" ht="15" customHeight="1">
      <c r="B260" s="86" t="s">
        <v>6</v>
      </c>
      <c r="C260" s="78"/>
      <c r="D260" s="56">
        <f t="shared" ref="D260:N260" si="106">IF( $F6 = "Eligible", D256, 0 )</f>
        <v>0</v>
      </c>
      <c r="E260" s="57">
        <f t="shared" si="106"/>
        <v>0</v>
      </c>
      <c r="F260" s="57">
        <f t="shared" si="106"/>
        <v>0</v>
      </c>
      <c r="G260" s="57">
        <f t="shared" si="106"/>
        <v>0</v>
      </c>
      <c r="H260" s="57">
        <f t="shared" si="106"/>
        <v>0</v>
      </c>
      <c r="I260" s="57">
        <f t="shared" si="106"/>
        <v>0</v>
      </c>
      <c r="J260" s="57">
        <f t="shared" si="106"/>
        <v>0</v>
      </c>
      <c r="K260" s="57">
        <f t="shared" si="106"/>
        <v>0</v>
      </c>
      <c r="L260" s="57">
        <f t="shared" si="106"/>
        <v>0</v>
      </c>
      <c r="M260" s="147">
        <f t="shared" ref="M260" si="107">IF( $F6 = "Eligible", M256, 0 )</f>
        <v>0</v>
      </c>
      <c r="N260" s="147">
        <f t="shared" si="106"/>
        <v>0</v>
      </c>
      <c r="O260" s="32"/>
    </row>
    <row r="261" spans="1:15" ht="15" customHeight="1">
      <c r="B261" s="85" t="s">
        <v>54</v>
      </c>
      <c r="C261" s="84"/>
      <c r="D261" s="41">
        <f t="shared" ref="D261:I261" si="108">SUM(D259:D260)</f>
        <v>0</v>
      </c>
      <c r="E261" s="42">
        <f t="shared" si="108"/>
        <v>0</v>
      </c>
      <c r="F261" s="42">
        <f t="shared" si="108"/>
        <v>0</v>
      </c>
      <c r="G261" s="42">
        <f t="shared" si="108"/>
        <v>0</v>
      </c>
      <c r="H261" s="42">
        <f t="shared" si="108"/>
        <v>0</v>
      </c>
      <c r="I261" s="42">
        <f t="shared" si="108"/>
        <v>0</v>
      </c>
      <c r="J261" s="42">
        <f t="shared" ref="J261" si="109">SUM(J259:J260)</f>
        <v>0</v>
      </c>
      <c r="K261" s="42">
        <f t="shared" ref="K261:L261" si="110">SUM(K259:K260)</f>
        <v>0</v>
      </c>
      <c r="L261" s="42">
        <f t="shared" si="110"/>
        <v>0</v>
      </c>
      <c r="M261" s="42">
        <f t="shared" ref="M261:N261" si="111">SUM(M259:M260)</f>
        <v>0</v>
      </c>
      <c r="N261" s="42">
        <f t="shared" si="111"/>
        <v>0</v>
      </c>
      <c r="O261" s="32"/>
    </row>
    <row r="262" spans="1:15" ht="15" customHeight="1">
      <c r="B262" s="32"/>
      <c r="C262" s="32"/>
      <c r="D262" s="40"/>
      <c r="E262" s="33"/>
      <c r="F262" s="33"/>
      <c r="G262" s="25"/>
      <c r="H262" s="25"/>
      <c r="I262" s="25"/>
      <c r="J262" s="25"/>
      <c r="K262" s="25"/>
      <c r="L262" s="25"/>
      <c r="M262" s="25"/>
      <c r="N262" s="25"/>
      <c r="O262" s="32"/>
    </row>
    <row r="263" spans="1:15" ht="18.75" customHeight="1">
      <c r="A263" s="43" t="s">
        <v>30</v>
      </c>
      <c r="C263" s="32"/>
      <c r="D263" s="2">
        <f>'Facility Detail'!$B$1897</f>
        <v>2011</v>
      </c>
      <c r="E263" s="2">
        <f>D263+1</f>
        <v>2012</v>
      </c>
      <c r="F263" s="2">
        <f>E263+1</f>
        <v>2013</v>
      </c>
      <c r="G263" s="2">
        <f>G252</f>
        <v>2014</v>
      </c>
      <c r="H263" s="2">
        <f>H252</f>
        <v>2015</v>
      </c>
      <c r="I263" s="2">
        <f>I252</f>
        <v>2016</v>
      </c>
      <c r="J263" s="2">
        <f>J252</f>
        <v>2017</v>
      </c>
      <c r="K263" s="2">
        <f t="shared" ref="K263:L263" si="112">K252</f>
        <v>2018</v>
      </c>
      <c r="L263" s="2">
        <f t="shared" si="112"/>
        <v>2019</v>
      </c>
      <c r="M263" s="2">
        <f t="shared" ref="M263:N263" si="113">M252</f>
        <v>2020</v>
      </c>
      <c r="N263" s="2">
        <f t="shared" si="113"/>
        <v>2021</v>
      </c>
      <c r="O263" s="32"/>
    </row>
    <row r="264" spans="1:15" ht="15" customHeight="1">
      <c r="B264" s="86" t="s">
        <v>32</v>
      </c>
      <c r="C264" s="78"/>
      <c r="D264" s="90"/>
      <c r="E264" s="91"/>
      <c r="F264" s="91"/>
      <c r="G264" s="91"/>
      <c r="H264" s="91"/>
      <c r="I264" s="91"/>
      <c r="J264" s="91"/>
      <c r="K264" s="91"/>
      <c r="L264" s="91"/>
      <c r="M264" s="148"/>
      <c r="N264" s="148"/>
      <c r="O264" s="32"/>
    </row>
    <row r="265" spans="1:15" ht="15" customHeight="1">
      <c r="B265" s="87" t="s">
        <v>23</v>
      </c>
      <c r="C265" s="192"/>
      <c r="D265" s="93"/>
      <c r="E265" s="94"/>
      <c r="F265" s="94"/>
      <c r="G265" s="94"/>
      <c r="H265" s="94"/>
      <c r="I265" s="94"/>
      <c r="J265" s="94"/>
      <c r="K265" s="94"/>
      <c r="L265" s="94"/>
      <c r="M265" s="149"/>
      <c r="N265" s="149"/>
      <c r="O265" s="32"/>
    </row>
    <row r="266" spans="1:15" ht="15" customHeight="1">
      <c r="B266" s="96" t="s">
        <v>38</v>
      </c>
      <c r="C266" s="190"/>
      <c r="D266" s="63"/>
      <c r="E266" s="64"/>
      <c r="F266" s="64"/>
      <c r="G266" s="64"/>
      <c r="H266" s="64"/>
      <c r="I266" s="64"/>
      <c r="J266" s="64"/>
      <c r="K266" s="64"/>
      <c r="L266" s="64"/>
      <c r="M266" s="150"/>
      <c r="N266" s="150"/>
      <c r="O266" s="32"/>
    </row>
    <row r="267" spans="1:15" ht="15" customHeight="1">
      <c r="B267" s="35" t="s">
        <v>39</v>
      </c>
      <c r="D267" s="7">
        <f t="shared" ref="D267:I267" si="114">SUM(D264:D266)</f>
        <v>0</v>
      </c>
      <c r="E267" s="7">
        <f t="shared" si="114"/>
        <v>0</v>
      </c>
      <c r="F267" s="7">
        <f t="shared" si="114"/>
        <v>0</v>
      </c>
      <c r="G267" s="7">
        <f t="shared" si="114"/>
        <v>0</v>
      </c>
      <c r="H267" s="7">
        <f t="shared" si="114"/>
        <v>0</v>
      </c>
      <c r="I267" s="7">
        <f t="shared" si="114"/>
        <v>0</v>
      </c>
      <c r="J267" s="7">
        <f t="shared" ref="J267:L267" si="115">SUM(J264:J266)</f>
        <v>0</v>
      </c>
      <c r="K267" s="7">
        <f t="shared" si="115"/>
        <v>0</v>
      </c>
      <c r="L267" s="7">
        <f t="shared" si="115"/>
        <v>0</v>
      </c>
      <c r="M267" s="7">
        <f t="shared" ref="M267:N267" si="116">SUM(M264:M266)</f>
        <v>0</v>
      </c>
      <c r="N267" s="7">
        <f t="shared" si="116"/>
        <v>0</v>
      </c>
      <c r="O267" s="32"/>
    </row>
    <row r="268" spans="1:15" ht="15" customHeight="1">
      <c r="B268" s="6"/>
      <c r="D268" s="7"/>
      <c r="E268" s="7"/>
      <c r="F268" s="7"/>
      <c r="G268" s="30"/>
      <c r="H268" s="30"/>
      <c r="I268" s="30"/>
      <c r="J268" s="30"/>
      <c r="K268" s="30"/>
      <c r="L268" s="30"/>
      <c r="M268" s="30"/>
      <c r="N268" s="30"/>
      <c r="O268" s="32"/>
    </row>
    <row r="269" spans="1:15" ht="18.75" customHeight="1">
      <c r="A269" s="9" t="s">
        <v>40</v>
      </c>
      <c r="D269" s="2">
        <f>'Facility Detail'!$B$1897</f>
        <v>2011</v>
      </c>
      <c r="E269" s="2">
        <f t="shared" ref="E269:K269" si="117">D269+1</f>
        <v>2012</v>
      </c>
      <c r="F269" s="2">
        <f t="shared" si="117"/>
        <v>2013</v>
      </c>
      <c r="G269" s="2">
        <f t="shared" si="117"/>
        <v>2014</v>
      </c>
      <c r="H269" s="2">
        <f t="shared" si="117"/>
        <v>2015</v>
      </c>
      <c r="I269" s="2">
        <f t="shared" si="117"/>
        <v>2016</v>
      </c>
      <c r="J269" s="2">
        <f t="shared" si="117"/>
        <v>2017</v>
      </c>
      <c r="K269" s="2">
        <f t="shared" si="117"/>
        <v>2018</v>
      </c>
      <c r="L269" s="2">
        <f t="shared" ref="L269" si="118">K269+1</f>
        <v>2019</v>
      </c>
      <c r="M269" s="2">
        <f t="shared" ref="M269" si="119">L269+1</f>
        <v>2020</v>
      </c>
      <c r="N269" s="2">
        <f t="shared" ref="N269" si="120">M269+1</f>
        <v>2021</v>
      </c>
      <c r="O269" s="32"/>
    </row>
    <row r="270" spans="1:15" ht="15" customHeight="1">
      <c r="B270" s="86" t="str">
        <f xml:space="preserve"> 'Facility Detail'!$B$1897 &amp; " Surplus Applied to " &amp; ( 'Facility Detail'!$B$1897 + 1 )</f>
        <v>2011 Surplus Applied to 2012</v>
      </c>
      <c r="C270" s="32"/>
      <c r="D270" s="3">
        <f>D256</f>
        <v>12259</v>
      </c>
      <c r="E270" s="66">
        <f>D270</f>
        <v>12259</v>
      </c>
      <c r="F270" s="138"/>
      <c r="G270" s="138"/>
      <c r="H270" s="138"/>
      <c r="I270" s="138"/>
      <c r="J270" s="138"/>
      <c r="K270" s="138"/>
      <c r="L270" s="138"/>
      <c r="M270" s="67"/>
      <c r="N270" s="67"/>
      <c r="O270" s="32"/>
    </row>
    <row r="271" spans="1:15" ht="15" customHeight="1">
      <c r="B271" s="86" t="str">
        <f xml:space="preserve"> ( 'Facility Detail'!$B$1897 + 1 ) &amp; " Surplus Applied to " &amp; ( 'Facility Detail'!$B$1897 )</f>
        <v>2012 Surplus Applied to 2011</v>
      </c>
      <c r="C271" s="32"/>
      <c r="D271" s="51">
        <f>E271</f>
        <v>0</v>
      </c>
      <c r="E271" s="59"/>
      <c r="F271" s="139"/>
      <c r="G271" s="139"/>
      <c r="H271" s="139"/>
      <c r="I271" s="139"/>
      <c r="J271" s="81"/>
      <c r="K271" s="81"/>
      <c r="L271" s="81"/>
      <c r="M271" s="175"/>
      <c r="N271" s="175"/>
      <c r="O271" s="32"/>
    </row>
    <row r="272" spans="1:15" ht="15" customHeight="1">
      <c r="B272" s="86" t="str">
        <f xml:space="preserve"> ( 'Facility Detail'!$B$1897 + 1 ) &amp; " Surplus Applied to " &amp; ( 'Facility Detail'!$B$1897 + 2 )</f>
        <v>2012 Surplus Applied to 2013</v>
      </c>
      <c r="C272" s="32"/>
      <c r="D272" s="68"/>
      <c r="E272" s="10">
        <f>E256</f>
        <v>0</v>
      </c>
      <c r="F272" s="77">
        <f>E272</f>
        <v>0</v>
      </c>
      <c r="G272" s="139"/>
      <c r="H272" s="139"/>
      <c r="I272" s="139"/>
      <c r="J272" s="81"/>
      <c r="K272" s="81"/>
      <c r="L272" s="81"/>
      <c r="M272" s="175"/>
      <c r="N272" s="175"/>
      <c r="O272" s="32"/>
    </row>
    <row r="273" spans="2:15" ht="15" customHeight="1">
      <c r="B273" s="86" t="str">
        <f xml:space="preserve"> ( 'Facility Detail'!$B$1897 + 2 ) &amp; " Surplus Applied to " &amp; ( 'Facility Detail'!$B$1897 + 1 )</f>
        <v>2013 Surplus Applied to 2012</v>
      </c>
      <c r="C273" s="32"/>
      <c r="D273" s="68"/>
      <c r="E273" s="77">
        <f>F273</f>
        <v>0</v>
      </c>
      <c r="F273" s="145"/>
      <c r="G273" s="139"/>
      <c r="H273" s="139"/>
      <c r="I273" s="139"/>
      <c r="J273" s="81"/>
      <c r="K273" s="81"/>
      <c r="L273" s="81"/>
      <c r="M273" s="175"/>
      <c r="N273" s="175"/>
      <c r="O273" s="32"/>
    </row>
    <row r="274" spans="2:15" ht="15" customHeight="1">
      <c r="B274" s="86" t="str">
        <f xml:space="preserve"> ( 'Facility Detail'!$B$1897 + 2 ) &amp; " Surplus Applied to " &amp; ( 'Facility Detail'!$B$1897 + 3 )</f>
        <v>2013 Surplus Applied to 2014</v>
      </c>
      <c r="C274" s="32"/>
      <c r="D274" s="153"/>
      <c r="E274" s="155"/>
      <c r="F274" s="59">
        <f>F256</f>
        <v>0</v>
      </c>
      <c r="G274" s="156">
        <f>F274</f>
        <v>0</v>
      </c>
      <c r="H274" s="139"/>
      <c r="I274" s="139"/>
      <c r="J274" s="81"/>
      <c r="K274" s="81"/>
      <c r="L274" s="81"/>
      <c r="M274" s="175"/>
      <c r="N274" s="175"/>
      <c r="O274" s="32"/>
    </row>
    <row r="275" spans="2:15" ht="15" customHeight="1">
      <c r="B275" s="86" t="str">
        <f xml:space="preserve"> ( 'Facility Detail'!$B$1897 + 3 ) &amp; " Surplus Applied to " &amp; ( 'Facility Detail'!$B$1897 + 2 )</f>
        <v>2014 Surplus Applied to 2013</v>
      </c>
      <c r="C275" s="32"/>
      <c r="D275" s="153"/>
      <c r="E275" s="172"/>
      <c r="F275" s="188">
        <f>G275</f>
        <v>0</v>
      </c>
      <c r="G275" s="59"/>
      <c r="H275" s="139"/>
      <c r="I275" s="139"/>
      <c r="J275" s="81" t="s">
        <v>121</v>
      </c>
      <c r="K275" s="81" t="s">
        <v>121</v>
      </c>
      <c r="L275" s="81" t="s">
        <v>121</v>
      </c>
      <c r="M275" s="175" t="s">
        <v>121</v>
      </c>
      <c r="N275" s="175" t="s">
        <v>121</v>
      </c>
      <c r="O275" s="32"/>
    </row>
    <row r="276" spans="2:15" ht="15" customHeight="1">
      <c r="B276" s="86" t="str">
        <f xml:space="preserve"> ( 'Facility Detail'!$B$1897 + 3 ) &amp; " Surplus Applied to " &amp; ( 'Facility Detail'!$B$1897 + 4 )</f>
        <v>2014 Surplus Applied to 2015</v>
      </c>
      <c r="C276" s="32"/>
      <c r="D276" s="153"/>
      <c r="E276" s="155"/>
      <c r="F276" s="189"/>
      <c r="G276" s="59">
        <f>G256</f>
        <v>0</v>
      </c>
      <c r="H276" s="164">
        <f>G276</f>
        <v>0</v>
      </c>
      <c r="I276" s="155"/>
      <c r="J276" s="157"/>
      <c r="K276" s="157"/>
      <c r="L276" s="157"/>
      <c r="M276" s="161"/>
      <c r="N276" s="161"/>
      <c r="O276" s="32"/>
    </row>
    <row r="277" spans="2:15" ht="15" customHeight="1">
      <c r="B277" s="86" t="str">
        <f xml:space="preserve"> ( 'Facility Detail'!$B$1897 + 4 ) &amp; " Surplus Applied to " &amp; ( 'Facility Detail'!$B$1897 + 3 )</f>
        <v>2015 Surplus Applied to 2014</v>
      </c>
      <c r="C277" s="32"/>
      <c r="D277" s="68"/>
      <c r="E277" s="157"/>
      <c r="F277" s="187"/>
      <c r="G277" s="159">
        <f>H277</f>
        <v>0</v>
      </c>
      <c r="H277" s="160"/>
      <c r="I277" s="157"/>
      <c r="J277" s="157"/>
      <c r="K277" s="157"/>
      <c r="L277" s="157"/>
      <c r="M277" s="161"/>
      <c r="N277" s="161"/>
      <c r="O277" s="32"/>
    </row>
    <row r="278" spans="2:15" ht="15" customHeight="1">
      <c r="B278" s="86" t="str">
        <f xml:space="preserve"> ( 'Facility Detail'!$B$1897 + 4 ) &amp; " Surplus Applied to " &amp; ( 'Facility Detail'!$B$1897 + 5 )</f>
        <v>2015 Surplus Applied to 2016</v>
      </c>
      <c r="C278" s="32"/>
      <c r="D278" s="219"/>
      <c r="E278" s="220"/>
      <c r="F278" s="195"/>
      <c r="G278" s="220"/>
      <c r="H278" s="221">
        <f>H256</f>
        <v>8656</v>
      </c>
      <c r="I278" s="222">
        <f>H278</f>
        <v>8656</v>
      </c>
      <c r="J278" s="81"/>
      <c r="K278" s="81"/>
      <c r="L278" s="81"/>
      <c r="M278" s="175"/>
      <c r="N278" s="175"/>
      <c r="O278" s="32"/>
    </row>
    <row r="279" spans="2:15" ht="15" customHeight="1">
      <c r="B279" s="86" t="str">
        <f xml:space="preserve"> ( 'Facility Detail'!$B$1897 + 5 ) &amp; " Surplus Applied to " &amp; ( 'Facility Detail'!$B$1897 + 4 )</f>
        <v>2016 Surplus Applied to 2015</v>
      </c>
      <c r="C279" s="78"/>
      <c r="D279" s="68"/>
      <c r="E279" s="157"/>
      <c r="F279" s="157"/>
      <c r="G279" s="157"/>
      <c r="H279" s="77">
        <f>I279</f>
        <v>0</v>
      </c>
      <c r="I279" s="160"/>
      <c r="J279" s="81"/>
      <c r="K279" s="81"/>
      <c r="L279" s="81"/>
      <c r="M279" s="175"/>
      <c r="N279" s="175"/>
      <c r="O279" s="32"/>
    </row>
    <row r="280" spans="2:15" ht="15" customHeight="1">
      <c r="B280" s="86" t="str">
        <f xml:space="preserve"> ( 'Facility Detail'!$B$1897 + 5 ) &amp; " Surplus Applied to " &amp; ( 'Facility Detail'!$B$1897 + 6 )</f>
        <v>2016 Surplus Applied to 2017</v>
      </c>
      <c r="C280" s="78"/>
      <c r="D280" s="68"/>
      <c r="E280" s="157"/>
      <c r="F280" s="157"/>
      <c r="G280" s="157"/>
      <c r="H280" s="157"/>
      <c r="I280" s="160">
        <f>I256</f>
        <v>11174</v>
      </c>
      <c r="J280" s="77">
        <f>I280</f>
        <v>11174</v>
      </c>
      <c r="K280" s="81"/>
      <c r="L280" s="81"/>
      <c r="M280" s="175"/>
      <c r="N280" s="175"/>
      <c r="O280" s="32"/>
    </row>
    <row r="281" spans="2:15" ht="15" customHeight="1">
      <c r="B281" s="86" t="s">
        <v>119</v>
      </c>
      <c r="C281" s="32"/>
      <c r="D281" s="68"/>
      <c r="E281" s="157"/>
      <c r="F281" s="157"/>
      <c r="G281" s="157"/>
      <c r="H281" s="157"/>
      <c r="I281" s="159"/>
      <c r="J281" s="160"/>
      <c r="K281" s="157"/>
      <c r="L281" s="81"/>
      <c r="M281" s="175"/>
      <c r="N281" s="175"/>
      <c r="O281" s="32"/>
    </row>
    <row r="282" spans="2:15" ht="15" customHeight="1">
      <c r="B282" s="86" t="s">
        <v>120</v>
      </c>
      <c r="C282" s="32"/>
      <c r="D282" s="68"/>
      <c r="E282" s="157"/>
      <c r="F282" s="157"/>
      <c r="G282" s="157"/>
      <c r="H282" s="157"/>
      <c r="I282" s="157"/>
      <c r="J282" s="160">
        <v>9667</v>
      </c>
      <c r="K282" s="77">
        <f>J282</f>
        <v>9667</v>
      </c>
      <c r="L282" s="81"/>
      <c r="M282" s="161"/>
      <c r="N282" s="161"/>
      <c r="O282" s="32"/>
    </row>
    <row r="283" spans="2:15" ht="15" customHeight="1">
      <c r="B283" s="86" t="s">
        <v>152</v>
      </c>
      <c r="C283" s="32"/>
      <c r="D283" s="68"/>
      <c r="E283" s="157"/>
      <c r="F283" s="157"/>
      <c r="G283" s="157"/>
      <c r="H283" s="157"/>
      <c r="I283" s="157"/>
      <c r="J283" s="159"/>
      <c r="K283" s="160"/>
      <c r="L283" s="81"/>
      <c r="M283" s="161"/>
      <c r="N283" s="161"/>
      <c r="O283" s="32"/>
    </row>
    <row r="284" spans="2:15" ht="15" customHeight="1">
      <c r="B284" s="86" t="s">
        <v>153</v>
      </c>
      <c r="C284" s="32"/>
      <c r="D284" s="69"/>
      <c r="E284" s="140"/>
      <c r="F284" s="140"/>
      <c r="G284" s="140"/>
      <c r="H284" s="140"/>
      <c r="I284" s="140"/>
      <c r="J284" s="140"/>
      <c r="K284" s="162">
        <f>K256</f>
        <v>3216</v>
      </c>
      <c r="L284" s="337">
        <f>K284</f>
        <v>3216</v>
      </c>
      <c r="M284" s="338"/>
      <c r="N284" s="338"/>
      <c r="O284" s="32"/>
    </row>
    <row r="285" spans="2:15" ht="15" customHeight="1">
      <c r="B285" s="35" t="s">
        <v>17</v>
      </c>
      <c r="D285" s="7">
        <f xml:space="preserve"> D271 - D270</f>
        <v>-12259</v>
      </c>
      <c r="E285" s="7">
        <f xml:space="preserve"> E270 + E273 - E272 - E271</f>
        <v>12259</v>
      </c>
      <c r="F285" s="7">
        <f>F272 - F273 -F274</f>
        <v>0</v>
      </c>
      <c r="G285" s="7">
        <f>G274-G275-G276</f>
        <v>0</v>
      </c>
      <c r="H285" s="7">
        <f>H276-H277-H278</f>
        <v>-8656</v>
      </c>
      <c r="I285" s="7">
        <f>I278-I279-I280</f>
        <v>-2518</v>
      </c>
      <c r="J285" s="7">
        <f>J280-J281-J282</f>
        <v>1507</v>
      </c>
      <c r="K285" s="7">
        <f>K282-K283-K284</f>
        <v>6451</v>
      </c>
      <c r="L285" s="7">
        <f>L284</f>
        <v>3216</v>
      </c>
      <c r="M285" s="7"/>
      <c r="N285" s="7"/>
      <c r="O285" s="32"/>
    </row>
    <row r="286" spans="2:15" ht="15" customHeight="1">
      <c r="B286" s="6"/>
      <c r="D286" s="7"/>
      <c r="E286" s="7"/>
      <c r="F286" s="7"/>
      <c r="G286" s="7"/>
      <c r="H286" s="7"/>
      <c r="I286" s="7"/>
      <c r="J286" s="7"/>
      <c r="K286" s="7"/>
      <c r="L286" s="7"/>
      <c r="M286" s="7"/>
      <c r="N286" s="7"/>
      <c r="O286" s="32"/>
    </row>
    <row r="287" spans="2:15" ht="15" customHeight="1">
      <c r="B287" s="83" t="s">
        <v>12</v>
      </c>
      <c r="C287" s="78"/>
      <c r="D287" s="101"/>
      <c r="E287" s="102"/>
      <c r="F287" s="102"/>
      <c r="G287" s="102"/>
      <c r="H287" s="170"/>
      <c r="I287" s="102"/>
      <c r="J287" s="102"/>
      <c r="K287" s="102"/>
      <c r="L287" s="170"/>
      <c r="M287" s="103"/>
      <c r="N287" s="103"/>
      <c r="O287" s="32"/>
    </row>
    <row r="288" spans="2:15" ht="15" customHeight="1">
      <c r="B288" s="6"/>
      <c r="D288" s="7"/>
      <c r="E288" s="7"/>
      <c r="F288" s="7"/>
      <c r="G288" s="7"/>
      <c r="H288" s="7"/>
      <c r="I288" s="7"/>
      <c r="J288" s="7"/>
      <c r="K288" s="7"/>
      <c r="L288" s="7"/>
      <c r="M288" s="7"/>
      <c r="N288" s="7"/>
      <c r="O288" s="32"/>
    </row>
    <row r="289" spans="1:15" ht="18.75" customHeight="1">
      <c r="A289" s="43" t="s">
        <v>26</v>
      </c>
      <c r="C289" s="78"/>
      <c r="D289" s="47">
        <f t="shared" ref="D289:I289" si="121" xml:space="preserve"> D256 + D261 - D267 + D285 + D287</f>
        <v>0</v>
      </c>
      <c r="E289" s="48">
        <f t="shared" si="121"/>
        <v>12259</v>
      </c>
      <c r="F289" s="48">
        <f t="shared" si="121"/>
        <v>0</v>
      </c>
      <c r="G289" s="48">
        <f t="shared" si="121"/>
        <v>0</v>
      </c>
      <c r="H289" s="48">
        <f t="shared" si="121"/>
        <v>0</v>
      </c>
      <c r="I289" s="48">
        <f t="shared" si="121"/>
        <v>8656</v>
      </c>
      <c r="J289" s="48">
        <f t="shared" ref="J289:L289" si="122" xml:space="preserve"> J256 + J261 - J267 + J285 + J287</f>
        <v>11174</v>
      </c>
      <c r="K289" s="48">
        <f t="shared" si="122"/>
        <v>9667</v>
      </c>
      <c r="L289" s="48">
        <f t="shared" si="122"/>
        <v>3216</v>
      </c>
      <c r="M289" s="152">
        <f t="shared" ref="M289:N289" si="123" xml:space="preserve"> M256 + M261 - M267 + M285 + M287</f>
        <v>0</v>
      </c>
      <c r="N289" s="152">
        <f t="shared" si="123"/>
        <v>0</v>
      </c>
      <c r="O289" s="32"/>
    </row>
    <row r="290" spans="1:15" ht="15" customHeight="1">
      <c r="B290" s="6"/>
      <c r="D290" s="7"/>
      <c r="E290" s="7"/>
      <c r="F290" s="7"/>
      <c r="G290" s="30"/>
      <c r="H290" s="30"/>
      <c r="I290" s="30"/>
      <c r="J290" s="30"/>
      <c r="K290" s="30"/>
      <c r="L290" s="30"/>
      <c r="M290" s="30"/>
      <c r="N290" s="30"/>
      <c r="O290" s="32"/>
    </row>
    <row r="291" spans="1:15" ht="15.75" customHeight="1" thickBot="1">
      <c r="O291" s="32"/>
    </row>
    <row r="292" spans="1:15">
      <c r="A292" s="8"/>
      <c r="B292" s="8"/>
      <c r="C292" s="8"/>
      <c r="D292" s="8"/>
      <c r="E292" s="8"/>
      <c r="F292" s="8"/>
      <c r="G292" s="8"/>
      <c r="H292" s="8"/>
      <c r="I292" s="8"/>
      <c r="J292" s="8"/>
      <c r="K292" s="8"/>
      <c r="L292" s="8"/>
      <c r="M292" s="8"/>
      <c r="N292" s="8"/>
      <c r="O292" s="32"/>
    </row>
    <row r="293" spans="1:15">
      <c r="B293" s="32"/>
      <c r="C293" s="32"/>
      <c r="D293" s="32"/>
      <c r="E293" s="32"/>
      <c r="F293" s="32"/>
      <c r="G293" s="32"/>
      <c r="H293" s="32"/>
      <c r="I293" s="32"/>
      <c r="J293" s="32"/>
      <c r="K293" s="32"/>
      <c r="L293" s="32"/>
      <c r="M293" s="32"/>
      <c r="N293" s="32"/>
      <c r="O293" s="32"/>
    </row>
    <row r="294" spans="1:15" ht="21">
      <c r="A294" s="14" t="s">
        <v>4</v>
      </c>
      <c r="B294" s="14"/>
      <c r="C294" s="44" t="str">
        <f>B7</f>
        <v>Hot Springs Windfarm - REC Only</v>
      </c>
      <c r="D294" s="45"/>
      <c r="E294" s="24"/>
      <c r="F294" s="24"/>
      <c r="O294" s="32"/>
    </row>
    <row r="295" spans="1:15">
      <c r="O295" s="32"/>
    </row>
    <row r="296" spans="1:15" ht="18.5">
      <c r="A296" s="9" t="s">
        <v>21</v>
      </c>
      <c r="B296" s="9"/>
      <c r="D296" s="2">
        <f>'Facility Detail'!$B$1897</f>
        <v>2011</v>
      </c>
      <c r="E296" s="2">
        <f t="shared" ref="E296:K296" si="124">D296+1</f>
        <v>2012</v>
      </c>
      <c r="F296" s="2">
        <f t="shared" si="124"/>
        <v>2013</v>
      </c>
      <c r="G296" s="2">
        <f t="shared" si="124"/>
        <v>2014</v>
      </c>
      <c r="H296" s="2">
        <f t="shared" si="124"/>
        <v>2015</v>
      </c>
      <c r="I296" s="2">
        <f t="shared" si="124"/>
        <v>2016</v>
      </c>
      <c r="J296" s="2">
        <f t="shared" si="124"/>
        <v>2017</v>
      </c>
      <c r="K296" s="2">
        <f t="shared" si="124"/>
        <v>2018</v>
      </c>
      <c r="L296" s="2">
        <f t="shared" ref="L296" si="125">K296+1</f>
        <v>2019</v>
      </c>
      <c r="M296" s="2">
        <f t="shared" ref="M296" si="126">L296+1</f>
        <v>2020</v>
      </c>
      <c r="N296" s="2">
        <f t="shared" ref="N296" si="127">M296+1</f>
        <v>2021</v>
      </c>
      <c r="O296" s="32"/>
    </row>
    <row r="297" spans="1:15">
      <c r="B297" s="86" t="str">
        <f>"Total MWh Produced / Purchased from " &amp; C294</f>
        <v>Total MWh Produced / Purchased from Hot Springs Windfarm - REC Only</v>
      </c>
      <c r="C297" s="78"/>
      <c r="D297" s="3">
        <v>7963</v>
      </c>
      <c r="E297" s="4"/>
      <c r="F297" s="4"/>
      <c r="G297" s="4"/>
      <c r="H297" s="4">
        <v>8028</v>
      </c>
      <c r="I297" s="4">
        <v>10218</v>
      </c>
      <c r="J297" s="307">
        <v>8846</v>
      </c>
      <c r="K297" s="4">
        <v>1923</v>
      </c>
      <c r="L297" s="4"/>
      <c r="M297" s="5"/>
      <c r="N297" s="5"/>
      <c r="O297" s="32"/>
    </row>
    <row r="298" spans="1:15">
      <c r="B298" s="86" t="s">
        <v>25</v>
      </c>
      <c r="C298" s="78"/>
      <c r="D298" s="60">
        <v>1</v>
      </c>
      <c r="E298" s="61"/>
      <c r="F298" s="61"/>
      <c r="G298" s="61"/>
      <c r="H298" s="61">
        <v>1</v>
      </c>
      <c r="I298" s="61">
        <v>1</v>
      </c>
      <c r="J298" s="61">
        <v>1</v>
      </c>
      <c r="K298" s="61">
        <v>1</v>
      </c>
      <c r="L298" s="61"/>
      <c r="M298" s="62"/>
      <c r="N298" s="62"/>
      <c r="O298" s="32"/>
    </row>
    <row r="299" spans="1:15">
      <c r="B299" s="86" t="s">
        <v>20</v>
      </c>
      <c r="C299" s="78"/>
      <c r="D299" s="52">
        <v>1</v>
      </c>
      <c r="E299" s="53"/>
      <c r="F299" s="53"/>
      <c r="G299" s="53"/>
      <c r="H299" s="53">
        <v>1</v>
      </c>
      <c r="I299" s="53">
        <v>1</v>
      </c>
      <c r="J299" s="53">
        <v>1</v>
      </c>
      <c r="K299" s="53">
        <v>1</v>
      </c>
      <c r="L299" s="53"/>
      <c r="M299" s="54"/>
      <c r="N299" s="54"/>
      <c r="O299" s="32"/>
    </row>
    <row r="300" spans="1:15">
      <c r="B300" s="83" t="s">
        <v>22</v>
      </c>
      <c r="C300" s="84"/>
      <c r="D300" s="39">
        <v>7963</v>
      </c>
      <c r="E300" s="39">
        <v>0</v>
      </c>
      <c r="F300" s="39">
        <v>0</v>
      </c>
      <c r="G300" s="39">
        <v>0</v>
      </c>
      <c r="H300" s="39">
        <v>8028</v>
      </c>
      <c r="I300" s="39">
        <v>10218</v>
      </c>
      <c r="J300" s="306">
        <v>8846</v>
      </c>
      <c r="K300" s="39">
        <v>1923</v>
      </c>
      <c r="L300" s="39">
        <f t="shared" ref="L300" si="128">L297 * L298 * L299</f>
        <v>0</v>
      </c>
      <c r="M300" s="39">
        <f t="shared" ref="M300:N300" si="129">M297 * M298 * M299</f>
        <v>0</v>
      </c>
      <c r="N300" s="39">
        <f t="shared" si="129"/>
        <v>0</v>
      </c>
      <c r="O300" s="32"/>
    </row>
    <row r="301" spans="1:15">
      <c r="B301" s="24"/>
      <c r="C301" s="32"/>
      <c r="D301" s="38"/>
      <c r="E301" s="38"/>
      <c r="F301" s="38"/>
      <c r="G301" s="25"/>
      <c r="H301" s="25"/>
      <c r="I301" s="25"/>
      <c r="J301" s="25"/>
      <c r="K301" s="25"/>
      <c r="L301" s="25"/>
      <c r="M301" s="25"/>
      <c r="N301" s="25"/>
      <c r="O301" s="32"/>
    </row>
    <row r="302" spans="1:15" ht="18.5">
      <c r="A302" s="46" t="s">
        <v>52</v>
      </c>
      <c r="C302" s="32"/>
      <c r="D302" s="2">
        <f>'Facility Detail'!$B$1897</f>
        <v>2011</v>
      </c>
      <c r="E302" s="2">
        <f>D302+1</f>
        <v>2012</v>
      </c>
      <c r="F302" s="2">
        <f>E302+1</f>
        <v>2013</v>
      </c>
      <c r="G302" s="2">
        <f>G296</f>
        <v>2014</v>
      </c>
      <c r="H302" s="2">
        <f>H296</f>
        <v>2015</v>
      </c>
      <c r="I302" s="2">
        <f>I296</f>
        <v>2016</v>
      </c>
      <c r="J302" s="2">
        <f>J296</f>
        <v>2017</v>
      </c>
      <c r="K302" s="2">
        <f t="shared" ref="K302:L302" si="130">K296</f>
        <v>2018</v>
      </c>
      <c r="L302" s="2">
        <f t="shared" si="130"/>
        <v>2019</v>
      </c>
      <c r="M302" s="2">
        <f t="shared" ref="M302:N302" si="131">M296</f>
        <v>2020</v>
      </c>
      <c r="N302" s="2">
        <f t="shared" si="131"/>
        <v>2021</v>
      </c>
      <c r="O302" s="32"/>
    </row>
    <row r="303" spans="1:15">
      <c r="B303" s="86" t="s">
        <v>10</v>
      </c>
      <c r="C303" s="78"/>
      <c r="D303" s="55">
        <f>IF( $E7 = "Eligible", D300 * 'Facility Detail'!$B$1894, 0 )</f>
        <v>0</v>
      </c>
      <c r="E303" s="11">
        <f>IF( $E7 = "Eligible", E300 * 'Facility Detail'!$B$1894, 0 )</f>
        <v>0</v>
      </c>
      <c r="F303" s="11">
        <f>IF( $E7 = "Eligible", F300 * 'Facility Detail'!$B$1894, 0 )</f>
        <v>0</v>
      </c>
      <c r="G303" s="11">
        <f>IF( $E7 = "Eligible", G300 * 'Facility Detail'!$B$1894, 0 )</f>
        <v>0</v>
      </c>
      <c r="H303" s="11">
        <f>IF( $E7 = "Eligible", H300 * 'Facility Detail'!$B$1894, 0 )</f>
        <v>0</v>
      </c>
      <c r="I303" s="11">
        <f>IF( $E7 = "Eligible", I300 * 'Facility Detail'!$B$1894, 0 )</f>
        <v>0</v>
      </c>
      <c r="J303" s="11">
        <f>IF( $E7 = "Eligible", J300 * 'Facility Detail'!$B$1894, 0 )</f>
        <v>0</v>
      </c>
      <c r="K303" s="11">
        <f>IF( $E7 = "Eligible", K300 * 'Facility Detail'!$B$1894, 0 )</f>
        <v>0</v>
      </c>
      <c r="L303" s="11">
        <f>IF( $E7 = "Eligible", L300 * 'Facility Detail'!$B$1894, 0 )</f>
        <v>0</v>
      </c>
      <c r="M303" s="12">
        <f>IF( $E7 = "Eligible", M300 * 'Facility Detail'!$B$1894, 0 )</f>
        <v>0</v>
      </c>
      <c r="N303" s="12">
        <f>IF( $E7 = "Eligible", N300 * 'Facility Detail'!$B$1894, 0 )</f>
        <v>0</v>
      </c>
      <c r="O303" s="32"/>
    </row>
    <row r="304" spans="1:15">
      <c r="B304" s="86" t="s">
        <v>6</v>
      </c>
      <c r="C304" s="78"/>
      <c r="D304" s="56">
        <f t="shared" ref="D304:N304" si="132">IF( $F7 = "Eligible", D300, 0 )</f>
        <v>0</v>
      </c>
      <c r="E304" s="57">
        <f t="shared" si="132"/>
        <v>0</v>
      </c>
      <c r="F304" s="57">
        <f t="shared" si="132"/>
        <v>0</v>
      </c>
      <c r="G304" s="57">
        <f t="shared" si="132"/>
        <v>0</v>
      </c>
      <c r="H304" s="57">
        <f t="shared" si="132"/>
        <v>0</v>
      </c>
      <c r="I304" s="57">
        <f t="shared" si="132"/>
        <v>0</v>
      </c>
      <c r="J304" s="57">
        <f t="shared" si="132"/>
        <v>0</v>
      </c>
      <c r="K304" s="57">
        <f t="shared" si="132"/>
        <v>0</v>
      </c>
      <c r="L304" s="57">
        <f t="shared" si="132"/>
        <v>0</v>
      </c>
      <c r="M304" s="58">
        <f t="shared" ref="M304" si="133">IF( $F7 = "Eligible", M300, 0 )</f>
        <v>0</v>
      </c>
      <c r="N304" s="58">
        <f t="shared" si="132"/>
        <v>0</v>
      </c>
      <c r="O304" s="32"/>
    </row>
    <row r="305" spans="1:15">
      <c r="B305" s="85" t="s">
        <v>54</v>
      </c>
      <c r="C305" s="84"/>
      <c r="D305" s="41">
        <f t="shared" ref="D305:I305" si="134">SUM(D303:D304)</f>
        <v>0</v>
      </c>
      <c r="E305" s="42">
        <f t="shared" si="134"/>
        <v>0</v>
      </c>
      <c r="F305" s="42">
        <f t="shared" si="134"/>
        <v>0</v>
      </c>
      <c r="G305" s="42">
        <f t="shared" si="134"/>
        <v>0</v>
      </c>
      <c r="H305" s="42">
        <f t="shared" si="134"/>
        <v>0</v>
      </c>
      <c r="I305" s="42">
        <f t="shared" si="134"/>
        <v>0</v>
      </c>
      <c r="J305" s="42">
        <f t="shared" ref="J305:L305" si="135">SUM(J303:J304)</f>
        <v>0</v>
      </c>
      <c r="K305" s="42">
        <f t="shared" si="135"/>
        <v>0</v>
      </c>
      <c r="L305" s="42">
        <f t="shared" si="135"/>
        <v>0</v>
      </c>
      <c r="M305" s="42">
        <f t="shared" ref="M305:N305" si="136">SUM(M303:M304)</f>
        <v>0</v>
      </c>
      <c r="N305" s="42">
        <f t="shared" si="136"/>
        <v>0</v>
      </c>
      <c r="O305" s="32"/>
    </row>
    <row r="306" spans="1:15">
      <c r="B306" s="32"/>
      <c r="C306" s="32"/>
      <c r="D306" s="40"/>
      <c r="E306" s="33"/>
      <c r="F306" s="33"/>
      <c r="G306" s="25"/>
      <c r="H306" s="25"/>
      <c r="I306" s="25"/>
      <c r="J306" s="25"/>
      <c r="K306" s="25"/>
      <c r="L306" s="25"/>
      <c r="M306" s="25"/>
      <c r="N306" s="25"/>
      <c r="O306" s="32"/>
    </row>
    <row r="307" spans="1:15" ht="18.5">
      <c r="A307" s="43" t="s">
        <v>30</v>
      </c>
      <c r="C307" s="32"/>
      <c r="D307" s="2">
        <f>'Facility Detail'!$B$1897</f>
        <v>2011</v>
      </c>
      <c r="E307" s="2">
        <f>D307+1</f>
        <v>2012</v>
      </c>
      <c r="F307" s="2">
        <f>E307+1</f>
        <v>2013</v>
      </c>
      <c r="G307" s="2">
        <f>G296</f>
        <v>2014</v>
      </c>
      <c r="H307" s="2">
        <f>H296</f>
        <v>2015</v>
      </c>
      <c r="I307" s="2">
        <f>I296</f>
        <v>2016</v>
      </c>
      <c r="J307" s="2">
        <f>J296</f>
        <v>2017</v>
      </c>
      <c r="K307" s="2">
        <f t="shared" ref="K307:L307" si="137">K296</f>
        <v>2018</v>
      </c>
      <c r="L307" s="2">
        <f t="shared" si="137"/>
        <v>2019</v>
      </c>
      <c r="M307" s="2">
        <f t="shared" ref="M307:N307" si="138">M296</f>
        <v>2020</v>
      </c>
      <c r="N307" s="2">
        <f t="shared" si="138"/>
        <v>2021</v>
      </c>
      <c r="O307" s="32"/>
    </row>
    <row r="308" spans="1:15">
      <c r="B308" s="86" t="s">
        <v>32</v>
      </c>
      <c r="C308" s="78"/>
      <c r="D308" s="90"/>
      <c r="E308" s="91"/>
      <c r="F308" s="91"/>
      <c r="G308" s="91"/>
      <c r="H308" s="91"/>
      <c r="I308" s="91"/>
      <c r="J308" s="91"/>
      <c r="K308" s="91"/>
      <c r="L308" s="91"/>
      <c r="M308" s="148"/>
      <c r="N308" s="148"/>
      <c r="O308" s="32"/>
    </row>
    <row r="309" spans="1:15">
      <c r="B309" s="87" t="s">
        <v>23</v>
      </c>
      <c r="C309" s="192"/>
      <c r="D309" s="93"/>
      <c r="E309" s="94"/>
      <c r="F309" s="94"/>
      <c r="G309" s="94"/>
      <c r="H309" s="94"/>
      <c r="I309" s="94"/>
      <c r="J309" s="94"/>
      <c r="K309" s="94"/>
      <c r="L309" s="94"/>
      <c r="M309" s="95"/>
      <c r="N309" s="95"/>
      <c r="O309" s="32"/>
    </row>
    <row r="310" spans="1:15">
      <c r="B310" s="96" t="s">
        <v>38</v>
      </c>
      <c r="C310" s="190"/>
      <c r="D310" s="63"/>
      <c r="E310" s="64"/>
      <c r="F310" s="64"/>
      <c r="G310" s="64"/>
      <c r="H310" s="64"/>
      <c r="I310" s="64"/>
      <c r="J310" s="64"/>
      <c r="K310" s="64"/>
      <c r="L310" s="64"/>
      <c r="M310" s="65"/>
      <c r="N310" s="65"/>
      <c r="O310" s="32"/>
    </row>
    <row r="311" spans="1:15">
      <c r="B311" s="35" t="s">
        <v>39</v>
      </c>
      <c r="D311" s="7">
        <f t="shared" ref="D311:I311" si="139">SUM(D308:D310)</f>
        <v>0</v>
      </c>
      <c r="E311" s="7">
        <f t="shared" si="139"/>
        <v>0</v>
      </c>
      <c r="F311" s="7">
        <f t="shared" si="139"/>
        <v>0</v>
      </c>
      <c r="G311" s="7">
        <f t="shared" si="139"/>
        <v>0</v>
      </c>
      <c r="H311" s="7">
        <f t="shared" si="139"/>
        <v>0</v>
      </c>
      <c r="I311" s="7">
        <f t="shared" si="139"/>
        <v>0</v>
      </c>
      <c r="J311" s="7">
        <f t="shared" ref="J311:L311" si="140">SUM(J308:J310)</f>
        <v>0</v>
      </c>
      <c r="K311" s="7">
        <f t="shared" si="140"/>
        <v>0</v>
      </c>
      <c r="L311" s="7">
        <f t="shared" si="140"/>
        <v>0</v>
      </c>
      <c r="M311" s="7">
        <f t="shared" ref="M311:N311" si="141">SUM(M308:M310)</f>
        <v>0</v>
      </c>
      <c r="N311" s="7">
        <f t="shared" si="141"/>
        <v>0</v>
      </c>
      <c r="O311" s="32"/>
    </row>
    <row r="312" spans="1:15">
      <c r="B312" s="6"/>
      <c r="D312" s="7"/>
      <c r="E312" s="7"/>
      <c r="F312" s="7"/>
      <c r="G312" s="30"/>
      <c r="H312" s="30"/>
      <c r="I312" s="30"/>
      <c r="J312" s="30"/>
      <c r="K312" s="30"/>
      <c r="L312" s="30"/>
      <c r="M312" s="30"/>
      <c r="N312" s="30"/>
      <c r="O312" s="32"/>
    </row>
    <row r="313" spans="1:15" ht="18.5">
      <c r="A313" s="9" t="s">
        <v>40</v>
      </c>
      <c r="D313" s="2">
        <f>'Facility Detail'!$B$1897</f>
        <v>2011</v>
      </c>
      <c r="E313" s="2">
        <f t="shared" ref="E313:K313" si="142">D313+1</f>
        <v>2012</v>
      </c>
      <c r="F313" s="2">
        <f t="shared" si="142"/>
        <v>2013</v>
      </c>
      <c r="G313" s="2">
        <f t="shared" si="142"/>
        <v>2014</v>
      </c>
      <c r="H313" s="2">
        <f t="shared" si="142"/>
        <v>2015</v>
      </c>
      <c r="I313" s="2">
        <f t="shared" si="142"/>
        <v>2016</v>
      </c>
      <c r="J313" s="2">
        <f t="shared" si="142"/>
        <v>2017</v>
      </c>
      <c r="K313" s="2">
        <f t="shared" si="142"/>
        <v>2018</v>
      </c>
      <c r="L313" s="2">
        <f t="shared" ref="L313" si="143">K313+1</f>
        <v>2019</v>
      </c>
      <c r="M313" s="2">
        <f t="shared" ref="M313" si="144">L313+1</f>
        <v>2020</v>
      </c>
      <c r="N313" s="2">
        <f t="shared" ref="N313" si="145">M313+1</f>
        <v>2021</v>
      </c>
      <c r="O313" s="32"/>
    </row>
    <row r="314" spans="1:15">
      <c r="B314" s="86" t="str">
        <f xml:space="preserve"> 'Facility Detail'!$B$1897 &amp; " Surplus Applied to " &amp; ( 'Facility Detail'!$B$1897 + 1 )</f>
        <v>2011 Surplus Applied to 2012</v>
      </c>
      <c r="C314" s="32"/>
      <c r="D314" s="3">
        <f>D300</f>
        <v>7963</v>
      </c>
      <c r="E314" s="66">
        <f>D314</f>
        <v>7963</v>
      </c>
      <c r="F314" s="138"/>
      <c r="G314" s="138"/>
      <c r="H314" s="138"/>
      <c r="I314" s="138"/>
      <c r="J314" s="138"/>
      <c r="K314" s="138"/>
      <c r="L314" s="138"/>
      <c r="M314" s="67"/>
      <c r="N314" s="67"/>
      <c r="O314" s="32"/>
    </row>
    <row r="315" spans="1:15">
      <c r="B315" s="86" t="str">
        <f xml:space="preserve"> ( 'Facility Detail'!$B$1897 + 1 ) &amp; " Surplus Applied to " &amp; ( 'Facility Detail'!$B$1897 )</f>
        <v>2012 Surplus Applied to 2011</v>
      </c>
      <c r="C315" s="32"/>
      <c r="D315" s="51">
        <f>E315</f>
        <v>0</v>
      </c>
      <c r="E315" s="59"/>
      <c r="F315" s="139"/>
      <c r="G315" s="139"/>
      <c r="H315" s="139"/>
      <c r="I315" s="139"/>
      <c r="J315" s="81"/>
      <c r="K315" s="81"/>
      <c r="L315" s="81"/>
      <c r="M315" s="175"/>
      <c r="N315" s="175"/>
      <c r="O315" s="32"/>
    </row>
    <row r="316" spans="1:15">
      <c r="B316" s="86" t="str">
        <f xml:space="preserve"> ( 'Facility Detail'!$B$1897 + 1 ) &amp; " Surplus Applied to " &amp; ( 'Facility Detail'!$B$1897 + 2 )</f>
        <v>2012 Surplus Applied to 2013</v>
      </c>
      <c r="C316" s="32"/>
      <c r="D316" s="68"/>
      <c r="E316" s="10"/>
      <c r="F316" s="77">
        <f>E316</f>
        <v>0</v>
      </c>
      <c r="G316" s="139"/>
      <c r="H316" s="139"/>
      <c r="I316" s="139"/>
      <c r="J316" s="81"/>
      <c r="K316" s="81"/>
      <c r="L316" s="81"/>
      <c r="M316" s="175"/>
      <c r="N316" s="175"/>
      <c r="O316" s="32"/>
    </row>
    <row r="317" spans="1:15">
      <c r="B317" s="86" t="str">
        <f xml:space="preserve"> ( 'Facility Detail'!$B$1897 + 2 ) &amp; " Surplus Applied to " &amp; ( 'Facility Detail'!$B$1897 + 1 )</f>
        <v>2013 Surplus Applied to 2012</v>
      </c>
      <c r="C317" s="32"/>
      <c r="D317" s="68"/>
      <c r="E317" s="77">
        <f>F317</f>
        <v>0</v>
      </c>
      <c r="F317" s="145"/>
      <c r="G317" s="139"/>
      <c r="H317" s="139"/>
      <c r="I317" s="139"/>
      <c r="J317" s="81"/>
      <c r="K317" s="81"/>
      <c r="L317" s="81"/>
      <c r="M317" s="175"/>
      <c r="N317" s="175"/>
      <c r="O317" s="32"/>
    </row>
    <row r="318" spans="1:15">
      <c r="B318" s="86" t="str">
        <f xml:space="preserve"> ( 'Facility Detail'!$B$1897 + 2 ) &amp; " Surplus Applied to " &amp; ( 'Facility Detail'!$B$1897 + 3 )</f>
        <v>2013 Surplus Applied to 2014</v>
      </c>
      <c r="C318" s="32"/>
      <c r="D318" s="153"/>
      <c r="E318" s="155"/>
      <c r="F318" s="59"/>
      <c r="G318" s="156">
        <f>F318</f>
        <v>0</v>
      </c>
      <c r="H318" s="139"/>
      <c r="I318" s="139"/>
      <c r="J318" s="81"/>
      <c r="K318" s="81"/>
      <c r="L318" s="81"/>
      <c r="M318" s="175"/>
      <c r="N318" s="175"/>
      <c r="O318" s="32"/>
    </row>
    <row r="319" spans="1:15">
      <c r="B319" s="86" t="str">
        <f xml:space="preserve"> ( 'Facility Detail'!$B$1897 + 3 ) &amp; " Surplus Applied to " &amp; ( 'Facility Detail'!$B$1897 + 2 )</f>
        <v>2014 Surplus Applied to 2013</v>
      </c>
      <c r="C319" s="32"/>
      <c r="D319" s="153"/>
      <c r="E319" s="155"/>
      <c r="F319" s="154">
        <f>G319</f>
        <v>0</v>
      </c>
      <c r="G319" s="59"/>
      <c r="H319" s="139"/>
      <c r="I319" s="155"/>
      <c r="J319" s="81" t="s">
        <v>121</v>
      </c>
      <c r="K319" s="81" t="s">
        <v>121</v>
      </c>
      <c r="L319" s="81" t="s">
        <v>121</v>
      </c>
      <c r="M319" s="175"/>
      <c r="N319" s="175"/>
      <c r="O319" s="32"/>
    </row>
    <row r="320" spans="1:15">
      <c r="B320" s="86" t="str">
        <f xml:space="preserve"> ( 'Facility Detail'!$B$1897 + 3 ) &amp; " Surplus Applied to " &amp; ( 'Facility Detail'!$B$1897 + 4 )</f>
        <v>2014 Surplus Applied to 2015</v>
      </c>
      <c r="C320" s="32"/>
      <c r="D320" s="68"/>
      <c r="E320" s="157"/>
      <c r="F320" s="157"/>
      <c r="G320" s="10">
        <f>G300</f>
        <v>0</v>
      </c>
      <c r="H320" s="158">
        <f>G320</f>
        <v>0</v>
      </c>
      <c r="I320" s="157"/>
      <c r="J320" s="157"/>
      <c r="K320" s="157"/>
      <c r="L320" s="157"/>
      <c r="M320" s="175"/>
      <c r="N320" s="175"/>
      <c r="O320" s="32"/>
    </row>
    <row r="321" spans="1:15">
      <c r="B321" s="86" t="str">
        <f xml:space="preserve"> ( 'Facility Detail'!$B$1897 + 4 ) &amp; " Surplus Applied to " &amp; ( 'Facility Detail'!$B$1897 + 3 )</f>
        <v>2015 Surplus Applied to 2014</v>
      </c>
      <c r="C321" s="32"/>
      <c r="D321" s="68"/>
      <c r="E321" s="157"/>
      <c r="F321" s="157"/>
      <c r="G321" s="77">
        <f>H321</f>
        <v>0</v>
      </c>
      <c r="H321" s="160"/>
      <c r="I321" s="157"/>
      <c r="J321" s="157"/>
      <c r="K321" s="157"/>
      <c r="L321" s="157"/>
      <c r="M321" s="175"/>
      <c r="N321" s="175"/>
      <c r="O321" s="32"/>
    </row>
    <row r="322" spans="1:15">
      <c r="B322" s="86" t="str">
        <f xml:space="preserve"> ( 'Facility Detail'!$B$1897 + 4 ) &amp; " Surplus Applied to " &amp; ( 'Facility Detail'!$B$1897 + 5 )</f>
        <v>2015 Surplus Applied to 2016</v>
      </c>
      <c r="C322" s="32"/>
      <c r="D322" s="68"/>
      <c r="E322" s="157"/>
      <c r="F322" s="157"/>
      <c r="G322" s="157"/>
      <c r="H322" s="160">
        <f>H300</f>
        <v>8028</v>
      </c>
      <c r="I322" s="77">
        <f>H322</f>
        <v>8028</v>
      </c>
      <c r="J322" s="81"/>
      <c r="K322" s="81"/>
      <c r="L322" s="81"/>
      <c r="M322" s="175"/>
      <c r="N322" s="175"/>
      <c r="O322" s="32"/>
    </row>
    <row r="323" spans="1:15">
      <c r="B323" s="86" t="str">
        <f xml:space="preserve"> ( 'Facility Detail'!$B$1897 + 5 ) &amp; " Surplus Applied to " &amp; ( 'Facility Detail'!$B$1897 + 4 )</f>
        <v>2016 Surplus Applied to 2015</v>
      </c>
      <c r="C323" s="78"/>
      <c r="D323" s="68"/>
      <c r="E323" s="157"/>
      <c r="F323" s="157"/>
      <c r="G323" s="157"/>
      <c r="H323" s="77">
        <f>I323</f>
        <v>0</v>
      </c>
      <c r="I323" s="160"/>
      <c r="J323" s="81"/>
      <c r="K323" s="81"/>
      <c r="L323" s="81"/>
      <c r="M323" s="175"/>
      <c r="N323" s="175"/>
      <c r="O323" s="32"/>
    </row>
    <row r="324" spans="1:15">
      <c r="B324" s="86" t="str">
        <f xml:space="preserve"> ( 'Facility Detail'!$B$1897 + 5 ) &amp; " Surplus Applied to " &amp; ( 'Facility Detail'!$B$1897 + 6 )</f>
        <v>2016 Surplus Applied to 2017</v>
      </c>
      <c r="C324" s="78"/>
      <c r="D324" s="68"/>
      <c r="E324" s="157"/>
      <c r="F324" s="157"/>
      <c r="G324" s="157"/>
      <c r="H324" s="157"/>
      <c r="I324" s="160">
        <f>I300</f>
        <v>10218</v>
      </c>
      <c r="J324" s="77">
        <f>I324</f>
        <v>10218</v>
      </c>
      <c r="K324" s="81"/>
      <c r="L324" s="81"/>
      <c r="M324" s="175"/>
      <c r="N324" s="175"/>
      <c r="O324" s="32"/>
    </row>
    <row r="325" spans="1:15">
      <c r="B325" s="86" t="s">
        <v>119</v>
      </c>
      <c r="C325" s="32"/>
      <c r="D325" s="68"/>
      <c r="E325" s="157"/>
      <c r="F325" s="157"/>
      <c r="G325" s="157"/>
      <c r="H325" s="157"/>
      <c r="I325" s="159"/>
      <c r="J325" s="160"/>
      <c r="K325" s="157"/>
      <c r="L325" s="157"/>
      <c r="M325" s="175"/>
      <c r="N325" s="175"/>
      <c r="O325" s="32"/>
    </row>
    <row r="326" spans="1:15">
      <c r="B326" s="86" t="s">
        <v>120</v>
      </c>
      <c r="C326" s="32"/>
      <c r="D326" s="68"/>
      <c r="E326" s="157"/>
      <c r="F326" s="157"/>
      <c r="G326" s="157"/>
      <c r="H326" s="157"/>
      <c r="I326" s="157"/>
      <c r="J326" s="160">
        <v>8846</v>
      </c>
      <c r="K326" s="159">
        <f>J326</f>
        <v>8846</v>
      </c>
      <c r="L326" s="157"/>
      <c r="M326" s="161"/>
      <c r="N326" s="161"/>
      <c r="O326" s="32"/>
    </row>
    <row r="327" spans="1:15">
      <c r="B327" s="86" t="s">
        <v>152</v>
      </c>
      <c r="C327" s="32"/>
      <c r="D327" s="68"/>
      <c r="E327" s="157"/>
      <c r="F327" s="157"/>
      <c r="G327" s="157"/>
      <c r="H327" s="157"/>
      <c r="I327" s="157"/>
      <c r="J327" s="159"/>
      <c r="K327" s="160"/>
      <c r="L327" s="157"/>
      <c r="M327" s="161"/>
      <c r="N327" s="161"/>
      <c r="O327" s="32"/>
    </row>
    <row r="328" spans="1:15">
      <c r="B328" s="86" t="s">
        <v>153</v>
      </c>
      <c r="C328" s="32"/>
      <c r="D328" s="69"/>
      <c r="E328" s="140"/>
      <c r="F328" s="140"/>
      <c r="G328" s="140"/>
      <c r="H328" s="140"/>
      <c r="I328" s="140"/>
      <c r="J328" s="140"/>
      <c r="K328" s="162">
        <f>K300</f>
        <v>1923</v>
      </c>
      <c r="L328" s="337">
        <f>K328</f>
        <v>1923</v>
      </c>
      <c r="M328" s="338"/>
      <c r="N328" s="338"/>
      <c r="O328" s="32"/>
    </row>
    <row r="329" spans="1:15">
      <c r="B329" s="35" t="s">
        <v>17</v>
      </c>
      <c r="D329" s="7">
        <f xml:space="preserve"> D315 - D314</f>
        <v>-7963</v>
      </c>
      <c r="E329" s="7">
        <f xml:space="preserve"> E314 + E317 - E316 - E315</f>
        <v>7963</v>
      </c>
      <c r="F329" s="7">
        <f>F316 - F317 -F318</f>
        <v>0</v>
      </c>
      <c r="G329" s="7">
        <f>G318-G319-G320</f>
        <v>0</v>
      </c>
      <c r="H329" s="42">
        <f>H320-H321-H322</f>
        <v>-8028</v>
      </c>
      <c r="I329" s="7">
        <f>I322-I323-I324</f>
        <v>-2190</v>
      </c>
      <c r="J329" s="308">
        <f>J324-J325-J326</f>
        <v>1372</v>
      </c>
      <c r="K329" s="339">
        <f>K326-K327-K328</f>
        <v>6923</v>
      </c>
      <c r="L329" s="339">
        <f>L328</f>
        <v>1923</v>
      </c>
      <c r="M329" s="339">
        <f t="shared" ref="M329:N329" si="146">M326-M327-M328</f>
        <v>0</v>
      </c>
      <c r="N329" s="339">
        <f t="shared" si="146"/>
        <v>0</v>
      </c>
      <c r="O329" s="32"/>
    </row>
    <row r="330" spans="1:15">
      <c r="B330" s="6"/>
      <c r="D330" s="7"/>
      <c r="E330" s="7"/>
      <c r="F330" s="7"/>
      <c r="G330" s="7"/>
      <c r="H330" s="223"/>
      <c r="I330" s="7"/>
      <c r="J330" s="7"/>
      <c r="K330" s="7"/>
      <c r="L330" s="7"/>
      <c r="M330" s="7"/>
      <c r="N330" s="7"/>
      <c r="O330" s="32"/>
    </row>
    <row r="331" spans="1:15">
      <c r="B331" s="83" t="s">
        <v>12</v>
      </c>
      <c r="C331" s="78"/>
      <c r="D331" s="101"/>
      <c r="E331" s="102"/>
      <c r="F331" s="102"/>
      <c r="G331" s="102"/>
      <c r="H331" s="102"/>
      <c r="I331" s="102"/>
      <c r="J331" s="102"/>
      <c r="K331" s="102"/>
      <c r="L331" s="170"/>
      <c r="M331" s="103"/>
      <c r="N331" s="103"/>
      <c r="O331" s="32"/>
    </row>
    <row r="332" spans="1:15">
      <c r="B332" s="6"/>
      <c r="D332" s="7"/>
      <c r="E332" s="7"/>
      <c r="F332" s="7"/>
      <c r="G332" s="7"/>
      <c r="H332" s="224"/>
      <c r="I332" s="7"/>
      <c r="J332" s="7"/>
      <c r="K332" s="7"/>
      <c r="L332" s="7"/>
      <c r="M332" s="7"/>
      <c r="N332" s="7"/>
      <c r="O332" s="32"/>
    </row>
    <row r="333" spans="1:15" ht="18.5">
      <c r="A333" s="43" t="s">
        <v>26</v>
      </c>
      <c r="C333" s="78"/>
      <c r="D333" s="47">
        <f t="shared" ref="D333:L333" si="147" xml:space="preserve"> D300 + D305 - D311 + D329 + D331</f>
        <v>0</v>
      </c>
      <c r="E333" s="48">
        <f t="shared" si="147"/>
        <v>7963</v>
      </c>
      <c r="F333" s="48">
        <f t="shared" si="147"/>
        <v>0</v>
      </c>
      <c r="G333" s="48">
        <f t="shared" si="147"/>
        <v>0</v>
      </c>
      <c r="H333" s="48">
        <f t="shared" si="147"/>
        <v>0</v>
      </c>
      <c r="I333" s="48">
        <f t="shared" si="147"/>
        <v>8028</v>
      </c>
      <c r="J333" s="48">
        <f t="shared" si="147"/>
        <v>10218</v>
      </c>
      <c r="K333" s="48">
        <f t="shared" si="147"/>
        <v>8846</v>
      </c>
      <c r="L333" s="48">
        <f t="shared" si="147"/>
        <v>1923</v>
      </c>
      <c r="M333" s="49">
        <f t="shared" ref="M333:N333" si="148" xml:space="preserve"> M300 + M305 - M311 + M329 + M331</f>
        <v>0</v>
      </c>
      <c r="N333" s="49">
        <f t="shared" si="148"/>
        <v>0</v>
      </c>
      <c r="O333" s="32"/>
    </row>
    <row r="334" spans="1:15">
      <c r="B334" s="6"/>
      <c r="D334" s="7"/>
      <c r="E334" s="7"/>
      <c r="F334" s="7"/>
      <c r="G334" s="30"/>
      <c r="H334" s="30"/>
      <c r="I334" s="30"/>
      <c r="J334" s="30"/>
      <c r="K334" s="30"/>
      <c r="L334" s="30"/>
      <c r="M334" s="30"/>
      <c r="N334" s="30"/>
      <c r="O334" s="32"/>
    </row>
    <row r="335" spans="1:15" ht="15" thickBot="1">
      <c r="O335" s="32"/>
    </row>
    <row r="336" spans="1:15">
      <c r="A336" s="8"/>
      <c r="B336" s="8"/>
      <c r="C336" s="8"/>
      <c r="D336" s="8"/>
      <c r="E336" s="8"/>
      <c r="F336" s="8"/>
      <c r="G336" s="8"/>
      <c r="H336" s="8"/>
      <c r="I336" s="8"/>
      <c r="J336" s="8"/>
      <c r="K336" s="8"/>
      <c r="L336" s="8"/>
      <c r="M336" s="8"/>
      <c r="N336" s="8"/>
      <c r="O336" s="32"/>
    </row>
    <row r="337" spans="1:15">
      <c r="B337" s="32"/>
      <c r="C337" s="32"/>
      <c r="D337" s="32"/>
      <c r="E337" s="32"/>
      <c r="F337" s="32"/>
      <c r="G337" s="32"/>
      <c r="H337" s="32"/>
      <c r="I337" s="32"/>
      <c r="J337" s="32"/>
      <c r="K337" s="32"/>
      <c r="L337" s="32"/>
      <c r="M337" s="32"/>
      <c r="N337" s="32"/>
      <c r="O337" s="32"/>
    </row>
    <row r="338" spans="1:15" ht="21">
      <c r="A338" s="14" t="s">
        <v>4</v>
      </c>
      <c r="B338" s="14"/>
      <c r="C338" s="44" t="str">
        <f>B8</f>
        <v>*Tuana Springs - REC Only</v>
      </c>
      <c r="D338" s="45"/>
      <c r="E338" s="24"/>
      <c r="F338" s="24"/>
      <c r="O338" s="32"/>
    </row>
    <row r="339" spans="1:15">
      <c r="L339" s="309"/>
      <c r="M339" s="309"/>
      <c r="N339" s="309"/>
      <c r="O339" s="32"/>
    </row>
    <row r="340" spans="1:15" ht="18.5">
      <c r="A340" s="9" t="s">
        <v>21</v>
      </c>
      <c r="B340" s="9"/>
      <c r="D340" s="2">
        <f>'Facility Detail'!$B$1897</f>
        <v>2011</v>
      </c>
      <c r="E340" s="2">
        <f t="shared" ref="E340:J340" si="149">D340+1</f>
        <v>2012</v>
      </c>
      <c r="F340" s="2">
        <f t="shared" si="149"/>
        <v>2013</v>
      </c>
      <c r="G340" s="2">
        <f t="shared" si="149"/>
        <v>2014</v>
      </c>
      <c r="H340" s="2">
        <f t="shared" si="149"/>
        <v>2015</v>
      </c>
      <c r="I340" s="2">
        <f t="shared" si="149"/>
        <v>2016</v>
      </c>
      <c r="J340" s="2">
        <f t="shared" si="149"/>
        <v>2017</v>
      </c>
      <c r="K340" s="2">
        <f t="shared" ref="K340" si="150">J340+1</f>
        <v>2018</v>
      </c>
      <c r="L340" s="2">
        <f t="shared" ref="L340" si="151">K340+1</f>
        <v>2019</v>
      </c>
      <c r="M340" s="2">
        <f t="shared" ref="M340" si="152">L340+1</f>
        <v>2020</v>
      </c>
      <c r="N340" s="2">
        <f t="shared" ref="N340" si="153">M340+1</f>
        <v>2021</v>
      </c>
      <c r="O340" s="32"/>
    </row>
    <row r="341" spans="1:15">
      <c r="B341" s="86" t="str">
        <f>"Total MWh Produced / Purchased from " &amp; C338</f>
        <v>Total MWh Produced / Purchased from *Tuana Springs - REC Only</v>
      </c>
      <c r="C341" s="78"/>
      <c r="D341" s="3"/>
      <c r="E341" s="4">
        <v>29430</v>
      </c>
      <c r="F341" s="4">
        <v>32556</v>
      </c>
      <c r="G341" s="4">
        <v>35021</v>
      </c>
      <c r="H341" s="4"/>
      <c r="I341" s="4"/>
      <c r="J341" s="91"/>
      <c r="K341" s="91"/>
      <c r="L341" s="91"/>
      <c r="M341" s="92"/>
      <c r="N341" s="92"/>
      <c r="O341" s="32"/>
    </row>
    <row r="342" spans="1:15">
      <c r="B342" s="86" t="s">
        <v>25</v>
      </c>
      <c r="C342" s="78"/>
      <c r="D342" s="60"/>
      <c r="E342" s="61">
        <v>1</v>
      </c>
      <c r="F342" s="61">
        <v>1</v>
      </c>
      <c r="G342" s="61">
        <v>1</v>
      </c>
      <c r="H342" s="61"/>
      <c r="I342" s="61"/>
      <c r="J342" s="251"/>
      <c r="K342" s="251"/>
      <c r="L342" s="251"/>
      <c r="M342" s="256"/>
      <c r="N342" s="256"/>
      <c r="O342" s="32"/>
    </row>
    <row r="343" spans="1:15">
      <c r="B343" s="86" t="s">
        <v>20</v>
      </c>
      <c r="C343" s="78"/>
      <c r="D343" s="52"/>
      <c r="E343" s="53">
        <v>1</v>
      </c>
      <c r="F343" s="53">
        <v>1</v>
      </c>
      <c r="G343" s="53">
        <v>1</v>
      </c>
      <c r="H343" s="53"/>
      <c r="I343" s="53"/>
      <c r="J343" s="254"/>
      <c r="K343" s="254"/>
      <c r="L343" s="254"/>
      <c r="M343" s="304"/>
      <c r="N343" s="304"/>
      <c r="O343" s="32"/>
    </row>
    <row r="344" spans="1:15">
      <c r="B344" s="83" t="s">
        <v>22</v>
      </c>
      <c r="C344" s="84"/>
      <c r="D344" s="39">
        <v>0</v>
      </c>
      <c r="E344" s="39">
        <v>29430</v>
      </c>
      <c r="F344" s="39">
        <v>32556</v>
      </c>
      <c r="G344" s="39">
        <v>35021</v>
      </c>
      <c r="H344" s="39">
        <f t="shared" ref="H344:J344" si="154">ROUND(H341 * H342 * H343,0)</f>
        <v>0</v>
      </c>
      <c r="I344" s="39">
        <f t="shared" si="154"/>
        <v>0</v>
      </c>
      <c r="J344" s="39">
        <f t="shared" si="154"/>
        <v>0</v>
      </c>
      <c r="K344" s="39">
        <f t="shared" ref="K344:L344" si="155">ROUND(K341 * K342 * K343,0)</f>
        <v>0</v>
      </c>
      <c r="L344" s="39">
        <f t="shared" si="155"/>
        <v>0</v>
      </c>
      <c r="M344" s="39">
        <f t="shared" ref="M344:N344" si="156">ROUND(M341 * M342 * M343,0)</f>
        <v>0</v>
      </c>
      <c r="N344" s="39">
        <f t="shared" si="156"/>
        <v>0</v>
      </c>
      <c r="O344" s="32"/>
    </row>
    <row r="345" spans="1:15">
      <c r="B345" s="24"/>
      <c r="C345" s="32"/>
      <c r="D345" s="38"/>
      <c r="E345" s="38"/>
      <c r="F345" s="38"/>
      <c r="G345" s="25"/>
      <c r="H345" s="25"/>
      <c r="I345" s="25"/>
      <c r="J345" s="25"/>
      <c r="K345" s="25"/>
      <c r="L345" s="25"/>
      <c r="M345" s="25"/>
      <c r="N345" s="25"/>
      <c r="O345" s="32"/>
    </row>
    <row r="346" spans="1:15" ht="18.5">
      <c r="A346" s="46" t="s">
        <v>52</v>
      </c>
      <c r="C346" s="32"/>
      <c r="D346" s="2">
        <f>'Facility Detail'!$B$1897</f>
        <v>2011</v>
      </c>
      <c r="E346" s="2">
        <f>D346+1</f>
        <v>2012</v>
      </c>
      <c r="F346" s="2">
        <f>E346+1</f>
        <v>2013</v>
      </c>
      <c r="G346" s="2">
        <f>G340</f>
        <v>2014</v>
      </c>
      <c r="H346" s="2">
        <f>H340</f>
        <v>2015</v>
      </c>
      <c r="I346" s="2">
        <f>I340</f>
        <v>2016</v>
      </c>
      <c r="J346" s="2">
        <f>J340</f>
        <v>2017</v>
      </c>
      <c r="K346" s="2">
        <f t="shared" ref="K346:L346" si="157">K340</f>
        <v>2018</v>
      </c>
      <c r="L346" s="2">
        <f t="shared" si="157"/>
        <v>2019</v>
      </c>
      <c r="M346" s="2">
        <f t="shared" ref="M346:N346" si="158">M340</f>
        <v>2020</v>
      </c>
      <c r="N346" s="2">
        <f t="shared" si="158"/>
        <v>2021</v>
      </c>
      <c r="O346" s="32"/>
    </row>
    <row r="347" spans="1:15">
      <c r="B347" s="86" t="s">
        <v>10</v>
      </c>
      <c r="C347" s="78"/>
      <c r="D347" s="55">
        <f>IF( $E8 = "Eligible", D344 * 'Facility Detail'!$B$1894, 0 )</f>
        <v>0</v>
      </c>
      <c r="E347" s="11">
        <f>IF( $E8 = "Eligible", E344 * 'Facility Detail'!$B$1894, 0 )</f>
        <v>0</v>
      </c>
      <c r="F347" s="11">
        <f>IF( $E8 = "Eligible", F344 * 'Facility Detail'!$B$1894, 0 )</f>
        <v>0</v>
      </c>
      <c r="G347" s="11">
        <f>IF( $E8 = "Eligible", G344 * 'Facility Detail'!$B$1894, 0 )</f>
        <v>0</v>
      </c>
      <c r="H347" s="11">
        <f>IF( $E8 = "Eligible", H344 * 'Facility Detail'!$B$1894, 0 )</f>
        <v>0</v>
      </c>
      <c r="I347" s="11">
        <f>IF( $E8 = "Eligible", I344 * 'Facility Detail'!$B$1894, 0 )</f>
        <v>0</v>
      </c>
      <c r="J347" s="11">
        <f>IF( $E8 = "Eligible", J344 * 'Facility Detail'!$B$1894, 0 )</f>
        <v>0</v>
      </c>
      <c r="K347" s="11">
        <f>IF( $E8 = "Eligible", K344 * 'Facility Detail'!$B$1894, 0 )</f>
        <v>0</v>
      </c>
      <c r="L347" s="11">
        <f>IF( $E8 = "Eligible", L344 * 'Facility Detail'!$B$1894, 0 )</f>
        <v>0</v>
      </c>
      <c r="M347" s="12">
        <f>IF( $E8 = "Eligible", M344 * 'Facility Detail'!$B$1894, 0 )</f>
        <v>0</v>
      </c>
      <c r="N347" s="12">
        <f>IF( $E8 = "Eligible", N344 * 'Facility Detail'!$B$1894, 0 )</f>
        <v>0</v>
      </c>
      <c r="O347" s="32"/>
    </row>
    <row r="348" spans="1:15">
      <c r="B348" s="86" t="s">
        <v>6</v>
      </c>
      <c r="C348" s="78"/>
      <c r="D348" s="56">
        <f t="shared" ref="D348:N348" si="159">IF( $F8 = "Eligible", D344, 0 )</f>
        <v>0</v>
      </c>
      <c r="E348" s="57">
        <f t="shared" si="159"/>
        <v>0</v>
      </c>
      <c r="F348" s="57">
        <f t="shared" si="159"/>
        <v>0</v>
      </c>
      <c r="G348" s="57">
        <f t="shared" si="159"/>
        <v>0</v>
      </c>
      <c r="H348" s="57">
        <f t="shared" si="159"/>
        <v>0</v>
      </c>
      <c r="I348" s="57">
        <f t="shared" si="159"/>
        <v>0</v>
      </c>
      <c r="J348" s="57">
        <f t="shared" si="159"/>
        <v>0</v>
      </c>
      <c r="K348" s="57">
        <f t="shared" si="159"/>
        <v>0</v>
      </c>
      <c r="L348" s="57">
        <f t="shared" si="159"/>
        <v>0</v>
      </c>
      <c r="M348" s="58">
        <f t="shared" ref="M348" si="160">IF( $F8 = "Eligible", M344, 0 )</f>
        <v>0</v>
      </c>
      <c r="N348" s="58">
        <f t="shared" si="159"/>
        <v>0</v>
      </c>
      <c r="O348" s="32"/>
    </row>
    <row r="349" spans="1:15">
      <c r="B349" s="85" t="s">
        <v>54</v>
      </c>
      <c r="C349" s="84"/>
      <c r="D349" s="41">
        <f t="shared" ref="D349:I349" si="161">SUM(D347:D348)</f>
        <v>0</v>
      </c>
      <c r="E349" s="42">
        <f t="shared" si="161"/>
        <v>0</v>
      </c>
      <c r="F349" s="42">
        <f t="shared" si="161"/>
        <v>0</v>
      </c>
      <c r="G349" s="42">
        <f t="shared" si="161"/>
        <v>0</v>
      </c>
      <c r="H349" s="42">
        <f t="shared" si="161"/>
        <v>0</v>
      </c>
      <c r="I349" s="42">
        <f t="shared" si="161"/>
        <v>0</v>
      </c>
      <c r="J349" s="42">
        <f t="shared" ref="J349" si="162">SUM(J347:J348)</f>
        <v>0</v>
      </c>
      <c r="K349" s="42">
        <f t="shared" ref="K349:L349" si="163">SUM(K347:K348)</f>
        <v>0</v>
      </c>
      <c r="L349" s="42">
        <f t="shared" si="163"/>
        <v>0</v>
      </c>
      <c r="M349" s="42">
        <f t="shared" ref="M349:N349" si="164">SUM(M347:M348)</f>
        <v>0</v>
      </c>
      <c r="N349" s="42">
        <f t="shared" si="164"/>
        <v>0</v>
      </c>
      <c r="O349" s="32"/>
    </row>
    <row r="350" spans="1:15">
      <c r="B350" s="32"/>
      <c r="C350" s="32"/>
      <c r="D350" s="40"/>
      <c r="E350" s="33"/>
      <c r="F350" s="33"/>
      <c r="G350" s="25"/>
      <c r="H350" s="25"/>
      <c r="I350" s="25"/>
      <c r="J350" s="25"/>
      <c r="K350" s="25"/>
      <c r="L350" s="25"/>
      <c r="M350" s="25"/>
      <c r="N350" s="25"/>
      <c r="O350" s="32"/>
    </row>
    <row r="351" spans="1:15" ht="18.5">
      <c r="A351" s="43" t="s">
        <v>30</v>
      </c>
      <c r="C351" s="32"/>
      <c r="D351" s="2">
        <f>'Facility Detail'!$B$1897</f>
        <v>2011</v>
      </c>
      <c r="E351" s="2">
        <f>D351+1</f>
        <v>2012</v>
      </c>
      <c r="F351" s="2">
        <f>E351+1</f>
        <v>2013</v>
      </c>
      <c r="G351" s="2">
        <f>G340</f>
        <v>2014</v>
      </c>
      <c r="H351" s="2">
        <f>H340</f>
        <v>2015</v>
      </c>
      <c r="I351" s="2">
        <f>I340</f>
        <v>2016</v>
      </c>
      <c r="J351" s="2">
        <f>J340</f>
        <v>2017</v>
      </c>
      <c r="K351" s="2">
        <f t="shared" ref="K351:L351" si="165">K340</f>
        <v>2018</v>
      </c>
      <c r="L351" s="2">
        <f t="shared" si="165"/>
        <v>2019</v>
      </c>
      <c r="M351" s="2">
        <f t="shared" ref="M351:N351" si="166">M340</f>
        <v>2020</v>
      </c>
      <c r="N351" s="2">
        <f t="shared" si="166"/>
        <v>2021</v>
      </c>
      <c r="O351" s="32"/>
    </row>
    <row r="352" spans="1:15">
      <c r="B352" s="86" t="s">
        <v>32</v>
      </c>
      <c r="C352" s="78"/>
      <c r="D352" s="90"/>
      <c r="E352" s="91"/>
      <c r="F352" s="91"/>
      <c r="G352" s="91"/>
      <c r="H352" s="91"/>
      <c r="I352" s="91"/>
      <c r="J352" s="91"/>
      <c r="K352" s="91"/>
      <c r="L352" s="91"/>
      <c r="M352" s="92"/>
      <c r="N352" s="92"/>
      <c r="O352" s="32"/>
    </row>
    <row r="353" spans="1:15">
      <c r="B353" s="87" t="s">
        <v>23</v>
      </c>
      <c r="C353" s="192"/>
      <c r="D353" s="93"/>
      <c r="E353" s="94"/>
      <c r="F353" s="94"/>
      <c r="G353" s="94"/>
      <c r="H353" s="94"/>
      <c r="I353" s="94"/>
      <c r="J353" s="94"/>
      <c r="K353" s="94"/>
      <c r="L353" s="94"/>
      <c r="M353" s="95"/>
      <c r="N353" s="95"/>
      <c r="O353" s="32"/>
    </row>
    <row r="354" spans="1:15">
      <c r="B354" s="96" t="s">
        <v>38</v>
      </c>
      <c r="C354" s="190"/>
      <c r="D354" s="63"/>
      <c r="E354" s="64"/>
      <c r="F354" s="64"/>
      <c r="G354" s="64"/>
      <c r="H354" s="64"/>
      <c r="I354" s="64"/>
      <c r="J354" s="64"/>
      <c r="K354" s="64"/>
      <c r="L354" s="64"/>
      <c r="M354" s="65"/>
      <c r="N354" s="65"/>
      <c r="O354" s="32"/>
    </row>
    <row r="355" spans="1:15">
      <c r="B355" s="35" t="s">
        <v>39</v>
      </c>
      <c r="D355" s="7">
        <f t="shared" ref="D355:I355" si="167">SUM(D352:D354)</f>
        <v>0</v>
      </c>
      <c r="E355" s="7">
        <f t="shared" si="167"/>
        <v>0</v>
      </c>
      <c r="F355" s="7">
        <f t="shared" si="167"/>
        <v>0</v>
      </c>
      <c r="G355" s="7">
        <f t="shared" si="167"/>
        <v>0</v>
      </c>
      <c r="H355" s="7">
        <f t="shared" si="167"/>
        <v>0</v>
      </c>
      <c r="I355" s="7">
        <f t="shared" si="167"/>
        <v>0</v>
      </c>
      <c r="J355" s="7">
        <f t="shared" ref="J355" si="168">SUM(J352:J354)</f>
        <v>0</v>
      </c>
      <c r="K355" s="7">
        <f t="shared" ref="K355:L355" si="169">SUM(K352:K354)</f>
        <v>0</v>
      </c>
      <c r="L355" s="7">
        <f t="shared" si="169"/>
        <v>0</v>
      </c>
      <c r="M355" s="7">
        <f t="shared" ref="M355:N355" si="170">SUM(M352:M354)</f>
        <v>0</v>
      </c>
      <c r="N355" s="7">
        <f t="shared" si="170"/>
        <v>0</v>
      </c>
      <c r="O355" s="32"/>
    </row>
    <row r="356" spans="1:15">
      <c r="B356" s="6"/>
      <c r="D356" s="7"/>
      <c r="E356" s="7"/>
      <c r="F356" s="7"/>
      <c r="G356" s="30"/>
      <c r="H356" s="30"/>
      <c r="I356" s="30"/>
      <c r="J356" s="30"/>
      <c r="K356" s="30"/>
      <c r="L356" s="30"/>
      <c r="M356" s="30"/>
      <c r="N356" s="30"/>
      <c r="O356" s="32"/>
    </row>
    <row r="357" spans="1:15" ht="18.5">
      <c r="A357" s="9" t="s">
        <v>40</v>
      </c>
      <c r="D357" s="2">
        <f>'Facility Detail'!$B$1897</f>
        <v>2011</v>
      </c>
      <c r="E357" s="2">
        <f t="shared" ref="E357:J357" si="171">D357+1</f>
        <v>2012</v>
      </c>
      <c r="F357" s="2">
        <f t="shared" si="171"/>
        <v>2013</v>
      </c>
      <c r="G357" s="2">
        <f t="shared" si="171"/>
        <v>2014</v>
      </c>
      <c r="H357" s="2">
        <f t="shared" si="171"/>
        <v>2015</v>
      </c>
      <c r="I357" s="2">
        <f t="shared" si="171"/>
        <v>2016</v>
      </c>
      <c r="J357" s="2">
        <f t="shared" si="171"/>
        <v>2017</v>
      </c>
      <c r="K357" s="2">
        <f t="shared" ref="K357" si="172">J357+1</f>
        <v>2018</v>
      </c>
      <c r="L357" s="2">
        <f t="shared" ref="L357" si="173">K357+1</f>
        <v>2019</v>
      </c>
      <c r="M357" s="2">
        <f t="shared" ref="M357" si="174">L357+1</f>
        <v>2020</v>
      </c>
      <c r="N357" s="2">
        <f t="shared" ref="N357" si="175">M357+1</f>
        <v>2021</v>
      </c>
      <c r="O357" s="32"/>
    </row>
    <row r="358" spans="1:15">
      <c r="B358" s="86" t="str">
        <f xml:space="preserve"> 'Facility Detail'!$B$1897 &amp; " Surplus Applied to " &amp; ( 'Facility Detail'!$B$1897 + 1 )</f>
        <v>2011 Surplus Applied to 2012</v>
      </c>
      <c r="C358" s="32"/>
      <c r="D358" s="3"/>
      <c r="E358" s="66">
        <f>D358</f>
        <v>0</v>
      </c>
      <c r="F358" s="138"/>
      <c r="G358" s="138"/>
      <c r="H358" s="138"/>
      <c r="I358" s="138"/>
      <c r="J358" s="138"/>
      <c r="K358" s="138"/>
      <c r="L358" s="138"/>
      <c r="M358" s="67"/>
      <c r="N358" s="67"/>
      <c r="O358" s="32"/>
    </row>
    <row r="359" spans="1:15">
      <c r="B359" s="86" t="str">
        <f xml:space="preserve"> ( 'Facility Detail'!$B$1897 + 1 ) &amp; " Surplus Applied to " &amp; ( 'Facility Detail'!$B$1897 )</f>
        <v>2012 Surplus Applied to 2011</v>
      </c>
      <c r="C359" s="32"/>
      <c r="D359" s="51">
        <f>E359</f>
        <v>0</v>
      </c>
      <c r="E359" s="59"/>
      <c r="F359" s="139"/>
      <c r="G359" s="139"/>
      <c r="H359" s="139"/>
      <c r="I359" s="139"/>
      <c r="J359" s="139"/>
      <c r="K359" s="139"/>
      <c r="L359" s="139"/>
      <c r="M359" s="310"/>
      <c r="N359" s="310"/>
      <c r="O359" s="32"/>
    </row>
    <row r="360" spans="1:15">
      <c r="B360" s="86" t="str">
        <f xml:space="preserve"> ( 'Facility Detail'!$B$1897 + 1 ) &amp; " Surplus Applied to " &amp; ( 'Facility Detail'!$B$1897 + 2 )</f>
        <v>2012 Surplus Applied to 2013</v>
      </c>
      <c r="C360" s="32"/>
      <c r="D360" s="68"/>
      <c r="E360" s="10">
        <v>17177</v>
      </c>
      <c r="F360" s="77">
        <f>E360</f>
        <v>17177</v>
      </c>
      <c r="G360" s="139"/>
      <c r="H360" s="139"/>
      <c r="I360" s="139"/>
      <c r="J360" s="139"/>
      <c r="K360" s="139"/>
      <c r="L360" s="139"/>
      <c r="M360" s="310"/>
      <c r="N360" s="310"/>
      <c r="O360" s="32"/>
    </row>
    <row r="361" spans="1:15">
      <c r="B361" s="86" t="str">
        <f xml:space="preserve"> ( 'Facility Detail'!$B$1897 + 2 ) &amp; " Surplus Applied to " &amp; ( 'Facility Detail'!$B$1897 + 1 )</f>
        <v>2013 Surplus Applied to 2012</v>
      </c>
      <c r="C361" s="32"/>
      <c r="D361" s="68"/>
      <c r="E361" s="77">
        <f>F361</f>
        <v>0</v>
      </c>
      <c r="F361" s="145"/>
      <c r="G361" s="139"/>
      <c r="H361" s="139"/>
      <c r="I361" s="139"/>
      <c r="J361" s="139"/>
      <c r="K361" s="139"/>
      <c r="L361" s="139"/>
      <c r="M361" s="310"/>
      <c r="N361" s="310"/>
      <c r="O361" s="32"/>
    </row>
    <row r="362" spans="1:15">
      <c r="B362" s="86" t="str">
        <f xml:space="preserve"> ( 'Facility Detail'!$B$1897 + 2 ) &amp; " Surplus Applied to " &amp; ( 'Facility Detail'!$B$1897 + 3 )</f>
        <v>2013 Surplus Applied to 2014</v>
      </c>
      <c r="C362" s="32"/>
      <c r="D362" s="153"/>
      <c r="E362" s="155"/>
      <c r="F362" s="59">
        <v>6731</v>
      </c>
      <c r="G362" s="156">
        <f>F362</f>
        <v>6731</v>
      </c>
      <c r="H362" s="139"/>
      <c r="I362" s="139"/>
      <c r="J362" s="139"/>
      <c r="K362" s="139"/>
      <c r="L362" s="139"/>
      <c r="M362" s="310"/>
      <c r="N362" s="310"/>
      <c r="O362" s="32"/>
    </row>
    <row r="363" spans="1:15">
      <c r="B363" s="86" t="str">
        <f xml:space="preserve"> ( 'Facility Detail'!$B$1897 + 3 ) &amp; " Surplus Applied to " &amp; ( 'Facility Detail'!$B$1897 + 2 )</f>
        <v>2014 Surplus Applied to 2013</v>
      </c>
      <c r="C363" s="32"/>
      <c r="D363" s="153"/>
      <c r="E363" s="155"/>
      <c r="F363" s="154">
        <f>G363</f>
        <v>0</v>
      </c>
      <c r="G363" s="59"/>
      <c r="H363" s="139"/>
      <c r="I363" s="155"/>
      <c r="J363" s="155"/>
      <c r="K363" s="155"/>
      <c r="L363" s="155"/>
      <c r="M363" s="311"/>
      <c r="N363" s="311"/>
      <c r="O363" s="32"/>
    </row>
    <row r="364" spans="1:15">
      <c r="B364" s="86" t="str">
        <f xml:space="preserve"> ( 'Facility Detail'!$B$1897 + 3 ) &amp; " Surplus Applied to " &amp; ( 'Facility Detail'!$B$1897 + 4 )</f>
        <v>2014 Surplus Applied to 2015</v>
      </c>
      <c r="C364" s="32"/>
      <c r="D364" s="153"/>
      <c r="E364" s="155"/>
      <c r="F364" s="155"/>
      <c r="G364" s="59">
        <v>0</v>
      </c>
      <c r="H364" s="164">
        <f>G364</f>
        <v>0</v>
      </c>
      <c r="I364" s="155"/>
      <c r="J364" s="155"/>
      <c r="K364" s="155"/>
      <c r="L364" s="155"/>
      <c r="M364" s="311"/>
      <c r="N364" s="311"/>
      <c r="O364" s="32"/>
    </row>
    <row r="365" spans="1:15">
      <c r="B365" s="86" t="str">
        <f xml:space="preserve"> ( 'Facility Detail'!$B$1897 + 4 ) &amp; " Surplus Applied to " &amp; ( 'Facility Detail'!$B$1897 + 3 )</f>
        <v>2015 Surplus Applied to 2014</v>
      </c>
      <c r="C365" s="32"/>
      <c r="D365" s="68"/>
      <c r="E365" s="157"/>
      <c r="F365" s="157"/>
      <c r="G365" s="77">
        <f>H365</f>
        <v>0</v>
      </c>
      <c r="H365" s="160"/>
      <c r="I365" s="157"/>
      <c r="J365" s="157"/>
      <c r="K365" s="157"/>
      <c r="L365" s="157"/>
      <c r="M365" s="161"/>
      <c r="N365" s="161"/>
      <c r="O365" s="32"/>
    </row>
    <row r="366" spans="1:15">
      <c r="B366" s="86" t="str">
        <f xml:space="preserve"> ( 'Facility Detail'!$B$1897 + 4 ) &amp; " Surplus Applied to " &amp; ( 'Facility Detail'!$B$1897 + 5 )</f>
        <v>2015 Surplus Applied to 2016</v>
      </c>
      <c r="C366" s="32"/>
      <c r="D366" s="69"/>
      <c r="E366" s="140"/>
      <c r="F366" s="140"/>
      <c r="G366" s="140"/>
      <c r="H366" s="162"/>
      <c r="I366" s="140">
        <f>H366</f>
        <v>0</v>
      </c>
      <c r="J366" s="140"/>
      <c r="K366" s="140"/>
      <c r="L366" s="140"/>
      <c r="M366" s="320"/>
      <c r="N366" s="320"/>
      <c r="O366" s="32"/>
    </row>
    <row r="367" spans="1:15">
      <c r="B367" s="35" t="s">
        <v>17</v>
      </c>
      <c r="D367" s="7">
        <f xml:space="preserve"> D359 - D358</f>
        <v>0</v>
      </c>
      <c r="E367" s="7">
        <f xml:space="preserve"> E358 + E361 - E360 - E359</f>
        <v>-17177</v>
      </c>
      <c r="F367" s="7">
        <f>F360 - F361 -F362</f>
        <v>10446</v>
      </c>
      <c r="G367" s="7">
        <f>G362-G363-G364</f>
        <v>6731</v>
      </c>
      <c r="H367" s="7">
        <f>H364-H365-H366</f>
        <v>0</v>
      </c>
      <c r="I367" s="7">
        <f>I364</f>
        <v>0</v>
      </c>
      <c r="J367" s="7"/>
      <c r="K367" s="7"/>
      <c r="L367" s="7"/>
      <c r="M367" s="7"/>
      <c r="N367" s="7"/>
      <c r="O367" s="32"/>
    </row>
    <row r="368" spans="1:15">
      <c r="B368" s="6"/>
      <c r="D368" s="7"/>
      <c r="E368" s="7"/>
      <c r="F368" s="7"/>
      <c r="G368" s="7"/>
      <c r="H368" s="7"/>
      <c r="I368" s="7"/>
      <c r="J368" s="7"/>
      <c r="K368" s="7"/>
      <c r="L368" s="7"/>
      <c r="M368" s="7"/>
      <c r="N368" s="7"/>
      <c r="O368" s="32"/>
    </row>
    <row r="369" spans="1:15">
      <c r="B369" s="83" t="s">
        <v>12</v>
      </c>
      <c r="C369" s="78"/>
      <c r="D369" s="101"/>
      <c r="E369" s="102"/>
      <c r="F369" s="102"/>
      <c r="G369" s="102"/>
      <c r="H369" s="102"/>
      <c r="I369" s="102"/>
      <c r="J369" s="102"/>
      <c r="K369" s="102"/>
      <c r="L369" s="102"/>
      <c r="M369" s="151"/>
      <c r="N369" s="151"/>
      <c r="O369" s="32"/>
    </row>
    <row r="370" spans="1:15">
      <c r="B370" s="6"/>
      <c r="D370" s="7"/>
      <c r="E370" s="7"/>
      <c r="F370" s="7"/>
      <c r="G370" s="7"/>
      <c r="H370" s="7"/>
      <c r="I370" s="7"/>
      <c r="J370" s="7"/>
      <c r="K370" s="7"/>
      <c r="L370" s="7"/>
      <c r="M370" s="7"/>
      <c r="N370" s="7"/>
      <c r="O370" s="32"/>
    </row>
    <row r="371" spans="1:15" ht="18.5">
      <c r="A371" s="43" t="s">
        <v>26</v>
      </c>
      <c r="C371" s="78"/>
      <c r="D371" s="47">
        <f t="shared" ref="D371:L371" si="176" xml:space="preserve"> D344 + D349 - D355 + D367 + D369</f>
        <v>0</v>
      </c>
      <c r="E371" s="48">
        <f t="shared" si="176"/>
        <v>12253</v>
      </c>
      <c r="F371" s="48">
        <f t="shared" si="176"/>
        <v>43002</v>
      </c>
      <c r="G371" s="48">
        <f t="shared" si="176"/>
        <v>41752</v>
      </c>
      <c r="H371" s="48">
        <f t="shared" si="176"/>
        <v>0</v>
      </c>
      <c r="I371" s="48">
        <f t="shared" si="176"/>
        <v>0</v>
      </c>
      <c r="J371" s="48">
        <f t="shared" si="176"/>
        <v>0</v>
      </c>
      <c r="K371" s="48">
        <f t="shared" si="176"/>
        <v>0</v>
      </c>
      <c r="L371" s="48">
        <f t="shared" si="176"/>
        <v>0</v>
      </c>
      <c r="M371" s="152">
        <f t="shared" ref="M371:N371" si="177" xml:space="preserve"> M344 + M349 - M355 + M367 + M369</f>
        <v>0</v>
      </c>
      <c r="N371" s="152">
        <f t="shared" si="177"/>
        <v>0</v>
      </c>
      <c r="O371" s="32"/>
    </row>
    <row r="372" spans="1:15">
      <c r="B372" s="6"/>
      <c r="D372" s="7"/>
      <c r="E372" s="7"/>
      <c r="F372" s="7"/>
      <c r="G372" s="212" t="s">
        <v>102</v>
      </c>
      <c r="H372" s="30"/>
      <c r="I372" s="30"/>
      <c r="J372" s="30"/>
      <c r="K372" s="30"/>
      <c r="L372" s="30"/>
      <c r="M372" s="30"/>
      <c r="N372" s="30"/>
      <c r="O372" s="32"/>
    </row>
    <row r="373" spans="1:15" ht="15" thickBot="1">
      <c r="O373" s="32"/>
    </row>
    <row r="374" spans="1:15">
      <c r="A374" s="8"/>
      <c r="B374" s="8"/>
      <c r="C374" s="8"/>
      <c r="D374" s="8"/>
      <c r="E374" s="8"/>
      <c r="F374" s="8"/>
      <c r="G374" s="8"/>
      <c r="H374" s="8"/>
      <c r="I374" s="8"/>
      <c r="J374" s="8"/>
      <c r="K374" s="8"/>
      <c r="L374" s="8"/>
      <c r="M374" s="8"/>
      <c r="N374" s="8"/>
      <c r="O374" s="32"/>
    </row>
    <row r="375" spans="1:15">
      <c r="B375" s="32"/>
      <c r="C375" s="32"/>
      <c r="D375" s="32"/>
      <c r="E375" s="32"/>
      <c r="F375" s="32"/>
      <c r="G375" s="32"/>
      <c r="H375" s="32"/>
      <c r="I375" s="32"/>
      <c r="J375" s="32"/>
      <c r="K375" s="32"/>
      <c r="L375" s="32"/>
      <c r="M375" s="32"/>
      <c r="N375" s="32"/>
      <c r="O375" s="32"/>
    </row>
    <row r="376" spans="1:15" ht="21">
      <c r="A376" s="14" t="s">
        <v>4</v>
      </c>
      <c r="B376" s="14"/>
      <c r="C376" s="44" t="str">
        <f>B9</f>
        <v>Wanapum (Upgrade)</v>
      </c>
      <c r="D376" s="45"/>
      <c r="E376" s="24"/>
      <c r="F376" s="24"/>
      <c r="O376" s="32"/>
    </row>
    <row r="377" spans="1:15">
      <c r="O377" s="32"/>
    </row>
    <row r="378" spans="1:15" ht="18.5">
      <c r="A378" s="9" t="s">
        <v>21</v>
      </c>
      <c r="B378" s="9"/>
      <c r="D378" s="2">
        <f>'Facility Detail'!$B$1897</f>
        <v>2011</v>
      </c>
      <c r="E378" s="2">
        <f t="shared" ref="E378:I378" si="178">D378+1</f>
        <v>2012</v>
      </c>
      <c r="F378" s="2">
        <f t="shared" si="178"/>
        <v>2013</v>
      </c>
      <c r="G378" s="2">
        <f t="shared" si="178"/>
        <v>2014</v>
      </c>
      <c r="H378" s="180">
        <f t="shared" si="178"/>
        <v>2015</v>
      </c>
      <c r="I378" s="181">
        <f t="shared" si="178"/>
        <v>2016</v>
      </c>
      <c r="J378" s="181">
        <f t="shared" ref="J378" si="179">I378+1</f>
        <v>2017</v>
      </c>
      <c r="K378" s="181">
        <f t="shared" ref="K378" si="180">J378+1</f>
        <v>2018</v>
      </c>
      <c r="L378" s="181">
        <f t="shared" ref="L378" si="181">K378+1</f>
        <v>2019</v>
      </c>
      <c r="M378" s="181">
        <f t="shared" ref="M378" si="182">L378+1</f>
        <v>2020</v>
      </c>
      <c r="N378" s="181">
        <f t="shared" ref="N378" si="183">M378+1</f>
        <v>2021</v>
      </c>
      <c r="O378" s="32"/>
    </row>
    <row r="379" spans="1:15">
      <c r="B379" s="86" t="str">
        <f>"Total MWh Produced / Purchased from " &amp; C376</f>
        <v>Total MWh Produced / Purchased from Wanapum (Upgrade)</v>
      </c>
      <c r="C379" s="78"/>
      <c r="D379" s="3"/>
      <c r="E379" s="4">
        <v>8509.334807773188</v>
      </c>
      <c r="F379" s="4">
        <v>8015.2443995799058</v>
      </c>
      <c r="G379" s="4"/>
      <c r="H379" s="4"/>
      <c r="I379" s="4"/>
      <c r="J379" s="4"/>
      <c r="K379" s="4"/>
      <c r="L379" s="4"/>
      <c r="M379" s="92"/>
      <c r="N379" s="92"/>
      <c r="O379" s="32"/>
    </row>
    <row r="380" spans="1:15">
      <c r="B380" s="86" t="s">
        <v>25</v>
      </c>
      <c r="C380" s="78"/>
      <c r="D380" s="60"/>
      <c r="E380" s="61">
        <v>1</v>
      </c>
      <c r="F380" s="61">
        <v>1</v>
      </c>
      <c r="G380" s="61"/>
      <c r="H380" s="61"/>
      <c r="I380" s="61"/>
      <c r="J380" s="61"/>
      <c r="K380" s="61"/>
      <c r="L380" s="61"/>
      <c r="M380" s="256"/>
      <c r="N380" s="256"/>
      <c r="O380" s="32"/>
    </row>
    <row r="381" spans="1:15">
      <c r="B381" s="86" t="s">
        <v>20</v>
      </c>
      <c r="C381" s="78"/>
      <c r="D381" s="52"/>
      <c r="E381" s="53">
        <v>7.9619999999999996E-2</v>
      </c>
      <c r="F381" s="53">
        <v>7.8747999999999999E-2</v>
      </c>
      <c r="G381" s="53"/>
      <c r="H381" s="53"/>
      <c r="I381" s="53"/>
      <c r="J381" s="53"/>
      <c r="K381" s="53"/>
      <c r="L381" s="53"/>
      <c r="M381" s="304"/>
      <c r="N381" s="304"/>
      <c r="O381" s="32"/>
    </row>
    <row r="382" spans="1:15">
      <c r="B382" s="83" t="s">
        <v>22</v>
      </c>
      <c r="C382" s="84"/>
      <c r="D382" s="39">
        <f>ROUND(D379 * D380 * D381,0)</f>
        <v>0</v>
      </c>
      <c r="E382" s="39">
        <v>678</v>
      </c>
      <c r="F382" s="39">
        <v>631</v>
      </c>
      <c r="G382" s="39">
        <f t="shared" ref="G382:I382" si="184">ROUND(G379 * G380 * G381,0)</f>
        <v>0</v>
      </c>
      <c r="H382" s="39">
        <f t="shared" si="184"/>
        <v>0</v>
      </c>
      <c r="I382" s="39">
        <f t="shared" si="184"/>
        <v>0</v>
      </c>
      <c r="J382" s="39">
        <f t="shared" ref="J382:L382" si="185">ROUND(J379 * J380 * J381,0)</f>
        <v>0</v>
      </c>
      <c r="K382" s="39">
        <f t="shared" si="185"/>
        <v>0</v>
      </c>
      <c r="L382" s="39">
        <f t="shared" si="185"/>
        <v>0</v>
      </c>
      <c r="M382" s="39">
        <f t="shared" ref="M382:N382" si="186">ROUND(M379 * M380 * M381,0)</f>
        <v>0</v>
      </c>
      <c r="N382" s="39">
        <f t="shared" si="186"/>
        <v>0</v>
      </c>
      <c r="O382" s="32"/>
    </row>
    <row r="383" spans="1:15">
      <c r="B383" s="24"/>
      <c r="C383" s="32"/>
      <c r="D383" s="38"/>
      <c r="E383" s="38"/>
      <c r="F383" s="38"/>
      <c r="G383" s="25"/>
      <c r="H383" s="25"/>
      <c r="I383" s="25"/>
      <c r="J383" s="25"/>
      <c r="K383" s="25"/>
      <c r="L383" s="25"/>
      <c r="M383" s="25"/>
      <c r="N383" s="25"/>
      <c r="O383" s="32"/>
    </row>
    <row r="384" spans="1:15" ht="18.5">
      <c r="A384" s="46" t="s">
        <v>52</v>
      </c>
      <c r="C384" s="32"/>
      <c r="D384" s="2">
        <f>'Facility Detail'!$B$1897</f>
        <v>2011</v>
      </c>
      <c r="E384" s="2">
        <f>D384+1</f>
        <v>2012</v>
      </c>
      <c r="F384" s="2">
        <f>E384+1</f>
        <v>2013</v>
      </c>
      <c r="G384" s="2">
        <f>G378</f>
        <v>2014</v>
      </c>
      <c r="H384" s="2">
        <f>H378</f>
        <v>2015</v>
      </c>
      <c r="I384" s="2">
        <f>I378</f>
        <v>2016</v>
      </c>
      <c r="J384" s="2">
        <f t="shared" ref="J384:L384" si="187">J378</f>
        <v>2017</v>
      </c>
      <c r="K384" s="2">
        <f t="shared" si="187"/>
        <v>2018</v>
      </c>
      <c r="L384" s="2">
        <f t="shared" si="187"/>
        <v>2019</v>
      </c>
      <c r="M384" s="2">
        <f t="shared" ref="M384:N384" si="188">M378</f>
        <v>2020</v>
      </c>
      <c r="N384" s="2">
        <f t="shared" si="188"/>
        <v>2021</v>
      </c>
      <c r="O384" s="32"/>
    </row>
    <row r="385" spans="1:15">
      <c r="B385" s="86" t="s">
        <v>10</v>
      </c>
      <c r="C385" s="78"/>
      <c r="D385" s="55">
        <f>IF( $E9 = "Eligible", D382 * 'Facility Detail'!$B$1894, 0 )</f>
        <v>0</v>
      </c>
      <c r="E385" s="11">
        <f>IF( $E9 = "Eligible", E382 * 'Facility Detail'!$B$1894, 0 )</f>
        <v>0</v>
      </c>
      <c r="F385" s="11">
        <f>IF( $E9 = "Eligible", F382 * 'Facility Detail'!$B$1894, 0 )</f>
        <v>0</v>
      </c>
      <c r="G385" s="11">
        <v>0</v>
      </c>
      <c r="H385" s="11">
        <v>0</v>
      </c>
      <c r="I385" s="11"/>
      <c r="J385" s="11"/>
      <c r="K385" s="11"/>
      <c r="L385" s="11"/>
      <c r="M385" s="12"/>
      <c r="N385" s="12"/>
      <c r="O385" s="32"/>
    </row>
    <row r="386" spans="1:15">
      <c r="B386" s="86" t="s">
        <v>6</v>
      </c>
      <c r="C386" s="78"/>
      <c r="D386" s="56">
        <f>IF( $F9 = "Eligible", D382, 0 )</f>
        <v>0</v>
      </c>
      <c r="E386" s="57">
        <f>IF( $F9 = "Eligible", E382, 0 )</f>
        <v>0</v>
      </c>
      <c r="F386" s="57">
        <f>IF( $F9 = "Eligible", F382, 0 )</f>
        <v>0</v>
      </c>
      <c r="G386" s="57">
        <f>IF( $E338 = "Eligible", G382, 0 )</f>
        <v>0</v>
      </c>
      <c r="H386" s="57">
        <f>IF( $E338 = "Eligible", H382, 0 )</f>
        <v>0</v>
      </c>
      <c r="I386" s="57">
        <f>IF( $E338 = "Eligible", I382, 0 )</f>
        <v>0</v>
      </c>
      <c r="J386" s="57">
        <f t="shared" ref="J386:L386" si="189">IF( $E338 = "Eligible", J382, 0 )</f>
        <v>0</v>
      </c>
      <c r="K386" s="57">
        <f t="shared" si="189"/>
        <v>0</v>
      </c>
      <c r="L386" s="57">
        <f t="shared" si="189"/>
        <v>0</v>
      </c>
      <c r="M386" s="58">
        <f t="shared" ref="M386:N386" si="190">IF( $E338 = "Eligible", M382, 0 )</f>
        <v>0</v>
      </c>
      <c r="N386" s="58">
        <f t="shared" si="190"/>
        <v>0</v>
      </c>
      <c r="O386" s="32"/>
    </row>
    <row r="387" spans="1:15">
      <c r="B387" s="85" t="s">
        <v>54</v>
      </c>
      <c r="C387" s="84"/>
      <c r="D387" s="41">
        <f t="shared" ref="D387:I387" si="191">SUM(D385:D386)</f>
        <v>0</v>
      </c>
      <c r="E387" s="42">
        <f t="shared" si="191"/>
        <v>0</v>
      </c>
      <c r="F387" s="42">
        <f t="shared" si="191"/>
        <v>0</v>
      </c>
      <c r="G387" s="42">
        <f t="shared" si="191"/>
        <v>0</v>
      </c>
      <c r="H387" s="42">
        <f t="shared" si="191"/>
        <v>0</v>
      </c>
      <c r="I387" s="42">
        <f t="shared" si="191"/>
        <v>0</v>
      </c>
      <c r="J387" s="42">
        <f t="shared" ref="J387:L387" si="192">SUM(J385:J386)</f>
        <v>0</v>
      </c>
      <c r="K387" s="42">
        <f t="shared" si="192"/>
        <v>0</v>
      </c>
      <c r="L387" s="42">
        <f t="shared" si="192"/>
        <v>0</v>
      </c>
      <c r="M387" s="42">
        <f t="shared" ref="M387:N387" si="193">SUM(M385:M386)</f>
        <v>0</v>
      </c>
      <c r="N387" s="42">
        <f t="shared" si="193"/>
        <v>0</v>
      </c>
      <c r="O387" s="32"/>
    </row>
    <row r="388" spans="1:15">
      <c r="B388" s="32"/>
      <c r="C388" s="32"/>
      <c r="D388" s="40"/>
      <c r="E388" s="33"/>
      <c r="F388" s="33"/>
      <c r="G388" s="25"/>
      <c r="H388" s="25"/>
      <c r="I388" s="25"/>
      <c r="J388" s="25"/>
      <c r="K388" s="25"/>
      <c r="L388" s="25"/>
      <c r="M388" s="25"/>
      <c r="N388" s="25"/>
      <c r="O388" s="32"/>
    </row>
    <row r="389" spans="1:15" ht="18.5">
      <c r="A389" s="43" t="s">
        <v>30</v>
      </c>
      <c r="C389" s="32"/>
      <c r="D389" s="2">
        <f>'Facility Detail'!$B$1897</f>
        <v>2011</v>
      </c>
      <c r="E389" s="2">
        <f>D389+1</f>
        <v>2012</v>
      </c>
      <c r="F389" s="2">
        <f>E389+1</f>
        <v>2013</v>
      </c>
      <c r="G389" s="2">
        <f>G378</f>
        <v>2014</v>
      </c>
      <c r="H389" s="2">
        <f>H378</f>
        <v>2015</v>
      </c>
      <c r="I389" s="2">
        <f>I378</f>
        <v>2016</v>
      </c>
      <c r="J389" s="2">
        <f t="shared" ref="J389:L389" si="194">J378</f>
        <v>2017</v>
      </c>
      <c r="K389" s="2">
        <f t="shared" si="194"/>
        <v>2018</v>
      </c>
      <c r="L389" s="2">
        <f t="shared" si="194"/>
        <v>2019</v>
      </c>
      <c r="M389" s="2">
        <f t="shared" ref="M389:N389" si="195">M378</f>
        <v>2020</v>
      </c>
      <c r="N389" s="2">
        <f t="shared" si="195"/>
        <v>2021</v>
      </c>
      <c r="O389" s="32"/>
    </row>
    <row r="390" spans="1:15">
      <c r="B390" s="86" t="s">
        <v>32</v>
      </c>
      <c r="C390" s="78"/>
      <c r="D390" s="90"/>
      <c r="E390" s="91"/>
      <c r="F390" s="91"/>
      <c r="G390" s="91"/>
      <c r="H390" s="91"/>
      <c r="I390" s="91"/>
      <c r="J390" s="91"/>
      <c r="K390" s="91"/>
      <c r="L390" s="91"/>
      <c r="M390" s="92"/>
      <c r="N390" s="92"/>
      <c r="O390" s="32"/>
    </row>
    <row r="391" spans="1:15">
      <c r="B391" s="87" t="s">
        <v>23</v>
      </c>
      <c r="C391" s="192"/>
      <c r="D391" s="93"/>
      <c r="E391" s="94"/>
      <c r="F391" s="94"/>
      <c r="G391" s="94"/>
      <c r="H391" s="94"/>
      <c r="I391" s="94"/>
      <c r="J391" s="94"/>
      <c r="K391" s="94"/>
      <c r="L391" s="94"/>
      <c r="M391" s="95"/>
      <c r="N391" s="95"/>
      <c r="O391" s="32"/>
    </row>
    <row r="392" spans="1:15">
      <c r="B392" s="96" t="s">
        <v>38</v>
      </c>
      <c r="C392" s="190"/>
      <c r="D392" s="63"/>
      <c r="E392" s="64"/>
      <c r="F392" s="64"/>
      <c r="G392" s="64"/>
      <c r="H392" s="64"/>
      <c r="I392" s="64"/>
      <c r="J392" s="64"/>
      <c r="K392" s="64"/>
      <c r="L392" s="64"/>
      <c r="M392" s="65"/>
      <c r="N392" s="65"/>
      <c r="O392" s="32"/>
    </row>
    <row r="393" spans="1:15">
      <c r="B393" s="35" t="s">
        <v>39</v>
      </c>
      <c r="D393" s="7">
        <f t="shared" ref="D393:I393" si="196">SUM(D390:D392)</f>
        <v>0</v>
      </c>
      <c r="E393" s="7">
        <f t="shared" si="196"/>
        <v>0</v>
      </c>
      <c r="F393" s="7">
        <f t="shared" si="196"/>
        <v>0</v>
      </c>
      <c r="G393" s="7">
        <f t="shared" si="196"/>
        <v>0</v>
      </c>
      <c r="H393" s="7">
        <f t="shared" si="196"/>
        <v>0</v>
      </c>
      <c r="I393" s="7">
        <f t="shared" si="196"/>
        <v>0</v>
      </c>
      <c r="J393" s="7">
        <f t="shared" ref="J393:L393" si="197">SUM(J390:J392)</f>
        <v>0</v>
      </c>
      <c r="K393" s="7">
        <f t="shared" si="197"/>
        <v>0</v>
      </c>
      <c r="L393" s="7">
        <f t="shared" si="197"/>
        <v>0</v>
      </c>
      <c r="M393" s="7">
        <f t="shared" ref="M393:N393" si="198">SUM(M390:M392)</f>
        <v>0</v>
      </c>
      <c r="N393" s="7">
        <f t="shared" si="198"/>
        <v>0</v>
      </c>
      <c r="O393" s="32"/>
    </row>
    <row r="394" spans="1:15">
      <c r="B394" s="6"/>
      <c r="D394" s="7"/>
      <c r="E394" s="7"/>
      <c r="F394" s="7"/>
      <c r="G394" s="30"/>
      <c r="H394" s="30"/>
      <c r="I394" s="30"/>
      <c r="J394" s="30"/>
      <c r="K394" s="30"/>
      <c r="L394" s="30"/>
      <c r="M394" s="30"/>
      <c r="N394" s="30"/>
      <c r="O394" s="32"/>
    </row>
    <row r="395" spans="1:15" ht="18.5">
      <c r="A395" s="9" t="s">
        <v>40</v>
      </c>
      <c r="D395" s="2">
        <f>'Facility Detail'!$B$1897</f>
        <v>2011</v>
      </c>
      <c r="E395" s="2">
        <f>D395+1</f>
        <v>2012</v>
      </c>
      <c r="F395" s="2">
        <f>E395+1</f>
        <v>2013</v>
      </c>
      <c r="G395" s="2">
        <f>F395+1</f>
        <v>2014</v>
      </c>
      <c r="H395" s="2">
        <f>G395+1</f>
        <v>2015</v>
      </c>
      <c r="I395" s="2">
        <f>H395+1</f>
        <v>2016</v>
      </c>
      <c r="J395" s="2">
        <f t="shared" ref="J395:K395" si="199">I395+1</f>
        <v>2017</v>
      </c>
      <c r="K395" s="2">
        <f t="shared" si="199"/>
        <v>2018</v>
      </c>
      <c r="L395" s="2">
        <f t="shared" ref="L395" si="200">K395+1</f>
        <v>2019</v>
      </c>
      <c r="M395" s="2">
        <f t="shared" ref="M395" si="201">L395+1</f>
        <v>2020</v>
      </c>
      <c r="N395" s="2">
        <f t="shared" ref="N395" si="202">M395+1</f>
        <v>2021</v>
      </c>
      <c r="O395" s="32"/>
    </row>
    <row r="396" spans="1:15">
      <c r="B396" s="86" t="str">
        <f xml:space="preserve"> 'Facility Detail'!$B$1897 &amp; " Surplus Applied to " &amp; ( 'Facility Detail'!$B$1897 + 1 )</f>
        <v>2011 Surplus Applied to 2012</v>
      </c>
      <c r="C396" s="32"/>
      <c r="D396" s="3"/>
      <c r="E396" s="66">
        <f>D396</f>
        <v>0</v>
      </c>
      <c r="F396" s="138"/>
      <c r="G396" s="138"/>
      <c r="H396" s="138"/>
      <c r="I396" s="138"/>
      <c r="J396" s="138"/>
      <c r="K396" s="138"/>
      <c r="L396" s="138"/>
      <c r="M396" s="67"/>
      <c r="N396" s="67"/>
      <c r="O396" s="32"/>
    </row>
    <row r="397" spans="1:15">
      <c r="B397" s="86" t="str">
        <f xml:space="preserve"> ( 'Facility Detail'!$B$1897 + 1 ) &amp; " Surplus Applied to " &amp; ( 'Facility Detail'!$B$1897 )</f>
        <v>2012 Surplus Applied to 2011</v>
      </c>
      <c r="C397" s="32"/>
      <c r="D397" s="51">
        <f>E397</f>
        <v>0</v>
      </c>
      <c r="E397" s="59"/>
      <c r="F397" s="139"/>
      <c r="G397" s="139"/>
      <c r="H397" s="139"/>
      <c r="I397" s="139"/>
      <c r="J397" s="139"/>
      <c r="K397" s="139"/>
      <c r="L397" s="139"/>
      <c r="M397" s="310"/>
      <c r="N397" s="310"/>
      <c r="O397" s="32"/>
    </row>
    <row r="398" spans="1:15">
      <c r="B398" s="86" t="str">
        <f xml:space="preserve"> ( 'Facility Detail'!$B$1897 + 1 ) &amp; " Surplus Applied to " &amp; ( 'Facility Detail'!$B$1897 + 2 )</f>
        <v>2012 Surplus Applied to 2013</v>
      </c>
      <c r="C398" s="32"/>
      <c r="D398" s="68"/>
      <c r="E398" s="10"/>
      <c r="F398" s="77">
        <f>E398</f>
        <v>0</v>
      </c>
      <c r="G398" s="139"/>
      <c r="H398" s="139"/>
      <c r="I398" s="139"/>
      <c r="J398" s="139"/>
      <c r="K398" s="139"/>
      <c r="L398" s="139"/>
      <c r="M398" s="310"/>
      <c r="N398" s="310"/>
      <c r="O398" s="32"/>
    </row>
    <row r="399" spans="1:15">
      <c r="B399" s="86" t="str">
        <f xml:space="preserve"> ( 'Facility Detail'!$B$1897 + 2 ) &amp; " Surplus Applied to " &amp; ( 'Facility Detail'!$B$1897 + 1 )</f>
        <v>2013 Surplus Applied to 2012</v>
      </c>
      <c r="C399" s="32"/>
      <c r="D399" s="68"/>
      <c r="E399" s="77">
        <f>F399</f>
        <v>0</v>
      </c>
      <c r="F399" s="145"/>
      <c r="G399" s="139"/>
      <c r="H399" s="139"/>
      <c r="I399" s="139"/>
      <c r="J399" s="139"/>
      <c r="K399" s="139"/>
      <c r="L399" s="139"/>
      <c r="M399" s="310"/>
      <c r="N399" s="310"/>
      <c r="O399" s="32"/>
    </row>
    <row r="400" spans="1:15">
      <c r="B400" s="86" t="str">
        <f xml:space="preserve"> ( 'Facility Detail'!$B$1897 + 2 ) &amp; " Surplus Applied to " &amp; ( 'Facility Detail'!$B$1897 + 3 )</f>
        <v>2013 Surplus Applied to 2014</v>
      </c>
      <c r="C400" s="32"/>
      <c r="D400" s="153"/>
      <c r="E400" s="155"/>
      <c r="F400" s="59"/>
      <c r="G400" s="156">
        <f>F400</f>
        <v>0</v>
      </c>
      <c r="H400" s="139"/>
      <c r="I400" s="139"/>
      <c r="J400" s="139"/>
      <c r="K400" s="139"/>
      <c r="L400" s="139"/>
      <c r="M400" s="310"/>
      <c r="N400" s="310"/>
      <c r="O400" s="32"/>
    </row>
    <row r="401" spans="1:15">
      <c r="B401" s="86" t="str">
        <f xml:space="preserve"> ( 'Facility Detail'!$B$1897 + 3 ) &amp; " Surplus Applied to " &amp; ( 'Facility Detail'!$B$1897 + 2 )</f>
        <v>2014 Surplus Applied to 2013</v>
      </c>
      <c r="C401" s="32"/>
      <c r="D401" s="68"/>
      <c r="E401" s="157"/>
      <c r="F401" s="77">
        <f>G401</f>
        <v>0</v>
      </c>
      <c r="G401" s="10"/>
      <c r="H401" s="81"/>
      <c r="I401" s="157"/>
      <c r="J401" s="157"/>
      <c r="K401" s="157"/>
      <c r="L401" s="157"/>
      <c r="M401" s="161"/>
      <c r="N401" s="161"/>
      <c r="O401" s="32"/>
    </row>
    <row r="402" spans="1:15">
      <c r="B402" s="86" t="str">
        <f xml:space="preserve"> ( 'Facility Detail'!$B$1897 + 3 ) &amp; " Surplus Applied to " &amp; ( 'Facility Detail'!$B$1897 + 4 )</f>
        <v>2014 Surplus Applied to 2015</v>
      </c>
      <c r="C402" s="32"/>
      <c r="D402" s="68"/>
      <c r="E402" s="157"/>
      <c r="F402" s="157"/>
      <c r="G402" s="10"/>
      <c r="H402" s="158">
        <f>G402</f>
        <v>0</v>
      </c>
      <c r="I402" s="157"/>
      <c r="J402" s="157"/>
      <c r="K402" s="157"/>
      <c r="L402" s="157"/>
      <c r="M402" s="161"/>
      <c r="N402" s="161"/>
      <c r="O402" s="32"/>
    </row>
    <row r="403" spans="1:15">
      <c r="B403" s="86" t="str">
        <f xml:space="preserve"> ( 'Facility Detail'!$B$1897 + 4 ) &amp; " Surplus Applied to " &amp; ( 'Facility Detail'!$B$1897 + 3 )</f>
        <v>2015 Surplus Applied to 2014</v>
      </c>
      <c r="C403" s="32"/>
      <c r="D403" s="68"/>
      <c r="E403" s="157"/>
      <c r="F403" s="157"/>
      <c r="G403" s="159"/>
      <c r="H403" s="160"/>
      <c r="I403" s="157"/>
      <c r="J403" s="157"/>
      <c r="K403" s="157"/>
      <c r="L403" s="157"/>
      <c r="M403" s="161"/>
      <c r="N403" s="161"/>
      <c r="O403" s="32"/>
    </row>
    <row r="404" spans="1:15">
      <c r="B404" s="86" t="str">
        <f xml:space="preserve"> ( 'Facility Detail'!$B$1897 + 4 ) &amp; " Surplus Applied to " &amp; ( 'Facility Detail'!$B$1897 + 5 )</f>
        <v>2015 Surplus Applied to 2016</v>
      </c>
      <c r="C404" s="32"/>
      <c r="D404" s="69"/>
      <c r="E404" s="140"/>
      <c r="F404" s="140"/>
      <c r="G404" s="140"/>
      <c r="H404" s="162"/>
      <c r="I404" s="155"/>
      <c r="J404" s="155"/>
      <c r="K404" s="155"/>
      <c r="L404" s="155"/>
      <c r="M404" s="161"/>
      <c r="N404" s="161"/>
      <c r="O404" s="32"/>
    </row>
    <row r="405" spans="1:15">
      <c r="B405" s="35" t="s">
        <v>17</v>
      </c>
      <c r="D405" s="7">
        <f xml:space="preserve"> D397 - D396</f>
        <v>0</v>
      </c>
      <c r="E405" s="7">
        <f xml:space="preserve"> E396 + E399 - E398 - E397</f>
        <v>0</v>
      </c>
      <c r="F405" s="7">
        <f>F398 - F399 -F400</f>
        <v>0</v>
      </c>
      <c r="G405" s="7">
        <f>G400-G401-G402</f>
        <v>0</v>
      </c>
      <c r="H405" s="7">
        <f>H402</f>
        <v>0</v>
      </c>
      <c r="I405" s="42">
        <f t="shared" ref="I405" si="203">I402</f>
        <v>0</v>
      </c>
      <c r="J405" s="42">
        <f t="shared" ref="J405:L405" si="204">J402</f>
        <v>0</v>
      </c>
      <c r="K405" s="42">
        <f t="shared" si="204"/>
        <v>0</v>
      </c>
      <c r="L405" s="42">
        <f t="shared" si="204"/>
        <v>0</v>
      </c>
      <c r="M405" s="7">
        <f t="shared" ref="M405:N405" si="205">M402</f>
        <v>0</v>
      </c>
      <c r="N405" s="7">
        <f t="shared" si="205"/>
        <v>0</v>
      </c>
      <c r="O405" s="32"/>
    </row>
    <row r="406" spans="1:15">
      <c r="B406" s="6"/>
      <c r="D406" s="7"/>
      <c r="E406" s="7"/>
      <c r="F406" s="7"/>
      <c r="G406" s="7"/>
      <c r="H406" s="7"/>
      <c r="I406" s="7"/>
      <c r="J406" s="7"/>
      <c r="K406" s="7"/>
      <c r="L406" s="7"/>
      <c r="M406" s="7"/>
      <c r="N406" s="7"/>
      <c r="O406" s="32"/>
    </row>
    <row r="407" spans="1:15">
      <c r="B407" s="83" t="s">
        <v>12</v>
      </c>
      <c r="C407" s="78"/>
      <c r="D407" s="101"/>
      <c r="E407" s="102"/>
      <c r="F407" s="102"/>
      <c r="G407" s="102"/>
      <c r="H407" s="102"/>
      <c r="I407" s="102"/>
      <c r="J407" s="102"/>
      <c r="K407" s="102"/>
      <c r="L407" s="102"/>
      <c r="M407" s="103"/>
      <c r="N407" s="103"/>
      <c r="O407" s="32"/>
    </row>
    <row r="408" spans="1:15">
      <c r="B408" s="6"/>
      <c r="D408" s="7"/>
      <c r="E408" s="7"/>
      <c r="F408" s="7"/>
      <c r="G408" s="7"/>
      <c r="H408" s="7"/>
      <c r="I408" s="7"/>
      <c r="J408" s="7"/>
      <c r="K408" s="7"/>
      <c r="L408" s="7"/>
      <c r="M408" s="7"/>
      <c r="N408" s="7"/>
      <c r="O408" s="32"/>
    </row>
    <row r="409" spans="1:15" ht="18.5">
      <c r="A409" s="43" t="s">
        <v>26</v>
      </c>
      <c r="C409" s="78"/>
      <c r="D409" s="47">
        <f t="shared" ref="D409:I409" si="206" xml:space="preserve"> D382 + D387 - D393 + D405 + D407</f>
        <v>0</v>
      </c>
      <c r="E409" s="48">
        <f t="shared" si="206"/>
        <v>678</v>
      </c>
      <c r="F409" s="48">
        <f t="shared" si="206"/>
        <v>631</v>
      </c>
      <c r="G409" s="48">
        <f t="shared" si="206"/>
        <v>0</v>
      </c>
      <c r="H409" s="171">
        <f t="shared" si="206"/>
        <v>0</v>
      </c>
      <c r="I409" s="48">
        <f t="shared" si="206"/>
        <v>0</v>
      </c>
      <c r="J409" s="48">
        <f t="shared" ref="J409:L409" si="207" xml:space="preserve"> J382 + J387 - J393 + J405 + J407</f>
        <v>0</v>
      </c>
      <c r="K409" s="48">
        <f t="shared" si="207"/>
        <v>0</v>
      </c>
      <c r="L409" s="48">
        <f t="shared" si="207"/>
        <v>0</v>
      </c>
      <c r="M409" s="49">
        <f t="shared" ref="M409:N409" si="208" xml:space="preserve"> M382 + M387 - M393 + M405 + M407</f>
        <v>0</v>
      </c>
      <c r="N409" s="49">
        <f t="shared" si="208"/>
        <v>0</v>
      </c>
      <c r="O409" s="32"/>
    </row>
    <row r="410" spans="1:15">
      <c r="B410" s="6"/>
      <c r="D410" s="7"/>
      <c r="E410" s="7"/>
      <c r="F410" s="7"/>
      <c r="G410" s="30"/>
      <c r="H410" s="30"/>
      <c r="I410" s="30"/>
      <c r="J410" s="30"/>
      <c r="K410" s="30"/>
      <c r="L410" s="30"/>
      <c r="M410" s="30"/>
      <c r="N410" s="30"/>
      <c r="O410" s="32"/>
    </row>
    <row r="411" spans="1:15" ht="15" thickBot="1">
      <c r="O411" s="32"/>
    </row>
    <row r="412" spans="1:15">
      <c r="A412" s="8"/>
      <c r="B412" s="8"/>
      <c r="C412" s="8"/>
      <c r="D412" s="8"/>
      <c r="E412" s="8"/>
      <c r="F412" s="8"/>
      <c r="G412" s="8"/>
      <c r="H412" s="8"/>
      <c r="I412" s="8"/>
      <c r="J412" s="8"/>
      <c r="K412" s="8"/>
      <c r="L412" s="8"/>
      <c r="M412" s="8"/>
      <c r="N412" s="8"/>
      <c r="O412" s="32"/>
    </row>
    <row r="413" spans="1:15">
      <c r="B413" s="32"/>
      <c r="C413" s="32"/>
      <c r="D413" s="32"/>
      <c r="E413" s="32"/>
      <c r="F413" s="32"/>
      <c r="G413" s="32"/>
      <c r="H413" s="32"/>
      <c r="I413" s="32"/>
      <c r="J413" s="32"/>
      <c r="K413" s="32"/>
      <c r="L413" s="32"/>
      <c r="M413" s="32"/>
      <c r="N413" s="32"/>
      <c r="O413" s="32"/>
    </row>
    <row r="414" spans="1:15" ht="21">
      <c r="A414" s="14" t="s">
        <v>4</v>
      </c>
      <c r="B414" s="14"/>
      <c r="C414" s="342" t="str">
        <f>B10</f>
        <v>Prospect 2 (Upgrade 1999)</v>
      </c>
      <c r="D414" s="45"/>
      <c r="E414" s="24"/>
      <c r="F414" s="24"/>
      <c r="O414" s="32"/>
    </row>
    <row r="415" spans="1:15">
      <c r="O415" s="32"/>
    </row>
    <row r="416" spans="1:15" ht="18.5">
      <c r="A416" s="9" t="s">
        <v>21</v>
      </c>
      <c r="B416" s="9"/>
      <c r="D416" s="2">
        <f>'Facility Detail'!$B$1897</f>
        <v>2011</v>
      </c>
      <c r="E416" s="2">
        <f t="shared" ref="E416:J416" si="209">D416+1</f>
        <v>2012</v>
      </c>
      <c r="F416" s="2">
        <f t="shared" si="209"/>
        <v>2013</v>
      </c>
      <c r="G416" s="2">
        <f t="shared" si="209"/>
        <v>2014</v>
      </c>
      <c r="H416" s="2">
        <f t="shared" si="209"/>
        <v>2015</v>
      </c>
      <c r="I416" s="2">
        <f t="shared" si="209"/>
        <v>2016</v>
      </c>
      <c r="J416" s="2">
        <f t="shared" si="209"/>
        <v>2017</v>
      </c>
      <c r="K416" s="2">
        <f t="shared" ref="K416" si="210">J416+1</f>
        <v>2018</v>
      </c>
      <c r="L416" s="2">
        <f t="shared" ref="L416" si="211">K416+1</f>
        <v>2019</v>
      </c>
      <c r="M416" s="2">
        <f t="shared" ref="M416" si="212">L416+1</f>
        <v>2020</v>
      </c>
      <c r="N416" s="2">
        <f t="shared" ref="N416" si="213">M416+1</f>
        <v>2021</v>
      </c>
      <c r="O416" s="32"/>
    </row>
    <row r="417" spans="1:15">
      <c r="B417" s="86" t="str">
        <f>"Total MWh Produced / Purchased from " &amp; C414</f>
        <v>Total MWh Produced / Purchased from Prospect 2 (Upgrade 1999)</v>
      </c>
      <c r="C417" s="78"/>
      <c r="D417" s="3"/>
      <c r="E417" s="4">
        <v>4118.213099999999</v>
      </c>
      <c r="F417" s="4">
        <v>3721.9047</v>
      </c>
      <c r="G417" s="4">
        <v>3469</v>
      </c>
      <c r="H417" s="4">
        <v>2802</v>
      </c>
      <c r="I417" s="91">
        <v>4030.1855999999998</v>
      </c>
      <c r="J417" s="293">
        <v>4305</v>
      </c>
      <c r="K417" s="293">
        <v>3346.5936000000002</v>
      </c>
      <c r="L417" s="293">
        <v>3197</v>
      </c>
      <c r="M417" s="303">
        <v>3584</v>
      </c>
      <c r="N417" s="303"/>
      <c r="O417" s="32"/>
    </row>
    <row r="418" spans="1:15">
      <c r="B418" s="86" t="s">
        <v>25</v>
      </c>
      <c r="C418" s="78"/>
      <c r="D418" s="60"/>
      <c r="E418" s="61">
        <v>1</v>
      </c>
      <c r="F418" s="61">
        <v>1</v>
      </c>
      <c r="G418" s="61">
        <v>1</v>
      </c>
      <c r="H418" s="61">
        <v>1</v>
      </c>
      <c r="I418" s="61">
        <v>1</v>
      </c>
      <c r="J418" s="61">
        <v>1</v>
      </c>
      <c r="K418" s="61">
        <v>1</v>
      </c>
      <c r="L418" s="61">
        <v>1</v>
      </c>
      <c r="M418" s="313">
        <v>1</v>
      </c>
      <c r="N418" s="62">
        <v>1</v>
      </c>
      <c r="O418" s="32"/>
    </row>
    <row r="419" spans="1:15">
      <c r="B419" s="86" t="s">
        <v>20</v>
      </c>
      <c r="C419" s="78"/>
      <c r="D419" s="52"/>
      <c r="E419" s="53">
        <f>E51</f>
        <v>7.9619999999999996E-2</v>
      </c>
      <c r="F419" s="53">
        <f t="shared" ref="F419:L419" si="214">F51</f>
        <v>7.8747999999999999E-2</v>
      </c>
      <c r="G419" s="53">
        <f t="shared" si="214"/>
        <v>8.0235000000000001E-2</v>
      </c>
      <c r="H419" s="53">
        <f t="shared" si="214"/>
        <v>8.0535999999999996E-2</v>
      </c>
      <c r="I419" s="53">
        <f t="shared" si="214"/>
        <v>8.1698151927344531E-2</v>
      </c>
      <c r="J419" s="53">
        <f t="shared" si="214"/>
        <v>8.0833713568703974E-2</v>
      </c>
      <c r="K419" s="53">
        <f t="shared" si="214"/>
        <v>7.9451999999999995E-2</v>
      </c>
      <c r="L419" s="53">
        <f t="shared" si="214"/>
        <v>7.6724662968274293E-2</v>
      </c>
      <c r="M419" s="324">
        <f t="shared" ref="M419" si="215">M51</f>
        <v>7.9127103690396022E-2</v>
      </c>
      <c r="N419" s="53"/>
      <c r="O419" s="32"/>
    </row>
    <row r="420" spans="1:15">
      <c r="B420" s="83" t="s">
        <v>22</v>
      </c>
      <c r="C420" s="84"/>
      <c r="D420" s="39">
        <v>0</v>
      </c>
      <c r="E420" s="39">
        <v>328</v>
      </c>
      <c r="F420" s="39">
        <v>293</v>
      </c>
      <c r="G420" s="39">
        <v>278</v>
      </c>
      <c r="H420" s="39">
        <v>226</v>
      </c>
      <c r="I420" s="39">
        <v>329</v>
      </c>
      <c r="J420" s="39">
        <v>346</v>
      </c>
      <c r="K420" s="39">
        <v>266</v>
      </c>
      <c r="L420" s="39">
        <f>L417*L419</f>
        <v>245.28874750957291</v>
      </c>
      <c r="M420" s="39">
        <f t="shared" ref="M420:N420" si="216" xml:space="preserve"> ROUND(M417 * M418 * M419,0)</f>
        <v>284</v>
      </c>
      <c r="N420" s="39">
        <f t="shared" si="216"/>
        <v>0</v>
      </c>
      <c r="O420" s="32"/>
    </row>
    <row r="421" spans="1:15">
      <c r="B421" s="24"/>
      <c r="C421" s="32"/>
      <c r="D421" s="38"/>
      <c r="E421" s="38"/>
      <c r="F421" s="38"/>
      <c r="G421" s="25"/>
      <c r="H421" s="25"/>
      <c r="I421" s="25"/>
      <c r="J421" s="25"/>
      <c r="K421" s="25"/>
      <c r="L421" s="25"/>
      <c r="M421" s="25"/>
      <c r="N421" s="25"/>
      <c r="O421" s="32"/>
    </row>
    <row r="422" spans="1:15" ht="18.5">
      <c r="A422" s="46" t="s">
        <v>52</v>
      </c>
      <c r="C422" s="32"/>
      <c r="D422" s="2">
        <f>'Facility Detail'!$B$1897</f>
        <v>2011</v>
      </c>
      <c r="E422" s="2">
        <f>D422+1</f>
        <v>2012</v>
      </c>
      <c r="F422" s="2">
        <f>E422+1</f>
        <v>2013</v>
      </c>
      <c r="G422" s="2">
        <f>G416</f>
        <v>2014</v>
      </c>
      <c r="H422" s="2">
        <f>H416</f>
        <v>2015</v>
      </c>
      <c r="I422" s="2">
        <f>I416</f>
        <v>2016</v>
      </c>
      <c r="J422" s="2">
        <f>J416</f>
        <v>2017</v>
      </c>
      <c r="K422" s="2">
        <f t="shared" ref="K422:L422" si="217">K416</f>
        <v>2018</v>
      </c>
      <c r="L422" s="2">
        <f t="shared" si="217"/>
        <v>2019</v>
      </c>
      <c r="M422" s="2">
        <f t="shared" ref="M422:N422" si="218">M416</f>
        <v>2020</v>
      </c>
      <c r="N422" s="2">
        <f t="shared" si="218"/>
        <v>2021</v>
      </c>
      <c r="O422" s="32"/>
    </row>
    <row r="423" spans="1:15">
      <c r="B423" s="86" t="s">
        <v>10</v>
      </c>
      <c r="C423" s="78"/>
      <c r="D423" s="55">
        <f>IF( $E10 = "Eligible", D420 * 'Facility Detail'!$B$1894, 0 )</f>
        <v>0</v>
      </c>
      <c r="E423" s="11">
        <f>IF( $E10 = "Eligible", E420 * 'Facility Detail'!$B$1894, 0 )</f>
        <v>0</v>
      </c>
      <c r="F423" s="11">
        <f>IF( $E10 = "Eligible", F420 * 'Facility Detail'!$B$1894, 0 )</f>
        <v>0</v>
      </c>
      <c r="G423" s="11">
        <v>0</v>
      </c>
      <c r="H423" s="11">
        <v>0</v>
      </c>
      <c r="I423" s="11">
        <v>0</v>
      </c>
      <c r="J423" s="11">
        <v>0</v>
      </c>
      <c r="K423" s="11">
        <v>0</v>
      </c>
      <c r="L423" s="11">
        <v>0</v>
      </c>
      <c r="M423" s="11">
        <v>0</v>
      </c>
      <c r="N423" s="11">
        <v>0</v>
      </c>
      <c r="O423" s="32"/>
    </row>
    <row r="424" spans="1:15">
      <c r="B424" s="86" t="s">
        <v>6</v>
      </c>
      <c r="C424" s="78"/>
      <c r="D424" s="56">
        <f>IF( $F10 = "Eligible", D420, 0 )</f>
        <v>0</v>
      </c>
      <c r="E424" s="57">
        <f>IF( $F10 = "Eligible", E420, 0 )</f>
        <v>0</v>
      </c>
      <c r="F424" s="57">
        <f>IF( $F10 = "Eligible", F420, 0 )</f>
        <v>0</v>
      </c>
      <c r="G424" s="57">
        <f>IF( $E376 = "Eligible", G420, 0 )</f>
        <v>0</v>
      </c>
      <c r="H424" s="57">
        <f>IF( $E376 = "Eligible", H420, 0 )</f>
        <v>0</v>
      </c>
      <c r="I424" s="57">
        <f>IF( $E376 = "Eligible", I420, 0 )</f>
        <v>0</v>
      </c>
      <c r="J424" s="57">
        <f>IF( $E376 = "Eligible", J420, 0 )</f>
        <v>0</v>
      </c>
      <c r="K424" s="57">
        <f t="shared" ref="K424:L424" si="219">IF( $E376 = "Eligible", K420, 0 )</f>
        <v>0</v>
      </c>
      <c r="L424" s="57">
        <f t="shared" si="219"/>
        <v>0</v>
      </c>
      <c r="M424" s="57">
        <f t="shared" ref="M424:N424" si="220">IF( $E376 = "Eligible", M420, 0 )</f>
        <v>0</v>
      </c>
      <c r="N424" s="57">
        <f t="shared" si="220"/>
        <v>0</v>
      </c>
      <c r="O424" s="32"/>
    </row>
    <row r="425" spans="1:15">
      <c r="B425" s="85" t="s">
        <v>54</v>
      </c>
      <c r="C425" s="84"/>
      <c r="D425" s="41">
        <f t="shared" ref="D425:I425" si="221">SUM(D423:D424)</f>
        <v>0</v>
      </c>
      <c r="E425" s="42">
        <f t="shared" si="221"/>
        <v>0</v>
      </c>
      <c r="F425" s="42">
        <f t="shared" si="221"/>
        <v>0</v>
      </c>
      <c r="G425" s="42">
        <f t="shared" si="221"/>
        <v>0</v>
      </c>
      <c r="H425" s="42">
        <f t="shared" si="221"/>
        <v>0</v>
      </c>
      <c r="I425" s="42">
        <f t="shared" si="221"/>
        <v>0</v>
      </c>
      <c r="J425" s="42">
        <f t="shared" ref="J425:L425" si="222">SUM(J423:J424)</f>
        <v>0</v>
      </c>
      <c r="K425" s="42">
        <f t="shared" si="222"/>
        <v>0</v>
      </c>
      <c r="L425" s="42">
        <f t="shared" si="222"/>
        <v>0</v>
      </c>
      <c r="M425" s="42">
        <f t="shared" ref="M425:N425" si="223">SUM(M423:M424)</f>
        <v>0</v>
      </c>
      <c r="N425" s="42">
        <f t="shared" si="223"/>
        <v>0</v>
      </c>
      <c r="O425" s="32"/>
    </row>
    <row r="426" spans="1:15">
      <c r="B426" s="32"/>
      <c r="C426" s="32"/>
      <c r="D426" s="40"/>
      <c r="E426" s="33"/>
      <c r="F426" s="33"/>
      <c r="G426" s="25"/>
      <c r="H426" s="25"/>
      <c r="I426" s="25"/>
      <c r="J426" s="25"/>
      <c r="K426" s="25"/>
      <c r="L426" s="25"/>
      <c r="M426" s="25"/>
      <c r="N426" s="25"/>
      <c r="O426" s="32"/>
    </row>
    <row r="427" spans="1:15" ht="18.5">
      <c r="A427" s="43" t="s">
        <v>30</v>
      </c>
      <c r="C427" s="32"/>
      <c r="D427" s="2">
        <f>'Facility Detail'!$B$1897</f>
        <v>2011</v>
      </c>
      <c r="E427" s="2">
        <f>D427+1</f>
        <v>2012</v>
      </c>
      <c r="F427" s="2">
        <f>E427+1</f>
        <v>2013</v>
      </c>
      <c r="G427" s="2">
        <f>G416</f>
        <v>2014</v>
      </c>
      <c r="H427" s="2">
        <f>H416</f>
        <v>2015</v>
      </c>
      <c r="I427" s="2">
        <f>I416</f>
        <v>2016</v>
      </c>
      <c r="J427" s="2">
        <f>J416</f>
        <v>2017</v>
      </c>
      <c r="K427" s="2">
        <f t="shared" ref="K427:L427" si="224">K416</f>
        <v>2018</v>
      </c>
      <c r="L427" s="2">
        <f t="shared" si="224"/>
        <v>2019</v>
      </c>
      <c r="M427" s="2">
        <f t="shared" ref="M427:N427" si="225">M416</f>
        <v>2020</v>
      </c>
      <c r="N427" s="2">
        <f t="shared" si="225"/>
        <v>2021</v>
      </c>
      <c r="O427" s="32"/>
    </row>
    <row r="428" spans="1:15">
      <c r="B428" s="86" t="s">
        <v>32</v>
      </c>
      <c r="C428" s="78"/>
      <c r="D428" s="90"/>
      <c r="E428" s="91"/>
      <c r="F428" s="91"/>
      <c r="G428" s="91"/>
      <c r="H428" s="91"/>
      <c r="I428" s="91"/>
      <c r="J428" s="91"/>
      <c r="K428" s="91"/>
      <c r="L428" s="91"/>
      <c r="M428" s="92"/>
      <c r="N428" s="92"/>
      <c r="O428" s="32"/>
    </row>
    <row r="429" spans="1:15">
      <c r="B429" s="87" t="s">
        <v>23</v>
      </c>
      <c r="C429" s="192"/>
      <c r="D429" s="93"/>
      <c r="E429" s="94"/>
      <c r="F429" s="94"/>
      <c r="G429" s="94"/>
      <c r="H429" s="94"/>
      <c r="I429" s="94"/>
      <c r="J429" s="94"/>
      <c r="K429" s="94"/>
      <c r="L429" s="94"/>
      <c r="M429" s="95"/>
      <c r="N429" s="95"/>
      <c r="O429" s="32"/>
    </row>
    <row r="430" spans="1:15">
      <c r="B430" s="96" t="s">
        <v>38</v>
      </c>
      <c r="C430" s="190"/>
      <c r="D430" s="63"/>
      <c r="E430" s="64"/>
      <c r="F430" s="64"/>
      <c r="G430" s="64"/>
      <c r="H430" s="64"/>
      <c r="I430" s="64"/>
      <c r="J430" s="64"/>
      <c r="K430" s="64"/>
      <c r="L430" s="64"/>
      <c r="M430" s="65"/>
      <c r="N430" s="65"/>
      <c r="O430" s="32"/>
    </row>
    <row r="431" spans="1:15">
      <c r="B431" s="35" t="s">
        <v>39</v>
      </c>
      <c r="D431" s="7">
        <f t="shared" ref="D431:I431" si="226">SUM(D428:D430)</f>
        <v>0</v>
      </c>
      <c r="E431" s="7">
        <f t="shared" si="226"/>
        <v>0</v>
      </c>
      <c r="F431" s="7">
        <f t="shared" si="226"/>
        <v>0</v>
      </c>
      <c r="G431" s="7">
        <f t="shared" si="226"/>
        <v>0</v>
      </c>
      <c r="H431" s="7">
        <f t="shared" si="226"/>
        <v>0</v>
      </c>
      <c r="I431" s="7">
        <f t="shared" si="226"/>
        <v>0</v>
      </c>
      <c r="J431" s="7">
        <f t="shared" ref="J431" si="227">SUM(J428:J430)</f>
        <v>0</v>
      </c>
      <c r="K431" s="7">
        <f t="shared" ref="K431:L431" si="228">SUM(K428:K430)</f>
        <v>0</v>
      </c>
      <c r="L431" s="7">
        <f t="shared" si="228"/>
        <v>0</v>
      </c>
      <c r="M431" s="7">
        <f t="shared" ref="M431:N431" si="229">SUM(M428:M430)</f>
        <v>0</v>
      </c>
      <c r="N431" s="7">
        <f t="shared" si="229"/>
        <v>0</v>
      </c>
      <c r="O431" s="32"/>
    </row>
    <row r="432" spans="1:15">
      <c r="B432" s="6"/>
      <c r="D432" s="7"/>
      <c r="E432" s="7"/>
      <c r="F432" s="7"/>
      <c r="G432" s="30"/>
      <c r="H432" s="30"/>
      <c r="I432" s="30"/>
      <c r="J432" s="30"/>
      <c r="K432" s="30"/>
      <c r="L432" s="30"/>
      <c r="M432" s="30"/>
      <c r="N432" s="30"/>
      <c r="O432" s="32"/>
    </row>
    <row r="433" spans="1:15" ht="18.5">
      <c r="A433" s="9" t="s">
        <v>40</v>
      </c>
      <c r="D433" s="2">
        <f>'Facility Detail'!$B$1897</f>
        <v>2011</v>
      </c>
      <c r="E433" s="2">
        <f t="shared" ref="E433:J433" si="230">D433+1</f>
        <v>2012</v>
      </c>
      <c r="F433" s="2">
        <f t="shared" si="230"/>
        <v>2013</v>
      </c>
      <c r="G433" s="2">
        <f t="shared" si="230"/>
        <v>2014</v>
      </c>
      <c r="H433" s="2">
        <f t="shared" si="230"/>
        <v>2015</v>
      </c>
      <c r="I433" s="2">
        <f t="shared" si="230"/>
        <v>2016</v>
      </c>
      <c r="J433" s="2">
        <f t="shared" si="230"/>
        <v>2017</v>
      </c>
      <c r="K433" s="2">
        <f t="shared" ref="K433" si="231">J433+1</f>
        <v>2018</v>
      </c>
      <c r="L433" s="2">
        <f t="shared" ref="L433" si="232">K433+1</f>
        <v>2019</v>
      </c>
      <c r="M433" s="2">
        <f t="shared" ref="M433" si="233">L433+1</f>
        <v>2020</v>
      </c>
      <c r="N433" s="2">
        <f t="shared" ref="N433" si="234">M433+1</f>
        <v>2021</v>
      </c>
      <c r="O433" s="32"/>
    </row>
    <row r="434" spans="1:15">
      <c r="B434" s="86" t="s">
        <v>34</v>
      </c>
      <c r="C434" s="32"/>
      <c r="D434" s="3"/>
      <c r="E434" s="66">
        <f>D434</f>
        <v>0</v>
      </c>
      <c r="F434" s="138"/>
      <c r="G434" s="138"/>
      <c r="H434" s="138"/>
      <c r="I434" s="138"/>
      <c r="J434" s="138"/>
      <c r="K434" s="138"/>
      <c r="L434" s="138"/>
      <c r="M434" s="67"/>
      <c r="N434" s="67"/>
      <c r="O434" s="32"/>
    </row>
    <row r="435" spans="1:15">
      <c r="B435" s="86" t="s">
        <v>35</v>
      </c>
      <c r="C435" s="32"/>
      <c r="D435" s="174">
        <f>E435</f>
        <v>0</v>
      </c>
      <c r="E435" s="10"/>
      <c r="F435" s="81"/>
      <c r="G435" s="81"/>
      <c r="H435" s="81"/>
      <c r="I435" s="81"/>
      <c r="J435" s="81"/>
      <c r="K435" s="81"/>
      <c r="L435" s="81"/>
      <c r="M435" s="175"/>
      <c r="N435" s="175"/>
      <c r="O435" s="32"/>
    </row>
    <row r="436" spans="1:15">
      <c r="B436" s="86" t="s">
        <v>36</v>
      </c>
      <c r="C436" s="32"/>
      <c r="D436" s="68"/>
      <c r="E436" s="10"/>
      <c r="F436" s="77">
        <f>E436</f>
        <v>0</v>
      </c>
      <c r="G436" s="81"/>
      <c r="H436" s="81"/>
      <c r="I436" s="81"/>
      <c r="J436" s="81"/>
      <c r="K436" s="81"/>
      <c r="L436" s="81"/>
      <c r="M436" s="175"/>
      <c r="N436" s="175"/>
      <c r="O436" s="32"/>
    </row>
    <row r="437" spans="1:15">
      <c r="B437" s="86" t="s">
        <v>37</v>
      </c>
      <c r="C437" s="32"/>
      <c r="D437" s="68"/>
      <c r="E437" s="77">
        <f>F437</f>
        <v>0</v>
      </c>
      <c r="F437" s="173"/>
      <c r="G437" s="81"/>
      <c r="H437" s="81"/>
      <c r="I437" s="81"/>
      <c r="J437" s="81"/>
      <c r="K437" s="81"/>
      <c r="L437" s="81"/>
      <c r="M437" s="175"/>
      <c r="N437" s="175"/>
      <c r="O437" s="32"/>
    </row>
    <row r="438" spans="1:15">
      <c r="B438" s="86" t="s">
        <v>122</v>
      </c>
      <c r="C438" s="32"/>
      <c r="D438" s="68"/>
      <c r="E438" s="157"/>
      <c r="F438" s="10"/>
      <c r="G438" s="158">
        <f>F438</f>
        <v>0</v>
      </c>
      <c r="H438" s="81"/>
      <c r="I438" s="81"/>
      <c r="J438" s="81"/>
      <c r="K438" s="81"/>
      <c r="L438" s="81"/>
      <c r="M438" s="175"/>
      <c r="N438" s="175"/>
      <c r="O438" s="32"/>
    </row>
    <row r="439" spans="1:15">
      <c r="B439" s="86" t="s">
        <v>123</v>
      </c>
      <c r="C439" s="32"/>
      <c r="D439" s="68"/>
      <c r="E439" s="157"/>
      <c r="F439" s="77">
        <f>G439</f>
        <v>0</v>
      </c>
      <c r="G439" s="10"/>
      <c r="H439" s="81"/>
      <c r="I439" s="81"/>
      <c r="J439" s="81" t="s">
        <v>121</v>
      </c>
      <c r="K439" s="81" t="s">
        <v>121</v>
      </c>
      <c r="L439" s="81" t="s">
        <v>121</v>
      </c>
      <c r="M439" s="175" t="s">
        <v>121</v>
      </c>
      <c r="N439" s="175" t="s">
        <v>121</v>
      </c>
      <c r="O439" s="32"/>
    </row>
    <row r="440" spans="1:15">
      <c r="B440" s="86" t="s">
        <v>124</v>
      </c>
      <c r="C440" s="32"/>
      <c r="D440" s="68"/>
      <c r="E440" s="157"/>
      <c r="F440" s="157"/>
      <c r="G440" s="10"/>
      <c r="H440" s="158">
        <f>G440</f>
        <v>0</v>
      </c>
      <c r="I440" s="157"/>
      <c r="J440" s="81"/>
      <c r="K440" s="81"/>
      <c r="L440" s="81"/>
      <c r="M440" s="161"/>
      <c r="N440" s="161"/>
      <c r="O440" s="32"/>
    </row>
    <row r="441" spans="1:15">
      <c r="B441" s="86" t="s">
        <v>125</v>
      </c>
      <c r="C441" s="32"/>
      <c r="D441" s="68"/>
      <c r="E441" s="157"/>
      <c r="F441" s="157"/>
      <c r="G441" s="77">
        <f>H441</f>
        <v>0</v>
      </c>
      <c r="H441" s="10"/>
      <c r="I441" s="157"/>
      <c r="J441" s="81"/>
      <c r="K441" s="81"/>
      <c r="L441" s="81"/>
      <c r="M441" s="161"/>
      <c r="N441" s="161"/>
      <c r="O441" s="32"/>
    </row>
    <row r="442" spans="1:15">
      <c r="B442" s="86" t="s">
        <v>126</v>
      </c>
      <c r="C442" s="32"/>
      <c r="D442" s="68"/>
      <c r="E442" s="157"/>
      <c r="F442" s="157"/>
      <c r="G442" s="157"/>
      <c r="H442" s="10"/>
      <c r="I442" s="158">
        <f>H442</f>
        <v>0</v>
      </c>
      <c r="J442" s="81"/>
      <c r="K442" s="81"/>
      <c r="L442" s="81"/>
      <c r="M442" s="161"/>
      <c r="N442" s="161"/>
      <c r="O442" s="32"/>
    </row>
    <row r="443" spans="1:15">
      <c r="B443" s="86" t="s">
        <v>127</v>
      </c>
      <c r="C443" s="32"/>
      <c r="D443" s="68"/>
      <c r="E443" s="157"/>
      <c r="F443" s="157"/>
      <c r="G443" s="157"/>
      <c r="H443" s="77">
        <f>I443</f>
        <v>0</v>
      </c>
      <c r="I443" s="10"/>
      <c r="J443" s="81"/>
      <c r="K443" s="81"/>
      <c r="L443" s="81"/>
      <c r="M443" s="161"/>
      <c r="N443" s="161"/>
      <c r="O443" s="32"/>
    </row>
    <row r="444" spans="1:15">
      <c r="B444" s="86" t="s">
        <v>128</v>
      </c>
      <c r="C444" s="32"/>
      <c r="D444" s="68"/>
      <c r="E444" s="157"/>
      <c r="F444" s="157"/>
      <c r="G444" s="157"/>
      <c r="H444" s="157"/>
      <c r="I444" s="247">
        <f>J444</f>
        <v>0</v>
      </c>
      <c r="J444" s="159"/>
      <c r="K444" s="81"/>
      <c r="L444" s="81"/>
      <c r="M444" s="161"/>
      <c r="N444" s="161"/>
      <c r="O444" s="32"/>
    </row>
    <row r="445" spans="1:15">
      <c r="B445" s="86" t="s">
        <v>119</v>
      </c>
      <c r="C445" s="32"/>
      <c r="D445" s="68"/>
      <c r="E445" s="157"/>
      <c r="F445" s="157"/>
      <c r="G445" s="157"/>
      <c r="H445" s="157"/>
      <c r="I445" s="248">
        <f>J444</f>
        <v>0</v>
      </c>
      <c r="J445" s="160"/>
      <c r="K445" s="81"/>
      <c r="L445" s="81"/>
      <c r="M445" s="161"/>
      <c r="N445" s="161"/>
      <c r="O445" s="32"/>
    </row>
    <row r="446" spans="1:15">
      <c r="B446" s="86" t="s">
        <v>120</v>
      </c>
      <c r="C446" s="32"/>
      <c r="D446" s="68"/>
      <c r="E446" s="157"/>
      <c r="F446" s="157"/>
      <c r="G446" s="157"/>
      <c r="H446" s="157"/>
      <c r="I446" s="157"/>
      <c r="J446" s="160">
        <v>0</v>
      </c>
      <c r="K446" s="159">
        <v>0</v>
      </c>
      <c r="L446" s="81"/>
      <c r="M446" s="161"/>
      <c r="N446" s="161"/>
      <c r="O446" s="32"/>
    </row>
    <row r="447" spans="1:15">
      <c r="B447" s="86" t="s">
        <v>152</v>
      </c>
      <c r="C447" s="32"/>
      <c r="D447" s="68"/>
      <c r="E447" s="157"/>
      <c r="F447" s="157"/>
      <c r="G447" s="157"/>
      <c r="H447" s="157"/>
      <c r="I447" s="157"/>
      <c r="J447" s="305"/>
      <c r="K447" s="160"/>
      <c r="L447" s="81"/>
      <c r="M447" s="161"/>
      <c r="N447" s="161"/>
      <c r="O447" s="32"/>
    </row>
    <row r="448" spans="1:15">
      <c r="B448" s="86" t="s">
        <v>153</v>
      </c>
      <c r="C448" s="32"/>
      <c r="D448" s="68"/>
      <c r="E448" s="157"/>
      <c r="F448" s="157"/>
      <c r="G448" s="157"/>
      <c r="H448" s="157"/>
      <c r="I448" s="157"/>
      <c r="J448" s="157"/>
      <c r="K448" s="160"/>
      <c r="L448" s="77"/>
      <c r="M448" s="161"/>
      <c r="N448" s="161"/>
      <c r="O448" s="32"/>
    </row>
    <row r="449" spans="1:15">
      <c r="B449" s="86" t="s">
        <v>154</v>
      </c>
      <c r="C449" s="32"/>
      <c r="D449" s="68"/>
      <c r="E449" s="157"/>
      <c r="F449" s="157"/>
      <c r="G449" s="157"/>
      <c r="H449" s="157"/>
      <c r="I449" s="157"/>
      <c r="J449" s="157"/>
      <c r="K449" s="305"/>
      <c r="L449" s="333"/>
      <c r="M449" s="161"/>
      <c r="N449" s="161"/>
      <c r="O449" s="32"/>
    </row>
    <row r="450" spans="1:15">
      <c r="B450" s="86" t="s">
        <v>155</v>
      </c>
      <c r="C450" s="32"/>
      <c r="D450" s="69"/>
      <c r="E450" s="140"/>
      <c r="F450" s="140"/>
      <c r="G450" s="140"/>
      <c r="H450" s="140"/>
      <c r="I450" s="140"/>
      <c r="J450" s="140"/>
      <c r="K450" s="140"/>
      <c r="L450" s="162"/>
      <c r="M450" s="319"/>
      <c r="N450" s="319"/>
      <c r="O450" s="32"/>
    </row>
    <row r="451" spans="1:15">
      <c r="B451" s="35" t="s">
        <v>17</v>
      </c>
      <c r="D451" s="7">
        <f xml:space="preserve"> D435 - D434</f>
        <v>0</v>
      </c>
      <c r="E451" s="7">
        <f xml:space="preserve"> E434 + E437 - E436 - E435</f>
        <v>0</v>
      </c>
      <c r="F451" s="7">
        <f>F436 - F437 -F438</f>
        <v>0</v>
      </c>
      <c r="G451" s="7">
        <f>G438-G439-G440</f>
        <v>0</v>
      </c>
      <c r="H451" s="7">
        <f>H440-H441-H442</f>
        <v>0</v>
      </c>
      <c r="I451" s="7">
        <f>I442-I443-I444</f>
        <v>0</v>
      </c>
      <c r="J451" s="7">
        <f>J444-J445-J446</f>
        <v>0</v>
      </c>
      <c r="K451" s="7">
        <f>K446-K447-K448</f>
        <v>0</v>
      </c>
      <c r="L451" s="7">
        <f>L448-L449-L450</f>
        <v>0</v>
      </c>
      <c r="M451" s="7">
        <f>M450</f>
        <v>0</v>
      </c>
      <c r="N451" s="7">
        <f>N450</f>
        <v>0</v>
      </c>
      <c r="O451" s="32"/>
    </row>
    <row r="452" spans="1:15">
      <c r="B452" s="6"/>
      <c r="D452" s="7"/>
      <c r="E452" s="7"/>
      <c r="F452" s="7"/>
      <c r="G452" s="7"/>
      <c r="H452" s="7"/>
      <c r="I452" s="7"/>
      <c r="J452" s="7"/>
      <c r="K452" s="7"/>
      <c r="L452" s="7"/>
      <c r="M452" s="7"/>
      <c r="N452" s="7"/>
      <c r="O452" s="32"/>
    </row>
    <row r="453" spans="1:15">
      <c r="B453" s="83" t="s">
        <v>12</v>
      </c>
      <c r="C453" s="78"/>
      <c r="D453" s="101"/>
      <c r="E453" s="102"/>
      <c r="F453" s="102"/>
      <c r="G453" s="102"/>
      <c r="H453" s="170"/>
      <c r="I453" s="102"/>
      <c r="J453" s="102"/>
      <c r="K453" s="102"/>
      <c r="L453" s="102"/>
      <c r="M453" s="103"/>
      <c r="N453" s="103"/>
      <c r="O453" s="32"/>
    </row>
    <row r="454" spans="1:15">
      <c r="B454" s="6"/>
      <c r="D454" s="7"/>
      <c r="E454" s="7"/>
      <c r="F454" s="7"/>
      <c r="G454" s="7"/>
      <c r="H454" s="7"/>
      <c r="I454" s="7"/>
      <c r="J454" s="7"/>
      <c r="K454" s="7"/>
      <c r="L454" s="7"/>
      <c r="M454" s="7"/>
      <c r="N454" s="7"/>
      <c r="O454" s="32"/>
    </row>
    <row r="455" spans="1:15" ht="18.5">
      <c r="A455" s="43" t="s">
        <v>26</v>
      </c>
      <c r="C455" s="78"/>
      <c r="D455" s="47">
        <f t="shared" ref="D455:L455" si="235" xml:space="preserve"> D420 + D425 - D431 + D451 + D453</f>
        <v>0</v>
      </c>
      <c r="E455" s="48">
        <f t="shared" si="235"/>
        <v>328</v>
      </c>
      <c r="F455" s="48">
        <f t="shared" si="235"/>
        <v>293</v>
      </c>
      <c r="G455" s="48">
        <f t="shared" si="235"/>
        <v>278</v>
      </c>
      <c r="H455" s="171">
        <f t="shared" si="235"/>
        <v>226</v>
      </c>
      <c r="I455" s="171">
        <f t="shared" si="235"/>
        <v>329</v>
      </c>
      <c r="J455" s="171">
        <f t="shared" si="235"/>
        <v>346</v>
      </c>
      <c r="K455" s="171">
        <f t="shared" si="235"/>
        <v>266</v>
      </c>
      <c r="L455" s="171">
        <f t="shared" si="235"/>
        <v>245.28874750957291</v>
      </c>
      <c r="M455" s="49">
        <f t="shared" ref="M455:N455" si="236" xml:space="preserve"> M420 + M425 - M431 + M451 + M453</f>
        <v>284</v>
      </c>
      <c r="N455" s="49">
        <f t="shared" si="236"/>
        <v>0</v>
      </c>
      <c r="O455" s="32"/>
    </row>
    <row r="456" spans="1:15">
      <c r="B456" s="6"/>
      <c r="D456" s="7"/>
      <c r="E456" s="7"/>
      <c r="F456" s="7"/>
      <c r="G456" s="30"/>
      <c r="H456" s="30"/>
      <c r="I456" s="30"/>
      <c r="J456" s="30"/>
      <c r="K456" s="30"/>
      <c r="L456" s="30"/>
      <c r="M456" s="30"/>
      <c r="N456" s="30"/>
      <c r="O456" s="32"/>
    </row>
    <row r="457" spans="1:15" ht="15" thickBot="1">
      <c r="O457" s="32"/>
    </row>
    <row r="458" spans="1:15">
      <c r="A458" s="8"/>
      <c r="B458" s="8"/>
      <c r="C458" s="8"/>
      <c r="D458" s="8"/>
      <c r="E458" s="8"/>
      <c r="F458" s="8"/>
      <c r="G458" s="8"/>
      <c r="H458" s="8"/>
      <c r="I458" s="8"/>
      <c r="J458" s="8"/>
      <c r="K458" s="8"/>
      <c r="L458" s="8"/>
      <c r="M458" s="8"/>
      <c r="N458" s="8"/>
      <c r="O458" s="32"/>
    </row>
    <row r="459" spans="1:15">
      <c r="B459" s="32"/>
      <c r="C459" s="32"/>
      <c r="D459" s="32"/>
      <c r="E459" s="32"/>
      <c r="F459" s="32"/>
      <c r="G459" s="32"/>
      <c r="H459" s="32"/>
      <c r="I459" s="32"/>
      <c r="J459" s="32"/>
      <c r="K459" s="32"/>
      <c r="L459" s="32"/>
      <c r="M459" s="32"/>
      <c r="N459" s="32"/>
      <c r="O459" s="32"/>
    </row>
    <row r="460" spans="1:15" ht="21">
      <c r="A460" s="14" t="s">
        <v>4</v>
      </c>
      <c r="B460" s="14"/>
      <c r="C460" s="44" t="str">
        <f>B11</f>
        <v>Lemolo 1 (Upgrade 2003)</v>
      </c>
      <c r="D460" s="45"/>
      <c r="E460" s="24"/>
      <c r="F460" s="24"/>
      <c r="O460" s="32"/>
    </row>
    <row r="461" spans="1:15">
      <c r="O461" s="32"/>
    </row>
    <row r="462" spans="1:15" ht="18.5">
      <c r="A462" s="9" t="s">
        <v>21</v>
      </c>
      <c r="B462" s="9"/>
      <c r="D462" s="2">
        <f>'Facility Detail'!$B$1897</f>
        <v>2011</v>
      </c>
      <c r="E462" s="2">
        <f t="shared" ref="E462:J462" si="237">D462+1</f>
        <v>2012</v>
      </c>
      <c r="F462" s="2">
        <f t="shared" si="237"/>
        <v>2013</v>
      </c>
      <c r="G462" s="2">
        <f t="shared" si="237"/>
        <v>2014</v>
      </c>
      <c r="H462" s="2">
        <f t="shared" si="237"/>
        <v>2015</v>
      </c>
      <c r="I462" s="2">
        <f t="shared" si="237"/>
        <v>2016</v>
      </c>
      <c r="J462" s="2">
        <f t="shared" si="237"/>
        <v>2017</v>
      </c>
      <c r="K462" s="2">
        <f t="shared" ref="K462" si="238">J462+1</f>
        <v>2018</v>
      </c>
      <c r="L462" s="2">
        <f t="shared" ref="L462" si="239">K462+1</f>
        <v>2019</v>
      </c>
      <c r="M462" s="2">
        <f t="shared" ref="M462" si="240">L462+1</f>
        <v>2020</v>
      </c>
      <c r="N462" s="2">
        <f t="shared" ref="N462" si="241">M462+1</f>
        <v>2021</v>
      </c>
      <c r="O462" s="32"/>
    </row>
    <row r="463" spans="1:15">
      <c r="B463" s="86" t="str">
        <f>"Total MWh Produced / Purchased from " &amp; C460</f>
        <v>Total MWh Produced / Purchased from Lemolo 1 (Upgrade 2003)</v>
      </c>
      <c r="C463" s="78"/>
      <c r="D463" s="3"/>
      <c r="E463" s="4">
        <v>17021.001199999999</v>
      </c>
      <c r="F463" s="4">
        <v>12661.3536</v>
      </c>
      <c r="G463" s="4">
        <v>14311</v>
      </c>
      <c r="H463" s="4">
        <v>12553</v>
      </c>
      <c r="I463" s="91">
        <v>13621</v>
      </c>
      <c r="J463" s="293">
        <v>17773</v>
      </c>
      <c r="K463" s="293">
        <v>12686.182399999998</v>
      </c>
      <c r="L463" s="293">
        <v>11639</v>
      </c>
      <c r="M463" s="303">
        <v>14859</v>
      </c>
      <c r="N463" s="303"/>
      <c r="O463" s="32"/>
    </row>
    <row r="464" spans="1:15">
      <c r="B464" s="86" t="s">
        <v>25</v>
      </c>
      <c r="C464" s="78"/>
      <c r="D464" s="60"/>
      <c r="E464" s="61">
        <v>1</v>
      </c>
      <c r="F464" s="61">
        <v>1</v>
      </c>
      <c r="G464" s="61">
        <v>1</v>
      </c>
      <c r="H464" s="61">
        <v>1</v>
      </c>
      <c r="I464" s="61">
        <v>1</v>
      </c>
      <c r="J464" s="61">
        <v>1</v>
      </c>
      <c r="K464" s="312">
        <v>1</v>
      </c>
      <c r="L464" s="312">
        <v>1</v>
      </c>
      <c r="M464" s="312">
        <v>1</v>
      </c>
      <c r="N464" s="312">
        <v>1</v>
      </c>
      <c r="O464" s="32"/>
    </row>
    <row r="465" spans="1:15">
      <c r="B465" s="86" t="s">
        <v>20</v>
      </c>
      <c r="C465" s="78"/>
      <c r="D465" s="52"/>
      <c r="E465" s="53">
        <f>E51</f>
        <v>7.9619999999999996E-2</v>
      </c>
      <c r="F465" s="53">
        <f t="shared" ref="F465:L465" si="242">F51</f>
        <v>7.8747999999999999E-2</v>
      </c>
      <c r="G465" s="53">
        <f t="shared" si="242"/>
        <v>8.0235000000000001E-2</v>
      </c>
      <c r="H465" s="53">
        <f t="shared" si="242"/>
        <v>8.0535999999999996E-2</v>
      </c>
      <c r="I465" s="53">
        <f t="shared" si="242"/>
        <v>8.1698151927344531E-2</v>
      </c>
      <c r="J465" s="53">
        <f t="shared" si="242"/>
        <v>8.0833713568703974E-2</v>
      </c>
      <c r="K465" s="53">
        <f t="shared" si="242"/>
        <v>7.9451999999999995E-2</v>
      </c>
      <c r="L465" s="53">
        <f t="shared" si="242"/>
        <v>7.6724662968274293E-2</v>
      </c>
      <c r="M465" s="324">
        <f t="shared" ref="M465" si="243">M51</f>
        <v>7.9127103690396022E-2</v>
      </c>
      <c r="N465" s="53"/>
      <c r="O465" s="32"/>
    </row>
    <row r="466" spans="1:15">
      <c r="B466" s="83" t="s">
        <v>22</v>
      </c>
      <c r="C466" s="84"/>
      <c r="D466" s="39">
        <f xml:space="preserve"> ROUND(D463 * D464 * D465,0)</f>
        <v>0</v>
      </c>
      <c r="E466" s="39">
        <v>1355</v>
      </c>
      <c r="F466" s="39">
        <v>997</v>
      </c>
      <c r="G466" s="39">
        <v>1148</v>
      </c>
      <c r="H466" s="39">
        <v>1011</v>
      </c>
      <c r="I466" s="39">
        <v>1113</v>
      </c>
      <c r="J466" s="306">
        <v>1438</v>
      </c>
      <c r="K466" s="306">
        <v>1007</v>
      </c>
      <c r="L466" s="306">
        <f>L463*L465</f>
        <v>892.99835228774452</v>
      </c>
      <c r="M466" s="306">
        <f>M463*M465</f>
        <v>1175.7496337355944</v>
      </c>
      <c r="N466" s="306">
        <f>N463*N465</f>
        <v>0</v>
      </c>
      <c r="O466" s="32"/>
    </row>
    <row r="467" spans="1:15">
      <c r="B467" s="24"/>
      <c r="C467" s="32"/>
      <c r="D467" s="38"/>
      <c r="E467" s="38"/>
      <c r="F467" s="38"/>
      <c r="G467" s="25"/>
      <c r="H467" s="25"/>
      <c r="I467" s="25"/>
      <c r="J467" s="25"/>
      <c r="K467" s="25"/>
      <c r="L467" s="25"/>
      <c r="M467" s="25"/>
      <c r="N467" s="25"/>
      <c r="O467" s="32"/>
    </row>
    <row r="468" spans="1:15" ht="18.5">
      <c r="A468" s="46" t="s">
        <v>52</v>
      </c>
      <c r="C468" s="32"/>
      <c r="D468" s="2">
        <f>'Facility Detail'!$B$1897</f>
        <v>2011</v>
      </c>
      <c r="E468" s="2">
        <f>D468+1</f>
        <v>2012</v>
      </c>
      <c r="F468" s="2">
        <f>E468+1</f>
        <v>2013</v>
      </c>
      <c r="G468" s="2">
        <f>G462</f>
        <v>2014</v>
      </c>
      <c r="H468" s="2">
        <f>H462</f>
        <v>2015</v>
      </c>
      <c r="I468" s="2">
        <f>I462</f>
        <v>2016</v>
      </c>
      <c r="J468" s="2">
        <f>J462</f>
        <v>2017</v>
      </c>
      <c r="K468" s="2">
        <f t="shared" ref="K468:L468" si="244">K462</f>
        <v>2018</v>
      </c>
      <c r="L468" s="2">
        <f t="shared" si="244"/>
        <v>2019</v>
      </c>
      <c r="M468" s="2">
        <f t="shared" ref="M468:N468" si="245">M462</f>
        <v>2020</v>
      </c>
      <c r="N468" s="2">
        <f t="shared" si="245"/>
        <v>2021</v>
      </c>
      <c r="O468" s="32"/>
    </row>
    <row r="469" spans="1:15">
      <c r="B469" s="86" t="s">
        <v>10</v>
      </c>
      <c r="C469" s="78"/>
      <c r="D469" s="55">
        <f>IF( $E11 = "Eligible", D466 * 'Facility Detail'!$B$1894, 0 )</f>
        <v>0</v>
      </c>
      <c r="E469" s="11">
        <f>IF( $E11 = "Eligible", E466 * 'Facility Detail'!$B$1894, 0 )</f>
        <v>0</v>
      </c>
      <c r="F469" s="11">
        <f>IF( $E11 = "Eligible", F466 * 'Facility Detail'!$B$1894, 0 )</f>
        <v>0</v>
      </c>
      <c r="G469" s="11">
        <v>0</v>
      </c>
      <c r="H469" s="179">
        <v>0</v>
      </c>
      <c r="I469" s="11">
        <v>0</v>
      </c>
      <c r="J469" s="11">
        <v>0</v>
      </c>
      <c r="K469" s="11">
        <v>0</v>
      </c>
      <c r="L469" s="11">
        <v>0</v>
      </c>
      <c r="M469" s="12">
        <v>0</v>
      </c>
      <c r="N469" s="12">
        <v>0</v>
      </c>
      <c r="O469" s="32"/>
    </row>
    <row r="470" spans="1:15">
      <c r="B470" s="86" t="s">
        <v>6</v>
      </c>
      <c r="C470" s="78"/>
      <c r="D470" s="56">
        <f>IF( $F11 = "Eligible", D466, 0 )</f>
        <v>0</v>
      </c>
      <c r="E470" s="57">
        <f>IF( $F11 = "Eligible", E466, 0 )</f>
        <v>0</v>
      </c>
      <c r="F470" s="57">
        <f>IF( $F11 = "Eligible", F466, 0 )</f>
        <v>0</v>
      </c>
      <c r="G470" s="57">
        <f>IF( $E414 = "Eligible", G466, 0 )</f>
        <v>0</v>
      </c>
      <c r="H470" s="57">
        <f>IF( $E414 = "Eligible", H466, 0 )</f>
        <v>0</v>
      </c>
      <c r="I470" s="57">
        <f>IF( $E414 = "Eligible", I466, 0 )</f>
        <v>0</v>
      </c>
      <c r="J470" s="57">
        <f>IF( $E414 = "Eligible", J466, 0 )</f>
        <v>0</v>
      </c>
      <c r="K470" s="57">
        <f t="shared" ref="K470" si="246">IF( $E414 = "Eligible", K466, 0 )</f>
        <v>0</v>
      </c>
      <c r="L470" s="57">
        <f t="shared" ref="L470" si="247">IF( $E414 = "Eligible", L466, 0 )</f>
        <v>0</v>
      </c>
      <c r="M470" s="58">
        <f t="shared" ref="M470:N470" si="248">IF( $E414 = "Eligible", M466, 0 )</f>
        <v>0</v>
      </c>
      <c r="N470" s="58">
        <f t="shared" si="248"/>
        <v>0</v>
      </c>
      <c r="O470" s="32"/>
    </row>
    <row r="471" spans="1:15">
      <c r="B471" s="85" t="s">
        <v>54</v>
      </c>
      <c r="C471" s="84"/>
      <c r="D471" s="41">
        <f t="shared" ref="D471:J471" si="249">SUM(D469:D470)</f>
        <v>0</v>
      </c>
      <c r="E471" s="42">
        <f t="shared" si="249"/>
        <v>0</v>
      </c>
      <c r="F471" s="42">
        <f t="shared" si="249"/>
        <v>0</v>
      </c>
      <c r="G471" s="42">
        <f t="shared" si="249"/>
        <v>0</v>
      </c>
      <c r="H471" s="42">
        <f t="shared" si="249"/>
        <v>0</v>
      </c>
      <c r="I471" s="42">
        <f t="shared" si="249"/>
        <v>0</v>
      </c>
      <c r="J471" s="42">
        <f t="shared" si="249"/>
        <v>0</v>
      </c>
      <c r="K471" s="42">
        <f t="shared" ref="K471:L471" si="250">SUM(K469:K470)</f>
        <v>0</v>
      </c>
      <c r="L471" s="42">
        <f t="shared" si="250"/>
        <v>0</v>
      </c>
      <c r="M471" s="42">
        <f t="shared" ref="M471:N471" si="251">SUM(M469:M470)</f>
        <v>0</v>
      </c>
      <c r="N471" s="42">
        <f t="shared" si="251"/>
        <v>0</v>
      </c>
      <c r="O471" s="32"/>
    </row>
    <row r="472" spans="1:15">
      <c r="B472" s="32"/>
      <c r="C472" s="32"/>
      <c r="D472" s="40"/>
      <c r="E472" s="33"/>
      <c r="F472" s="33"/>
      <c r="G472" s="25"/>
      <c r="H472" s="25"/>
      <c r="I472" s="25"/>
      <c r="J472" s="25"/>
      <c r="K472" s="25"/>
      <c r="L472" s="25"/>
      <c r="M472" s="25"/>
      <c r="N472" s="25"/>
      <c r="O472" s="32"/>
    </row>
    <row r="473" spans="1:15" ht="18.5">
      <c r="A473" s="43" t="s">
        <v>30</v>
      </c>
      <c r="C473" s="32"/>
      <c r="D473" s="2">
        <f>'Facility Detail'!$B$1897</f>
        <v>2011</v>
      </c>
      <c r="E473" s="2">
        <f>D473+1</f>
        <v>2012</v>
      </c>
      <c r="F473" s="2">
        <f>E473+1</f>
        <v>2013</v>
      </c>
      <c r="G473" s="2">
        <f>G462</f>
        <v>2014</v>
      </c>
      <c r="H473" s="2">
        <f>H462</f>
        <v>2015</v>
      </c>
      <c r="I473" s="2">
        <f>I462</f>
        <v>2016</v>
      </c>
      <c r="J473" s="2">
        <f>J462</f>
        <v>2017</v>
      </c>
      <c r="K473" s="2">
        <f t="shared" ref="K473:L473" si="252">K462</f>
        <v>2018</v>
      </c>
      <c r="L473" s="2">
        <f t="shared" si="252"/>
        <v>2019</v>
      </c>
      <c r="M473" s="2">
        <f t="shared" ref="M473:N473" si="253">M462</f>
        <v>2020</v>
      </c>
      <c r="N473" s="2">
        <f t="shared" si="253"/>
        <v>2021</v>
      </c>
      <c r="O473" s="32"/>
    </row>
    <row r="474" spans="1:15">
      <c r="B474" s="86" t="s">
        <v>32</v>
      </c>
      <c r="C474" s="78"/>
      <c r="D474" s="90"/>
      <c r="E474" s="91"/>
      <c r="F474" s="91"/>
      <c r="G474" s="91"/>
      <c r="H474" s="91"/>
      <c r="I474" s="91"/>
      <c r="J474" s="91"/>
      <c r="K474" s="91"/>
      <c r="L474" s="91"/>
      <c r="M474" s="92"/>
      <c r="N474" s="92"/>
      <c r="O474" s="32"/>
    </row>
    <row r="475" spans="1:15">
      <c r="B475" s="87" t="s">
        <v>23</v>
      </c>
      <c r="C475" s="192"/>
      <c r="D475" s="93"/>
      <c r="E475" s="94"/>
      <c r="F475" s="94"/>
      <c r="G475" s="94"/>
      <c r="H475" s="94"/>
      <c r="I475" s="94"/>
      <c r="J475" s="94"/>
      <c r="K475" s="94"/>
      <c r="L475" s="94"/>
      <c r="M475" s="95"/>
      <c r="N475" s="95"/>
      <c r="O475" s="32"/>
    </row>
    <row r="476" spans="1:15">
      <c r="B476" s="96" t="s">
        <v>38</v>
      </c>
      <c r="C476" s="190"/>
      <c r="D476" s="63"/>
      <c r="E476" s="64"/>
      <c r="F476" s="64"/>
      <c r="G476" s="64"/>
      <c r="H476" s="64"/>
      <c r="I476" s="64"/>
      <c r="J476" s="64"/>
      <c r="K476" s="64"/>
      <c r="L476" s="64"/>
      <c r="M476" s="65"/>
      <c r="N476" s="65"/>
      <c r="O476" s="32"/>
    </row>
    <row r="477" spans="1:15">
      <c r="B477" s="35" t="s">
        <v>39</v>
      </c>
      <c r="D477" s="7">
        <f t="shared" ref="D477:I477" si="254">SUM(D474:D476)</f>
        <v>0</v>
      </c>
      <c r="E477" s="7">
        <f t="shared" si="254"/>
        <v>0</v>
      </c>
      <c r="F477" s="7">
        <f t="shared" si="254"/>
        <v>0</v>
      </c>
      <c r="G477" s="7">
        <f t="shared" si="254"/>
        <v>0</v>
      </c>
      <c r="H477" s="7">
        <f t="shared" si="254"/>
        <v>0</v>
      </c>
      <c r="I477" s="7">
        <f t="shared" si="254"/>
        <v>0</v>
      </c>
      <c r="J477" s="7">
        <f t="shared" ref="J477:L477" si="255">SUM(J474:J476)</f>
        <v>0</v>
      </c>
      <c r="K477" s="7">
        <f t="shared" si="255"/>
        <v>0</v>
      </c>
      <c r="L477" s="7">
        <f t="shared" si="255"/>
        <v>0</v>
      </c>
      <c r="M477" s="7">
        <f t="shared" ref="M477:N477" si="256">SUM(M474:M476)</f>
        <v>0</v>
      </c>
      <c r="N477" s="7">
        <f t="shared" si="256"/>
        <v>0</v>
      </c>
      <c r="O477" s="32"/>
    </row>
    <row r="478" spans="1:15">
      <c r="B478" s="6"/>
      <c r="D478" s="7"/>
      <c r="E478" s="7"/>
      <c r="F478" s="7"/>
      <c r="G478" s="30"/>
      <c r="H478" s="30"/>
      <c r="I478" s="30"/>
      <c r="J478" s="30"/>
      <c r="K478" s="30"/>
      <c r="L478" s="30"/>
      <c r="M478" s="30"/>
      <c r="N478" s="30"/>
      <c r="O478" s="32"/>
    </row>
    <row r="479" spans="1:15" ht="18.5">
      <c r="A479" s="9" t="s">
        <v>40</v>
      </c>
      <c r="D479" s="2">
        <f>'Facility Detail'!$B$1897</f>
        <v>2011</v>
      </c>
      <c r="E479" s="2">
        <f t="shared" ref="E479:J479" si="257">D479+1</f>
        <v>2012</v>
      </c>
      <c r="F479" s="2">
        <f t="shared" si="257"/>
        <v>2013</v>
      </c>
      <c r="G479" s="2">
        <f t="shared" si="257"/>
        <v>2014</v>
      </c>
      <c r="H479" s="2">
        <f t="shared" si="257"/>
        <v>2015</v>
      </c>
      <c r="I479" s="2">
        <f t="shared" si="257"/>
        <v>2016</v>
      </c>
      <c r="J479" s="2">
        <f t="shared" si="257"/>
        <v>2017</v>
      </c>
      <c r="K479" s="2">
        <f t="shared" ref="K479" si="258">J479+1</f>
        <v>2018</v>
      </c>
      <c r="L479" s="2">
        <f t="shared" ref="L479" si="259">K479+1</f>
        <v>2019</v>
      </c>
      <c r="M479" s="2">
        <f t="shared" ref="M479" si="260">L479+1</f>
        <v>2020</v>
      </c>
      <c r="N479" s="2">
        <f t="shared" ref="N479" si="261">M479+1</f>
        <v>2021</v>
      </c>
      <c r="O479" s="32"/>
    </row>
    <row r="480" spans="1:15">
      <c r="B480" s="86" t="s">
        <v>34</v>
      </c>
      <c r="C480" s="32"/>
      <c r="D480" s="3"/>
      <c r="E480" s="66">
        <f>D480</f>
        <v>0</v>
      </c>
      <c r="F480" s="138"/>
      <c r="G480" s="138"/>
      <c r="H480" s="138"/>
      <c r="I480" s="138"/>
      <c r="J480" s="138"/>
      <c r="K480" s="138"/>
      <c r="L480" s="138"/>
      <c r="M480" s="67"/>
      <c r="N480" s="67"/>
      <c r="O480" s="32"/>
    </row>
    <row r="481" spans="2:15">
      <c r="B481" s="86" t="s">
        <v>35</v>
      </c>
      <c r="C481" s="32"/>
      <c r="D481" s="174">
        <f>E481</f>
        <v>0</v>
      </c>
      <c r="E481" s="10"/>
      <c r="F481" s="81"/>
      <c r="G481" s="81"/>
      <c r="H481" s="81"/>
      <c r="I481" s="81"/>
      <c r="J481" s="81"/>
      <c r="K481" s="81"/>
      <c r="L481" s="81"/>
      <c r="M481" s="175"/>
      <c r="N481" s="175"/>
      <c r="O481" s="32"/>
    </row>
    <row r="482" spans="2:15">
      <c r="B482" s="86" t="s">
        <v>36</v>
      </c>
      <c r="C482" s="32"/>
      <c r="D482" s="68"/>
      <c r="E482" s="10"/>
      <c r="F482" s="77">
        <f>E482</f>
        <v>0</v>
      </c>
      <c r="G482" s="81"/>
      <c r="H482" s="81"/>
      <c r="I482" s="81"/>
      <c r="J482" s="81"/>
      <c r="K482" s="81"/>
      <c r="L482" s="81"/>
      <c r="M482" s="175"/>
      <c r="N482" s="175"/>
      <c r="O482" s="32"/>
    </row>
    <row r="483" spans="2:15">
      <c r="B483" s="86" t="s">
        <v>37</v>
      </c>
      <c r="C483" s="32"/>
      <c r="D483" s="68"/>
      <c r="E483" s="77">
        <f>F483</f>
        <v>0</v>
      </c>
      <c r="F483" s="173"/>
      <c r="G483" s="81"/>
      <c r="H483" s="81"/>
      <c r="I483" s="81"/>
      <c r="J483" s="81"/>
      <c r="K483" s="81"/>
      <c r="L483" s="81"/>
      <c r="M483" s="175"/>
      <c r="N483" s="175"/>
      <c r="O483" s="32"/>
    </row>
    <row r="484" spans="2:15">
      <c r="B484" s="86" t="s">
        <v>122</v>
      </c>
      <c r="C484" s="32"/>
      <c r="D484" s="68"/>
      <c r="E484" s="157"/>
      <c r="F484" s="10"/>
      <c r="G484" s="158">
        <f>F484</f>
        <v>0</v>
      </c>
      <c r="H484" s="81"/>
      <c r="I484" s="81"/>
      <c r="J484" s="81"/>
      <c r="K484" s="81"/>
      <c r="L484" s="81"/>
      <c r="M484" s="175"/>
      <c r="N484" s="175"/>
      <c r="O484" s="32"/>
    </row>
    <row r="485" spans="2:15">
      <c r="B485" s="86" t="s">
        <v>123</v>
      </c>
      <c r="C485" s="32"/>
      <c r="D485" s="68"/>
      <c r="E485" s="157"/>
      <c r="F485" s="77">
        <f>G485</f>
        <v>0</v>
      </c>
      <c r="G485" s="10"/>
      <c r="H485" s="81"/>
      <c r="I485" s="81"/>
      <c r="J485" s="81" t="s">
        <v>121</v>
      </c>
      <c r="K485" s="81" t="s">
        <v>121</v>
      </c>
      <c r="L485" s="81" t="s">
        <v>121</v>
      </c>
      <c r="M485" s="175" t="s">
        <v>121</v>
      </c>
      <c r="N485" s="175" t="s">
        <v>121</v>
      </c>
      <c r="O485" s="32"/>
    </row>
    <row r="486" spans="2:15">
      <c r="B486" s="86" t="s">
        <v>124</v>
      </c>
      <c r="C486" s="32"/>
      <c r="D486" s="68"/>
      <c r="E486" s="157"/>
      <c r="F486" s="157"/>
      <c r="G486" s="10"/>
      <c r="H486" s="158">
        <f>G486</f>
        <v>0</v>
      </c>
      <c r="I486" s="157">
        <f>H486</f>
        <v>0</v>
      </c>
      <c r="J486" s="81"/>
      <c r="K486" s="81"/>
      <c r="L486" s="81"/>
      <c r="M486" s="161"/>
      <c r="N486" s="161"/>
      <c r="O486" s="32"/>
    </row>
    <row r="487" spans="2:15">
      <c r="B487" s="86" t="s">
        <v>125</v>
      </c>
      <c r="C487" s="32"/>
      <c r="D487" s="68"/>
      <c r="E487" s="157"/>
      <c r="F487" s="157"/>
      <c r="G487" s="77">
        <f>H487</f>
        <v>0</v>
      </c>
      <c r="H487" s="10"/>
      <c r="I487" s="157"/>
      <c r="J487" s="81"/>
      <c r="K487" s="81"/>
      <c r="L487" s="81"/>
      <c r="M487" s="161"/>
      <c r="N487" s="161"/>
      <c r="O487" s="32"/>
    </row>
    <row r="488" spans="2:15">
      <c r="B488" s="86" t="s">
        <v>126</v>
      </c>
      <c r="C488" s="32"/>
      <c r="D488" s="68"/>
      <c r="E488" s="157"/>
      <c r="F488" s="157"/>
      <c r="G488" s="157"/>
      <c r="H488" s="10">
        <v>0</v>
      </c>
      <c r="I488" s="158">
        <f>H488</f>
        <v>0</v>
      </c>
      <c r="J488" s="81"/>
      <c r="K488" s="81"/>
      <c r="L488" s="81"/>
      <c r="M488" s="161"/>
      <c r="N488" s="161"/>
      <c r="O488" s="32"/>
    </row>
    <row r="489" spans="2:15">
      <c r="B489" s="86" t="s">
        <v>127</v>
      </c>
      <c r="C489" s="32"/>
      <c r="D489" s="68"/>
      <c r="E489" s="157"/>
      <c r="F489" s="157"/>
      <c r="G489" s="157"/>
      <c r="H489" s="77"/>
      <c r="I489" s="10"/>
      <c r="J489" s="81"/>
      <c r="K489" s="81"/>
      <c r="L489" s="81"/>
      <c r="M489" s="161"/>
      <c r="N489" s="161"/>
      <c r="O489" s="32"/>
    </row>
    <row r="490" spans="2:15">
      <c r="B490" s="86" t="s">
        <v>128</v>
      </c>
      <c r="C490" s="32"/>
      <c r="D490" s="68"/>
      <c r="E490" s="157"/>
      <c r="F490" s="157"/>
      <c r="G490" s="157"/>
      <c r="H490" s="157"/>
      <c r="I490" s="247">
        <v>0</v>
      </c>
      <c r="J490" s="159"/>
      <c r="K490" s="81"/>
      <c r="L490" s="81"/>
      <c r="M490" s="161"/>
      <c r="N490" s="161"/>
      <c r="O490" s="32"/>
    </row>
    <row r="491" spans="2:15">
      <c r="B491" s="86" t="s">
        <v>119</v>
      </c>
      <c r="C491" s="32"/>
      <c r="D491" s="68"/>
      <c r="E491" s="157"/>
      <c r="F491" s="157"/>
      <c r="G491" s="157"/>
      <c r="H491" s="157"/>
      <c r="I491" s="248">
        <f>J490</f>
        <v>0</v>
      </c>
      <c r="J491" s="160"/>
      <c r="K491" s="81"/>
      <c r="L491" s="81"/>
      <c r="M491" s="161"/>
      <c r="N491" s="161"/>
      <c r="O491" s="32"/>
    </row>
    <row r="492" spans="2:15">
      <c r="B492" s="86" t="s">
        <v>120</v>
      </c>
      <c r="C492" s="32"/>
      <c r="D492" s="68"/>
      <c r="E492" s="157"/>
      <c r="F492" s="157"/>
      <c r="G492" s="157"/>
      <c r="H492" s="157"/>
      <c r="I492" s="157"/>
      <c r="J492" s="160">
        <v>0</v>
      </c>
      <c r="K492" s="159"/>
      <c r="L492" s="81"/>
      <c r="M492" s="161"/>
      <c r="N492" s="161"/>
      <c r="O492" s="32"/>
    </row>
    <row r="493" spans="2:15">
      <c r="B493" s="86" t="s">
        <v>152</v>
      </c>
      <c r="C493" s="32"/>
      <c r="D493" s="68"/>
      <c r="E493" s="157"/>
      <c r="F493" s="157"/>
      <c r="G493" s="157"/>
      <c r="H493" s="157"/>
      <c r="I493" s="157"/>
      <c r="J493" s="305"/>
      <c r="K493" s="160"/>
      <c r="L493" s="81"/>
      <c r="M493" s="161"/>
      <c r="N493" s="161"/>
      <c r="O493" s="32"/>
    </row>
    <row r="494" spans="2:15">
      <c r="B494" s="86" t="s">
        <v>153</v>
      </c>
      <c r="C494" s="32"/>
      <c r="D494" s="68"/>
      <c r="E494" s="157"/>
      <c r="F494" s="157"/>
      <c r="G494" s="157"/>
      <c r="H494" s="157"/>
      <c r="I494" s="157"/>
      <c r="J494" s="157"/>
      <c r="K494" s="160"/>
      <c r="L494" s="77"/>
      <c r="M494" s="161"/>
      <c r="N494" s="161"/>
      <c r="O494" s="32"/>
    </row>
    <row r="495" spans="2:15">
      <c r="B495" s="86" t="s">
        <v>154</v>
      </c>
      <c r="C495" s="32"/>
      <c r="D495" s="68"/>
      <c r="E495" s="157"/>
      <c r="F495" s="157"/>
      <c r="G495" s="157"/>
      <c r="H495" s="157"/>
      <c r="I495" s="157"/>
      <c r="J495" s="157"/>
      <c r="K495" s="305"/>
      <c r="L495" s="333"/>
      <c r="M495" s="161"/>
      <c r="N495" s="161"/>
      <c r="O495" s="32"/>
    </row>
    <row r="496" spans="2:15">
      <c r="B496" s="86" t="s">
        <v>155</v>
      </c>
      <c r="C496" s="32"/>
      <c r="D496" s="69"/>
      <c r="E496" s="140"/>
      <c r="F496" s="140"/>
      <c r="G496" s="140"/>
      <c r="H496" s="140"/>
      <c r="I496" s="140"/>
      <c r="J496" s="140"/>
      <c r="K496" s="140"/>
      <c r="L496" s="162"/>
      <c r="M496" s="319"/>
      <c r="N496" s="319"/>
      <c r="O496" s="32"/>
    </row>
    <row r="497" spans="1:15">
      <c r="B497" s="35" t="s">
        <v>17</v>
      </c>
      <c r="D497" s="198">
        <f xml:space="preserve"> D481 - D480</f>
        <v>0</v>
      </c>
      <c r="E497" s="198">
        <f xml:space="preserve"> E480 + E483 - E482 - E481</f>
        <v>0</v>
      </c>
      <c r="F497" s="198">
        <f>F482 - F483 -F484</f>
        <v>0</v>
      </c>
      <c r="G497" s="198">
        <f>G484-G485-G486</f>
        <v>0</v>
      </c>
      <c r="H497" s="198">
        <f>H486</f>
        <v>0</v>
      </c>
      <c r="I497" s="198">
        <f>I486</f>
        <v>0</v>
      </c>
      <c r="J497" s="198">
        <f>J490-J491-J492</f>
        <v>0</v>
      </c>
      <c r="K497" s="198">
        <f>K490-K491-K492</f>
        <v>0</v>
      </c>
      <c r="L497" s="198">
        <f>L490-L491-L492</f>
        <v>0</v>
      </c>
      <c r="M497" s="198">
        <f>M490-M491-M492</f>
        <v>0</v>
      </c>
      <c r="N497" s="198">
        <f>N490-N491-N492</f>
        <v>0</v>
      </c>
      <c r="O497" s="32"/>
    </row>
    <row r="498" spans="1:15">
      <c r="B498" s="6"/>
      <c r="D498" s="7"/>
      <c r="E498" s="7"/>
      <c r="F498" s="7"/>
      <c r="G498" s="7"/>
      <c r="H498" s="7"/>
      <c r="I498" s="7"/>
      <c r="J498" s="7"/>
      <c r="K498" s="7"/>
      <c r="L498" s="7"/>
      <c r="M498" s="7"/>
      <c r="N498" s="7"/>
      <c r="O498" s="32"/>
    </row>
    <row r="499" spans="1:15">
      <c r="B499" s="83" t="s">
        <v>12</v>
      </c>
      <c r="C499" s="78"/>
      <c r="D499" s="101"/>
      <c r="E499" s="102"/>
      <c r="F499" s="102"/>
      <c r="G499" s="102"/>
      <c r="H499" s="170"/>
      <c r="I499" s="170"/>
      <c r="J499" s="170"/>
      <c r="K499" s="170"/>
      <c r="L499" s="170"/>
      <c r="M499" s="103"/>
      <c r="N499" s="103"/>
      <c r="O499" s="32"/>
    </row>
    <row r="500" spans="1:15">
      <c r="B500" s="6"/>
      <c r="D500" s="7"/>
      <c r="E500" s="7"/>
      <c r="F500" s="7"/>
      <c r="G500" s="7"/>
      <c r="H500" s="7"/>
      <c r="I500" s="7"/>
      <c r="J500" s="7"/>
      <c r="K500" s="7"/>
      <c r="L500" s="7"/>
      <c r="M500" s="7"/>
      <c r="N500" s="7"/>
      <c r="O500" s="32"/>
    </row>
    <row r="501" spans="1:15" ht="18.5">
      <c r="A501" s="43" t="s">
        <v>26</v>
      </c>
      <c r="C501" s="78"/>
      <c r="D501" s="47">
        <f xml:space="preserve"> D466 + D471 - D477 + D497 + D499</f>
        <v>0</v>
      </c>
      <c r="E501" s="48">
        <v>1355</v>
      </c>
      <c r="F501" s="48">
        <f t="shared" ref="F501:N501" si="262" xml:space="preserve"> F466 + F471 - F477 + F497 + F499</f>
        <v>997</v>
      </c>
      <c r="G501" s="48">
        <f t="shared" si="262"/>
        <v>1148</v>
      </c>
      <c r="H501" s="171">
        <f t="shared" si="262"/>
        <v>1011</v>
      </c>
      <c r="I501" s="171">
        <f t="shared" si="262"/>
        <v>1113</v>
      </c>
      <c r="J501" s="171">
        <f t="shared" si="262"/>
        <v>1438</v>
      </c>
      <c r="K501" s="171">
        <f t="shared" si="262"/>
        <v>1007</v>
      </c>
      <c r="L501" s="171">
        <f t="shared" si="262"/>
        <v>892.99835228774452</v>
      </c>
      <c r="M501" s="49">
        <f t="shared" ref="M501" si="263" xml:space="preserve"> M466 + M471 - M477 + M497 + M499</f>
        <v>1175.7496337355944</v>
      </c>
      <c r="N501" s="49">
        <f t="shared" si="262"/>
        <v>0</v>
      </c>
      <c r="O501" s="32"/>
    </row>
    <row r="502" spans="1:15">
      <c r="B502" s="6"/>
      <c r="D502" s="7"/>
      <c r="E502" s="7"/>
      <c r="F502" s="7"/>
      <c r="G502" s="30"/>
      <c r="H502" s="30"/>
      <c r="I502" s="30"/>
      <c r="J502" s="30"/>
      <c r="K502" s="30"/>
      <c r="L502" s="30"/>
      <c r="M502" s="30"/>
      <c r="N502" s="30"/>
      <c r="O502" s="32"/>
    </row>
    <row r="503" spans="1:15" ht="15" thickBot="1">
      <c r="O503" s="32"/>
    </row>
    <row r="504" spans="1:15">
      <c r="A504" s="8"/>
      <c r="B504" s="8"/>
      <c r="C504" s="8"/>
      <c r="D504" s="8"/>
      <c r="E504" s="8"/>
      <c r="F504" s="8"/>
      <c r="G504" s="8"/>
      <c r="H504" s="8"/>
      <c r="I504" s="8"/>
      <c r="J504" s="8"/>
      <c r="K504" s="8"/>
      <c r="L504" s="8"/>
      <c r="M504" s="8"/>
      <c r="N504" s="8"/>
      <c r="O504" s="32"/>
    </row>
    <row r="505" spans="1:15">
      <c r="B505" s="32"/>
      <c r="C505" s="32"/>
      <c r="D505" s="32"/>
      <c r="E505" s="32"/>
      <c r="F505" s="32"/>
      <c r="G505" s="32"/>
      <c r="H505" s="32"/>
      <c r="I505" s="32"/>
      <c r="J505" s="32"/>
      <c r="K505" s="32"/>
      <c r="L505" s="32"/>
      <c r="M505" s="32"/>
      <c r="N505" s="32"/>
      <c r="O505" s="32"/>
    </row>
    <row r="506" spans="1:15" ht="21">
      <c r="A506" s="14" t="s">
        <v>4</v>
      </c>
      <c r="B506" s="14"/>
      <c r="C506" s="44" t="str">
        <f>B12</f>
        <v>JC Boyle (Upgrade 2005)</v>
      </c>
      <c r="D506" s="45"/>
      <c r="E506" s="24"/>
      <c r="F506" s="24"/>
      <c r="O506" s="32"/>
    </row>
    <row r="507" spans="1:15">
      <c r="O507" s="32"/>
    </row>
    <row r="508" spans="1:15" ht="18.5">
      <c r="A508" s="9" t="s">
        <v>21</v>
      </c>
      <c r="B508" s="9"/>
      <c r="D508" s="2">
        <f>'Facility Detail'!$B$1897</f>
        <v>2011</v>
      </c>
      <c r="E508" s="2">
        <f>D508+1</f>
        <v>2012</v>
      </c>
      <c r="F508" s="2">
        <f>E508+1</f>
        <v>2013</v>
      </c>
      <c r="G508" s="2">
        <f>F508+1</f>
        <v>2014</v>
      </c>
      <c r="H508" s="2">
        <f>G508+1</f>
        <v>2015</v>
      </c>
      <c r="I508" s="2">
        <f>H508+1</f>
        <v>2016</v>
      </c>
      <c r="J508" s="2">
        <f t="shared" ref="J508" si="264">I508+1</f>
        <v>2017</v>
      </c>
      <c r="K508" s="2">
        <f t="shared" ref="K508" si="265">J508+1</f>
        <v>2018</v>
      </c>
      <c r="L508" s="2">
        <f t="shared" ref="L508" si="266">K508+1</f>
        <v>2019</v>
      </c>
      <c r="M508" s="2">
        <f t="shared" ref="M508" si="267">L508+1</f>
        <v>2020</v>
      </c>
      <c r="N508" s="2">
        <f t="shared" ref="N508" si="268">M508+1</f>
        <v>2021</v>
      </c>
      <c r="O508" s="32"/>
    </row>
    <row r="509" spans="1:15">
      <c r="B509" s="86" t="str">
        <f>"Total MWh Produced / Purchased from " &amp; C506</f>
        <v>Total MWh Produced / Purchased from JC Boyle (Upgrade 2005)</v>
      </c>
      <c r="C509" s="78"/>
      <c r="D509" s="3"/>
      <c r="E509" s="4">
        <v>3462.2784000000001</v>
      </c>
      <c r="F509" s="4">
        <v>2402.4095999999995</v>
      </c>
      <c r="G509" s="4">
        <v>2295</v>
      </c>
      <c r="H509" s="4">
        <v>2130</v>
      </c>
      <c r="I509" s="293">
        <v>2857</v>
      </c>
      <c r="J509" s="293">
        <v>4238</v>
      </c>
      <c r="K509" s="293">
        <v>2580.8517000000006</v>
      </c>
      <c r="L509" s="303">
        <v>3033</v>
      </c>
      <c r="M509" s="303">
        <v>161</v>
      </c>
      <c r="N509" s="303"/>
      <c r="O509" s="32"/>
    </row>
    <row r="510" spans="1:15">
      <c r="B510" s="86" t="s">
        <v>25</v>
      </c>
      <c r="C510" s="78"/>
      <c r="D510" s="60"/>
      <c r="E510" s="61">
        <v>1</v>
      </c>
      <c r="F510" s="61">
        <v>1</v>
      </c>
      <c r="G510" s="61">
        <v>1</v>
      </c>
      <c r="H510" s="61">
        <v>1</v>
      </c>
      <c r="I510" s="312">
        <v>1</v>
      </c>
      <c r="J510" s="312">
        <v>1</v>
      </c>
      <c r="K510" s="312">
        <v>1</v>
      </c>
      <c r="L510" s="313">
        <v>1</v>
      </c>
      <c r="M510" s="313">
        <v>1</v>
      </c>
      <c r="N510" s="313">
        <v>1</v>
      </c>
      <c r="O510" s="32"/>
    </row>
    <row r="511" spans="1:15">
      <c r="B511" s="86" t="s">
        <v>20</v>
      </c>
      <c r="C511" s="78"/>
      <c r="D511" s="52"/>
      <c r="E511" s="53">
        <f>E51</f>
        <v>7.9619999999999996E-2</v>
      </c>
      <c r="F511" s="53">
        <f t="shared" ref="F511:L511" si="269">F51</f>
        <v>7.8747999999999999E-2</v>
      </c>
      <c r="G511" s="53">
        <f t="shared" si="269"/>
        <v>8.0235000000000001E-2</v>
      </c>
      <c r="H511" s="53">
        <f t="shared" si="269"/>
        <v>8.0535999999999996E-2</v>
      </c>
      <c r="I511" s="53">
        <f t="shared" si="269"/>
        <v>8.1698151927344531E-2</v>
      </c>
      <c r="J511" s="53">
        <f t="shared" si="269"/>
        <v>8.0833713568703974E-2</v>
      </c>
      <c r="K511" s="53">
        <f t="shared" si="269"/>
        <v>7.9451999999999995E-2</v>
      </c>
      <c r="L511" s="53">
        <f t="shared" si="269"/>
        <v>7.6724662968274293E-2</v>
      </c>
      <c r="M511" s="324">
        <f t="shared" ref="M511" si="270">M51</f>
        <v>7.9127103690396022E-2</v>
      </c>
      <c r="N511" s="53"/>
      <c r="O511" s="32"/>
    </row>
    <row r="512" spans="1:15">
      <c r="B512" s="83" t="s">
        <v>22</v>
      </c>
      <c r="C512" s="84"/>
      <c r="D512" s="39">
        <f xml:space="preserve"> ROUND(D509 * D510 * D511,0)</f>
        <v>0</v>
      </c>
      <c r="E512" s="39">
        <v>276</v>
      </c>
      <c r="F512" s="39">
        <v>189</v>
      </c>
      <c r="G512" s="39">
        <v>184</v>
      </c>
      <c r="H512" s="39">
        <v>172</v>
      </c>
      <c r="I512" s="39">
        <v>235</v>
      </c>
      <c r="J512" s="306">
        <v>342</v>
      </c>
      <c r="K512" s="306">
        <v>205</v>
      </c>
      <c r="L512" s="306">
        <f t="shared" ref="L512:N512" si="271" xml:space="preserve"> ROUND(L509 * L510 * L511,0)</f>
        <v>233</v>
      </c>
      <c r="M512" s="306">
        <f t="shared" ref="M512" si="272" xml:space="preserve"> ROUND(M509 * M510 * M511,0)</f>
        <v>13</v>
      </c>
      <c r="N512" s="306">
        <f t="shared" si="271"/>
        <v>0</v>
      </c>
      <c r="O512" s="32"/>
    </row>
    <row r="513" spans="1:15">
      <c r="B513" s="24"/>
      <c r="C513" s="32"/>
      <c r="D513" s="38"/>
      <c r="E513" s="38"/>
      <c r="F513" s="38"/>
      <c r="G513" s="25"/>
      <c r="H513" s="25"/>
      <c r="I513" s="25"/>
      <c r="J513" s="25"/>
      <c r="K513" s="25"/>
      <c r="L513" s="25"/>
      <c r="M513" s="25"/>
      <c r="N513" s="25"/>
      <c r="O513" s="32"/>
    </row>
    <row r="514" spans="1:15" ht="18.5">
      <c r="A514" s="46" t="s">
        <v>52</v>
      </c>
      <c r="C514" s="32"/>
      <c r="D514" s="2">
        <f>'Facility Detail'!$B$1897</f>
        <v>2011</v>
      </c>
      <c r="E514" s="2">
        <f>D514+1</f>
        <v>2012</v>
      </c>
      <c r="F514" s="2">
        <f>E514+1</f>
        <v>2013</v>
      </c>
      <c r="G514" s="2">
        <f>G508</f>
        <v>2014</v>
      </c>
      <c r="H514" s="2">
        <f>H508</f>
        <v>2015</v>
      </c>
      <c r="I514" s="2">
        <f>I508</f>
        <v>2016</v>
      </c>
      <c r="J514" s="2">
        <f>J508</f>
        <v>2017</v>
      </c>
      <c r="K514" s="2">
        <f t="shared" ref="K514:L514" si="273">K508</f>
        <v>2018</v>
      </c>
      <c r="L514" s="2">
        <f t="shared" si="273"/>
        <v>2019</v>
      </c>
      <c r="M514" s="2">
        <f t="shared" ref="M514:N514" si="274">M508</f>
        <v>2020</v>
      </c>
      <c r="N514" s="2">
        <f t="shared" si="274"/>
        <v>2021</v>
      </c>
      <c r="O514" s="32"/>
    </row>
    <row r="515" spans="1:15">
      <c r="B515" s="86" t="s">
        <v>10</v>
      </c>
      <c r="C515" s="78"/>
      <c r="D515" s="55">
        <f>IF( $E12 = "Eligible", D512 * 'Facility Detail'!$B$1894, 0 )</f>
        <v>0</v>
      </c>
      <c r="E515" s="11">
        <f>IF( $E12 = "Eligible", E512 * 'Facility Detail'!$B$1894, 0 )</f>
        <v>0</v>
      </c>
      <c r="F515" s="11">
        <f>IF( $E12 = "Eligible", F512 * 'Facility Detail'!$B$1894, 0 )</f>
        <v>0</v>
      </c>
      <c r="G515" s="11">
        <v>0</v>
      </c>
      <c r="H515" s="11">
        <v>0</v>
      </c>
      <c r="I515" s="11">
        <v>0</v>
      </c>
      <c r="J515" s="11">
        <v>0</v>
      </c>
      <c r="K515" s="11">
        <v>0</v>
      </c>
      <c r="L515" s="12">
        <v>0</v>
      </c>
      <c r="M515" s="12">
        <v>0</v>
      </c>
      <c r="N515" s="12">
        <v>0</v>
      </c>
      <c r="O515" s="32"/>
    </row>
    <row r="516" spans="1:15">
      <c r="B516" s="86" t="s">
        <v>6</v>
      </c>
      <c r="C516" s="78"/>
      <c r="D516" s="56">
        <f>IF( $F12 = "Eligible", D512, 0 )</f>
        <v>0</v>
      </c>
      <c r="E516" s="57">
        <f>IF( $F12 = "Eligible", E512, 0 )</f>
        <v>0</v>
      </c>
      <c r="F516" s="57">
        <f>IF( $F12 = "Eligible", F512, 0 )</f>
        <v>0</v>
      </c>
      <c r="G516" s="57">
        <f t="shared" ref="G516:N516" si="275">IF( $E460 = "Eligible", G512, 0 )</f>
        <v>0</v>
      </c>
      <c r="H516" s="57">
        <f t="shared" si="275"/>
        <v>0</v>
      </c>
      <c r="I516" s="57">
        <f t="shared" si="275"/>
        <v>0</v>
      </c>
      <c r="J516" s="57">
        <f t="shared" si="275"/>
        <v>0</v>
      </c>
      <c r="K516" s="57">
        <f t="shared" si="275"/>
        <v>0</v>
      </c>
      <c r="L516" s="58">
        <f t="shared" si="275"/>
        <v>0</v>
      </c>
      <c r="M516" s="58">
        <f t="shared" ref="M516" si="276">IF( $E460 = "Eligible", M512, 0 )</f>
        <v>0</v>
      </c>
      <c r="N516" s="58">
        <f t="shared" si="275"/>
        <v>0</v>
      </c>
      <c r="O516" s="32"/>
    </row>
    <row r="517" spans="1:15">
      <c r="B517" s="85" t="s">
        <v>54</v>
      </c>
      <c r="C517" s="84"/>
      <c r="D517" s="41">
        <f t="shared" ref="D517:I517" si="277">SUM(D515:D516)</f>
        <v>0</v>
      </c>
      <c r="E517" s="42">
        <f t="shared" si="277"/>
        <v>0</v>
      </c>
      <c r="F517" s="42">
        <f t="shared" si="277"/>
        <v>0</v>
      </c>
      <c r="G517" s="42">
        <f t="shared" si="277"/>
        <v>0</v>
      </c>
      <c r="H517" s="42">
        <f t="shared" si="277"/>
        <v>0</v>
      </c>
      <c r="I517" s="42">
        <f t="shared" si="277"/>
        <v>0</v>
      </c>
      <c r="J517" s="42">
        <f t="shared" ref="J517:L517" si="278">SUM(J515:J516)</f>
        <v>0</v>
      </c>
      <c r="K517" s="42">
        <f t="shared" si="278"/>
        <v>0</v>
      </c>
      <c r="L517" s="42">
        <f t="shared" si="278"/>
        <v>0</v>
      </c>
      <c r="M517" s="42">
        <f t="shared" ref="M517:N517" si="279">SUM(M515:M516)</f>
        <v>0</v>
      </c>
      <c r="N517" s="42">
        <f t="shared" si="279"/>
        <v>0</v>
      </c>
      <c r="O517" s="32"/>
    </row>
    <row r="518" spans="1:15">
      <c r="B518" s="32"/>
      <c r="C518" s="32"/>
      <c r="D518" s="40"/>
      <c r="E518" s="33"/>
      <c r="F518" s="33"/>
      <c r="G518" s="25"/>
      <c r="H518" s="25"/>
      <c r="I518" s="25"/>
      <c r="J518" s="25"/>
      <c r="K518" s="25"/>
      <c r="L518" s="25"/>
      <c r="M518" s="25"/>
      <c r="N518" s="25"/>
      <c r="O518" s="32"/>
    </row>
    <row r="519" spans="1:15" ht="18.5">
      <c r="A519" s="43" t="s">
        <v>30</v>
      </c>
      <c r="C519" s="32"/>
      <c r="D519" s="2">
        <f>'Facility Detail'!$B$1897</f>
        <v>2011</v>
      </c>
      <c r="E519" s="2">
        <f>D519+1</f>
        <v>2012</v>
      </c>
      <c r="F519" s="2">
        <f>E519+1</f>
        <v>2013</v>
      </c>
      <c r="G519" s="2">
        <f>G508</f>
        <v>2014</v>
      </c>
      <c r="H519" s="2">
        <f>H508</f>
        <v>2015</v>
      </c>
      <c r="I519" s="2">
        <f>I508</f>
        <v>2016</v>
      </c>
      <c r="J519" s="2">
        <f>J508</f>
        <v>2017</v>
      </c>
      <c r="K519" s="2">
        <f t="shared" ref="K519:L519" si="280">K508</f>
        <v>2018</v>
      </c>
      <c r="L519" s="2">
        <f t="shared" si="280"/>
        <v>2019</v>
      </c>
      <c r="M519" s="2">
        <f t="shared" ref="M519:N519" si="281">M508</f>
        <v>2020</v>
      </c>
      <c r="N519" s="2">
        <f t="shared" si="281"/>
        <v>2021</v>
      </c>
      <c r="O519" s="32"/>
    </row>
    <row r="520" spans="1:15">
      <c r="B520" s="86" t="s">
        <v>32</v>
      </c>
      <c r="C520" s="78"/>
      <c r="D520" s="90"/>
      <c r="E520" s="91"/>
      <c r="F520" s="91"/>
      <c r="G520" s="91"/>
      <c r="H520" s="91"/>
      <c r="I520" s="91"/>
      <c r="J520" s="91"/>
      <c r="K520" s="91"/>
      <c r="L520" s="92"/>
      <c r="M520" s="92"/>
      <c r="N520" s="92"/>
      <c r="O520" s="32"/>
    </row>
    <row r="521" spans="1:15">
      <c r="B521" s="87" t="s">
        <v>23</v>
      </c>
      <c r="C521" s="192"/>
      <c r="D521" s="93"/>
      <c r="E521" s="94"/>
      <c r="F521" s="94"/>
      <c r="G521" s="94"/>
      <c r="H521" s="94"/>
      <c r="I521" s="94"/>
      <c r="J521" s="94"/>
      <c r="K521" s="94"/>
      <c r="L521" s="95"/>
      <c r="M521" s="95"/>
      <c r="N521" s="95"/>
      <c r="O521" s="32"/>
    </row>
    <row r="522" spans="1:15">
      <c r="B522" s="96" t="s">
        <v>38</v>
      </c>
      <c r="C522" s="190"/>
      <c r="D522" s="63"/>
      <c r="E522" s="64"/>
      <c r="F522" s="64"/>
      <c r="G522" s="64"/>
      <c r="H522" s="64"/>
      <c r="I522" s="64"/>
      <c r="J522" s="64"/>
      <c r="K522" s="64"/>
      <c r="L522" s="65"/>
      <c r="M522" s="65"/>
      <c r="N522" s="65"/>
      <c r="O522" s="32"/>
    </row>
    <row r="523" spans="1:15">
      <c r="B523" s="35" t="s">
        <v>39</v>
      </c>
      <c r="D523" s="7">
        <f t="shared" ref="D523:I523" si="282">SUM(D520:D522)</f>
        <v>0</v>
      </c>
      <c r="E523" s="7">
        <f t="shared" si="282"/>
        <v>0</v>
      </c>
      <c r="F523" s="7">
        <f t="shared" si="282"/>
        <v>0</v>
      </c>
      <c r="G523" s="7">
        <f t="shared" si="282"/>
        <v>0</v>
      </c>
      <c r="H523" s="7">
        <f t="shared" si="282"/>
        <v>0</v>
      </c>
      <c r="I523" s="7">
        <f t="shared" si="282"/>
        <v>0</v>
      </c>
      <c r="J523" s="7">
        <f t="shared" ref="J523:L523" si="283">SUM(J520:J522)</f>
        <v>0</v>
      </c>
      <c r="K523" s="7">
        <f t="shared" si="283"/>
        <v>0</v>
      </c>
      <c r="L523" s="7">
        <f t="shared" si="283"/>
        <v>0</v>
      </c>
      <c r="M523" s="7">
        <f t="shared" ref="M523:N523" si="284">SUM(M520:M522)</f>
        <v>0</v>
      </c>
      <c r="N523" s="7">
        <f t="shared" si="284"/>
        <v>0</v>
      </c>
      <c r="O523" s="32"/>
    </row>
    <row r="524" spans="1:15">
      <c r="B524" s="6"/>
      <c r="D524" s="7"/>
      <c r="E524" s="7"/>
      <c r="F524" s="7"/>
      <c r="G524" s="30"/>
      <c r="H524" s="30"/>
      <c r="I524" s="30"/>
      <c r="J524" s="30"/>
      <c r="K524" s="30"/>
      <c r="L524" s="30"/>
      <c r="M524" s="30"/>
      <c r="N524" s="30"/>
      <c r="O524" s="32"/>
    </row>
    <row r="525" spans="1:15" ht="18.5">
      <c r="A525" s="9" t="s">
        <v>40</v>
      </c>
      <c r="D525" s="2">
        <f>'Facility Detail'!$B$1897</f>
        <v>2011</v>
      </c>
      <c r="E525" s="2">
        <f>D525+1</f>
        <v>2012</v>
      </c>
      <c r="F525" s="2">
        <f>E525+1</f>
        <v>2013</v>
      </c>
      <c r="G525" s="2">
        <f>F525+1</f>
        <v>2014</v>
      </c>
      <c r="H525" s="2">
        <f>G525+1</f>
        <v>2015</v>
      </c>
      <c r="I525" s="2">
        <f>H525+1</f>
        <v>2016</v>
      </c>
      <c r="J525" s="2">
        <f t="shared" ref="J525" si="285">I525+1</f>
        <v>2017</v>
      </c>
      <c r="K525" s="2">
        <f t="shared" ref="K525" si="286">J525+1</f>
        <v>2018</v>
      </c>
      <c r="L525" s="2">
        <f t="shared" ref="L525" si="287">K525+1</f>
        <v>2019</v>
      </c>
      <c r="M525" s="2">
        <f t="shared" ref="M525" si="288">L525+1</f>
        <v>2020</v>
      </c>
      <c r="N525" s="2">
        <f t="shared" ref="N525" si="289">M525+1</f>
        <v>2021</v>
      </c>
      <c r="O525" s="32"/>
    </row>
    <row r="526" spans="1:15">
      <c r="B526" s="86" t="s">
        <v>34</v>
      </c>
      <c r="C526" s="32"/>
      <c r="D526" s="3"/>
      <c r="E526" s="66">
        <f>D526</f>
        <v>0</v>
      </c>
      <c r="F526" s="138"/>
      <c r="G526" s="138"/>
      <c r="H526" s="138"/>
      <c r="I526" s="138"/>
      <c r="J526" s="138"/>
      <c r="K526" s="138"/>
      <c r="L526" s="138"/>
      <c r="M526" s="67"/>
      <c r="N526" s="67"/>
      <c r="O526" s="32"/>
    </row>
    <row r="527" spans="1:15">
      <c r="B527" s="86" t="s">
        <v>35</v>
      </c>
      <c r="C527" s="32"/>
      <c r="D527" s="174">
        <f>E527</f>
        <v>0</v>
      </c>
      <c r="E527" s="10"/>
      <c r="F527" s="81"/>
      <c r="G527" s="81"/>
      <c r="H527" s="81"/>
      <c r="I527" s="81"/>
      <c r="J527" s="81"/>
      <c r="K527" s="81"/>
      <c r="L527" s="81"/>
      <c r="M527" s="175"/>
      <c r="N527" s="175"/>
      <c r="O527" s="32"/>
    </row>
    <row r="528" spans="1:15">
      <c r="B528" s="86" t="s">
        <v>36</v>
      </c>
      <c r="C528" s="32"/>
      <c r="D528" s="68"/>
      <c r="E528" s="10"/>
      <c r="F528" s="77">
        <f>E528</f>
        <v>0</v>
      </c>
      <c r="G528" s="81"/>
      <c r="H528" s="81"/>
      <c r="I528" s="81"/>
      <c r="J528" s="81"/>
      <c r="K528" s="81"/>
      <c r="L528" s="81"/>
      <c r="M528" s="175"/>
      <c r="N528" s="175"/>
      <c r="O528" s="32"/>
    </row>
    <row r="529" spans="2:15">
      <c r="B529" s="86" t="s">
        <v>37</v>
      </c>
      <c r="C529" s="32"/>
      <c r="D529" s="68"/>
      <c r="E529" s="77">
        <f>F529</f>
        <v>0</v>
      </c>
      <c r="F529" s="173"/>
      <c r="G529" s="81"/>
      <c r="H529" s="81"/>
      <c r="I529" s="81"/>
      <c r="J529" s="81"/>
      <c r="K529" s="81"/>
      <c r="L529" s="81"/>
      <c r="M529" s="175"/>
      <c r="N529" s="175"/>
      <c r="O529" s="32"/>
    </row>
    <row r="530" spans="2:15">
      <c r="B530" s="86" t="s">
        <v>122</v>
      </c>
      <c r="C530" s="32"/>
      <c r="D530" s="68"/>
      <c r="E530" s="157"/>
      <c r="F530" s="10"/>
      <c r="G530" s="158">
        <f>F530</f>
        <v>0</v>
      </c>
      <c r="H530" s="81"/>
      <c r="I530" s="81"/>
      <c r="J530" s="81"/>
      <c r="K530" s="81"/>
      <c r="L530" s="81"/>
      <c r="M530" s="175"/>
      <c r="N530" s="175"/>
      <c r="O530" s="32"/>
    </row>
    <row r="531" spans="2:15">
      <c r="B531" s="86" t="s">
        <v>123</v>
      </c>
      <c r="C531" s="32"/>
      <c r="D531" s="68"/>
      <c r="E531" s="157"/>
      <c r="F531" s="77">
        <f>G531</f>
        <v>0</v>
      </c>
      <c r="G531" s="10"/>
      <c r="H531" s="81"/>
      <c r="I531" s="81"/>
      <c r="J531" s="81" t="s">
        <v>121</v>
      </c>
      <c r="K531" s="81" t="s">
        <v>121</v>
      </c>
      <c r="L531" s="81" t="s">
        <v>121</v>
      </c>
      <c r="M531" s="175" t="s">
        <v>121</v>
      </c>
      <c r="N531" s="175" t="s">
        <v>121</v>
      </c>
      <c r="O531" s="32"/>
    </row>
    <row r="532" spans="2:15">
      <c r="B532" s="86" t="s">
        <v>124</v>
      </c>
      <c r="C532" s="32"/>
      <c r="D532" s="68"/>
      <c r="E532" s="157"/>
      <c r="F532" s="157"/>
      <c r="G532" s="10"/>
      <c r="H532" s="158">
        <f>G532</f>
        <v>0</v>
      </c>
      <c r="I532" s="157"/>
      <c r="J532" s="81"/>
      <c r="K532" s="81"/>
      <c r="L532" s="81"/>
      <c r="M532" s="161"/>
      <c r="N532" s="161"/>
      <c r="O532" s="32"/>
    </row>
    <row r="533" spans="2:15">
      <c r="B533" s="86" t="s">
        <v>125</v>
      </c>
      <c r="C533" s="32"/>
      <c r="D533" s="68"/>
      <c r="E533" s="157"/>
      <c r="F533" s="157"/>
      <c r="G533" s="77">
        <f>H533</f>
        <v>0</v>
      </c>
      <c r="H533" s="10"/>
      <c r="I533" s="157"/>
      <c r="J533" s="81"/>
      <c r="K533" s="81"/>
      <c r="L533" s="81"/>
      <c r="M533" s="161"/>
      <c r="N533" s="161"/>
      <c r="O533" s="32"/>
    </row>
    <row r="534" spans="2:15">
      <c r="B534" s="86" t="s">
        <v>126</v>
      </c>
      <c r="C534" s="32"/>
      <c r="D534" s="68"/>
      <c r="E534" s="157"/>
      <c r="F534" s="157"/>
      <c r="G534" s="157"/>
      <c r="H534" s="10"/>
      <c r="I534" s="158">
        <f>H534</f>
        <v>0</v>
      </c>
      <c r="J534" s="81"/>
      <c r="K534" s="81"/>
      <c r="L534" s="81"/>
      <c r="M534" s="161"/>
      <c r="N534" s="161"/>
      <c r="O534" s="32"/>
    </row>
    <row r="535" spans="2:15">
      <c r="B535" s="86" t="s">
        <v>127</v>
      </c>
      <c r="C535" s="32"/>
      <c r="D535" s="68"/>
      <c r="E535" s="157"/>
      <c r="F535" s="157"/>
      <c r="G535" s="157"/>
      <c r="H535" s="77">
        <f>I535</f>
        <v>0</v>
      </c>
      <c r="I535" s="10"/>
      <c r="J535" s="81"/>
      <c r="K535" s="81"/>
      <c r="L535" s="81"/>
      <c r="M535" s="161"/>
      <c r="N535" s="161"/>
      <c r="O535" s="32"/>
    </row>
    <row r="536" spans="2:15">
      <c r="B536" s="86" t="s">
        <v>128</v>
      </c>
      <c r="C536" s="32"/>
      <c r="D536" s="68"/>
      <c r="E536" s="157"/>
      <c r="F536" s="157"/>
      <c r="G536" s="157"/>
      <c r="H536" s="157"/>
      <c r="I536" s="247">
        <v>0</v>
      </c>
      <c r="J536" s="159"/>
      <c r="K536" s="81"/>
      <c r="L536" s="81"/>
      <c r="M536" s="161"/>
      <c r="N536" s="161"/>
      <c r="O536" s="32"/>
    </row>
    <row r="537" spans="2:15">
      <c r="B537" s="86" t="s">
        <v>119</v>
      </c>
      <c r="C537" s="32"/>
      <c r="D537" s="68"/>
      <c r="E537" s="157"/>
      <c r="F537" s="157"/>
      <c r="G537" s="157"/>
      <c r="H537" s="157"/>
      <c r="I537" s="248">
        <f>J536</f>
        <v>0</v>
      </c>
      <c r="J537" s="160"/>
      <c r="K537" s="81"/>
      <c r="L537" s="81"/>
      <c r="M537" s="161"/>
      <c r="N537" s="161"/>
      <c r="O537" s="32"/>
    </row>
    <row r="538" spans="2:15">
      <c r="B538" s="86" t="s">
        <v>120</v>
      </c>
      <c r="C538" s="32"/>
      <c r="D538" s="68"/>
      <c r="E538" s="157"/>
      <c r="F538" s="157"/>
      <c r="G538" s="157"/>
      <c r="H538" s="157"/>
      <c r="I538" s="157"/>
      <c r="J538" s="160">
        <v>0</v>
      </c>
      <c r="K538" s="159"/>
      <c r="L538" s="81"/>
      <c r="M538" s="161"/>
      <c r="N538" s="161"/>
      <c r="O538" s="32"/>
    </row>
    <row r="539" spans="2:15">
      <c r="B539" s="86" t="s">
        <v>152</v>
      </c>
      <c r="C539" s="32"/>
      <c r="D539" s="68"/>
      <c r="E539" s="157"/>
      <c r="F539" s="157"/>
      <c r="G539" s="157"/>
      <c r="H539" s="157"/>
      <c r="I539" s="157"/>
      <c r="J539" s="305"/>
      <c r="K539" s="160"/>
      <c r="L539" s="81"/>
      <c r="M539" s="161"/>
      <c r="N539" s="161"/>
      <c r="O539" s="32"/>
    </row>
    <row r="540" spans="2:15">
      <c r="B540" s="86" t="s">
        <v>153</v>
      </c>
      <c r="C540" s="32"/>
      <c r="D540" s="68"/>
      <c r="E540" s="157"/>
      <c r="F540" s="157"/>
      <c r="G540" s="157"/>
      <c r="H540" s="157"/>
      <c r="I540" s="157"/>
      <c r="J540" s="157"/>
      <c r="K540" s="160"/>
      <c r="L540" s="77"/>
      <c r="M540" s="161"/>
      <c r="N540" s="161"/>
      <c r="O540" s="32"/>
    </row>
    <row r="541" spans="2:15">
      <c r="B541" s="86" t="s">
        <v>154</v>
      </c>
      <c r="C541" s="32"/>
      <c r="D541" s="68"/>
      <c r="E541" s="157"/>
      <c r="F541" s="157"/>
      <c r="G541" s="157"/>
      <c r="H541" s="157"/>
      <c r="I541" s="157"/>
      <c r="J541" s="157"/>
      <c r="K541" s="305"/>
      <c r="L541" s="333"/>
      <c r="M541" s="161"/>
      <c r="N541" s="161"/>
      <c r="O541" s="32"/>
    </row>
    <row r="542" spans="2:15">
      <c r="B542" s="86" t="s">
        <v>155</v>
      </c>
      <c r="C542" s="32"/>
      <c r="D542" s="69"/>
      <c r="E542" s="140"/>
      <c r="F542" s="140"/>
      <c r="G542" s="140"/>
      <c r="H542" s="140"/>
      <c r="I542" s="140"/>
      <c r="J542" s="140"/>
      <c r="K542" s="140"/>
      <c r="L542" s="162"/>
      <c r="M542" s="319"/>
      <c r="N542" s="319"/>
      <c r="O542" s="32"/>
    </row>
    <row r="543" spans="2:15">
      <c r="B543" s="35" t="s">
        <v>17</v>
      </c>
      <c r="D543" s="198">
        <f xml:space="preserve"> D527 - D526</f>
        <v>0</v>
      </c>
      <c r="E543" s="198">
        <f xml:space="preserve"> E526 + E529 - E528 - E527</f>
        <v>0</v>
      </c>
      <c r="F543" s="198">
        <f>F528 - F529 -F530</f>
        <v>0</v>
      </c>
      <c r="G543" s="198">
        <f>G530-G531-G532</f>
        <v>0</v>
      </c>
      <c r="H543" s="198">
        <f>H532</f>
        <v>0</v>
      </c>
      <c r="I543" s="198">
        <f>I534-I535-I536</f>
        <v>0</v>
      </c>
      <c r="J543" s="198">
        <f>J536-J537-J538</f>
        <v>0</v>
      </c>
      <c r="K543" s="198">
        <f t="shared" ref="K543:L543" si="290">K536-K537-K538</f>
        <v>0</v>
      </c>
      <c r="L543" s="198">
        <f t="shared" si="290"/>
        <v>0</v>
      </c>
      <c r="M543" s="198">
        <f t="shared" ref="M543:N543" si="291">M536-M537-M538</f>
        <v>0</v>
      </c>
      <c r="N543" s="198">
        <f t="shared" si="291"/>
        <v>0</v>
      </c>
      <c r="O543" s="32"/>
    </row>
    <row r="544" spans="2:15">
      <c r="B544" s="6"/>
      <c r="D544" s="7"/>
      <c r="E544" s="7"/>
      <c r="F544" s="7"/>
      <c r="G544" s="7"/>
      <c r="H544" s="7"/>
      <c r="I544" s="7"/>
      <c r="J544" s="7"/>
      <c r="K544" s="7"/>
      <c r="L544" s="7"/>
      <c r="M544" s="7"/>
      <c r="N544" s="7"/>
      <c r="O544" s="32"/>
    </row>
    <row r="545" spans="1:15">
      <c r="B545" s="83" t="s">
        <v>12</v>
      </c>
      <c r="C545" s="78"/>
      <c r="D545" s="101"/>
      <c r="E545" s="102"/>
      <c r="F545" s="102"/>
      <c r="G545" s="102"/>
      <c r="H545" s="102"/>
      <c r="I545" s="102"/>
      <c r="J545" s="102"/>
      <c r="K545" s="102"/>
      <c r="L545" s="103"/>
      <c r="M545" s="103"/>
      <c r="N545" s="103"/>
      <c r="O545" s="32"/>
    </row>
    <row r="546" spans="1:15">
      <c r="B546" s="6"/>
      <c r="D546" s="7"/>
      <c r="E546" s="7"/>
      <c r="F546" s="7"/>
      <c r="G546" s="7"/>
      <c r="H546" s="7"/>
      <c r="I546" s="7"/>
      <c r="J546" s="7"/>
      <c r="K546" s="7"/>
      <c r="L546" s="7"/>
      <c r="M546" s="7"/>
      <c r="N546" s="7"/>
      <c r="O546" s="32"/>
    </row>
    <row r="547" spans="1:15" ht="18.5">
      <c r="A547" s="43" t="s">
        <v>26</v>
      </c>
      <c r="C547" s="78"/>
      <c r="D547" s="47">
        <f xml:space="preserve"> D512 + D517 - D523 + D543 + D545</f>
        <v>0</v>
      </c>
      <c r="E547" s="48">
        <v>276</v>
      </c>
      <c r="F547" s="48">
        <f xml:space="preserve"> F512 + F517 - F523 + F543 + F545</f>
        <v>189</v>
      </c>
      <c r="G547" s="48">
        <f xml:space="preserve"> G512 + G517 - G523 + G543 + G545</f>
        <v>184</v>
      </c>
      <c r="H547" s="171">
        <f xml:space="preserve"> H512 + H517 - H523 + H543 + H545</f>
        <v>172</v>
      </c>
      <c r="I547" s="171">
        <f t="shared" ref="I547:L547" si="292" xml:space="preserve"> I512 + I517 - I523 + I543 + I545</f>
        <v>235</v>
      </c>
      <c r="J547" s="171">
        <f t="shared" si="292"/>
        <v>342</v>
      </c>
      <c r="K547" s="171">
        <f t="shared" si="292"/>
        <v>205</v>
      </c>
      <c r="L547" s="171">
        <f t="shared" si="292"/>
        <v>233</v>
      </c>
      <c r="M547" s="49">
        <f t="shared" ref="M547:N547" si="293" xml:space="preserve"> M512 + M517 - M523 + M543 + M545</f>
        <v>13</v>
      </c>
      <c r="N547" s="49">
        <f t="shared" si="293"/>
        <v>0</v>
      </c>
      <c r="O547" s="32"/>
    </row>
    <row r="548" spans="1:15">
      <c r="B548" s="6"/>
      <c r="D548" s="7"/>
      <c r="E548" s="7"/>
      <c r="F548" s="7"/>
      <c r="G548" s="30"/>
      <c r="H548" s="30"/>
      <c r="I548" s="30"/>
      <c r="J548" s="30"/>
      <c r="K548" s="30"/>
      <c r="L548" s="30"/>
      <c r="M548" s="30"/>
      <c r="N548" s="30"/>
      <c r="O548" s="32"/>
    </row>
    <row r="549" spans="1:15" ht="15" thickBot="1">
      <c r="O549" s="32"/>
    </row>
    <row r="550" spans="1:15">
      <c r="A550" s="8"/>
      <c r="B550" s="8"/>
      <c r="C550" s="8"/>
      <c r="D550" s="8"/>
      <c r="E550" s="8"/>
      <c r="F550" s="8"/>
      <c r="G550" s="8"/>
      <c r="H550" s="8"/>
      <c r="I550" s="8"/>
      <c r="J550" s="8"/>
      <c r="K550" s="8"/>
      <c r="L550" s="8"/>
      <c r="M550" s="8"/>
      <c r="N550" s="8"/>
      <c r="O550" s="32"/>
    </row>
    <row r="551" spans="1:15">
      <c r="B551" s="32"/>
      <c r="C551" s="32"/>
      <c r="D551" s="32"/>
      <c r="E551" s="32"/>
      <c r="F551" s="32"/>
      <c r="G551" s="32"/>
      <c r="H551" s="32"/>
      <c r="I551" s="32"/>
      <c r="J551" s="32"/>
      <c r="K551" s="32"/>
      <c r="L551" s="32"/>
      <c r="M551" s="32"/>
      <c r="N551" s="32"/>
      <c r="O551" s="32"/>
    </row>
    <row r="552" spans="1:15" ht="21">
      <c r="A552" s="14" t="s">
        <v>4</v>
      </c>
      <c r="B552" s="14"/>
      <c r="C552" s="44" t="str">
        <f>B13</f>
        <v>Lemolo 2 (Upgrade 2009)</v>
      </c>
      <c r="D552" s="45"/>
      <c r="E552" s="24"/>
      <c r="F552" s="24"/>
      <c r="O552" s="32"/>
    </row>
    <row r="553" spans="1:15">
      <c r="O553" s="32"/>
    </row>
    <row r="554" spans="1:15" ht="18.5">
      <c r="A554" s="9" t="s">
        <v>21</v>
      </c>
      <c r="B554" s="9"/>
      <c r="D554" s="2">
        <f>'Facility Detail'!$B$1897</f>
        <v>2011</v>
      </c>
      <c r="E554" s="2">
        <f>D554+1</f>
        <v>2012</v>
      </c>
      <c r="F554" s="2">
        <f>E554+1</f>
        <v>2013</v>
      </c>
      <c r="G554" s="2">
        <f>F554+1</f>
        <v>2014</v>
      </c>
      <c r="H554" s="2">
        <f>G554+1</f>
        <v>2015</v>
      </c>
      <c r="I554" s="2">
        <f>H554+1</f>
        <v>2016</v>
      </c>
      <c r="J554" s="2">
        <f t="shared" ref="J554:K554" si="294">I554+1</f>
        <v>2017</v>
      </c>
      <c r="K554" s="2">
        <f t="shared" si="294"/>
        <v>2018</v>
      </c>
      <c r="L554" s="2">
        <f t="shared" ref="L554" si="295">K554+1</f>
        <v>2019</v>
      </c>
      <c r="M554" s="2">
        <f t="shared" ref="M554" si="296">L554+1</f>
        <v>2020</v>
      </c>
      <c r="N554" s="2">
        <f t="shared" ref="N554" si="297">M554+1</f>
        <v>2021</v>
      </c>
      <c r="O554" s="32"/>
    </row>
    <row r="555" spans="1:15">
      <c r="B555" s="86" t="str">
        <f>"Total MWh Produced / Purchased from " &amp; C552</f>
        <v>Total MWh Produced / Purchased from Lemolo 2 (Upgrade 2009)</v>
      </c>
      <c r="C555" s="78"/>
      <c r="D555" s="3"/>
      <c r="E555" s="4">
        <v>1780.5182</v>
      </c>
      <c r="F555" s="4">
        <v>1290.0086000000001</v>
      </c>
      <c r="G555" s="4">
        <v>1355</v>
      </c>
      <c r="H555" s="4">
        <v>1066</v>
      </c>
      <c r="I555" s="91">
        <v>1144</v>
      </c>
      <c r="J555" s="293">
        <v>1567</v>
      </c>
      <c r="K555" s="293">
        <v>1037.6651999999999</v>
      </c>
      <c r="L555" s="293">
        <v>1119</v>
      </c>
      <c r="M555" s="303">
        <v>1375</v>
      </c>
      <c r="N555" s="303"/>
      <c r="O555" s="32"/>
    </row>
    <row r="556" spans="1:15">
      <c r="B556" s="86" t="s">
        <v>25</v>
      </c>
      <c r="C556" s="78"/>
      <c r="D556" s="60"/>
      <c r="E556" s="61">
        <v>1</v>
      </c>
      <c r="F556" s="61">
        <v>1</v>
      </c>
      <c r="G556" s="61">
        <v>1</v>
      </c>
      <c r="H556" s="61">
        <v>1</v>
      </c>
      <c r="I556" s="61">
        <v>1</v>
      </c>
      <c r="J556" s="312">
        <v>1</v>
      </c>
      <c r="K556" s="312">
        <v>1</v>
      </c>
      <c r="L556" s="312">
        <v>1</v>
      </c>
      <c r="M556" s="312">
        <v>1</v>
      </c>
      <c r="N556" s="312">
        <v>1</v>
      </c>
      <c r="O556" s="32"/>
    </row>
    <row r="557" spans="1:15">
      <c r="B557" s="86" t="s">
        <v>20</v>
      </c>
      <c r="C557" s="78"/>
      <c r="D557" s="52"/>
      <c r="E557" s="53">
        <f>E51</f>
        <v>7.9619999999999996E-2</v>
      </c>
      <c r="F557" s="53">
        <f t="shared" ref="F557:L557" si="298">F51</f>
        <v>7.8747999999999999E-2</v>
      </c>
      <c r="G557" s="53">
        <f t="shared" si="298"/>
        <v>8.0235000000000001E-2</v>
      </c>
      <c r="H557" s="53">
        <f t="shared" si="298"/>
        <v>8.0535999999999996E-2</v>
      </c>
      <c r="I557" s="53">
        <f t="shared" si="298"/>
        <v>8.1698151927344531E-2</v>
      </c>
      <c r="J557" s="53">
        <f t="shared" si="298"/>
        <v>8.0833713568703974E-2</v>
      </c>
      <c r="K557" s="53">
        <f t="shared" si="298"/>
        <v>7.9451999999999995E-2</v>
      </c>
      <c r="L557" s="53">
        <f t="shared" si="298"/>
        <v>7.6724662968274293E-2</v>
      </c>
      <c r="M557" s="324">
        <f t="shared" ref="M557" si="299">M51</f>
        <v>7.9127103690396022E-2</v>
      </c>
      <c r="N557" s="53"/>
      <c r="O557" s="32"/>
    </row>
    <row r="558" spans="1:15">
      <c r="B558" s="83" t="s">
        <v>22</v>
      </c>
      <c r="C558" s="84"/>
      <c r="D558" s="39">
        <f xml:space="preserve"> ROUND(D555 * D556 * D557,0)</f>
        <v>0</v>
      </c>
      <c r="E558" s="39">
        <v>142</v>
      </c>
      <c r="F558" s="39">
        <v>102</v>
      </c>
      <c r="G558" s="39">
        <v>109</v>
      </c>
      <c r="H558" s="39">
        <v>86</v>
      </c>
      <c r="I558" s="306">
        <v>95</v>
      </c>
      <c r="J558" s="306">
        <v>127</v>
      </c>
      <c r="K558" s="306">
        <v>84</v>
      </c>
      <c r="L558" s="306">
        <f>L555*L557</f>
        <v>85.854897861498941</v>
      </c>
      <c r="M558" s="306">
        <f>M555*M557</f>
        <v>108.79976757429453</v>
      </c>
      <c r="N558" s="306">
        <f>N555*N557</f>
        <v>0</v>
      </c>
      <c r="O558" s="32"/>
    </row>
    <row r="559" spans="1:15">
      <c r="B559" s="24"/>
      <c r="C559" s="32"/>
      <c r="D559" s="38"/>
      <c r="E559" s="38"/>
      <c r="F559" s="38"/>
      <c r="G559" s="25"/>
      <c r="H559" s="25"/>
      <c r="I559" s="25"/>
      <c r="J559" s="25"/>
      <c r="K559" s="25"/>
      <c r="L559" s="25"/>
      <c r="M559" s="25"/>
      <c r="N559" s="25"/>
      <c r="O559" s="32"/>
    </row>
    <row r="560" spans="1:15" ht="18.5">
      <c r="A560" s="46" t="s">
        <v>52</v>
      </c>
      <c r="C560" s="32"/>
      <c r="D560" s="2">
        <f>'Facility Detail'!$B$1897</f>
        <v>2011</v>
      </c>
      <c r="E560" s="2">
        <f>D560+1</f>
        <v>2012</v>
      </c>
      <c r="F560" s="2">
        <f>E560+1</f>
        <v>2013</v>
      </c>
      <c r="G560" s="2">
        <f>G554</f>
        <v>2014</v>
      </c>
      <c r="H560" s="2">
        <f>H554</f>
        <v>2015</v>
      </c>
      <c r="I560" s="2">
        <f>I554</f>
        <v>2016</v>
      </c>
      <c r="J560" s="2">
        <f t="shared" ref="J560" si="300">J554</f>
        <v>2017</v>
      </c>
      <c r="K560" s="2">
        <f t="shared" ref="K560:L560" si="301">K554</f>
        <v>2018</v>
      </c>
      <c r="L560" s="2">
        <f t="shared" si="301"/>
        <v>2019</v>
      </c>
      <c r="M560" s="2">
        <f t="shared" ref="M560:N560" si="302">M554</f>
        <v>2020</v>
      </c>
      <c r="N560" s="2">
        <f t="shared" si="302"/>
        <v>2021</v>
      </c>
      <c r="O560" s="32"/>
    </row>
    <row r="561" spans="1:15">
      <c r="B561" s="86" t="s">
        <v>10</v>
      </c>
      <c r="C561" s="78"/>
      <c r="D561" s="55">
        <f>IF( $E13 = "Eligible", D558 * 'Facility Detail'!$B$1894, 0 )</f>
        <v>0</v>
      </c>
      <c r="E561" s="11">
        <f>IF( $E13 = "Eligible", E558 * 'Facility Detail'!$B$1894, 0 )</f>
        <v>0</v>
      </c>
      <c r="F561" s="11">
        <f>IF( $E13 = "Eligible", F558 * 'Facility Detail'!$B$1894, 0 )</f>
        <v>0</v>
      </c>
      <c r="G561" s="11">
        <v>0</v>
      </c>
      <c r="H561" s="11">
        <v>0</v>
      </c>
      <c r="I561" s="11">
        <v>0</v>
      </c>
      <c r="J561" s="11">
        <v>0</v>
      </c>
      <c r="K561" s="11">
        <v>0</v>
      </c>
      <c r="L561" s="11">
        <v>0</v>
      </c>
      <c r="M561" s="12">
        <v>0</v>
      </c>
      <c r="N561" s="12">
        <v>0</v>
      </c>
      <c r="O561" s="32"/>
    </row>
    <row r="562" spans="1:15">
      <c r="B562" s="86" t="s">
        <v>6</v>
      </c>
      <c r="C562" s="78"/>
      <c r="D562" s="56">
        <f>IF( $F13 = "Eligible", D558, 0 )</f>
        <v>0</v>
      </c>
      <c r="E562" s="57">
        <f>IF( $F13 = "Eligible", E558, 0 )</f>
        <v>0</v>
      </c>
      <c r="F562" s="57">
        <f>IF( $F13 = "Eligible", F558, 0 )</f>
        <v>0</v>
      </c>
      <c r="G562" s="57">
        <f>IF( $E506 = "Eligible", G558, 0 )</f>
        <v>0</v>
      </c>
      <c r="H562" s="57">
        <f>IF( $E506 = "Eligible", H558, 0 )</f>
        <v>0</v>
      </c>
      <c r="I562" s="57">
        <f>IF( $E506 = "Eligible", I558, 0 )</f>
        <v>0</v>
      </c>
      <c r="J562" s="57">
        <f t="shared" ref="J562" si="303">IF( $E506 = "Eligible", J558, 0 )</f>
        <v>0</v>
      </c>
      <c r="K562" s="57">
        <f t="shared" ref="K562" si="304">IF( $E506 = "Eligible", K558, 0 )</f>
        <v>0</v>
      </c>
      <c r="L562" s="57">
        <f t="shared" ref="L562" si="305">IF( $E506 = "Eligible", L558, 0 )</f>
        <v>0</v>
      </c>
      <c r="M562" s="58">
        <f t="shared" ref="M562:N562" si="306">IF( $E506 = "Eligible", M558, 0 )</f>
        <v>0</v>
      </c>
      <c r="N562" s="58">
        <f t="shared" si="306"/>
        <v>0</v>
      </c>
      <c r="O562" s="32"/>
    </row>
    <row r="563" spans="1:15">
      <c r="B563" s="85" t="s">
        <v>54</v>
      </c>
      <c r="C563" s="84"/>
      <c r="D563" s="41">
        <f t="shared" ref="D563:J563" si="307">SUM(D561:D562)</f>
        <v>0</v>
      </c>
      <c r="E563" s="42">
        <f t="shared" si="307"/>
        <v>0</v>
      </c>
      <c r="F563" s="42">
        <f t="shared" si="307"/>
        <v>0</v>
      </c>
      <c r="G563" s="42">
        <f t="shared" si="307"/>
        <v>0</v>
      </c>
      <c r="H563" s="42">
        <f t="shared" si="307"/>
        <v>0</v>
      </c>
      <c r="I563" s="42">
        <f t="shared" si="307"/>
        <v>0</v>
      </c>
      <c r="J563" s="42">
        <f t="shared" si="307"/>
        <v>0</v>
      </c>
      <c r="K563" s="42">
        <f t="shared" ref="K563" si="308">SUM(K561:K562)</f>
        <v>0</v>
      </c>
      <c r="L563" s="42">
        <f t="shared" ref="L563" si="309">SUM(L561:L562)</f>
        <v>0</v>
      </c>
      <c r="M563" s="42">
        <f t="shared" ref="M563:N563" si="310">SUM(M561:M562)</f>
        <v>0</v>
      </c>
      <c r="N563" s="42">
        <f t="shared" si="310"/>
        <v>0</v>
      </c>
      <c r="O563" s="32"/>
    </row>
    <row r="564" spans="1:15">
      <c r="B564" s="32"/>
      <c r="C564" s="32"/>
      <c r="D564" s="40"/>
      <c r="E564" s="33"/>
      <c r="F564" s="33"/>
      <c r="G564" s="25"/>
      <c r="H564" s="25"/>
      <c r="I564" s="25"/>
      <c r="J564" s="25"/>
      <c r="K564" s="25"/>
      <c r="L564" s="25"/>
      <c r="M564" s="25"/>
      <c r="N564" s="25"/>
      <c r="O564" s="32"/>
    </row>
    <row r="565" spans="1:15" ht="18.5">
      <c r="A565" s="43" t="s">
        <v>30</v>
      </c>
      <c r="C565" s="32"/>
      <c r="D565" s="2">
        <f>'Facility Detail'!$B$1897</f>
        <v>2011</v>
      </c>
      <c r="E565" s="2">
        <f>D565+1</f>
        <v>2012</v>
      </c>
      <c r="F565" s="2">
        <f>E565+1</f>
        <v>2013</v>
      </c>
      <c r="G565" s="2">
        <f>G554</f>
        <v>2014</v>
      </c>
      <c r="H565" s="2">
        <f>H554</f>
        <v>2015</v>
      </c>
      <c r="I565" s="2">
        <f>I554</f>
        <v>2016</v>
      </c>
      <c r="J565" s="2">
        <f t="shared" ref="J565" si="311">J554</f>
        <v>2017</v>
      </c>
      <c r="K565" s="2">
        <f t="shared" ref="K565:L565" si="312">K554</f>
        <v>2018</v>
      </c>
      <c r="L565" s="2">
        <f t="shared" si="312"/>
        <v>2019</v>
      </c>
      <c r="M565" s="2">
        <f t="shared" ref="M565:N565" si="313">M554</f>
        <v>2020</v>
      </c>
      <c r="N565" s="2">
        <f t="shared" si="313"/>
        <v>2021</v>
      </c>
      <c r="O565" s="32"/>
    </row>
    <row r="566" spans="1:15">
      <c r="B566" s="86" t="s">
        <v>32</v>
      </c>
      <c r="C566" s="78"/>
      <c r="D566" s="90"/>
      <c r="E566" s="91"/>
      <c r="F566" s="91"/>
      <c r="G566" s="91"/>
      <c r="H566" s="91"/>
      <c r="I566" s="91"/>
      <c r="J566" s="91"/>
      <c r="K566" s="91"/>
      <c r="L566" s="91"/>
      <c r="M566" s="92"/>
      <c r="N566" s="92"/>
      <c r="O566" s="32"/>
    </row>
    <row r="567" spans="1:15">
      <c r="B567" s="87" t="s">
        <v>23</v>
      </c>
      <c r="C567" s="192"/>
      <c r="D567" s="93"/>
      <c r="E567" s="94"/>
      <c r="F567" s="94"/>
      <c r="G567" s="94"/>
      <c r="H567" s="94"/>
      <c r="I567" s="94"/>
      <c r="J567" s="94"/>
      <c r="K567" s="94"/>
      <c r="L567" s="94"/>
      <c r="M567" s="95"/>
      <c r="N567" s="95"/>
      <c r="O567" s="32"/>
    </row>
    <row r="568" spans="1:15">
      <c r="B568" s="96" t="s">
        <v>38</v>
      </c>
      <c r="C568" s="190"/>
      <c r="D568" s="63"/>
      <c r="E568" s="64"/>
      <c r="F568" s="64"/>
      <c r="G568" s="64"/>
      <c r="H568" s="64"/>
      <c r="I568" s="64"/>
      <c r="J568" s="64"/>
      <c r="K568" s="64"/>
      <c r="L568" s="64"/>
      <c r="M568" s="65"/>
      <c r="N568" s="65"/>
      <c r="O568" s="32"/>
    </row>
    <row r="569" spans="1:15">
      <c r="B569" s="35" t="s">
        <v>39</v>
      </c>
      <c r="D569" s="7">
        <f t="shared" ref="D569:I569" si="314">SUM(D566:D568)</f>
        <v>0</v>
      </c>
      <c r="E569" s="7">
        <f t="shared" si="314"/>
        <v>0</v>
      </c>
      <c r="F569" s="7">
        <f t="shared" si="314"/>
        <v>0</v>
      </c>
      <c r="G569" s="7">
        <f t="shared" si="314"/>
        <v>0</v>
      </c>
      <c r="H569" s="7">
        <f t="shared" si="314"/>
        <v>0</v>
      </c>
      <c r="I569" s="7">
        <f t="shared" si="314"/>
        <v>0</v>
      </c>
      <c r="J569" s="7"/>
      <c r="K569" s="7"/>
      <c r="L569" s="7"/>
      <c r="M569" s="7"/>
      <c r="N569" s="7"/>
      <c r="O569" s="32"/>
    </row>
    <row r="570" spans="1:15">
      <c r="B570" s="6"/>
      <c r="D570" s="7"/>
      <c r="E570" s="7"/>
      <c r="F570" s="7"/>
      <c r="G570" s="30"/>
      <c r="H570" s="30"/>
      <c r="I570" s="30"/>
      <c r="J570" s="30"/>
      <c r="K570" s="30"/>
      <c r="L570" s="30"/>
      <c r="M570" s="30"/>
      <c r="N570" s="30"/>
      <c r="O570" s="32"/>
    </row>
    <row r="571" spans="1:15" ht="18.5">
      <c r="A571" s="9" t="s">
        <v>40</v>
      </c>
      <c r="D571" s="2">
        <f>'Facility Detail'!$B$1897</f>
        <v>2011</v>
      </c>
      <c r="E571" s="2">
        <f>D571+1</f>
        <v>2012</v>
      </c>
      <c r="F571" s="2">
        <f>E571+1</f>
        <v>2013</v>
      </c>
      <c r="G571" s="2">
        <f>F571+1</f>
        <v>2014</v>
      </c>
      <c r="H571" s="2">
        <f>G571+1</f>
        <v>2015</v>
      </c>
      <c r="I571" s="2">
        <f>H571+1</f>
        <v>2016</v>
      </c>
      <c r="J571" s="2">
        <f t="shared" ref="J571" si="315">I571+1</f>
        <v>2017</v>
      </c>
      <c r="K571" s="2">
        <f t="shared" ref="K571" si="316">J571+1</f>
        <v>2018</v>
      </c>
      <c r="L571" s="2">
        <f t="shared" ref="L571" si="317">K571+1</f>
        <v>2019</v>
      </c>
      <c r="M571" s="2">
        <f t="shared" ref="M571" si="318">L571+1</f>
        <v>2020</v>
      </c>
      <c r="N571" s="2">
        <f t="shared" ref="N571" si="319">M571+1</f>
        <v>2021</v>
      </c>
      <c r="O571" s="32"/>
    </row>
    <row r="572" spans="1:15">
      <c r="B572" s="86" t="s">
        <v>34</v>
      </c>
      <c r="C572" s="32"/>
      <c r="D572" s="3"/>
      <c r="E572" s="66">
        <f>D572</f>
        <v>0</v>
      </c>
      <c r="F572" s="138"/>
      <c r="G572" s="138"/>
      <c r="H572" s="138"/>
      <c r="I572" s="138"/>
      <c r="J572" s="138"/>
      <c r="K572" s="138"/>
      <c r="L572" s="138"/>
      <c r="M572" s="67"/>
      <c r="N572" s="67"/>
      <c r="O572" s="32"/>
    </row>
    <row r="573" spans="1:15">
      <c r="B573" s="86" t="s">
        <v>35</v>
      </c>
      <c r="C573" s="32"/>
      <c r="D573" s="174">
        <f>E573</f>
        <v>0</v>
      </c>
      <c r="E573" s="10"/>
      <c r="F573" s="81"/>
      <c r="G573" s="81"/>
      <c r="H573" s="81"/>
      <c r="I573" s="81"/>
      <c r="J573" s="81"/>
      <c r="K573" s="81"/>
      <c r="L573" s="81"/>
      <c r="M573" s="175"/>
      <c r="N573" s="175"/>
      <c r="O573" s="32"/>
    </row>
    <row r="574" spans="1:15">
      <c r="B574" s="86" t="s">
        <v>36</v>
      </c>
      <c r="C574" s="32"/>
      <c r="D574" s="68"/>
      <c r="E574" s="10"/>
      <c r="F574" s="77">
        <f>E574</f>
        <v>0</v>
      </c>
      <c r="G574" s="81"/>
      <c r="H574" s="81"/>
      <c r="I574" s="81"/>
      <c r="J574" s="81"/>
      <c r="K574" s="81"/>
      <c r="L574" s="81"/>
      <c r="M574" s="175"/>
      <c r="N574" s="175"/>
      <c r="O574" s="32"/>
    </row>
    <row r="575" spans="1:15">
      <c r="B575" s="86" t="s">
        <v>37</v>
      </c>
      <c r="C575" s="32"/>
      <c r="D575" s="68"/>
      <c r="E575" s="77">
        <f>F575</f>
        <v>0</v>
      </c>
      <c r="F575" s="173"/>
      <c r="G575" s="81"/>
      <c r="H575" s="81"/>
      <c r="I575" s="81"/>
      <c r="J575" s="81"/>
      <c r="K575" s="81"/>
      <c r="L575" s="81"/>
      <c r="M575" s="175"/>
      <c r="N575" s="175"/>
      <c r="O575" s="32"/>
    </row>
    <row r="576" spans="1:15">
      <c r="B576" s="86" t="s">
        <v>122</v>
      </c>
      <c r="C576" s="32"/>
      <c r="D576" s="68"/>
      <c r="E576" s="157"/>
      <c r="F576" s="10"/>
      <c r="G576" s="158">
        <f>F576</f>
        <v>0</v>
      </c>
      <c r="H576" s="81"/>
      <c r="I576" s="81"/>
      <c r="J576" s="81"/>
      <c r="K576" s="81"/>
      <c r="L576" s="81"/>
      <c r="M576" s="175"/>
      <c r="N576" s="175"/>
      <c r="O576" s="32"/>
    </row>
    <row r="577" spans="2:15">
      <c r="B577" s="86" t="s">
        <v>123</v>
      </c>
      <c r="C577" s="32"/>
      <c r="D577" s="68"/>
      <c r="E577" s="157"/>
      <c r="F577" s="77">
        <f>G577</f>
        <v>0</v>
      </c>
      <c r="G577" s="10"/>
      <c r="H577" s="81"/>
      <c r="I577" s="81"/>
      <c r="J577" s="81" t="s">
        <v>121</v>
      </c>
      <c r="K577" s="81" t="s">
        <v>121</v>
      </c>
      <c r="L577" s="81" t="s">
        <v>121</v>
      </c>
      <c r="M577" s="175" t="s">
        <v>121</v>
      </c>
      <c r="N577" s="175" t="s">
        <v>121</v>
      </c>
      <c r="O577" s="32"/>
    </row>
    <row r="578" spans="2:15">
      <c r="B578" s="86" t="s">
        <v>124</v>
      </c>
      <c r="C578" s="32"/>
      <c r="D578" s="68"/>
      <c r="E578" s="157"/>
      <c r="F578" s="157"/>
      <c r="G578" s="10"/>
      <c r="H578" s="158">
        <f>G578</f>
        <v>0</v>
      </c>
      <c r="I578" s="157">
        <f>H578</f>
        <v>0</v>
      </c>
      <c r="J578" s="81"/>
      <c r="K578" s="81"/>
      <c r="L578" s="81"/>
      <c r="M578" s="161"/>
      <c r="N578" s="161"/>
      <c r="O578" s="32"/>
    </row>
    <row r="579" spans="2:15">
      <c r="B579" s="86" t="s">
        <v>125</v>
      </c>
      <c r="C579" s="32"/>
      <c r="D579" s="68"/>
      <c r="E579" s="157"/>
      <c r="F579" s="157"/>
      <c r="G579" s="77">
        <f>H579</f>
        <v>0</v>
      </c>
      <c r="H579" s="10"/>
      <c r="I579" s="157"/>
      <c r="J579" s="81"/>
      <c r="K579" s="81"/>
      <c r="L579" s="81"/>
      <c r="M579" s="161"/>
      <c r="N579" s="161"/>
      <c r="O579" s="32"/>
    </row>
    <row r="580" spans="2:15">
      <c r="B580" s="86" t="s">
        <v>126</v>
      </c>
      <c r="C580" s="32"/>
      <c r="D580" s="68"/>
      <c r="E580" s="157"/>
      <c r="F580" s="157"/>
      <c r="G580" s="157"/>
      <c r="H580" s="10">
        <v>0</v>
      </c>
      <c r="I580" s="158">
        <f>H580</f>
        <v>0</v>
      </c>
      <c r="J580" s="81"/>
      <c r="K580" s="81"/>
      <c r="L580" s="81"/>
      <c r="M580" s="161"/>
      <c r="N580" s="161"/>
      <c r="O580" s="32"/>
    </row>
    <row r="581" spans="2:15">
      <c r="B581" s="86" t="s">
        <v>127</v>
      </c>
      <c r="C581" s="32"/>
      <c r="D581" s="68"/>
      <c r="E581" s="157"/>
      <c r="F581" s="157"/>
      <c r="G581" s="157"/>
      <c r="H581" s="77"/>
      <c r="I581" s="10"/>
      <c r="J581" s="81"/>
      <c r="K581" s="81"/>
      <c r="L581" s="81"/>
      <c r="M581" s="161"/>
      <c r="N581" s="161"/>
      <c r="O581" s="32"/>
    </row>
    <row r="582" spans="2:15">
      <c r="B582" s="86" t="s">
        <v>128</v>
      </c>
      <c r="C582" s="32"/>
      <c r="D582" s="68"/>
      <c r="E582" s="157"/>
      <c r="F582" s="157"/>
      <c r="G582" s="157"/>
      <c r="H582" s="157"/>
      <c r="I582" s="247">
        <v>0</v>
      </c>
      <c r="J582" s="159"/>
      <c r="K582" s="81"/>
      <c r="L582" s="81"/>
      <c r="M582" s="161"/>
      <c r="N582" s="161"/>
      <c r="O582" s="32"/>
    </row>
    <row r="583" spans="2:15">
      <c r="B583" s="86" t="s">
        <v>119</v>
      </c>
      <c r="C583" s="32"/>
      <c r="D583" s="68"/>
      <c r="E583" s="157"/>
      <c r="F583" s="157"/>
      <c r="G583" s="157"/>
      <c r="H583" s="157"/>
      <c r="I583" s="248">
        <f>J582</f>
        <v>0</v>
      </c>
      <c r="J583" s="160"/>
      <c r="K583" s="81"/>
      <c r="L583" s="81"/>
      <c r="M583" s="161"/>
      <c r="N583" s="161"/>
      <c r="O583" s="32"/>
    </row>
    <row r="584" spans="2:15">
      <c r="B584" s="86" t="s">
        <v>120</v>
      </c>
      <c r="C584" s="32"/>
      <c r="D584" s="68"/>
      <c r="E584" s="157"/>
      <c r="F584" s="157"/>
      <c r="G584" s="157"/>
      <c r="H584" s="157"/>
      <c r="I584" s="157"/>
      <c r="J584" s="160">
        <v>0</v>
      </c>
      <c r="K584" s="159"/>
      <c r="L584" s="81"/>
      <c r="M584" s="161"/>
      <c r="N584" s="161"/>
      <c r="O584" s="32"/>
    </row>
    <row r="585" spans="2:15">
      <c r="B585" s="86" t="s">
        <v>152</v>
      </c>
      <c r="C585" s="32"/>
      <c r="D585" s="68"/>
      <c r="E585" s="157"/>
      <c r="F585" s="157"/>
      <c r="G585" s="157"/>
      <c r="H585" s="157"/>
      <c r="I585" s="157"/>
      <c r="J585" s="305"/>
      <c r="K585" s="160"/>
      <c r="L585" s="81"/>
      <c r="M585" s="161"/>
      <c r="N585" s="161"/>
      <c r="O585" s="32"/>
    </row>
    <row r="586" spans="2:15">
      <c r="B586" s="86" t="s">
        <v>153</v>
      </c>
      <c r="C586" s="32"/>
      <c r="D586" s="68"/>
      <c r="E586" s="157"/>
      <c r="F586" s="157"/>
      <c r="G586" s="157"/>
      <c r="H586" s="157"/>
      <c r="I586" s="157"/>
      <c r="J586" s="157"/>
      <c r="K586" s="160"/>
      <c r="L586" s="77"/>
      <c r="M586" s="161"/>
      <c r="N586" s="161"/>
      <c r="O586" s="32"/>
    </row>
    <row r="587" spans="2:15">
      <c r="B587" s="86" t="s">
        <v>154</v>
      </c>
      <c r="C587" s="32"/>
      <c r="D587" s="68"/>
      <c r="E587" s="157"/>
      <c r="F587" s="157"/>
      <c r="G587" s="157"/>
      <c r="H587" s="157"/>
      <c r="I587" s="157"/>
      <c r="J587" s="157"/>
      <c r="K587" s="305"/>
      <c r="L587" s="333"/>
      <c r="M587" s="161"/>
      <c r="N587" s="161"/>
      <c r="O587" s="32"/>
    </row>
    <row r="588" spans="2:15">
      <c r="B588" s="86" t="s">
        <v>155</v>
      </c>
      <c r="C588" s="32"/>
      <c r="D588" s="69"/>
      <c r="E588" s="140"/>
      <c r="F588" s="140"/>
      <c r="G588" s="140"/>
      <c r="H588" s="140"/>
      <c r="I588" s="140"/>
      <c r="J588" s="140"/>
      <c r="K588" s="140"/>
      <c r="L588" s="162"/>
      <c r="M588" s="319"/>
      <c r="N588" s="319"/>
      <c r="O588" s="32"/>
    </row>
    <row r="589" spans="2:15">
      <c r="B589" s="35" t="s">
        <v>17</v>
      </c>
      <c r="D589" s="198">
        <f xml:space="preserve"> D573 - D572</f>
        <v>0</v>
      </c>
      <c r="E589" s="198">
        <f xml:space="preserve"> E572 + E575 - E574 - E573</f>
        <v>0</v>
      </c>
      <c r="F589" s="198">
        <f>F574 - F575 -F576</f>
        <v>0</v>
      </c>
      <c r="G589" s="198">
        <f>G576-G577-G578</f>
        <v>0</v>
      </c>
      <c r="H589" s="198">
        <f>H578</f>
        <v>0</v>
      </c>
      <c r="I589" s="198">
        <f>I578</f>
        <v>0</v>
      </c>
      <c r="J589" s="198">
        <f>J582-J583-J584</f>
        <v>0</v>
      </c>
      <c r="K589" s="198">
        <f t="shared" ref="K589:L589" si="320">K582-K583-K584</f>
        <v>0</v>
      </c>
      <c r="L589" s="198">
        <f t="shared" si="320"/>
        <v>0</v>
      </c>
      <c r="M589" s="198">
        <f t="shared" ref="M589:N589" si="321">M582-M583-M584</f>
        <v>0</v>
      </c>
      <c r="N589" s="198">
        <f t="shared" si="321"/>
        <v>0</v>
      </c>
      <c r="O589" s="32"/>
    </row>
    <row r="590" spans="2:15">
      <c r="B590" s="6"/>
      <c r="D590" s="7"/>
      <c r="E590" s="7"/>
      <c r="F590" s="7"/>
      <c r="G590" s="7"/>
      <c r="H590" s="7"/>
      <c r="I590" s="7"/>
      <c r="J590" s="7"/>
      <c r="K590" s="7"/>
      <c r="L590" s="7"/>
      <c r="M590" s="7"/>
      <c r="N590" s="7"/>
      <c r="O590" s="32"/>
    </row>
    <row r="591" spans="2:15">
      <c r="B591" s="83" t="s">
        <v>12</v>
      </c>
      <c r="C591" s="78"/>
      <c r="D591" s="101"/>
      <c r="E591" s="102"/>
      <c r="F591" s="102"/>
      <c r="G591" s="102"/>
      <c r="H591" s="102"/>
      <c r="I591" s="102"/>
      <c r="J591" s="102"/>
      <c r="K591" s="102"/>
      <c r="L591" s="102"/>
      <c r="M591" s="103"/>
      <c r="N591" s="103"/>
      <c r="O591" s="32"/>
    </row>
    <row r="592" spans="2:15">
      <c r="B592" s="6"/>
      <c r="D592" s="7"/>
      <c r="E592" s="7"/>
      <c r="F592" s="7"/>
      <c r="G592" s="7"/>
      <c r="H592" s="198"/>
      <c r="I592" s="224"/>
      <c r="J592" s="7"/>
      <c r="K592" s="7"/>
      <c r="L592" s="7"/>
      <c r="M592" s="7"/>
      <c r="N592" s="7"/>
      <c r="O592" s="32"/>
    </row>
    <row r="593" spans="1:15" ht="18.5">
      <c r="A593" s="43" t="s">
        <v>26</v>
      </c>
      <c r="C593" s="78"/>
      <c r="D593" s="47">
        <f xml:space="preserve"> D558 + D563 - D569 + D589 + D591</f>
        <v>0</v>
      </c>
      <c r="E593" s="48">
        <v>142</v>
      </c>
      <c r="F593" s="48">
        <f xml:space="preserve"> F558 + F563 - F569 + F589 + F591</f>
        <v>102</v>
      </c>
      <c r="G593" s="48">
        <f xml:space="preserve"> G558 + G563 - G569 + G589 + G591</f>
        <v>109</v>
      </c>
      <c r="H593" s="48">
        <f xml:space="preserve"> H558 + H563 - H569 + H589 + H591</f>
        <v>86</v>
      </c>
      <c r="I593" s="48">
        <f t="shared" ref="I593:L593" si="322" xml:space="preserve"> I558 + I563 - I569 + I589 + I591</f>
        <v>95</v>
      </c>
      <c r="J593" s="48">
        <f t="shared" si="322"/>
        <v>127</v>
      </c>
      <c r="K593" s="48">
        <f t="shared" si="322"/>
        <v>84</v>
      </c>
      <c r="L593" s="48">
        <f t="shared" si="322"/>
        <v>85.854897861498941</v>
      </c>
      <c r="M593" s="49">
        <f t="shared" ref="M593:N593" si="323" xml:space="preserve"> M558 + M563 - M569 + M589 + M591</f>
        <v>108.79976757429453</v>
      </c>
      <c r="N593" s="49">
        <f t="shared" si="323"/>
        <v>0</v>
      </c>
      <c r="O593" s="32"/>
    </row>
    <row r="594" spans="1:15">
      <c r="B594" s="6"/>
      <c r="D594" s="7"/>
      <c r="E594" s="7"/>
      <c r="F594" s="7"/>
      <c r="G594" s="30"/>
      <c r="H594" s="30"/>
      <c r="I594" s="30"/>
      <c r="J594" s="30"/>
      <c r="K594" s="30"/>
      <c r="L594" s="30"/>
      <c r="M594" s="30"/>
      <c r="N594" s="30"/>
      <c r="O594" s="32"/>
    </row>
    <row r="595" spans="1:15" ht="15" thickBot="1">
      <c r="O595" s="32"/>
    </row>
    <row r="596" spans="1:15">
      <c r="A596" s="8"/>
      <c r="B596" s="8"/>
      <c r="C596" s="8"/>
      <c r="D596" s="8"/>
      <c r="E596" s="8"/>
      <c r="F596" s="8"/>
      <c r="G596" s="8"/>
      <c r="H596" s="8"/>
      <c r="I596" s="8"/>
      <c r="J596" s="8"/>
      <c r="K596" s="8"/>
      <c r="L596" s="8"/>
      <c r="M596" s="8"/>
      <c r="N596" s="8"/>
      <c r="O596" s="32"/>
    </row>
    <row r="597" spans="1:15">
      <c r="B597" s="32"/>
      <c r="C597" s="32"/>
      <c r="D597" s="32"/>
      <c r="E597" s="32"/>
      <c r="F597" s="32"/>
      <c r="G597" s="32"/>
      <c r="H597" s="32"/>
      <c r="I597" s="32"/>
      <c r="J597" s="32"/>
      <c r="K597" s="32"/>
      <c r="L597" s="32"/>
      <c r="M597" s="32"/>
      <c r="N597" s="32"/>
      <c r="O597" s="32"/>
    </row>
    <row r="598" spans="1:15" ht="21">
      <c r="A598" s="14" t="s">
        <v>4</v>
      </c>
      <c r="B598" s="14"/>
      <c r="C598" s="44" t="str">
        <f>B14</f>
        <v>Seven Mile Hill I</v>
      </c>
      <c r="D598" s="45"/>
      <c r="E598" s="24"/>
      <c r="F598" s="24"/>
      <c r="O598" s="32"/>
    </row>
    <row r="599" spans="1:15">
      <c r="O599" s="32"/>
    </row>
    <row r="600" spans="1:15" ht="18.5">
      <c r="A600" s="9" t="s">
        <v>21</v>
      </c>
      <c r="B600" s="9"/>
      <c r="D600" s="2">
        <f>'Facility Detail'!$B$1897</f>
        <v>2011</v>
      </c>
      <c r="E600" s="2">
        <f t="shared" ref="E600:K600" si="324">D600+1</f>
        <v>2012</v>
      </c>
      <c r="F600" s="2">
        <f t="shared" si="324"/>
        <v>2013</v>
      </c>
      <c r="G600" s="2">
        <f t="shared" si="324"/>
        <v>2014</v>
      </c>
      <c r="H600" s="2">
        <f t="shared" si="324"/>
        <v>2015</v>
      </c>
      <c r="I600" s="2">
        <f t="shared" si="324"/>
        <v>2016</v>
      </c>
      <c r="J600" s="2">
        <f t="shared" si="324"/>
        <v>2017</v>
      </c>
      <c r="K600" s="2">
        <f t="shared" si="324"/>
        <v>2018</v>
      </c>
      <c r="L600" s="2">
        <f t="shared" ref="L600" si="325">K600+1</f>
        <v>2019</v>
      </c>
      <c r="M600" s="2">
        <f t="shared" ref="M600" si="326">L600+1</f>
        <v>2020</v>
      </c>
      <c r="N600" s="2">
        <f t="shared" ref="N600" si="327">M600+1</f>
        <v>2021</v>
      </c>
      <c r="O600" s="32"/>
    </row>
    <row r="601" spans="1:15">
      <c r="B601" s="86" t="str">
        <f>"Total MWh Produced / Purchased from " &amp; C598</f>
        <v>Total MWh Produced / Purchased from Seven Mile Hill I</v>
      </c>
      <c r="C601" s="78"/>
      <c r="D601" s="3"/>
      <c r="E601" s="4"/>
      <c r="F601" s="4"/>
      <c r="G601" s="4"/>
      <c r="H601" s="191"/>
      <c r="I601" s="4">
        <v>4353</v>
      </c>
      <c r="J601" s="293">
        <v>0</v>
      </c>
      <c r="K601" s="293">
        <v>348285</v>
      </c>
      <c r="L601" s="148">
        <v>351805</v>
      </c>
      <c r="M601" s="378">
        <v>388076</v>
      </c>
      <c r="N601" s="148"/>
      <c r="O601" s="32"/>
    </row>
    <row r="602" spans="1:15">
      <c r="B602" s="86" t="s">
        <v>25</v>
      </c>
      <c r="C602" s="78"/>
      <c r="D602" s="60"/>
      <c r="E602" s="61"/>
      <c r="F602" s="61">
        <v>1</v>
      </c>
      <c r="G602" s="211">
        <v>1</v>
      </c>
      <c r="H602" s="210">
        <v>1</v>
      </c>
      <c r="I602" s="211">
        <v>1</v>
      </c>
      <c r="J602" s="61">
        <v>1</v>
      </c>
      <c r="K602" s="61">
        <v>1</v>
      </c>
      <c r="L602" s="62">
        <v>1</v>
      </c>
      <c r="M602" s="313">
        <v>1</v>
      </c>
      <c r="N602" s="62">
        <v>1</v>
      </c>
      <c r="O602" s="32"/>
    </row>
    <row r="603" spans="1:15">
      <c r="B603" s="86" t="s">
        <v>20</v>
      </c>
      <c r="C603" s="78"/>
      <c r="D603" s="52"/>
      <c r="E603" s="53"/>
      <c r="F603" s="53">
        <v>0</v>
      </c>
      <c r="G603" s="53">
        <v>0</v>
      </c>
      <c r="H603" s="53">
        <v>0</v>
      </c>
      <c r="I603" s="53">
        <v>1</v>
      </c>
      <c r="J603" s="254"/>
      <c r="K603" s="254"/>
      <c r="L603" s="254">
        <f>L51</f>
        <v>7.6724662968274293E-2</v>
      </c>
      <c r="M603" s="384">
        <f>M51</f>
        <v>7.9127103690396022E-2</v>
      </c>
      <c r="N603" s="254"/>
      <c r="O603" s="32"/>
    </row>
    <row r="604" spans="1:15">
      <c r="B604" s="83" t="s">
        <v>22</v>
      </c>
      <c r="C604" s="84"/>
      <c r="D604" s="39">
        <f>ROUND(D601 * D602 * D603,0)</f>
        <v>0</v>
      </c>
      <c r="E604" s="39">
        <f t="shared" ref="E604:H604" si="328">ROUND(E601 * E602 * E603,0)</f>
        <v>0</v>
      </c>
      <c r="F604" s="39">
        <f t="shared" si="328"/>
        <v>0</v>
      </c>
      <c r="G604" s="39">
        <f t="shared" si="328"/>
        <v>0</v>
      </c>
      <c r="H604" s="39">
        <f t="shared" si="328"/>
        <v>0</v>
      </c>
      <c r="I604" s="306">
        <v>4353</v>
      </c>
      <c r="J604" s="306">
        <v>0</v>
      </c>
      <c r="K604" s="306">
        <v>11844</v>
      </c>
      <c r="L604" s="352">
        <f>L601*L603</f>
        <v>26992.120055553736</v>
      </c>
      <c r="M604" s="39">
        <f t="shared" ref="M604:N604" si="329">ROUND(M601 * M602 * M603,0)</f>
        <v>30707</v>
      </c>
      <c r="N604" s="39">
        <f t="shared" si="329"/>
        <v>0</v>
      </c>
      <c r="O604" s="32"/>
    </row>
    <row r="605" spans="1:15">
      <c r="B605" s="24"/>
      <c r="C605" s="32"/>
      <c r="D605" s="38"/>
      <c r="E605" s="38"/>
      <c r="F605" s="38"/>
      <c r="G605" s="25"/>
      <c r="H605" s="25"/>
      <c r="I605" s="25"/>
      <c r="J605" s="25"/>
      <c r="K605" s="25"/>
      <c r="L605" s="25"/>
      <c r="M605" s="25"/>
      <c r="N605" s="25"/>
      <c r="O605" s="32"/>
    </row>
    <row r="606" spans="1:15" ht="18.5">
      <c r="A606" s="46" t="s">
        <v>52</v>
      </c>
      <c r="C606" s="32"/>
      <c r="D606" s="181">
        <f>'Facility Detail'!$B$1897</f>
        <v>2011</v>
      </c>
      <c r="E606" s="181">
        <f>D606+1</f>
        <v>2012</v>
      </c>
      <c r="F606" s="181">
        <f>E606+1</f>
        <v>2013</v>
      </c>
      <c r="G606" s="181">
        <f t="shared" ref="G606:L606" si="330">G600</f>
        <v>2014</v>
      </c>
      <c r="H606" s="181">
        <f t="shared" si="330"/>
        <v>2015</v>
      </c>
      <c r="I606" s="181">
        <f t="shared" si="330"/>
        <v>2016</v>
      </c>
      <c r="J606" s="181">
        <f t="shared" si="330"/>
        <v>2017</v>
      </c>
      <c r="K606" s="181">
        <f t="shared" si="330"/>
        <v>2018</v>
      </c>
      <c r="L606" s="181">
        <f t="shared" si="330"/>
        <v>2019</v>
      </c>
      <c r="M606" s="181">
        <f t="shared" ref="M606:N606" si="331">M600</f>
        <v>2020</v>
      </c>
      <c r="N606" s="181">
        <f t="shared" si="331"/>
        <v>2021</v>
      </c>
      <c r="O606" s="32"/>
    </row>
    <row r="607" spans="1:15">
      <c r="B607" s="86" t="s">
        <v>10</v>
      </c>
      <c r="C607" s="78"/>
      <c r="D607" s="55">
        <f>IF( $E14 = "Eligible", D604 * 'Facility Detail'!$B$1894, 0 )</f>
        <v>0</v>
      </c>
      <c r="E607" s="11">
        <f>IF( $E14 = "Eligible", E604 * 'Facility Detail'!$B$1894, 0 )</f>
        <v>0</v>
      </c>
      <c r="F607" s="11">
        <f>IF( $E14 = "Eligible", F604 * 'Facility Detail'!$B$1894, 0 )</f>
        <v>0</v>
      </c>
      <c r="G607" s="11">
        <v>0</v>
      </c>
      <c r="H607" s="11">
        <v>0</v>
      </c>
      <c r="I607" s="11">
        <v>0</v>
      </c>
      <c r="J607" s="11">
        <v>0</v>
      </c>
      <c r="K607" s="11">
        <v>0</v>
      </c>
      <c r="L607" s="11">
        <v>0</v>
      </c>
      <c r="M607" s="12">
        <v>0</v>
      </c>
      <c r="N607" s="12">
        <v>0</v>
      </c>
      <c r="O607" s="32"/>
    </row>
    <row r="608" spans="1:15">
      <c r="B608" s="86" t="s">
        <v>6</v>
      </c>
      <c r="C608" s="78"/>
      <c r="D608" s="56">
        <f>IF( $F14 = "Eligible", D604, 0 )</f>
        <v>0</v>
      </c>
      <c r="E608" s="57">
        <f>IF( $F14 = "Eligible", E604, 0 )</f>
        <v>0</v>
      </c>
      <c r="F608" s="57">
        <f>IF( $F14 = "Eligible", F604, 0 )</f>
        <v>0</v>
      </c>
      <c r="G608" s="57">
        <f>IF( $E552 = "Eligible", G604, 0 )</f>
        <v>0</v>
      </c>
      <c r="H608" s="57">
        <f>IF( $E552 = "Eligible", H604, 0 )</f>
        <v>0</v>
      </c>
      <c r="I608" s="57">
        <f t="shared" ref="I608" si="332">IF( $E552 = "Eligible", I604, 0 )</f>
        <v>0</v>
      </c>
      <c r="J608" s="57">
        <f t="shared" ref="J608" si="333">IF( $E552 = "Eligible", J604, 0 )</f>
        <v>0</v>
      </c>
      <c r="K608" s="57">
        <f t="shared" ref="K608" si="334">IF( $E552 = "Eligible", K604, 0 )</f>
        <v>0</v>
      </c>
      <c r="L608" s="57">
        <f t="shared" ref="L608" si="335">IF( $E552 = "Eligible", L604, 0 )</f>
        <v>0</v>
      </c>
      <c r="M608" s="58">
        <f t="shared" ref="M608:N608" si="336">IF( $E552 = "Eligible", M604, 0 )</f>
        <v>0</v>
      </c>
      <c r="N608" s="58">
        <f t="shared" si="336"/>
        <v>0</v>
      </c>
      <c r="O608" s="32"/>
    </row>
    <row r="609" spans="1:15">
      <c r="B609" s="85" t="s">
        <v>54</v>
      </c>
      <c r="C609" s="84"/>
      <c r="D609" s="50">
        <f>SUM(D607:D608)</f>
        <v>0</v>
      </c>
      <c r="E609" s="198">
        <f>SUM(E607:E608)</f>
        <v>0</v>
      </c>
      <c r="F609" s="198">
        <f>SUM(F607:F608)</f>
        <v>0</v>
      </c>
      <c r="G609" s="198">
        <f>SUM(G607:G608)</f>
        <v>0</v>
      </c>
      <c r="H609" s="198">
        <f>SUM(H607:H608)</f>
        <v>0</v>
      </c>
      <c r="I609" s="198">
        <f t="shared" ref="I609:J609" si="337">SUM(I607:I608)</f>
        <v>0</v>
      </c>
      <c r="J609" s="198">
        <f t="shared" si="337"/>
        <v>0</v>
      </c>
      <c r="K609" s="198">
        <f t="shared" ref="K609:L609" si="338">SUM(K607:K608)</f>
        <v>0</v>
      </c>
      <c r="L609" s="198">
        <f t="shared" si="338"/>
        <v>0</v>
      </c>
      <c r="M609" s="198">
        <f t="shared" ref="M609:N609" si="339">SUM(M607:M608)</f>
        <v>0</v>
      </c>
      <c r="N609" s="198">
        <f t="shared" si="339"/>
        <v>0</v>
      </c>
      <c r="O609" s="32"/>
    </row>
    <row r="610" spans="1:15">
      <c r="B610" s="32"/>
      <c r="C610" s="32"/>
      <c r="D610" s="40"/>
      <c r="E610" s="33"/>
      <c r="F610" s="33"/>
      <c r="G610" s="25"/>
      <c r="H610" s="25"/>
      <c r="I610" s="25"/>
      <c r="J610" s="25"/>
      <c r="K610" s="25"/>
      <c r="L610" s="25"/>
      <c r="M610" s="25"/>
      <c r="N610" s="25"/>
      <c r="O610" s="32"/>
    </row>
    <row r="611" spans="1:15" ht="18.5">
      <c r="A611" s="43" t="s">
        <v>30</v>
      </c>
      <c r="C611" s="32"/>
      <c r="D611" s="2">
        <f>'Facility Detail'!$B$1897</f>
        <v>2011</v>
      </c>
      <c r="E611" s="2">
        <f>D611+1</f>
        <v>2012</v>
      </c>
      <c r="F611" s="2">
        <f>E611+1</f>
        <v>2013</v>
      </c>
      <c r="G611" s="2">
        <f t="shared" ref="G611:L611" si="340">G600</f>
        <v>2014</v>
      </c>
      <c r="H611" s="2">
        <f t="shared" si="340"/>
        <v>2015</v>
      </c>
      <c r="I611" s="2">
        <f t="shared" si="340"/>
        <v>2016</v>
      </c>
      <c r="J611" s="2">
        <f t="shared" si="340"/>
        <v>2017</v>
      </c>
      <c r="K611" s="2">
        <f t="shared" si="340"/>
        <v>2018</v>
      </c>
      <c r="L611" s="2">
        <f t="shared" si="340"/>
        <v>2019</v>
      </c>
      <c r="M611" s="2">
        <f t="shared" ref="M611:N611" si="341">M600</f>
        <v>2020</v>
      </c>
      <c r="N611" s="2">
        <f t="shared" si="341"/>
        <v>2021</v>
      </c>
      <c r="O611" s="32"/>
    </row>
    <row r="612" spans="1:15">
      <c r="B612" s="86" t="s">
        <v>32</v>
      </c>
      <c r="C612" s="78"/>
      <c r="D612" s="90"/>
      <c r="E612" s="91"/>
      <c r="F612" s="91"/>
      <c r="G612" s="91"/>
      <c r="H612" s="91"/>
      <c r="I612" s="91"/>
      <c r="J612" s="91"/>
      <c r="K612" s="91"/>
      <c r="L612" s="91"/>
      <c r="M612" s="148"/>
      <c r="N612" s="148"/>
      <c r="O612" s="32"/>
    </row>
    <row r="613" spans="1:15">
      <c r="B613" s="87" t="s">
        <v>23</v>
      </c>
      <c r="C613" s="192"/>
      <c r="D613" s="93"/>
      <c r="E613" s="94"/>
      <c r="F613" s="94"/>
      <c r="G613" s="94"/>
      <c r="H613" s="94"/>
      <c r="I613" s="94"/>
      <c r="J613" s="94"/>
      <c r="K613" s="94"/>
      <c r="L613" s="94"/>
      <c r="M613" s="149"/>
      <c r="N613" s="149"/>
      <c r="O613" s="32"/>
    </row>
    <row r="614" spans="1:15">
      <c r="B614" s="96" t="s">
        <v>38</v>
      </c>
      <c r="C614" s="190"/>
      <c r="D614" s="63"/>
      <c r="E614" s="64"/>
      <c r="F614" s="64"/>
      <c r="G614" s="64"/>
      <c r="H614" s="64"/>
      <c r="I614" s="64"/>
      <c r="J614" s="64"/>
      <c r="K614" s="64"/>
      <c r="L614" s="64"/>
      <c r="M614" s="150"/>
      <c r="N614" s="150"/>
      <c r="O614" s="32"/>
    </row>
    <row r="615" spans="1:15">
      <c r="B615" s="35" t="s">
        <v>39</v>
      </c>
      <c r="D615" s="7">
        <f t="shared" ref="D615:J615" si="342">SUM(D612:D614)</f>
        <v>0</v>
      </c>
      <c r="E615" s="7">
        <f t="shared" si="342"/>
        <v>0</v>
      </c>
      <c r="F615" s="7">
        <f t="shared" si="342"/>
        <v>0</v>
      </c>
      <c r="G615" s="7">
        <f t="shared" si="342"/>
        <v>0</v>
      </c>
      <c r="H615" s="7">
        <f t="shared" si="342"/>
        <v>0</v>
      </c>
      <c r="I615" s="7">
        <f t="shared" si="342"/>
        <v>0</v>
      </c>
      <c r="J615" s="7">
        <f t="shared" si="342"/>
        <v>0</v>
      </c>
      <c r="K615" s="7">
        <f t="shared" ref="K615:L615" si="343">SUM(K612:K614)</f>
        <v>0</v>
      </c>
      <c r="L615" s="7">
        <f t="shared" si="343"/>
        <v>0</v>
      </c>
      <c r="M615" s="7">
        <f t="shared" ref="M615:N615" si="344">SUM(M612:M614)</f>
        <v>0</v>
      </c>
      <c r="N615" s="7">
        <f t="shared" si="344"/>
        <v>0</v>
      </c>
      <c r="O615" s="32"/>
    </row>
    <row r="616" spans="1:15">
      <c r="B616" s="6"/>
      <c r="D616" s="7"/>
      <c r="E616" s="7"/>
      <c r="F616" s="7"/>
      <c r="G616" s="30"/>
      <c r="H616" s="30"/>
      <c r="I616" s="30"/>
      <c r="J616" s="30"/>
      <c r="K616" s="30"/>
      <c r="L616" s="30"/>
      <c r="M616" s="30"/>
      <c r="N616" s="30"/>
      <c r="O616" s="32"/>
    </row>
    <row r="617" spans="1:15" ht="18.5">
      <c r="A617" s="9" t="s">
        <v>40</v>
      </c>
      <c r="D617" s="2">
        <f>'Facility Detail'!$B$1897</f>
        <v>2011</v>
      </c>
      <c r="E617" s="2">
        <f t="shared" ref="E617:K617" si="345">D617+1</f>
        <v>2012</v>
      </c>
      <c r="F617" s="2">
        <f t="shared" si="345"/>
        <v>2013</v>
      </c>
      <c r="G617" s="2">
        <f t="shared" si="345"/>
        <v>2014</v>
      </c>
      <c r="H617" s="2">
        <f t="shared" si="345"/>
        <v>2015</v>
      </c>
      <c r="I617" s="2">
        <f t="shared" si="345"/>
        <v>2016</v>
      </c>
      <c r="J617" s="2">
        <f t="shared" si="345"/>
        <v>2017</v>
      </c>
      <c r="K617" s="2">
        <f t="shared" si="345"/>
        <v>2018</v>
      </c>
      <c r="L617" s="2">
        <f t="shared" ref="L617" si="346">K617+1</f>
        <v>2019</v>
      </c>
      <c r="M617" s="2">
        <f t="shared" ref="M617" si="347">L617+1</f>
        <v>2020</v>
      </c>
      <c r="N617" s="2">
        <f t="shared" ref="N617" si="348">M617+1</f>
        <v>2021</v>
      </c>
      <c r="O617" s="32"/>
    </row>
    <row r="618" spans="1:15">
      <c r="B618" s="86" t="s">
        <v>34</v>
      </c>
      <c r="C618" s="32"/>
      <c r="D618" s="3"/>
      <c r="E618" s="66">
        <f>D618</f>
        <v>0</v>
      </c>
      <c r="F618" s="138"/>
      <c r="G618" s="138"/>
      <c r="H618" s="138"/>
      <c r="I618" s="138"/>
      <c r="J618" s="138"/>
      <c r="K618" s="138"/>
      <c r="L618" s="138"/>
      <c r="M618" s="67"/>
      <c r="N618" s="67"/>
      <c r="O618" s="32"/>
    </row>
    <row r="619" spans="1:15">
      <c r="B619" s="86" t="s">
        <v>35</v>
      </c>
      <c r="C619" s="32"/>
      <c r="D619" s="174">
        <f>E619</f>
        <v>0</v>
      </c>
      <c r="E619" s="10"/>
      <c r="F619" s="81"/>
      <c r="G619" s="81"/>
      <c r="H619" s="81"/>
      <c r="I619" s="81"/>
      <c r="J619" s="81"/>
      <c r="K619" s="81"/>
      <c r="L619" s="81"/>
      <c r="M619" s="175"/>
      <c r="N619" s="175"/>
      <c r="O619" s="32"/>
    </row>
    <row r="620" spans="1:15">
      <c r="B620" s="86" t="s">
        <v>36</v>
      </c>
      <c r="C620" s="32"/>
      <c r="D620" s="68"/>
      <c r="E620" s="10"/>
      <c r="F620" s="77">
        <f>E620</f>
        <v>0</v>
      </c>
      <c r="G620" s="81"/>
      <c r="H620" s="81"/>
      <c r="I620" s="81"/>
      <c r="J620" s="81"/>
      <c r="K620" s="81"/>
      <c r="L620" s="81"/>
      <c r="M620" s="175"/>
      <c r="N620" s="175"/>
      <c r="O620" s="32"/>
    </row>
    <row r="621" spans="1:15">
      <c r="B621" s="86" t="s">
        <v>37</v>
      </c>
      <c r="C621" s="32"/>
      <c r="D621" s="68"/>
      <c r="E621" s="77">
        <f>F621</f>
        <v>0</v>
      </c>
      <c r="F621" s="173"/>
      <c r="G621" s="81"/>
      <c r="H621" s="81"/>
      <c r="I621" s="81"/>
      <c r="J621" s="81"/>
      <c r="K621" s="81"/>
      <c r="L621" s="81"/>
      <c r="M621" s="175"/>
      <c r="N621" s="175"/>
      <c r="O621" s="32"/>
    </row>
    <row r="622" spans="1:15">
      <c r="B622" s="86" t="s">
        <v>122</v>
      </c>
      <c r="C622" s="32"/>
      <c r="D622" s="68"/>
      <c r="E622" s="157"/>
      <c r="F622" s="10"/>
      <c r="G622" s="158">
        <f>F622</f>
        <v>0</v>
      </c>
      <c r="H622" s="81"/>
      <c r="I622" s="81"/>
      <c r="J622" s="81"/>
      <c r="K622" s="81"/>
      <c r="L622" s="81"/>
      <c r="M622" s="175"/>
      <c r="N622" s="175"/>
      <c r="O622" s="32"/>
    </row>
    <row r="623" spans="1:15">
      <c r="B623" s="86" t="s">
        <v>123</v>
      </c>
      <c r="C623" s="32"/>
      <c r="D623" s="68"/>
      <c r="E623" s="157"/>
      <c r="F623" s="77">
        <f>G623</f>
        <v>0</v>
      </c>
      <c r="G623" s="10"/>
      <c r="H623" s="81"/>
      <c r="I623" s="81"/>
      <c r="J623" s="81" t="s">
        <v>121</v>
      </c>
      <c r="K623" s="81" t="s">
        <v>121</v>
      </c>
      <c r="L623" s="81"/>
      <c r="M623" s="175"/>
      <c r="N623" s="175"/>
      <c r="O623" s="32"/>
    </row>
    <row r="624" spans="1:15">
      <c r="B624" s="86" t="s">
        <v>124</v>
      </c>
      <c r="C624" s="32"/>
      <c r="D624" s="68"/>
      <c r="E624" s="157"/>
      <c r="F624" s="157"/>
      <c r="G624" s="10"/>
      <c r="H624" s="158">
        <f>G624</f>
        <v>0</v>
      </c>
      <c r="I624" s="157"/>
      <c r="J624" s="81"/>
      <c r="K624" s="81"/>
      <c r="L624" s="81"/>
      <c r="M624" s="161"/>
      <c r="N624" s="161"/>
      <c r="O624" s="32"/>
    </row>
    <row r="625" spans="1:15">
      <c r="B625" s="86" t="s">
        <v>125</v>
      </c>
      <c r="C625" s="32"/>
      <c r="D625" s="68"/>
      <c r="E625" s="157"/>
      <c r="F625" s="157"/>
      <c r="G625" s="77">
        <f>H625</f>
        <v>0</v>
      </c>
      <c r="H625" s="10"/>
      <c r="I625" s="157"/>
      <c r="J625" s="81"/>
      <c r="K625" s="81"/>
      <c r="L625" s="81"/>
      <c r="M625" s="161"/>
      <c r="N625" s="161"/>
      <c r="O625" s="32"/>
    </row>
    <row r="626" spans="1:15">
      <c r="B626" s="86" t="s">
        <v>126</v>
      </c>
      <c r="C626" s="32"/>
      <c r="D626" s="68"/>
      <c r="E626" s="157"/>
      <c r="F626" s="157"/>
      <c r="G626" s="157"/>
      <c r="H626" s="10">
        <f>H604</f>
        <v>0</v>
      </c>
      <c r="I626" s="158">
        <f>H626</f>
        <v>0</v>
      </c>
      <c r="J626" s="81"/>
      <c r="K626" s="81"/>
      <c r="L626" s="81"/>
      <c r="M626" s="161"/>
      <c r="N626" s="161"/>
      <c r="O626" s="32"/>
    </row>
    <row r="627" spans="1:15">
      <c r="B627" s="86" t="s">
        <v>127</v>
      </c>
      <c r="C627" s="32"/>
      <c r="D627" s="68"/>
      <c r="E627" s="157"/>
      <c r="F627" s="157"/>
      <c r="G627" s="157"/>
      <c r="H627" s="77">
        <f>I627</f>
        <v>0</v>
      </c>
      <c r="I627" s="10"/>
      <c r="J627" s="81"/>
      <c r="K627" s="81"/>
      <c r="L627" s="81"/>
      <c r="M627" s="161"/>
      <c r="N627" s="161"/>
      <c r="O627" s="32"/>
    </row>
    <row r="628" spans="1:15">
      <c r="B628" s="86" t="s">
        <v>128</v>
      </c>
      <c r="C628" s="32"/>
      <c r="D628" s="68"/>
      <c r="E628" s="157"/>
      <c r="F628" s="157"/>
      <c r="G628" s="157"/>
      <c r="H628" s="157"/>
      <c r="I628" s="340">
        <f>I604</f>
        <v>4353</v>
      </c>
      <c r="J628" s="341">
        <f>I628</f>
        <v>4353</v>
      </c>
      <c r="K628" s="81"/>
      <c r="L628" s="81"/>
      <c r="M628" s="161"/>
      <c r="N628" s="161"/>
      <c r="O628" s="32"/>
    </row>
    <row r="629" spans="1:15">
      <c r="B629" s="86" t="s">
        <v>119</v>
      </c>
      <c r="C629" s="32"/>
      <c r="D629" s="68"/>
      <c r="E629" s="157"/>
      <c r="F629" s="157"/>
      <c r="G629" s="157"/>
      <c r="H629" s="157"/>
      <c r="I629" s="248"/>
      <c r="J629" s="160"/>
      <c r="K629" s="81"/>
      <c r="L629" s="81"/>
      <c r="M629" s="161"/>
      <c r="N629" s="161"/>
      <c r="O629" s="32"/>
    </row>
    <row r="630" spans="1:15">
      <c r="B630" s="86" t="s">
        <v>120</v>
      </c>
      <c r="C630" s="32"/>
      <c r="D630" s="68"/>
      <c r="E630" s="157"/>
      <c r="F630" s="157"/>
      <c r="G630" s="157"/>
      <c r="H630" s="157"/>
      <c r="I630" s="157"/>
      <c r="J630" s="160">
        <v>0</v>
      </c>
      <c r="K630" s="159">
        <f>J630</f>
        <v>0</v>
      </c>
      <c r="L630" s="81">
        <f>K630</f>
        <v>0</v>
      </c>
      <c r="M630" s="161">
        <f>K630</f>
        <v>0</v>
      </c>
      <c r="N630" s="161">
        <f>L630</f>
        <v>0</v>
      </c>
      <c r="O630" s="32"/>
    </row>
    <row r="631" spans="1:15">
      <c r="B631" s="86" t="s">
        <v>152</v>
      </c>
      <c r="C631" s="32"/>
      <c r="D631" s="68"/>
      <c r="E631" s="157"/>
      <c r="F631" s="157"/>
      <c r="G631" s="157"/>
      <c r="H631" s="157"/>
      <c r="I631" s="157"/>
      <c r="J631" s="305"/>
      <c r="K631" s="160"/>
      <c r="L631" s="81"/>
      <c r="M631" s="161"/>
      <c r="N631" s="161"/>
      <c r="O631" s="32"/>
    </row>
    <row r="632" spans="1:15">
      <c r="B632" s="86" t="s">
        <v>153</v>
      </c>
      <c r="C632" s="32"/>
      <c r="D632" s="68"/>
      <c r="E632" s="157"/>
      <c r="F632" s="157"/>
      <c r="G632" s="157"/>
      <c r="H632" s="157"/>
      <c r="I632" s="157"/>
      <c r="J632" s="157"/>
      <c r="K632" s="160">
        <v>0</v>
      </c>
      <c r="L632" s="77">
        <f>K632</f>
        <v>0</v>
      </c>
      <c r="M632" s="161"/>
      <c r="N632" s="161"/>
      <c r="O632" s="32"/>
    </row>
    <row r="633" spans="1:15">
      <c r="B633" s="86" t="s">
        <v>154</v>
      </c>
      <c r="C633" s="32"/>
      <c r="D633" s="68"/>
      <c r="E633" s="157"/>
      <c r="F633" s="157"/>
      <c r="G633" s="157"/>
      <c r="H633" s="157"/>
      <c r="I633" s="157"/>
      <c r="J633" s="157"/>
      <c r="K633" s="305"/>
      <c r="L633" s="333"/>
      <c r="M633" s="161"/>
      <c r="N633" s="161"/>
      <c r="O633" s="32"/>
    </row>
    <row r="634" spans="1:15">
      <c r="B634" s="86" t="s">
        <v>155</v>
      </c>
      <c r="C634" s="32"/>
      <c r="D634" s="69"/>
      <c r="E634" s="140"/>
      <c r="F634" s="140"/>
      <c r="G634" s="140"/>
      <c r="H634" s="140"/>
      <c r="I634" s="140"/>
      <c r="J634" s="140"/>
      <c r="K634" s="140"/>
      <c r="L634" s="162"/>
      <c r="M634" s="319">
        <f>K634</f>
        <v>0</v>
      </c>
      <c r="N634" s="319">
        <f>L634</f>
        <v>0</v>
      </c>
      <c r="O634" s="32"/>
    </row>
    <row r="635" spans="1:15">
      <c r="B635" s="35" t="s">
        <v>17</v>
      </c>
      <c r="D635" s="198">
        <f xml:space="preserve"> D619 - D618</f>
        <v>0</v>
      </c>
      <c r="E635" s="198">
        <f xml:space="preserve"> E618 + E621 - E620 - E619</f>
        <v>0</v>
      </c>
      <c r="F635" s="198">
        <f>F620 - F621 -F622</f>
        <v>0</v>
      </c>
      <c r="G635" s="198">
        <f>G622-G623-G624</f>
        <v>0</v>
      </c>
      <c r="H635" s="198">
        <f>H624-H625-H626</f>
        <v>0</v>
      </c>
      <c r="I635" s="198">
        <f>I626-I627-I628</f>
        <v>-4353</v>
      </c>
      <c r="J635" s="198">
        <f>J628-J629-J630</f>
        <v>4353</v>
      </c>
      <c r="K635" s="198">
        <f>K630-K631-K632</f>
        <v>0</v>
      </c>
      <c r="L635" s="198">
        <f>L632-L633-L634</f>
        <v>0</v>
      </c>
      <c r="M635" s="198">
        <f>M630</f>
        <v>0</v>
      </c>
      <c r="N635" s="198">
        <f>N630</f>
        <v>0</v>
      </c>
      <c r="O635" s="32"/>
    </row>
    <row r="636" spans="1:15">
      <c r="B636" s="6"/>
      <c r="D636" s="7"/>
      <c r="E636" s="7"/>
      <c r="F636" s="7"/>
      <c r="G636" s="7"/>
      <c r="H636" s="7"/>
      <c r="I636" s="7"/>
      <c r="J636" s="7"/>
      <c r="K636" s="7"/>
      <c r="L636" s="7"/>
      <c r="M636" s="7"/>
      <c r="N636" s="7"/>
      <c r="O636" s="32"/>
    </row>
    <row r="637" spans="1:15">
      <c r="B637" s="83" t="s">
        <v>12</v>
      </c>
      <c r="C637" s="78"/>
      <c r="D637" s="101"/>
      <c r="E637" s="102"/>
      <c r="F637" s="102"/>
      <c r="G637" s="102"/>
      <c r="H637" s="102"/>
      <c r="I637" s="102"/>
      <c r="J637" s="102"/>
      <c r="K637" s="102"/>
      <c r="L637" s="102"/>
      <c r="M637" s="103"/>
      <c r="N637" s="103"/>
      <c r="O637" s="32"/>
    </row>
    <row r="638" spans="1:15">
      <c r="B638" s="6"/>
      <c r="D638" s="7"/>
      <c r="E638" s="7"/>
      <c r="F638" s="7"/>
      <c r="G638" s="7"/>
      <c r="H638" s="7"/>
      <c r="I638" s="7"/>
      <c r="J638" s="7"/>
      <c r="K638" s="7"/>
      <c r="L638" s="7"/>
      <c r="M638" s="7"/>
      <c r="N638" s="7"/>
      <c r="O638" s="32"/>
    </row>
    <row r="639" spans="1:15" ht="18.5">
      <c r="A639" s="43" t="s">
        <v>26</v>
      </c>
      <c r="C639" s="78"/>
      <c r="D639" s="47">
        <f t="shared" ref="D639:N639" si="349" xml:space="preserve"> D604 + D609 - D615 + D635 + D637</f>
        <v>0</v>
      </c>
      <c r="E639" s="48">
        <f t="shared" si="349"/>
        <v>0</v>
      </c>
      <c r="F639" s="48">
        <f t="shared" si="349"/>
        <v>0</v>
      </c>
      <c r="G639" s="48">
        <f t="shared" si="349"/>
        <v>0</v>
      </c>
      <c r="H639" s="171">
        <f t="shared" si="349"/>
        <v>0</v>
      </c>
      <c r="I639" s="171">
        <f t="shared" si="349"/>
        <v>0</v>
      </c>
      <c r="J639" s="171">
        <f t="shared" si="349"/>
        <v>4353</v>
      </c>
      <c r="K639" s="171">
        <f t="shared" si="349"/>
        <v>11844</v>
      </c>
      <c r="L639" s="171">
        <f t="shared" si="349"/>
        <v>26992.120055553736</v>
      </c>
      <c r="M639" s="171">
        <f t="shared" ref="M639" si="350" xml:space="preserve"> M604 + M609 - M615 + M635 + M637</f>
        <v>30707</v>
      </c>
      <c r="N639" s="171">
        <f t="shared" si="349"/>
        <v>0</v>
      </c>
      <c r="O639" s="32"/>
    </row>
    <row r="640" spans="1:15">
      <c r="B640" s="6"/>
      <c r="D640" s="7"/>
      <c r="E640" s="7"/>
      <c r="F640" s="7"/>
      <c r="G640" s="30"/>
      <c r="H640" s="30"/>
      <c r="I640" s="30"/>
      <c r="J640" s="30"/>
      <c r="K640" s="30"/>
      <c r="L640" s="30"/>
      <c r="M640" s="30"/>
      <c r="N640" s="30"/>
      <c r="O640" s="32"/>
    </row>
    <row r="641" spans="1:15" ht="15" thickBot="1">
      <c r="O641" s="32"/>
    </row>
    <row r="642" spans="1:15">
      <c r="A642" s="8"/>
      <c r="B642" s="8"/>
      <c r="C642" s="8"/>
      <c r="D642" s="8"/>
      <c r="E642" s="8"/>
      <c r="F642" s="8"/>
      <c r="G642" s="8"/>
      <c r="H642" s="8"/>
      <c r="I642" s="8"/>
      <c r="J642" s="8"/>
      <c r="K642" s="8"/>
      <c r="L642" s="8"/>
      <c r="M642" s="8"/>
      <c r="N642" s="8"/>
      <c r="O642" s="32"/>
    </row>
    <row r="643" spans="1:15">
      <c r="B643" s="32"/>
      <c r="C643" s="32"/>
      <c r="D643" s="32"/>
      <c r="E643" s="32"/>
      <c r="F643" s="32"/>
      <c r="G643" s="32"/>
      <c r="H643" s="32"/>
      <c r="I643" s="32"/>
      <c r="J643" s="32"/>
      <c r="K643" s="32"/>
      <c r="L643" s="32"/>
      <c r="M643" s="32"/>
      <c r="N643" s="32"/>
      <c r="O643" s="32"/>
    </row>
    <row r="644" spans="1:15" ht="21">
      <c r="A644" s="14" t="s">
        <v>4</v>
      </c>
      <c r="B644" s="14"/>
      <c r="C644" s="342" t="str">
        <f>B15</f>
        <v>Nine Canyon Wind Project - REC Only</v>
      </c>
      <c r="D644" s="45"/>
      <c r="E644" s="24"/>
      <c r="F644" s="24"/>
      <c r="O644" s="32"/>
    </row>
    <row r="645" spans="1:15">
      <c r="O645" s="32"/>
    </row>
    <row r="646" spans="1:15" ht="18.5">
      <c r="A646" s="9" t="s">
        <v>21</v>
      </c>
      <c r="B646" s="9"/>
      <c r="D646" s="2">
        <f>'Facility Detail'!$B$1897</f>
        <v>2011</v>
      </c>
      <c r="E646" s="2">
        <f t="shared" ref="E646:K646" si="351">D646+1</f>
        <v>2012</v>
      </c>
      <c r="F646" s="2">
        <f t="shared" si="351"/>
        <v>2013</v>
      </c>
      <c r="G646" s="2">
        <f t="shared" si="351"/>
        <v>2014</v>
      </c>
      <c r="H646" s="2">
        <f t="shared" si="351"/>
        <v>2015</v>
      </c>
      <c r="I646" s="2">
        <f t="shared" si="351"/>
        <v>2016</v>
      </c>
      <c r="J646" s="2">
        <f t="shared" si="351"/>
        <v>2017</v>
      </c>
      <c r="K646" s="2">
        <f t="shared" si="351"/>
        <v>2018</v>
      </c>
      <c r="L646" s="2">
        <f t="shared" ref="L646" si="352">K646+1</f>
        <v>2019</v>
      </c>
      <c r="M646" s="2">
        <f t="shared" ref="M646" si="353">L646+1</f>
        <v>2020</v>
      </c>
      <c r="N646" s="2">
        <f t="shared" ref="N646" si="354">M646+1</f>
        <v>2021</v>
      </c>
      <c r="O646" s="32"/>
    </row>
    <row r="647" spans="1:15">
      <c r="B647" s="86" t="str">
        <f>"Total MWh Produced / Purchased from " &amp; C644</f>
        <v>Total MWh Produced / Purchased from Nine Canyon Wind Project - REC Only</v>
      </c>
      <c r="C647" s="78"/>
      <c r="D647" s="3"/>
      <c r="E647" s="4"/>
      <c r="F647" s="4"/>
      <c r="G647" s="4"/>
      <c r="H647" s="4">
        <v>2500</v>
      </c>
      <c r="I647" s="307">
        <v>8225</v>
      </c>
      <c r="J647" s="91"/>
      <c r="K647" s="91"/>
      <c r="L647" s="91"/>
      <c r="M647" s="148"/>
      <c r="N647" s="148"/>
      <c r="O647" s="32"/>
    </row>
    <row r="648" spans="1:15">
      <c r="B648" s="86" t="s">
        <v>25</v>
      </c>
      <c r="C648" s="78"/>
      <c r="D648" s="60"/>
      <c r="E648" s="61"/>
      <c r="F648" s="61"/>
      <c r="G648" s="61"/>
      <c r="H648" s="61">
        <v>1</v>
      </c>
      <c r="I648" s="61">
        <v>1</v>
      </c>
      <c r="J648" s="61">
        <v>1</v>
      </c>
      <c r="K648" s="61">
        <v>1</v>
      </c>
      <c r="L648" s="61">
        <v>1</v>
      </c>
      <c r="M648" s="62">
        <v>1</v>
      </c>
      <c r="N648" s="62">
        <v>1</v>
      </c>
      <c r="O648" s="32"/>
    </row>
    <row r="649" spans="1:15">
      <c r="B649" s="86" t="s">
        <v>20</v>
      </c>
      <c r="C649" s="78"/>
      <c r="D649" s="52"/>
      <c r="E649" s="53"/>
      <c r="F649" s="53"/>
      <c r="G649" s="53"/>
      <c r="H649" s="178">
        <v>1</v>
      </c>
      <c r="I649" s="178">
        <v>1</v>
      </c>
      <c r="J649" s="254"/>
      <c r="K649" s="254"/>
      <c r="L649" s="254"/>
      <c r="M649" s="255"/>
      <c r="N649" s="255"/>
      <c r="O649" s="32"/>
    </row>
    <row r="650" spans="1:15">
      <c r="B650" s="83" t="s">
        <v>22</v>
      </c>
      <c r="C650" s="84"/>
      <c r="D650" s="39">
        <f xml:space="preserve"> D647 * D648 * D649</f>
        <v>0</v>
      </c>
      <c r="E650" s="39">
        <f xml:space="preserve"> E647 * E648 * E649</f>
        <v>0</v>
      </c>
      <c r="F650" s="39">
        <f xml:space="preserve"> F647 * F648 * F649</f>
        <v>0</v>
      </c>
      <c r="G650" s="39">
        <f t="shared" ref="G650:L650" si="355">G647 * G648 * G649</f>
        <v>0</v>
      </c>
      <c r="H650" s="39">
        <v>2500</v>
      </c>
      <c r="I650" s="306">
        <v>8225</v>
      </c>
      <c r="J650" s="39">
        <f t="shared" si="355"/>
        <v>0</v>
      </c>
      <c r="K650" s="39">
        <f t="shared" si="355"/>
        <v>0</v>
      </c>
      <c r="L650" s="39">
        <f t="shared" si="355"/>
        <v>0</v>
      </c>
      <c r="M650" s="39">
        <f t="shared" ref="M650:N650" si="356">M647 * M648 * M649</f>
        <v>0</v>
      </c>
      <c r="N650" s="39">
        <f t="shared" si="356"/>
        <v>0</v>
      </c>
      <c r="O650" s="32"/>
    </row>
    <row r="651" spans="1:15">
      <c r="B651" s="24"/>
      <c r="C651" s="32"/>
      <c r="D651" s="38"/>
      <c r="E651" s="38"/>
      <c r="F651" s="38"/>
      <c r="G651" s="25"/>
      <c r="H651" s="25"/>
      <c r="I651" s="25"/>
      <c r="J651" s="25"/>
      <c r="K651" s="25"/>
      <c r="L651" s="25"/>
      <c r="M651" s="25"/>
      <c r="N651" s="25"/>
      <c r="O651" s="32"/>
    </row>
    <row r="652" spans="1:15" ht="18.5">
      <c r="A652" s="46" t="s">
        <v>52</v>
      </c>
      <c r="C652" s="32"/>
      <c r="D652" s="2">
        <f>'Facility Detail'!$B$1897</f>
        <v>2011</v>
      </c>
      <c r="E652" s="2">
        <f>D652+1</f>
        <v>2012</v>
      </c>
      <c r="F652" s="2">
        <f>E652+1</f>
        <v>2013</v>
      </c>
      <c r="G652" s="2">
        <f t="shared" ref="G652:L652" si="357">G646</f>
        <v>2014</v>
      </c>
      <c r="H652" s="2">
        <f t="shared" si="357"/>
        <v>2015</v>
      </c>
      <c r="I652" s="2">
        <f t="shared" si="357"/>
        <v>2016</v>
      </c>
      <c r="J652" s="2">
        <f t="shared" si="357"/>
        <v>2017</v>
      </c>
      <c r="K652" s="2">
        <f t="shared" si="357"/>
        <v>2018</v>
      </c>
      <c r="L652" s="2">
        <f t="shared" si="357"/>
        <v>2019</v>
      </c>
      <c r="M652" s="2">
        <f t="shared" ref="M652:N652" si="358">M646</f>
        <v>2020</v>
      </c>
      <c r="N652" s="2">
        <f t="shared" si="358"/>
        <v>2021</v>
      </c>
      <c r="O652" s="32"/>
    </row>
    <row r="653" spans="1:15">
      <c r="B653" s="86" t="s">
        <v>10</v>
      </c>
      <c r="C653" s="78"/>
      <c r="D653" s="55">
        <f>IF( $E60 = "Eligible", D650 * 'Facility Detail'!$B$1894, 0 )</f>
        <v>0</v>
      </c>
      <c r="E653" s="11">
        <f>IF( $E60 = "Eligible", E650 * 'Facility Detail'!$B$1894, 0 )</f>
        <v>0</v>
      </c>
      <c r="F653" s="11">
        <f>IF( $E60 = "Eligible", F650 * 'Facility Detail'!$B$1894, 0 )</f>
        <v>0</v>
      </c>
      <c r="G653" s="11">
        <v>0</v>
      </c>
      <c r="H653" s="11">
        <v>0</v>
      </c>
      <c r="I653" s="11">
        <v>0</v>
      </c>
      <c r="J653" s="11">
        <v>0</v>
      </c>
      <c r="K653" s="11">
        <v>0</v>
      </c>
      <c r="L653" s="11">
        <v>0</v>
      </c>
      <c r="M653" s="163"/>
      <c r="N653" s="163"/>
      <c r="O653" s="32"/>
    </row>
    <row r="654" spans="1:15">
      <c r="B654" s="86" t="s">
        <v>6</v>
      </c>
      <c r="C654" s="78"/>
      <c r="D654" s="56">
        <f>IF( $F60 = "Eligible", D650, 0 )</f>
        <v>0</v>
      </c>
      <c r="E654" s="57">
        <f>IF( $F60 = "Eligible", E650, 0 )</f>
        <v>0</v>
      </c>
      <c r="F654" s="57">
        <f>IF( $F60 = "Eligible", F650, 0 )</f>
        <v>0</v>
      </c>
      <c r="G654" s="57">
        <f>IF( $E598 = "Eligible", G650, 0 )</f>
        <v>0</v>
      </c>
      <c r="H654" s="57">
        <f>IF( $E598 = "Eligible", H650, 0 )</f>
        <v>0</v>
      </c>
      <c r="I654" s="57">
        <f>IF( $E598 = "Eligible", I650, 0 )</f>
        <v>0</v>
      </c>
      <c r="J654" s="57">
        <f>IF( $E598 = "Eligible", J650, 0 )</f>
        <v>0</v>
      </c>
      <c r="K654" s="57">
        <f t="shared" ref="K654:L654" si="359">IF( $E598 = "Eligible", K650, 0 )</f>
        <v>0</v>
      </c>
      <c r="L654" s="57">
        <f t="shared" si="359"/>
        <v>0</v>
      </c>
      <c r="M654" s="147"/>
      <c r="N654" s="147"/>
      <c r="O654" s="32"/>
    </row>
    <row r="655" spans="1:15">
      <c r="B655" s="85" t="s">
        <v>54</v>
      </c>
      <c r="C655" s="84"/>
      <c r="D655" s="41">
        <f t="shared" ref="D655:I655" si="360">SUM(D653:D654)</f>
        <v>0</v>
      </c>
      <c r="E655" s="42">
        <f t="shared" si="360"/>
        <v>0</v>
      </c>
      <c r="F655" s="42">
        <f t="shared" si="360"/>
        <v>0</v>
      </c>
      <c r="G655" s="42">
        <f t="shared" si="360"/>
        <v>0</v>
      </c>
      <c r="H655" s="42">
        <f t="shared" si="360"/>
        <v>0</v>
      </c>
      <c r="I655" s="42">
        <f t="shared" si="360"/>
        <v>0</v>
      </c>
      <c r="J655" s="42">
        <f t="shared" ref="J655" si="361">SUM(J653:J654)</f>
        <v>0</v>
      </c>
      <c r="K655" s="42"/>
      <c r="L655" s="42"/>
      <c r="M655" s="42"/>
      <c r="N655" s="42"/>
      <c r="O655" s="32"/>
    </row>
    <row r="656" spans="1:15">
      <c r="B656" s="32"/>
      <c r="C656" s="32"/>
      <c r="D656" s="40"/>
      <c r="E656" s="33"/>
      <c r="F656" s="33"/>
      <c r="G656" s="25"/>
      <c r="H656" s="25"/>
      <c r="I656" s="25"/>
      <c r="J656" s="25"/>
      <c r="K656" s="25"/>
      <c r="L656" s="25"/>
      <c r="M656" s="25"/>
      <c r="N656" s="25"/>
      <c r="O656" s="32"/>
    </row>
    <row r="657" spans="1:15" ht="18.5">
      <c r="A657" s="43" t="s">
        <v>30</v>
      </c>
      <c r="C657" s="32"/>
      <c r="D657" s="2">
        <f>'Facility Detail'!$B$1897</f>
        <v>2011</v>
      </c>
      <c r="E657" s="2">
        <f>D657+1</f>
        <v>2012</v>
      </c>
      <c r="F657" s="2">
        <f>E657+1</f>
        <v>2013</v>
      </c>
      <c r="G657" s="2">
        <f t="shared" ref="G657:L657" si="362">G646</f>
        <v>2014</v>
      </c>
      <c r="H657" s="2">
        <f t="shared" si="362"/>
        <v>2015</v>
      </c>
      <c r="I657" s="2">
        <f t="shared" si="362"/>
        <v>2016</v>
      </c>
      <c r="J657" s="2">
        <f t="shared" si="362"/>
        <v>2017</v>
      </c>
      <c r="K657" s="2">
        <f t="shared" si="362"/>
        <v>2018</v>
      </c>
      <c r="L657" s="2">
        <f t="shared" si="362"/>
        <v>2019</v>
      </c>
      <c r="M657" s="2">
        <f t="shared" ref="M657:N657" si="363">M646</f>
        <v>2020</v>
      </c>
      <c r="N657" s="2">
        <f t="shared" si="363"/>
        <v>2021</v>
      </c>
      <c r="O657" s="32"/>
    </row>
    <row r="658" spans="1:15">
      <c r="B658" s="86" t="s">
        <v>32</v>
      </c>
      <c r="C658" s="78"/>
      <c r="D658" s="90"/>
      <c r="E658" s="91"/>
      <c r="F658" s="91"/>
      <c r="G658" s="91"/>
      <c r="H658" s="91"/>
      <c r="I658" s="91"/>
      <c r="J658" s="91"/>
      <c r="K658" s="91"/>
      <c r="L658" s="91"/>
      <c r="M658" s="148"/>
      <c r="N658" s="148"/>
      <c r="O658" s="32"/>
    </row>
    <row r="659" spans="1:15">
      <c r="B659" s="87" t="s">
        <v>23</v>
      </c>
      <c r="C659" s="192"/>
      <c r="D659" s="93"/>
      <c r="E659" s="94"/>
      <c r="F659" s="94"/>
      <c r="G659" s="94"/>
      <c r="H659" s="94"/>
      <c r="I659" s="94"/>
      <c r="J659" s="94"/>
      <c r="K659" s="94"/>
      <c r="L659" s="94"/>
      <c r="M659" s="149"/>
      <c r="N659" s="149"/>
      <c r="O659" s="32"/>
    </row>
    <row r="660" spans="1:15">
      <c r="B660" s="96" t="s">
        <v>38</v>
      </c>
      <c r="C660" s="190"/>
      <c r="D660" s="63"/>
      <c r="E660" s="64"/>
      <c r="F660" s="64"/>
      <c r="G660" s="64"/>
      <c r="H660" s="64"/>
      <c r="I660" s="64"/>
      <c r="J660" s="64"/>
      <c r="K660" s="64"/>
      <c r="L660" s="64"/>
      <c r="M660" s="150"/>
      <c r="N660" s="150"/>
      <c r="O660" s="32"/>
    </row>
    <row r="661" spans="1:15">
      <c r="B661" s="35" t="s">
        <v>39</v>
      </c>
      <c r="D661" s="7">
        <f t="shared" ref="D661:I661" si="364">SUM(D658:D660)</f>
        <v>0</v>
      </c>
      <c r="E661" s="7">
        <f t="shared" si="364"/>
        <v>0</v>
      </c>
      <c r="F661" s="7">
        <f t="shared" si="364"/>
        <v>0</v>
      </c>
      <c r="G661" s="7">
        <f t="shared" si="364"/>
        <v>0</v>
      </c>
      <c r="H661" s="7">
        <f t="shared" si="364"/>
        <v>0</v>
      </c>
      <c r="I661" s="7">
        <f t="shared" si="364"/>
        <v>0</v>
      </c>
      <c r="J661" s="7">
        <f t="shared" ref="J661" si="365">SUM(J658:J660)</f>
        <v>0</v>
      </c>
      <c r="K661" s="7"/>
      <c r="L661" s="7"/>
      <c r="M661" s="7"/>
      <c r="N661" s="7"/>
      <c r="O661" s="32"/>
    </row>
    <row r="662" spans="1:15">
      <c r="B662" s="6"/>
      <c r="D662" s="7"/>
      <c r="E662" s="7"/>
      <c r="F662" s="7"/>
      <c r="G662" s="30"/>
      <c r="H662" s="30"/>
      <c r="I662" s="30"/>
      <c r="J662" s="30"/>
      <c r="K662" s="30"/>
      <c r="L662" s="30"/>
      <c r="M662" s="30"/>
      <c r="N662" s="30"/>
      <c r="O662" s="32"/>
    </row>
    <row r="663" spans="1:15" ht="18.5">
      <c r="A663" s="9" t="s">
        <v>40</v>
      </c>
      <c r="D663" s="2">
        <f>'Facility Detail'!$B$1897</f>
        <v>2011</v>
      </c>
      <c r="E663" s="2">
        <f t="shared" ref="E663:K663" si="366">D663+1</f>
        <v>2012</v>
      </c>
      <c r="F663" s="2">
        <f t="shared" si="366"/>
        <v>2013</v>
      </c>
      <c r="G663" s="2">
        <f t="shared" si="366"/>
        <v>2014</v>
      </c>
      <c r="H663" s="2">
        <f t="shared" si="366"/>
        <v>2015</v>
      </c>
      <c r="I663" s="2">
        <f t="shared" si="366"/>
        <v>2016</v>
      </c>
      <c r="J663" s="2">
        <f t="shared" si="366"/>
        <v>2017</v>
      </c>
      <c r="K663" s="2">
        <f t="shared" si="366"/>
        <v>2018</v>
      </c>
      <c r="L663" s="2">
        <f t="shared" ref="L663" si="367">K663+1</f>
        <v>2019</v>
      </c>
      <c r="M663" s="2">
        <f t="shared" ref="M663" si="368">L663+1</f>
        <v>2020</v>
      </c>
      <c r="N663" s="2">
        <f t="shared" ref="N663" si="369">M663+1</f>
        <v>2021</v>
      </c>
      <c r="O663" s="32"/>
    </row>
    <row r="664" spans="1:15">
      <c r="B664" s="86" t="str">
        <f xml:space="preserve"> 'Facility Detail'!$B$1897 &amp; " Surplus Applied to " &amp; ( 'Facility Detail'!$B$1897 + 1 )</f>
        <v>2011 Surplus Applied to 2012</v>
      </c>
      <c r="C664" s="78"/>
      <c r="D664" s="3">
        <f>D650</f>
        <v>0</v>
      </c>
      <c r="E664" s="66">
        <f>D664</f>
        <v>0</v>
      </c>
      <c r="F664" s="138"/>
      <c r="G664" s="138"/>
      <c r="H664" s="138"/>
      <c r="I664" s="138"/>
      <c r="J664" s="138"/>
      <c r="K664" s="138"/>
      <c r="L664" s="138"/>
      <c r="M664" s="67"/>
      <c r="N664" s="67"/>
      <c r="O664" s="32"/>
    </row>
    <row r="665" spans="1:15">
      <c r="B665" s="86" t="str">
        <f xml:space="preserve"> ( 'Facility Detail'!$B$1897 + 1 ) &amp; " Surplus Applied to " &amp; ( 'Facility Detail'!$B$1897 )</f>
        <v>2012 Surplus Applied to 2011</v>
      </c>
      <c r="C665" s="78"/>
      <c r="D665" s="174">
        <f>E665</f>
        <v>0</v>
      </c>
      <c r="E665" s="10"/>
      <c r="F665" s="81"/>
      <c r="G665" s="81"/>
      <c r="H665" s="81"/>
      <c r="I665" s="81"/>
      <c r="J665" s="81"/>
      <c r="K665" s="81"/>
      <c r="L665" s="81"/>
      <c r="M665" s="175"/>
      <c r="N665" s="175"/>
      <c r="O665" s="32"/>
    </row>
    <row r="666" spans="1:15">
      <c r="B666" s="86" t="str">
        <f xml:space="preserve"> ( 'Facility Detail'!$B$1897 + 1 ) &amp; " Surplus Applied to " &amp; ( 'Facility Detail'!$B$1897 + 2 )</f>
        <v>2012 Surplus Applied to 2013</v>
      </c>
      <c r="C666" s="78"/>
      <c r="D666" s="68"/>
      <c r="E666" s="10">
        <f>E650</f>
        <v>0</v>
      </c>
      <c r="F666" s="77">
        <f>E666</f>
        <v>0</v>
      </c>
      <c r="G666" s="81"/>
      <c r="H666" s="81"/>
      <c r="I666" s="81"/>
      <c r="J666" s="81"/>
      <c r="K666" s="81"/>
      <c r="L666" s="81"/>
      <c r="M666" s="175"/>
      <c r="N666" s="175"/>
      <c r="O666" s="32"/>
    </row>
    <row r="667" spans="1:15">
      <c r="B667" s="86" t="str">
        <f xml:space="preserve"> ( 'Facility Detail'!$B$1897 + 2 ) &amp; " Surplus Applied to " &amp; ( 'Facility Detail'!$B$1897 + 1 )</f>
        <v>2013 Surplus Applied to 2012</v>
      </c>
      <c r="C667" s="78"/>
      <c r="D667" s="68"/>
      <c r="E667" s="77">
        <f>F667</f>
        <v>0</v>
      </c>
      <c r="F667" s="173"/>
      <c r="G667" s="81"/>
      <c r="H667" s="81"/>
      <c r="I667" s="81"/>
      <c r="J667" s="81"/>
      <c r="K667" s="81"/>
      <c r="L667" s="81"/>
      <c r="M667" s="175"/>
      <c r="N667" s="175"/>
      <c r="O667" s="32"/>
    </row>
    <row r="668" spans="1:15">
      <c r="B668" s="86" t="str">
        <f xml:space="preserve"> ( 'Facility Detail'!$B$1897 + 2 ) &amp; " Surplus Applied to " &amp; ( 'Facility Detail'!$B$1897 + 3 )</f>
        <v>2013 Surplus Applied to 2014</v>
      </c>
      <c r="C668" s="78"/>
      <c r="D668" s="68"/>
      <c r="E668" s="157"/>
      <c r="F668" s="10">
        <f>F650</f>
        <v>0</v>
      </c>
      <c r="G668" s="158">
        <f>F668</f>
        <v>0</v>
      </c>
      <c r="H668" s="81"/>
      <c r="I668" s="81"/>
      <c r="J668" s="81"/>
      <c r="K668" s="81"/>
      <c r="L668" s="81"/>
      <c r="M668" s="175"/>
      <c r="N668" s="175"/>
      <c r="O668" s="32"/>
    </row>
    <row r="669" spans="1:15">
      <c r="B669" s="86" t="str">
        <f xml:space="preserve"> ( 'Facility Detail'!$B$1897 + 3 ) &amp; " Surplus Applied to " &amp; ( 'Facility Detail'!$B$1897 + 2 )</f>
        <v>2014 Surplus Applied to 2013</v>
      </c>
      <c r="C669" s="78"/>
      <c r="D669" s="68"/>
      <c r="E669" s="157"/>
      <c r="F669" s="77">
        <f>G669</f>
        <v>0</v>
      </c>
      <c r="G669" s="10"/>
      <c r="H669" s="81"/>
      <c r="I669" s="81"/>
      <c r="J669" s="81" t="s">
        <v>121</v>
      </c>
      <c r="K669" s="81" t="s">
        <v>121</v>
      </c>
      <c r="L669" s="81" t="s">
        <v>121</v>
      </c>
      <c r="M669" s="175"/>
      <c r="N669" s="175"/>
      <c r="O669" s="32"/>
    </row>
    <row r="670" spans="1:15">
      <c r="B670" s="86" t="str">
        <f xml:space="preserve"> ( 'Facility Detail'!$B$1897 + 3 ) &amp; " Surplus Applied to " &amp; ( 'Facility Detail'!$B$1897 + 4 )</f>
        <v>2014 Surplus Applied to 2015</v>
      </c>
      <c r="C670" s="78"/>
      <c r="D670" s="68"/>
      <c r="E670" s="157"/>
      <c r="F670" s="157"/>
      <c r="G670" s="10">
        <f>G650</f>
        <v>0</v>
      </c>
      <c r="H670" s="158">
        <f>G670</f>
        <v>0</v>
      </c>
      <c r="I670" s="157"/>
      <c r="J670" s="157"/>
      <c r="K670" s="157"/>
      <c r="L670" s="157"/>
      <c r="M670" s="161"/>
      <c r="N670" s="161"/>
      <c r="O670" s="32"/>
    </row>
    <row r="671" spans="1:15">
      <c r="B671" s="86" t="str">
        <f xml:space="preserve"> ( 'Facility Detail'!$B$1897 + 4 ) &amp; " Surplus Applied to " &amp; ( 'Facility Detail'!$B$1897 + 3 )</f>
        <v>2015 Surplus Applied to 2014</v>
      </c>
      <c r="C671" s="78"/>
      <c r="D671" s="68"/>
      <c r="E671" s="157"/>
      <c r="F671" s="157"/>
      <c r="G671" s="159"/>
      <c r="H671" s="10"/>
      <c r="I671" s="157"/>
      <c r="J671" s="157"/>
      <c r="K671" s="157"/>
      <c r="L671" s="157"/>
      <c r="M671" s="161"/>
      <c r="N671" s="161"/>
      <c r="O671" s="32"/>
    </row>
    <row r="672" spans="1:15">
      <c r="B672" s="86" t="str">
        <f xml:space="preserve"> ( 'Facility Detail'!$B$1897 + 4 ) &amp; " Surplus Applied to " &amp; ( 'Facility Detail'!$B$1897 + 5 )</f>
        <v>2015 Surplus Applied to 2016</v>
      </c>
      <c r="C672" s="78"/>
      <c r="D672" s="68"/>
      <c r="E672" s="157"/>
      <c r="F672" s="157"/>
      <c r="G672" s="157"/>
      <c r="H672" s="10">
        <f>H650</f>
        <v>2500</v>
      </c>
      <c r="I672" s="158">
        <f>H672</f>
        <v>2500</v>
      </c>
      <c r="J672" s="81"/>
      <c r="K672" s="81"/>
      <c r="L672" s="81"/>
      <c r="M672" s="161"/>
      <c r="N672" s="161"/>
      <c r="O672" s="32"/>
    </row>
    <row r="673" spans="1:15">
      <c r="B673" s="86" t="str">
        <f xml:space="preserve"> ( 'Facility Detail'!$B$1897 + 5 ) &amp; " Surplus Applied to " &amp; ( 'Facility Detail'!$B$1897 + 4 )</f>
        <v>2016 Surplus Applied to 2015</v>
      </c>
      <c r="C673" s="32"/>
      <c r="D673" s="68"/>
      <c r="E673" s="157"/>
      <c r="F673" s="157"/>
      <c r="G673" s="157"/>
      <c r="H673" s="77"/>
      <c r="I673" s="160"/>
      <c r="J673" s="81"/>
      <c r="K673" s="81"/>
      <c r="L673" s="81"/>
      <c r="M673" s="161"/>
      <c r="N673" s="161"/>
      <c r="O673" s="32"/>
    </row>
    <row r="674" spans="1:15">
      <c r="B674" s="86" t="str">
        <f xml:space="preserve"> ( 'Facility Detail'!$B$1897 + 5 ) &amp; " Surplus Applied to " &amp; ( 'Facility Detail'!$B$1897 + 6 )</f>
        <v>2016 Surplus Applied to 2017</v>
      </c>
      <c r="C674" s="32"/>
      <c r="D674" s="68"/>
      <c r="E674" s="157"/>
      <c r="F674" s="157"/>
      <c r="G674" s="157"/>
      <c r="H674" s="157"/>
      <c r="I674" s="160">
        <f>I650</f>
        <v>8225</v>
      </c>
      <c r="J674" s="77">
        <f>I674</f>
        <v>8225</v>
      </c>
      <c r="K674" s="81"/>
      <c r="L674" s="81"/>
      <c r="M674" s="175"/>
      <c r="N674" s="175"/>
      <c r="O674" s="32"/>
    </row>
    <row r="675" spans="1:15">
      <c r="B675" s="86" t="s">
        <v>119</v>
      </c>
      <c r="C675" s="32"/>
      <c r="D675" s="68"/>
      <c r="E675" s="157"/>
      <c r="F675" s="157"/>
      <c r="G675" s="157"/>
      <c r="H675" s="157"/>
      <c r="I675" s="159"/>
      <c r="J675" s="160"/>
      <c r="K675" s="81"/>
      <c r="L675" s="81"/>
      <c r="M675" s="175"/>
      <c r="N675" s="175"/>
      <c r="O675" s="32"/>
    </row>
    <row r="676" spans="1:15">
      <c r="B676" s="86" t="s">
        <v>120</v>
      </c>
      <c r="C676" s="32"/>
      <c r="D676" s="69"/>
      <c r="E676" s="140"/>
      <c r="F676" s="140"/>
      <c r="G676" s="140"/>
      <c r="H676" s="140"/>
      <c r="I676" s="140"/>
      <c r="J676" s="162"/>
      <c r="K676" s="217"/>
      <c r="L676" s="217"/>
      <c r="M676" s="323"/>
      <c r="N676" s="323"/>
      <c r="O676" s="32"/>
    </row>
    <row r="677" spans="1:15">
      <c r="B677" s="35" t="s">
        <v>17</v>
      </c>
      <c r="D677" s="7">
        <f xml:space="preserve"> D665 - D664</f>
        <v>0</v>
      </c>
      <c r="E677" s="7">
        <f xml:space="preserve"> E664 + E667 - E666 - E665</f>
        <v>0</v>
      </c>
      <c r="F677" s="7">
        <f>F666 - F667 -F668</f>
        <v>0</v>
      </c>
      <c r="G677" s="7">
        <f>G668-G669-G670</f>
        <v>0</v>
      </c>
      <c r="H677" s="7">
        <f>H670-H671-H672</f>
        <v>-2500</v>
      </c>
      <c r="I677" s="308">
        <f>I672-I673-I674</f>
        <v>-5725</v>
      </c>
      <c r="J677" s="308">
        <f>J674-J675-J676</f>
        <v>8225</v>
      </c>
      <c r="K677" s="7">
        <f>K676</f>
        <v>0</v>
      </c>
      <c r="L677" s="7">
        <f>L676</f>
        <v>0</v>
      </c>
      <c r="M677" s="7">
        <f>M676</f>
        <v>0</v>
      </c>
      <c r="N677" s="7">
        <f>N676</f>
        <v>0</v>
      </c>
      <c r="O677" s="32"/>
    </row>
    <row r="678" spans="1:15">
      <c r="B678" s="6"/>
      <c r="D678" s="7"/>
      <c r="E678" s="7"/>
      <c r="F678" s="7"/>
      <c r="G678" s="30"/>
      <c r="H678" s="30"/>
      <c r="I678" s="30"/>
      <c r="J678" s="30"/>
      <c r="K678" s="30"/>
      <c r="L678" s="30"/>
      <c r="M678" s="30"/>
      <c r="N678" s="30"/>
      <c r="O678" s="32"/>
    </row>
    <row r="679" spans="1:15">
      <c r="B679" s="83" t="s">
        <v>12</v>
      </c>
      <c r="C679" s="78"/>
      <c r="D679" s="101"/>
      <c r="E679" s="102"/>
      <c r="F679" s="102"/>
      <c r="G679" s="102"/>
      <c r="H679" s="102"/>
      <c r="I679" s="102"/>
      <c r="J679" s="102"/>
      <c r="K679" s="102"/>
      <c r="L679" s="102"/>
      <c r="M679" s="151"/>
      <c r="N679" s="151"/>
      <c r="O679" s="32"/>
    </row>
    <row r="680" spans="1:15">
      <c r="B680" s="6"/>
      <c r="D680" s="7"/>
      <c r="E680" s="7"/>
      <c r="F680" s="7"/>
      <c r="G680" s="30"/>
      <c r="H680" s="30"/>
      <c r="I680" s="30"/>
      <c r="J680" s="30"/>
      <c r="K680" s="30"/>
      <c r="L680" s="30"/>
      <c r="M680" s="30"/>
      <c r="N680" s="30"/>
      <c r="O680" s="32"/>
    </row>
    <row r="681" spans="1:15" ht="18.5">
      <c r="A681" s="43" t="s">
        <v>26</v>
      </c>
      <c r="C681" s="78"/>
      <c r="D681" s="47">
        <f t="shared" ref="D681:I681" si="370" xml:space="preserve"> D650 + D655 - D661 + D677 + D679</f>
        <v>0</v>
      </c>
      <c r="E681" s="48">
        <f t="shared" si="370"/>
        <v>0</v>
      </c>
      <c r="F681" s="48">
        <f t="shared" si="370"/>
        <v>0</v>
      </c>
      <c r="G681" s="48">
        <f t="shared" si="370"/>
        <v>0</v>
      </c>
      <c r="H681" s="48">
        <f t="shared" si="370"/>
        <v>0</v>
      </c>
      <c r="I681" s="48">
        <f t="shared" si="370"/>
        <v>2500</v>
      </c>
      <c r="J681" s="48">
        <f t="shared" ref="J681:L681" si="371" xml:space="preserve"> J650 + J655 - J661 + J677 + J679</f>
        <v>8225</v>
      </c>
      <c r="K681" s="48">
        <f t="shared" si="371"/>
        <v>0</v>
      </c>
      <c r="L681" s="48">
        <f t="shared" si="371"/>
        <v>0</v>
      </c>
      <c r="M681" s="49">
        <f t="shared" ref="M681:N681" si="372" xml:space="preserve"> M650 + M655 - M661 + M677 + M679</f>
        <v>0</v>
      </c>
      <c r="N681" s="49">
        <f t="shared" si="372"/>
        <v>0</v>
      </c>
      <c r="O681" s="32"/>
    </row>
    <row r="682" spans="1:15">
      <c r="B682" s="6"/>
      <c r="D682" s="7"/>
      <c r="E682" s="7"/>
      <c r="F682" s="7"/>
      <c r="G682" s="30"/>
      <c r="H682" s="30"/>
      <c r="I682" s="30"/>
      <c r="J682" s="30"/>
      <c r="K682" s="30"/>
      <c r="L682" s="30"/>
      <c r="M682" s="30"/>
      <c r="N682" s="30"/>
      <c r="O682" s="32"/>
    </row>
    <row r="683" spans="1:15" ht="15" thickBot="1">
      <c r="O683" s="32"/>
    </row>
    <row r="684" spans="1:15">
      <c r="A684" s="8"/>
      <c r="B684" s="8"/>
      <c r="C684" s="8"/>
      <c r="D684" s="8"/>
      <c r="E684" s="8"/>
      <c r="F684" s="8"/>
      <c r="G684" s="8"/>
      <c r="H684" s="8"/>
      <c r="I684" s="8"/>
      <c r="J684" s="8"/>
      <c r="K684" s="8"/>
      <c r="L684" s="8"/>
      <c r="M684" s="8"/>
      <c r="N684" s="8"/>
      <c r="O684" s="32"/>
    </row>
    <row r="685" spans="1:15">
      <c r="B685" s="32"/>
      <c r="C685" s="32"/>
      <c r="D685" s="32"/>
      <c r="E685" s="32"/>
      <c r="F685" s="32"/>
      <c r="G685" s="32"/>
      <c r="H685" s="32"/>
      <c r="I685" s="32"/>
      <c r="J685" s="32"/>
      <c r="K685" s="32"/>
      <c r="L685" s="32"/>
      <c r="M685" s="32"/>
      <c r="N685" s="32"/>
      <c r="O685" s="32"/>
    </row>
    <row r="686" spans="1:15" ht="21">
      <c r="A686" s="14" t="s">
        <v>4</v>
      </c>
      <c r="B686" s="14"/>
      <c r="C686" s="44" t="str">
        <f>B16</f>
        <v>Top of the World</v>
      </c>
      <c r="D686" s="45"/>
      <c r="E686" s="24"/>
      <c r="F686" s="24"/>
      <c r="O686" s="32"/>
    </row>
    <row r="687" spans="1:15">
      <c r="O687" s="32"/>
    </row>
    <row r="688" spans="1:15" ht="18.5">
      <c r="A688" s="9" t="s">
        <v>21</v>
      </c>
      <c r="B688" s="9"/>
      <c r="D688" s="2">
        <f>'Facility Detail'!$B$1897</f>
        <v>2011</v>
      </c>
      <c r="E688" s="2">
        <f t="shared" ref="E688:K688" si="373">D688+1</f>
        <v>2012</v>
      </c>
      <c r="F688" s="2">
        <f t="shared" si="373"/>
        <v>2013</v>
      </c>
      <c r="G688" s="2">
        <f t="shared" si="373"/>
        <v>2014</v>
      </c>
      <c r="H688" s="2">
        <f t="shared" si="373"/>
        <v>2015</v>
      </c>
      <c r="I688" s="2">
        <f t="shared" si="373"/>
        <v>2016</v>
      </c>
      <c r="J688" s="2">
        <f t="shared" si="373"/>
        <v>2017</v>
      </c>
      <c r="K688" s="2">
        <f t="shared" si="373"/>
        <v>2018</v>
      </c>
      <c r="L688" s="2">
        <f t="shared" ref="L688" si="374">K688+1</f>
        <v>2019</v>
      </c>
      <c r="M688" s="2">
        <f t="shared" ref="M688" si="375">L688+1</f>
        <v>2020</v>
      </c>
      <c r="N688" s="2">
        <f t="shared" ref="N688" si="376">M688+1</f>
        <v>2021</v>
      </c>
      <c r="O688" s="32"/>
    </row>
    <row r="689" spans="1:15">
      <c r="B689" s="86" t="str">
        <f>"Total MWh Produced / Purchased from " &amp; C686</f>
        <v>Total MWh Produced / Purchased from Top of the World</v>
      </c>
      <c r="C689" s="78"/>
      <c r="D689" s="3"/>
      <c r="E689" s="4"/>
      <c r="F689" s="4"/>
      <c r="G689" s="4"/>
      <c r="H689" s="4">
        <v>570069</v>
      </c>
      <c r="I689" s="321">
        <v>651049</v>
      </c>
      <c r="J689" s="293">
        <v>611543</v>
      </c>
      <c r="K689" s="293">
        <v>532188.39900000009</v>
      </c>
      <c r="L689" s="293">
        <v>555018</v>
      </c>
      <c r="M689" s="303">
        <v>589715</v>
      </c>
      <c r="N689" s="303">
        <v>638183</v>
      </c>
      <c r="O689" s="32"/>
    </row>
    <row r="690" spans="1:15">
      <c r="B690" s="86" t="s">
        <v>25</v>
      </c>
      <c r="C690" s="78"/>
      <c r="D690" s="60"/>
      <c r="E690" s="61"/>
      <c r="F690" s="61"/>
      <c r="G690" s="61"/>
      <c r="H690" s="61">
        <v>1</v>
      </c>
      <c r="I690" s="207">
        <v>1</v>
      </c>
      <c r="J690" s="61">
        <v>1</v>
      </c>
      <c r="K690" s="61">
        <v>1</v>
      </c>
      <c r="L690" s="61">
        <v>1</v>
      </c>
      <c r="M690" s="313">
        <v>1</v>
      </c>
      <c r="N690" s="313">
        <v>1</v>
      </c>
      <c r="O690" s="32"/>
    </row>
    <row r="691" spans="1:15">
      <c r="B691" s="86" t="s">
        <v>20</v>
      </c>
      <c r="C691" s="78"/>
      <c r="D691" s="52"/>
      <c r="E691" s="53"/>
      <c r="F691" s="53"/>
      <c r="G691" s="53"/>
      <c r="H691" s="53">
        <f>H51</f>
        <v>8.0535999999999996E-2</v>
      </c>
      <c r="I691" s="53">
        <f t="shared" ref="I691:N691" si="377">I51</f>
        <v>8.1698151927344531E-2</v>
      </c>
      <c r="J691" s="53">
        <f t="shared" si="377"/>
        <v>8.0833713568703974E-2</v>
      </c>
      <c r="K691" s="53">
        <f t="shared" si="377"/>
        <v>7.9451999999999995E-2</v>
      </c>
      <c r="L691" s="53">
        <f t="shared" si="377"/>
        <v>7.6724662968274293E-2</v>
      </c>
      <c r="M691" s="324">
        <f t="shared" ref="M691" si="378">M51</f>
        <v>7.9127103690396022E-2</v>
      </c>
      <c r="N691" s="324">
        <f t="shared" si="377"/>
        <v>7.9127103690396022E-2</v>
      </c>
      <c r="O691" s="32"/>
    </row>
    <row r="692" spans="1:15">
      <c r="B692" s="83" t="s">
        <v>22</v>
      </c>
      <c r="C692" s="84"/>
      <c r="D692" s="39">
        <f xml:space="preserve"> ROUND(D689 * D690 * D691,0)</f>
        <v>0</v>
      </c>
      <c r="E692" s="39">
        <f t="shared" ref="E692:G692" si="379" xml:space="preserve"> ROUND(E689 * E690 * E691,0)</f>
        <v>0</v>
      </c>
      <c r="F692" s="39">
        <f t="shared" si="379"/>
        <v>0</v>
      </c>
      <c r="G692" s="39">
        <f t="shared" si="379"/>
        <v>0</v>
      </c>
      <c r="H692" s="39">
        <v>45911</v>
      </c>
      <c r="I692" s="306">
        <v>53189</v>
      </c>
      <c r="J692" s="306">
        <v>49434</v>
      </c>
      <c r="K692" s="306">
        <v>42284</v>
      </c>
      <c r="L692" s="306">
        <f>L689*L691</f>
        <v>42583.568991325665</v>
      </c>
      <c r="M692" s="306">
        <f>M689*M691</f>
        <v>46662.43995278189</v>
      </c>
      <c r="N692" s="306">
        <f>N689*N691</f>
        <v>50497.572414448005</v>
      </c>
      <c r="O692" s="32"/>
    </row>
    <row r="693" spans="1:15">
      <c r="B693" s="24"/>
      <c r="C693" s="32"/>
      <c r="D693" s="38"/>
      <c r="E693" s="38"/>
      <c r="F693" s="38"/>
      <c r="G693" s="25"/>
      <c r="H693" s="25"/>
      <c r="I693" s="25"/>
      <c r="J693" s="25"/>
      <c r="K693" s="25"/>
      <c r="L693" s="25"/>
      <c r="M693" s="25"/>
      <c r="N693" s="25"/>
      <c r="O693" s="32"/>
    </row>
    <row r="694" spans="1:15" ht="18.5">
      <c r="A694" s="46" t="s">
        <v>52</v>
      </c>
      <c r="C694" s="32"/>
      <c r="D694" s="2">
        <f>'Facility Detail'!$B$1897</f>
        <v>2011</v>
      </c>
      <c r="E694" s="2">
        <f t="shared" ref="E694:J694" si="380">D694+1</f>
        <v>2012</v>
      </c>
      <c r="F694" s="2">
        <f t="shared" si="380"/>
        <v>2013</v>
      </c>
      <c r="G694" s="2">
        <f t="shared" si="380"/>
        <v>2014</v>
      </c>
      <c r="H694" s="2">
        <f t="shared" si="380"/>
        <v>2015</v>
      </c>
      <c r="I694" s="2">
        <f t="shared" si="380"/>
        <v>2016</v>
      </c>
      <c r="J694" s="2">
        <f t="shared" si="380"/>
        <v>2017</v>
      </c>
      <c r="K694" s="2">
        <f>K688</f>
        <v>2018</v>
      </c>
      <c r="L694" s="2">
        <f t="shared" ref="L694" si="381">K694+1</f>
        <v>2019</v>
      </c>
      <c r="M694" s="2">
        <f t="shared" ref="M694" si="382">L694+1</f>
        <v>2020</v>
      </c>
      <c r="N694" s="2">
        <f t="shared" ref="N694" si="383">M694+1</f>
        <v>2021</v>
      </c>
      <c r="O694" s="32"/>
    </row>
    <row r="695" spans="1:15">
      <c r="B695" s="86" t="s">
        <v>10</v>
      </c>
      <c r="C695" s="78"/>
      <c r="D695" s="55">
        <f>IF( $E16 = "Eligible", D692 * 'Facility Detail'!$B$1894, 0 )</f>
        <v>0</v>
      </c>
      <c r="E695" s="11">
        <f>IF( $E16 = "Eligible", E692 * 'Facility Detail'!$B$1894, 0 )</f>
        <v>0</v>
      </c>
      <c r="F695" s="11">
        <f>IF( $E16 = "Eligible", F692 * 'Facility Detail'!$B$1894, 0 )</f>
        <v>0</v>
      </c>
      <c r="G695" s="201">
        <f>IF( $E16 = "Eligible", G692 * 'Facility Detail'!$B$1894, 0 )</f>
        <v>0</v>
      </c>
      <c r="H695" s="201">
        <f>IF( $E16 = "Eligible", H692 * 'Facility Detail'!$B$1894, 0 )</f>
        <v>0</v>
      </c>
      <c r="I695" s="11">
        <f>IF( $E16 = "Eligible", I692 * 'Facility Detail'!$B$1894, 0 )</f>
        <v>0</v>
      </c>
      <c r="J695" s="11">
        <f>IF( $E16 = "Eligible", J692 * 'Facility Detail'!$B$1894, 0 )</f>
        <v>0</v>
      </c>
      <c r="K695" s="11">
        <f>IF( $E16 = "Eligible", K692 * 'Facility Detail'!$B$1894, 0 )</f>
        <v>0</v>
      </c>
      <c r="L695" s="11">
        <f>IF( $E16 = "Eligible", L692 * 'Facility Detail'!$B$1894, 0 )</f>
        <v>0</v>
      </c>
      <c r="M695" s="11">
        <f>IF( $E16 = "Eligible", M692 * 'Facility Detail'!$B$1894, 0 )</f>
        <v>0</v>
      </c>
      <c r="N695" s="11">
        <f>IF( $E16 = "Eligible", N692 * 'Facility Detail'!$B$1894, 0 )</f>
        <v>0</v>
      </c>
      <c r="O695" s="32"/>
    </row>
    <row r="696" spans="1:15">
      <c r="B696" s="86" t="s">
        <v>6</v>
      </c>
      <c r="C696" s="78"/>
      <c r="D696" s="56">
        <f t="shared" ref="D696:J696" si="384">IF( $F16 = "Eligible", D692, 0 )</f>
        <v>0</v>
      </c>
      <c r="E696" s="57">
        <f t="shared" si="384"/>
        <v>0</v>
      </c>
      <c r="F696" s="57">
        <f t="shared" si="384"/>
        <v>0</v>
      </c>
      <c r="G696" s="202">
        <f t="shared" si="384"/>
        <v>0</v>
      </c>
      <c r="H696" s="202">
        <f t="shared" si="384"/>
        <v>0</v>
      </c>
      <c r="I696" s="57">
        <f t="shared" si="384"/>
        <v>0</v>
      </c>
      <c r="J696" s="57">
        <f t="shared" si="384"/>
        <v>0</v>
      </c>
      <c r="K696" s="57">
        <f t="shared" ref="K696:L696" si="385">IF( $F16 = "Eligible", K692, 0 )</f>
        <v>0</v>
      </c>
      <c r="L696" s="57">
        <f t="shared" si="385"/>
        <v>0</v>
      </c>
      <c r="M696" s="57">
        <f>IF( $F16 = "Eligible", M692, 0 )</f>
        <v>0</v>
      </c>
      <c r="N696" s="57">
        <f>IF( $F16 = "Eligible", N692, 0 )</f>
        <v>0</v>
      </c>
      <c r="O696" s="32"/>
    </row>
    <row r="697" spans="1:15">
      <c r="B697" s="85" t="s">
        <v>54</v>
      </c>
      <c r="C697" s="84"/>
      <c r="D697" s="41">
        <f t="shared" ref="D697:J697" si="386">SUM(D695:D696)</f>
        <v>0</v>
      </c>
      <c r="E697" s="42">
        <f t="shared" si="386"/>
        <v>0</v>
      </c>
      <c r="F697" s="42">
        <f t="shared" si="386"/>
        <v>0</v>
      </c>
      <c r="G697" s="42">
        <f t="shared" si="386"/>
        <v>0</v>
      </c>
      <c r="H697" s="42">
        <f t="shared" si="386"/>
        <v>0</v>
      </c>
      <c r="I697" s="42">
        <f t="shared" si="386"/>
        <v>0</v>
      </c>
      <c r="J697" s="42">
        <f t="shared" si="386"/>
        <v>0</v>
      </c>
      <c r="K697" s="42">
        <f t="shared" ref="K697:L697" si="387">SUM(K695:K696)</f>
        <v>0</v>
      </c>
      <c r="L697" s="42">
        <f t="shared" si="387"/>
        <v>0</v>
      </c>
      <c r="M697" s="42">
        <f t="shared" ref="M697:N697" si="388">SUM(M695:M696)</f>
        <v>0</v>
      </c>
      <c r="N697" s="42">
        <f t="shared" si="388"/>
        <v>0</v>
      </c>
      <c r="O697" s="32"/>
    </row>
    <row r="698" spans="1:15">
      <c r="B698" s="32"/>
      <c r="C698" s="32"/>
      <c r="D698" s="40"/>
      <c r="E698" s="33"/>
      <c r="F698" s="33"/>
      <c r="G698" s="25"/>
      <c r="H698" s="25"/>
      <c r="I698" s="25"/>
      <c r="J698" s="25"/>
      <c r="K698" s="25"/>
      <c r="L698" s="25"/>
      <c r="M698" s="25"/>
      <c r="N698" s="25"/>
      <c r="O698" s="32"/>
    </row>
    <row r="699" spans="1:15" ht="18.5">
      <c r="A699" s="43" t="s">
        <v>30</v>
      </c>
      <c r="C699" s="32"/>
      <c r="D699" s="2">
        <f>'Facility Detail'!$B$1897</f>
        <v>2011</v>
      </c>
      <c r="E699" s="2">
        <f t="shared" ref="E699:J699" si="389">D699+1</f>
        <v>2012</v>
      </c>
      <c r="F699" s="2">
        <f t="shared" si="389"/>
        <v>2013</v>
      </c>
      <c r="G699" s="2">
        <f t="shared" si="389"/>
        <v>2014</v>
      </c>
      <c r="H699" s="2">
        <f t="shared" si="389"/>
        <v>2015</v>
      </c>
      <c r="I699" s="2">
        <f t="shared" si="389"/>
        <v>2016</v>
      </c>
      <c r="J699" s="2">
        <f t="shared" si="389"/>
        <v>2017</v>
      </c>
      <c r="K699" s="2">
        <f>K688</f>
        <v>2018</v>
      </c>
      <c r="L699" s="2">
        <f t="shared" ref="L699:N699" si="390">L688</f>
        <v>2019</v>
      </c>
      <c r="M699" s="2">
        <f t="shared" si="390"/>
        <v>2020</v>
      </c>
      <c r="N699" s="2">
        <f t="shared" si="390"/>
        <v>2021</v>
      </c>
      <c r="O699" s="32"/>
    </row>
    <row r="700" spans="1:15">
      <c r="B700" s="86" t="s">
        <v>32</v>
      </c>
      <c r="C700" s="78"/>
      <c r="D700" s="90"/>
      <c r="E700" s="91"/>
      <c r="F700" s="91"/>
      <c r="G700" s="165"/>
      <c r="H700" s="165"/>
      <c r="I700" s="165"/>
      <c r="J700" s="165"/>
      <c r="K700" s="165"/>
      <c r="L700" s="165"/>
      <c r="M700" s="148"/>
      <c r="N700" s="148"/>
      <c r="O700" s="32"/>
    </row>
    <row r="701" spans="1:15">
      <c r="B701" s="87" t="s">
        <v>23</v>
      </c>
      <c r="C701" s="192"/>
      <c r="D701" s="93"/>
      <c r="E701" s="94"/>
      <c r="F701" s="94"/>
      <c r="G701" s="166"/>
      <c r="H701" s="166"/>
      <c r="I701" s="166"/>
      <c r="J701" s="166"/>
      <c r="K701" s="166"/>
      <c r="L701" s="166"/>
      <c r="M701" s="149"/>
      <c r="N701" s="149"/>
      <c r="O701" s="32"/>
    </row>
    <row r="702" spans="1:15">
      <c r="B702" s="96" t="s">
        <v>38</v>
      </c>
      <c r="C702" s="190"/>
      <c r="D702" s="63"/>
      <c r="E702" s="64"/>
      <c r="F702" s="64"/>
      <c r="G702" s="167"/>
      <c r="H702" s="167"/>
      <c r="I702" s="167"/>
      <c r="J702" s="167"/>
      <c r="K702" s="167"/>
      <c r="L702" s="167"/>
      <c r="M702" s="150"/>
      <c r="N702" s="150"/>
      <c r="O702" s="32"/>
    </row>
    <row r="703" spans="1:15">
      <c r="B703" s="35" t="s">
        <v>39</v>
      </c>
      <c r="D703" s="7">
        <f t="shared" ref="D703:J703" si="391">SUM(D700:D702)</f>
        <v>0</v>
      </c>
      <c r="E703" s="7">
        <f t="shared" si="391"/>
        <v>0</v>
      </c>
      <c r="F703" s="7">
        <f t="shared" si="391"/>
        <v>0</v>
      </c>
      <c r="G703" s="7">
        <f t="shared" si="391"/>
        <v>0</v>
      </c>
      <c r="H703" s="7">
        <f t="shared" si="391"/>
        <v>0</v>
      </c>
      <c r="I703" s="7">
        <f t="shared" si="391"/>
        <v>0</v>
      </c>
      <c r="J703" s="7">
        <f t="shared" si="391"/>
        <v>0</v>
      </c>
      <c r="K703" s="7">
        <f t="shared" ref="K703:L703" si="392">SUM(K700:K702)</f>
        <v>0</v>
      </c>
      <c r="L703" s="7">
        <f t="shared" si="392"/>
        <v>0</v>
      </c>
      <c r="M703" s="7">
        <f t="shared" ref="M703:N703" si="393">SUM(M700:M702)</f>
        <v>0</v>
      </c>
      <c r="N703" s="7">
        <f t="shared" si="393"/>
        <v>0</v>
      </c>
      <c r="O703" s="32"/>
    </row>
    <row r="704" spans="1:15">
      <c r="B704" s="6"/>
      <c r="D704" s="7"/>
      <c r="E704" s="7"/>
      <c r="F704" s="7"/>
      <c r="G704" s="30"/>
      <c r="H704" s="30"/>
      <c r="I704" s="30"/>
      <c r="J704" s="30"/>
      <c r="K704" s="30"/>
      <c r="L704" s="30"/>
      <c r="M704" s="30"/>
      <c r="N704" s="30"/>
      <c r="O704" s="32"/>
    </row>
    <row r="705" spans="1:15" ht="18.5">
      <c r="A705" s="9" t="s">
        <v>40</v>
      </c>
      <c r="D705" s="2">
        <f>'Facility Detail'!$B$1897</f>
        <v>2011</v>
      </c>
      <c r="E705" s="2">
        <f t="shared" ref="E705:J705" si="394">D705+1</f>
        <v>2012</v>
      </c>
      <c r="F705" s="2">
        <f t="shared" si="394"/>
        <v>2013</v>
      </c>
      <c r="G705" s="2">
        <f t="shared" si="394"/>
        <v>2014</v>
      </c>
      <c r="H705" s="2">
        <f t="shared" si="394"/>
        <v>2015</v>
      </c>
      <c r="I705" s="2">
        <f t="shared" si="394"/>
        <v>2016</v>
      </c>
      <c r="J705" s="2">
        <f t="shared" si="394"/>
        <v>2017</v>
      </c>
      <c r="K705" s="2">
        <f>K688</f>
        <v>2018</v>
      </c>
      <c r="L705" s="2">
        <f t="shared" ref="L705:N705" si="395">L688</f>
        <v>2019</v>
      </c>
      <c r="M705" s="2">
        <f t="shared" si="395"/>
        <v>2020</v>
      </c>
      <c r="N705" s="2">
        <f t="shared" si="395"/>
        <v>2021</v>
      </c>
      <c r="O705" s="32"/>
    </row>
    <row r="706" spans="1:15">
      <c r="B706" s="86" t="s">
        <v>34</v>
      </c>
      <c r="C706" s="32"/>
      <c r="D706" s="3">
        <f>D692</f>
        <v>0</v>
      </c>
      <c r="E706" s="66">
        <f>D706</f>
        <v>0</v>
      </c>
      <c r="F706" s="138"/>
      <c r="G706" s="138"/>
      <c r="H706" s="138"/>
      <c r="I706" s="138"/>
      <c r="J706" s="138"/>
      <c r="K706" s="138"/>
      <c r="L706" s="138"/>
      <c r="M706" s="67"/>
      <c r="N706" s="67"/>
      <c r="O706" s="32"/>
    </row>
    <row r="707" spans="1:15">
      <c r="B707" s="86" t="s">
        <v>35</v>
      </c>
      <c r="C707" s="32"/>
      <c r="D707" s="174">
        <f>E707</f>
        <v>0</v>
      </c>
      <c r="E707" s="10"/>
      <c r="F707" s="81"/>
      <c r="G707" s="81"/>
      <c r="H707" s="81"/>
      <c r="I707" s="81"/>
      <c r="J707" s="81"/>
      <c r="K707" s="81"/>
      <c r="L707" s="81"/>
      <c r="M707" s="175"/>
      <c r="N707" s="175"/>
      <c r="O707" s="32"/>
    </row>
    <row r="708" spans="1:15">
      <c r="B708" s="86" t="s">
        <v>36</v>
      </c>
      <c r="C708" s="32"/>
      <c r="D708" s="68"/>
      <c r="E708" s="10">
        <f>E692</f>
        <v>0</v>
      </c>
      <c r="F708" s="77">
        <f>E708</f>
        <v>0</v>
      </c>
      <c r="G708" s="81"/>
      <c r="H708" s="81"/>
      <c r="I708" s="81"/>
      <c r="J708" s="81"/>
      <c r="K708" s="81"/>
      <c r="L708" s="81"/>
      <c r="M708" s="175"/>
      <c r="N708" s="175"/>
      <c r="O708" s="32"/>
    </row>
    <row r="709" spans="1:15">
      <c r="B709" s="86" t="s">
        <v>37</v>
      </c>
      <c r="C709" s="32"/>
      <c r="D709" s="68"/>
      <c r="E709" s="77">
        <f>F709</f>
        <v>0</v>
      </c>
      <c r="F709" s="173"/>
      <c r="G709" s="81"/>
      <c r="H709" s="81"/>
      <c r="I709" s="81"/>
      <c r="J709" s="81"/>
      <c r="K709" s="81"/>
      <c r="L709" s="81"/>
      <c r="M709" s="175"/>
      <c r="N709" s="175"/>
      <c r="O709" s="32"/>
    </row>
    <row r="710" spans="1:15">
      <c r="B710" s="86" t="s">
        <v>122</v>
      </c>
      <c r="C710" s="32"/>
      <c r="D710" s="68"/>
      <c r="E710" s="157"/>
      <c r="F710" s="10">
        <f>F692</f>
        <v>0</v>
      </c>
      <c r="G710" s="158">
        <f>F710</f>
        <v>0</v>
      </c>
      <c r="H710" s="81"/>
      <c r="I710" s="81"/>
      <c r="J710" s="81"/>
      <c r="K710" s="81"/>
      <c r="L710" s="81"/>
      <c r="M710" s="175"/>
      <c r="N710" s="175"/>
      <c r="O710" s="32"/>
    </row>
    <row r="711" spans="1:15">
      <c r="B711" s="86" t="s">
        <v>123</v>
      </c>
      <c r="C711" s="32"/>
      <c r="D711" s="68"/>
      <c r="E711" s="157"/>
      <c r="F711" s="77">
        <f>G711</f>
        <v>0</v>
      </c>
      <c r="G711" s="10"/>
      <c r="H711" s="81"/>
      <c r="I711" s="81"/>
      <c r="J711" s="81" t="s">
        <v>121</v>
      </c>
      <c r="K711" s="81"/>
      <c r="L711" s="81"/>
      <c r="M711" s="175"/>
      <c r="N711" s="175"/>
      <c r="O711" s="32"/>
    </row>
    <row r="712" spans="1:15">
      <c r="B712" s="86" t="s">
        <v>124</v>
      </c>
      <c r="C712" s="32"/>
      <c r="D712" s="68"/>
      <c r="E712" s="157"/>
      <c r="F712" s="157"/>
      <c r="G712" s="10">
        <f>G692</f>
        <v>0</v>
      </c>
      <c r="H712" s="158">
        <f>G712</f>
        <v>0</v>
      </c>
      <c r="I712" s="157"/>
      <c r="J712" s="81"/>
      <c r="K712" s="81"/>
      <c r="L712" s="81"/>
      <c r="M712" s="161"/>
      <c r="N712" s="161"/>
      <c r="O712" s="32"/>
    </row>
    <row r="713" spans="1:15">
      <c r="B713" s="86" t="s">
        <v>125</v>
      </c>
      <c r="C713" s="32"/>
      <c r="D713" s="68"/>
      <c r="E713" s="157"/>
      <c r="F713" s="157"/>
      <c r="G713" s="77"/>
      <c r="H713" s="10"/>
      <c r="I713" s="157"/>
      <c r="J713" s="81"/>
      <c r="K713" s="81"/>
      <c r="L713" s="81"/>
      <c r="M713" s="161"/>
      <c r="N713" s="161"/>
      <c r="O713" s="32"/>
    </row>
    <row r="714" spans="1:15">
      <c r="B714" s="86" t="s">
        <v>126</v>
      </c>
      <c r="C714" s="32"/>
      <c r="D714" s="68"/>
      <c r="E714" s="157"/>
      <c r="F714" s="157"/>
      <c r="G714" s="157"/>
      <c r="H714" s="10">
        <f>H692</f>
        <v>45911</v>
      </c>
      <c r="I714" s="158">
        <f>H714</f>
        <v>45911</v>
      </c>
      <c r="J714" s="81"/>
      <c r="K714" s="81"/>
      <c r="L714" s="81"/>
      <c r="M714" s="161"/>
      <c r="N714" s="161"/>
      <c r="O714" s="32"/>
    </row>
    <row r="715" spans="1:15">
      <c r="B715" s="86" t="s">
        <v>127</v>
      </c>
      <c r="C715" s="32"/>
      <c r="D715" s="68"/>
      <c r="E715" s="157"/>
      <c r="F715" s="157"/>
      <c r="G715" s="157"/>
      <c r="H715" s="77"/>
      <c r="I715" s="10"/>
      <c r="J715" s="81"/>
      <c r="K715" s="81"/>
      <c r="L715" s="81"/>
      <c r="M715" s="161"/>
      <c r="N715" s="161"/>
      <c r="O715" s="32"/>
    </row>
    <row r="716" spans="1:15">
      <c r="B716" s="86" t="s">
        <v>128</v>
      </c>
      <c r="C716" s="32"/>
      <c r="D716" s="68"/>
      <c r="E716" s="157"/>
      <c r="F716" s="157"/>
      <c r="G716" s="157"/>
      <c r="H716" s="157"/>
      <c r="I716" s="340">
        <f>I692</f>
        <v>53189</v>
      </c>
      <c r="J716" s="341">
        <f>I716</f>
        <v>53189</v>
      </c>
      <c r="K716" s="81"/>
      <c r="L716" s="81"/>
      <c r="M716" s="161"/>
      <c r="N716" s="161"/>
      <c r="O716" s="32"/>
    </row>
    <row r="717" spans="1:15">
      <c r="B717" s="86" t="s">
        <v>119</v>
      </c>
      <c r="C717" s="32"/>
      <c r="D717" s="68"/>
      <c r="E717" s="157"/>
      <c r="F717" s="157"/>
      <c r="G717" s="157"/>
      <c r="H717" s="157"/>
      <c r="I717" s="248"/>
      <c r="J717" s="160"/>
      <c r="K717" s="81"/>
      <c r="L717" s="81"/>
      <c r="M717" s="161"/>
      <c r="N717" s="161"/>
      <c r="O717" s="32"/>
    </row>
    <row r="718" spans="1:15">
      <c r="B718" s="86" t="s">
        <v>120</v>
      </c>
      <c r="C718" s="32"/>
      <c r="D718" s="68"/>
      <c r="E718" s="157"/>
      <c r="F718" s="157"/>
      <c r="G718" s="157"/>
      <c r="H718" s="157"/>
      <c r="I718" s="157"/>
      <c r="J718" s="160">
        <v>0</v>
      </c>
      <c r="K718" s="159">
        <f>J718</f>
        <v>0</v>
      </c>
      <c r="L718" s="81"/>
      <c r="M718" s="161"/>
      <c r="N718" s="161"/>
      <c r="O718" s="32"/>
    </row>
    <row r="719" spans="1:15">
      <c r="B719" s="86" t="s">
        <v>152</v>
      </c>
      <c r="C719" s="32"/>
      <c r="D719" s="68"/>
      <c r="E719" s="157"/>
      <c r="F719" s="157"/>
      <c r="G719" s="157"/>
      <c r="H719" s="157"/>
      <c r="I719" s="157"/>
      <c r="J719" s="305"/>
      <c r="K719" s="160"/>
      <c r="L719" s="81"/>
      <c r="M719" s="161"/>
      <c r="N719" s="161"/>
      <c r="O719" s="32"/>
    </row>
    <row r="720" spans="1:15">
      <c r="B720" s="86" t="s">
        <v>153</v>
      </c>
      <c r="C720" s="32"/>
      <c r="D720" s="157"/>
      <c r="E720" s="157"/>
      <c r="F720" s="157"/>
      <c r="G720" s="157"/>
      <c r="H720" s="157"/>
      <c r="I720" s="157"/>
      <c r="J720" s="157"/>
      <c r="K720" s="160"/>
      <c r="L720" s="341"/>
      <c r="M720" s="161"/>
      <c r="N720" s="161"/>
      <c r="O720" s="32"/>
    </row>
    <row r="721" spans="1:15">
      <c r="B721" s="86" t="s">
        <v>154</v>
      </c>
      <c r="C721" s="32"/>
      <c r="D721" s="157"/>
      <c r="E721" s="157"/>
      <c r="F721" s="157"/>
      <c r="G721" s="157"/>
      <c r="H721" s="157"/>
      <c r="I721" s="157"/>
      <c r="J721" s="157"/>
      <c r="K721" s="367"/>
      <c r="L721" s="160"/>
      <c r="M721" s="311"/>
      <c r="N721" s="311"/>
      <c r="O721" s="32"/>
    </row>
    <row r="722" spans="1:15">
      <c r="B722" s="86" t="s">
        <v>155</v>
      </c>
      <c r="C722" s="32"/>
      <c r="D722" s="157"/>
      <c r="E722" s="157"/>
      <c r="F722" s="157"/>
      <c r="G722" s="157"/>
      <c r="H722" s="157"/>
      <c r="I722" s="157"/>
      <c r="J722" s="157"/>
      <c r="K722" s="157"/>
      <c r="L722" s="160"/>
      <c r="M722" s="341"/>
      <c r="N722" s="161"/>
      <c r="O722" s="32"/>
    </row>
    <row r="723" spans="1:15">
      <c r="B723" s="86" t="s">
        <v>156</v>
      </c>
      <c r="C723" s="32"/>
      <c r="D723" s="157"/>
      <c r="E723" s="157"/>
      <c r="F723" s="157"/>
      <c r="G723" s="157"/>
      <c r="H723" s="157"/>
      <c r="I723" s="157"/>
      <c r="J723" s="157"/>
      <c r="K723" s="157"/>
      <c r="L723" s="305"/>
      <c r="M723" s="160"/>
      <c r="N723" s="195"/>
      <c r="O723" s="32"/>
    </row>
    <row r="724" spans="1:15">
      <c r="B724" s="86" t="s">
        <v>157</v>
      </c>
      <c r="C724" s="32"/>
      <c r="D724" s="157"/>
      <c r="E724" s="157"/>
      <c r="F724" s="157"/>
      <c r="G724" s="157"/>
      <c r="H724" s="157"/>
      <c r="I724" s="157"/>
      <c r="J724" s="157"/>
      <c r="K724" s="372"/>
      <c r="L724" s="372"/>
      <c r="M724" s="160">
        <v>0</v>
      </c>
      <c r="N724" s="341">
        <f>M724</f>
        <v>0</v>
      </c>
      <c r="O724" s="32"/>
    </row>
    <row r="725" spans="1:15">
      <c r="B725" s="86" t="s">
        <v>173</v>
      </c>
      <c r="C725" s="32"/>
      <c r="D725" s="68"/>
      <c r="E725" s="157"/>
      <c r="F725" s="157"/>
      <c r="G725" s="157"/>
      <c r="H725" s="157"/>
      <c r="I725" s="157"/>
      <c r="J725" s="157"/>
      <c r="K725" s="157"/>
      <c r="L725" s="157"/>
      <c r="M725" s="159">
        <f>N725</f>
        <v>10000</v>
      </c>
      <c r="N725" s="160">
        <v>10000</v>
      </c>
      <c r="O725" s="32"/>
    </row>
    <row r="726" spans="1:15">
      <c r="B726" s="86" t="s">
        <v>174</v>
      </c>
      <c r="C726" s="32"/>
      <c r="D726" s="68"/>
      <c r="E726" s="157"/>
      <c r="F726" s="157"/>
      <c r="G726" s="157"/>
      <c r="H726" s="157"/>
      <c r="I726" s="157"/>
      <c r="J726" s="157"/>
      <c r="K726" s="157"/>
      <c r="L726" s="157"/>
      <c r="M726" s="372"/>
      <c r="N726" s="160">
        <v>0</v>
      </c>
      <c r="O726" s="32"/>
    </row>
    <row r="727" spans="1:15">
      <c r="B727" s="86"/>
      <c r="C727" s="32"/>
      <c r="D727" s="140"/>
      <c r="E727" s="140"/>
      <c r="F727" s="140"/>
      <c r="G727" s="140"/>
      <c r="H727" s="140"/>
      <c r="I727" s="140"/>
      <c r="J727" s="140"/>
      <c r="K727" s="140"/>
      <c r="L727" s="140"/>
      <c r="M727" s="140"/>
      <c r="N727" s="376"/>
      <c r="O727" s="32"/>
    </row>
    <row r="728" spans="1:15">
      <c r="B728" s="35" t="s">
        <v>17</v>
      </c>
      <c r="D728" s="198">
        <f xml:space="preserve"> D712 - D711</f>
        <v>0</v>
      </c>
      <c r="E728" s="198">
        <f xml:space="preserve"> E711 + E714 - E713 - E712</f>
        <v>0</v>
      </c>
      <c r="F728" s="198">
        <v>0</v>
      </c>
      <c r="G728" s="198">
        <f>G710-G711-G712</f>
        <v>0</v>
      </c>
      <c r="H728" s="30">
        <f>H712-H713-H714</f>
        <v>-45911</v>
      </c>
      <c r="I728" s="30">
        <f>I714-I715-I716</f>
        <v>-7278</v>
      </c>
      <c r="J728" s="30">
        <f>J716-J717-J718</f>
        <v>53189</v>
      </c>
      <c r="K728" s="30">
        <f>K718-K719-K720</f>
        <v>0</v>
      </c>
      <c r="L728" s="30">
        <f>L720-L721-L722</f>
        <v>0</v>
      </c>
      <c r="M728" s="30">
        <f>M725</f>
        <v>10000</v>
      </c>
      <c r="N728" s="30">
        <f>N725*-1</f>
        <v>-10000</v>
      </c>
      <c r="O728" s="32"/>
    </row>
    <row r="729" spans="1:15">
      <c r="B729" s="6"/>
      <c r="D729" s="7"/>
      <c r="E729" s="7"/>
      <c r="F729" s="7"/>
      <c r="G729" s="30"/>
      <c r="H729" s="212"/>
      <c r="I729" s="212"/>
      <c r="J729" s="212"/>
      <c r="K729" s="212"/>
      <c r="L729" s="212"/>
      <c r="M729" s="212"/>
      <c r="N729" s="30"/>
      <c r="O729" s="32"/>
    </row>
    <row r="730" spans="1:15">
      <c r="B730" s="83" t="s">
        <v>12</v>
      </c>
      <c r="C730" s="78"/>
      <c r="D730" s="101"/>
      <c r="E730" s="102"/>
      <c r="F730" s="170"/>
      <c r="G730" s="102"/>
      <c r="H730" s="213"/>
      <c r="I730" s="214"/>
      <c r="J730" s="214"/>
      <c r="K730" s="214"/>
      <c r="L730" s="214"/>
      <c r="M730" s="322"/>
      <c r="N730" s="103"/>
      <c r="O730" s="32"/>
    </row>
    <row r="731" spans="1:15">
      <c r="B731" s="6"/>
      <c r="D731" s="7"/>
      <c r="E731" s="7"/>
      <c r="F731" s="7"/>
      <c r="G731" s="7"/>
      <c r="H731" s="215"/>
      <c r="I731" s="215"/>
      <c r="J731" s="215"/>
      <c r="K731" s="215"/>
      <c r="L731" s="215"/>
      <c r="M731" s="215"/>
      <c r="N731" s="7"/>
      <c r="O731" s="32"/>
    </row>
    <row r="732" spans="1:15" ht="18.5">
      <c r="A732" s="43" t="s">
        <v>26</v>
      </c>
      <c r="C732" s="78"/>
      <c r="D732" s="47">
        <f t="shared" ref="D732:L732" si="396" xml:space="preserve"> D692 + D697 - D703 + D728 + D730</f>
        <v>0</v>
      </c>
      <c r="E732" s="48">
        <f t="shared" si="396"/>
        <v>0</v>
      </c>
      <c r="F732" s="171">
        <f t="shared" si="396"/>
        <v>0</v>
      </c>
      <c r="G732" s="171">
        <f t="shared" si="396"/>
        <v>0</v>
      </c>
      <c r="H732" s="171">
        <f t="shared" si="396"/>
        <v>0</v>
      </c>
      <c r="I732" s="171">
        <f t="shared" si="396"/>
        <v>45911</v>
      </c>
      <c r="J732" s="171">
        <f t="shared" si="396"/>
        <v>102623</v>
      </c>
      <c r="K732" s="171">
        <f t="shared" si="396"/>
        <v>42284</v>
      </c>
      <c r="L732" s="171">
        <f t="shared" si="396"/>
        <v>42583.568991325665</v>
      </c>
      <c r="M732" s="49">
        <f t="shared" ref="M732:N732" si="397" xml:space="preserve"> M692 + M697 - M703 + M728 + M730</f>
        <v>56662.43995278189</v>
      </c>
      <c r="N732" s="49">
        <f t="shared" si="397"/>
        <v>40497.572414448005</v>
      </c>
      <c r="O732" s="32"/>
    </row>
    <row r="733" spans="1:15">
      <c r="B733" s="6"/>
      <c r="D733" s="7"/>
      <c r="E733" s="7"/>
      <c r="F733" s="7"/>
      <c r="G733" s="30"/>
      <c r="H733" s="30"/>
      <c r="I733" s="30"/>
      <c r="J733" s="30"/>
      <c r="K733" s="30"/>
      <c r="L733" s="30"/>
      <c r="M733" s="30"/>
      <c r="N733" s="30"/>
      <c r="O733" s="32"/>
    </row>
    <row r="734" spans="1:15" ht="15" thickBot="1">
      <c r="O734" s="32"/>
    </row>
    <row r="735" spans="1:15">
      <c r="A735" s="8"/>
      <c r="B735" s="8"/>
      <c r="C735" s="8"/>
      <c r="D735" s="8"/>
      <c r="E735" s="8"/>
      <c r="F735" s="8"/>
      <c r="G735" s="8"/>
      <c r="H735" s="8"/>
      <c r="I735" s="8"/>
      <c r="J735" s="8"/>
      <c r="K735" s="8"/>
      <c r="L735" s="8"/>
      <c r="M735" s="8"/>
      <c r="N735" s="8"/>
      <c r="O735" s="32"/>
    </row>
    <row r="736" spans="1:15">
      <c r="B736" s="32"/>
      <c r="C736" s="32"/>
      <c r="D736" s="32"/>
      <c r="E736" s="32"/>
      <c r="F736" s="32"/>
      <c r="G736" s="32"/>
      <c r="H736" s="32"/>
      <c r="I736" s="32"/>
      <c r="J736" s="32"/>
      <c r="K736" s="32"/>
      <c r="L736" s="32"/>
      <c r="M736" s="32"/>
      <c r="N736" s="32"/>
      <c r="O736" s="32"/>
    </row>
    <row r="737" spans="1:15" ht="21">
      <c r="A737" s="14" t="s">
        <v>4</v>
      </c>
      <c r="B737" s="14"/>
      <c r="C737" s="44" t="str">
        <f>B17</f>
        <v>Dunlap I</v>
      </c>
      <c r="D737" s="45"/>
      <c r="E737" s="24"/>
      <c r="F737" s="24"/>
      <c r="O737" s="32"/>
    </row>
    <row r="738" spans="1:15">
      <c r="O738" s="32"/>
    </row>
    <row r="739" spans="1:15" ht="18.5">
      <c r="A739" s="9" t="s">
        <v>21</v>
      </c>
      <c r="B739" s="9"/>
      <c r="D739" s="2">
        <f>'Facility Detail'!$B$1897</f>
        <v>2011</v>
      </c>
      <c r="E739" s="2">
        <f>D739+1</f>
        <v>2012</v>
      </c>
      <c r="F739" s="2">
        <f>E739+1</f>
        <v>2013</v>
      </c>
      <c r="G739" s="2">
        <f t="shared" ref="G739:K739" si="398">F739+1</f>
        <v>2014</v>
      </c>
      <c r="H739" s="2">
        <f t="shared" si="398"/>
        <v>2015</v>
      </c>
      <c r="I739" s="2">
        <f t="shared" si="398"/>
        <v>2016</v>
      </c>
      <c r="J739" s="2">
        <f t="shared" si="398"/>
        <v>2017</v>
      </c>
      <c r="K739" s="2">
        <f t="shared" si="398"/>
        <v>2018</v>
      </c>
      <c r="L739" s="2">
        <f t="shared" ref="L739" si="399">K739+1</f>
        <v>2019</v>
      </c>
      <c r="M739" s="2">
        <f t="shared" ref="M739" si="400">L739+1</f>
        <v>2020</v>
      </c>
      <c r="N739" s="2">
        <f t="shared" ref="N739" si="401">M739+1</f>
        <v>2021</v>
      </c>
      <c r="O739" s="32"/>
    </row>
    <row r="740" spans="1:15">
      <c r="B740" s="86" t="str">
        <f>"Total MWh Produced / Purchased from " &amp; C737</f>
        <v>Total MWh Produced / Purchased from Dunlap I</v>
      </c>
      <c r="C740" s="78"/>
      <c r="D740" s="3"/>
      <c r="E740" s="4"/>
      <c r="F740" s="4"/>
      <c r="G740" s="205"/>
      <c r="H740" s="4">
        <v>339706</v>
      </c>
      <c r="I740" s="4">
        <v>388498</v>
      </c>
      <c r="J740" s="307">
        <v>351261</v>
      </c>
      <c r="K740" s="307">
        <v>391874</v>
      </c>
      <c r="L740" s="293">
        <v>384833</v>
      </c>
      <c r="M740" s="378">
        <v>375499</v>
      </c>
      <c r="N740" s="378">
        <v>432713</v>
      </c>
      <c r="O740" s="32"/>
    </row>
    <row r="741" spans="1:15">
      <c r="B741" s="86" t="s">
        <v>25</v>
      </c>
      <c r="C741" s="78"/>
      <c r="D741" s="60"/>
      <c r="E741" s="61"/>
      <c r="F741" s="61"/>
      <c r="G741" s="207"/>
      <c r="H741" s="61">
        <v>1</v>
      </c>
      <c r="I741" s="61">
        <v>1</v>
      </c>
      <c r="J741" s="312">
        <v>1</v>
      </c>
      <c r="K741" s="312">
        <v>1</v>
      </c>
      <c r="L741" s="312">
        <v>1</v>
      </c>
      <c r="M741" s="385">
        <v>1</v>
      </c>
      <c r="N741" s="385">
        <v>1</v>
      </c>
      <c r="O741" s="32"/>
    </row>
    <row r="742" spans="1:15">
      <c r="B742" s="86" t="s">
        <v>20</v>
      </c>
      <c r="C742" s="78"/>
      <c r="D742" s="52"/>
      <c r="E742" s="53"/>
      <c r="F742" s="53"/>
      <c r="G742" s="200"/>
      <c r="H742" s="53">
        <f>H51</f>
        <v>8.0535999999999996E-2</v>
      </c>
      <c r="I742" s="53">
        <f t="shared" ref="I742:N742" si="402">I51</f>
        <v>8.1698151927344531E-2</v>
      </c>
      <c r="J742" s="53">
        <f t="shared" si="402"/>
        <v>8.0833713568703974E-2</v>
      </c>
      <c r="K742" s="53">
        <f t="shared" si="402"/>
        <v>7.9451999999999995E-2</v>
      </c>
      <c r="L742" s="53">
        <f t="shared" si="402"/>
        <v>7.6724662968274293E-2</v>
      </c>
      <c r="M742" s="324">
        <f t="shared" ref="M742" si="403">M51</f>
        <v>7.9127103690396022E-2</v>
      </c>
      <c r="N742" s="324">
        <f t="shared" si="402"/>
        <v>7.9127103690396022E-2</v>
      </c>
      <c r="O742" s="32"/>
    </row>
    <row r="743" spans="1:15">
      <c r="B743" s="83" t="s">
        <v>22</v>
      </c>
      <c r="C743" s="84"/>
      <c r="D743" s="39">
        <f xml:space="preserve"> ROUND(D740 * D741 * D742,0)</f>
        <v>0</v>
      </c>
      <c r="E743" s="39">
        <f t="shared" ref="E743:G743" si="404" xml:space="preserve"> ROUND(E740 * E741 * E742,0)</f>
        <v>0</v>
      </c>
      <c r="F743" s="39">
        <f t="shared" si="404"/>
        <v>0</v>
      </c>
      <c r="G743" s="39">
        <f t="shared" si="404"/>
        <v>0</v>
      </c>
      <c r="H743" s="39">
        <v>27359</v>
      </c>
      <c r="I743" s="39">
        <v>31741</v>
      </c>
      <c r="J743" s="39">
        <v>25412</v>
      </c>
      <c r="K743" s="306">
        <v>31135</v>
      </c>
      <c r="L743" s="39">
        <f>L740*L742</f>
        <v>29526.1822240699</v>
      </c>
      <c r="M743" s="39">
        <f>M740*M742</f>
        <v>29712.148308640015</v>
      </c>
      <c r="N743" s="39">
        <f>N740*N742</f>
        <v>34239.326419182333</v>
      </c>
      <c r="O743" s="32"/>
    </row>
    <row r="744" spans="1:15">
      <c r="B744" s="24"/>
      <c r="C744" s="32"/>
      <c r="D744" s="38"/>
      <c r="E744" s="38"/>
      <c r="F744" s="38"/>
      <c r="G744" s="38"/>
      <c r="H744" s="38"/>
      <c r="I744" s="38"/>
      <c r="J744" s="38"/>
      <c r="K744" s="38"/>
      <c r="L744" s="38"/>
      <c r="M744" s="38"/>
      <c r="N744" s="38"/>
      <c r="O744" s="32"/>
    </row>
    <row r="745" spans="1:15" ht="18.5">
      <c r="A745" s="46" t="s">
        <v>52</v>
      </c>
      <c r="C745" s="32"/>
      <c r="D745" s="2">
        <f>'Facility Detail'!$B$1897</f>
        <v>2011</v>
      </c>
      <c r="E745" s="2">
        <f>D745+1</f>
        <v>2012</v>
      </c>
      <c r="F745" s="2">
        <f>E745+1</f>
        <v>2013</v>
      </c>
      <c r="G745" s="2">
        <f t="shared" ref="G745:K745" si="405">F745+1</f>
        <v>2014</v>
      </c>
      <c r="H745" s="2">
        <f t="shared" si="405"/>
        <v>2015</v>
      </c>
      <c r="I745" s="2">
        <f t="shared" si="405"/>
        <v>2016</v>
      </c>
      <c r="J745" s="2">
        <f t="shared" si="405"/>
        <v>2017</v>
      </c>
      <c r="K745" s="2">
        <f t="shared" si="405"/>
        <v>2018</v>
      </c>
      <c r="L745" s="2">
        <f t="shared" ref="L745" si="406">K745+1</f>
        <v>2019</v>
      </c>
      <c r="M745" s="2">
        <f t="shared" ref="M745" si="407">L745+1</f>
        <v>2020</v>
      </c>
      <c r="N745" s="2">
        <f t="shared" ref="N745" si="408">M745+1</f>
        <v>2021</v>
      </c>
      <c r="O745" s="32"/>
    </row>
    <row r="746" spans="1:15">
      <c r="B746" s="86" t="s">
        <v>10</v>
      </c>
      <c r="C746" s="78"/>
      <c r="D746" s="55">
        <f>IF( $E17 = "Eligible", D743 * 'Facility Detail'!$B$1894, 0 )</f>
        <v>0</v>
      </c>
      <c r="E746" s="11">
        <f>IF( $E17 = "Eligible", E743 * 'Facility Detail'!$B$1894, 0 )</f>
        <v>0</v>
      </c>
      <c r="F746" s="11">
        <f>IF( $E17 = "Eligible", F743 * 'Facility Detail'!$B$1894, 0 )</f>
        <v>0</v>
      </c>
      <c r="G746" s="11">
        <f>IF( $E17 = "Eligible", G743 * 'Facility Detail'!$B$1894, 0 )</f>
        <v>0</v>
      </c>
      <c r="H746" s="201">
        <f>IF( $E17 = "Eligible", H743 * 'Facility Detail'!$B$1894, 0 )</f>
        <v>0</v>
      </c>
      <c r="I746" s="201">
        <f>IF( $E17 = "Eligible", I743 * 'Facility Detail'!$B$1894, 0 )</f>
        <v>0</v>
      </c>
      <c r="J746" s="201">
        <f>IF( $E17 = "Eligible", J743 * 'Facility Detail'!$B$1894, 0 )</f>
        <v>0</v>
      </c>
      <c r="K746" s="201">
        <f>IF( $E17 = "Eligible", K743 * 'Facility Detail'!$B$1894, 0 )</f>
        <v>0</v>
      </c>
      <c r="L746" s="11"/>
      <c r="M746" s="163"/>
      <c r="N746" s="163"/>
      <c r="O746" s="32"/>
    </row>
    <row r="747" spans="1:15">
      <c r="B747" s="86" t="s">
        <v>6</v>
      </c>
      <c r="C747" s="78"/>
      <c r="D747" s="56">
        <f t="shared" ref="D747:K747" si="409">IF( $F17 = "Eligible", D743, 0 )</f>
        <v>0</v>
      </c>
      <c r="E747" s="57">
        <f t="shared" si="409"/>
        <v>0</v>
      </c>
      <c r="F747" s="57">
        <f t="shared" si="409"/>
        <v>0</v>
      </c>
      <c r="G747" s="57">
        <f t="shared" si="409"/>
        <v>0</v>
      </c>
      <c r="H747" s="202">
        <f t="shared" si="409"/>
        <v>0</v>
      </c>
      <c r="I747" s="202">
        <f t="shared" si="409"/>
        <v>0</v>
      </c>
      <c r="J747" s="202">
        <f t="shared" si="409"/>
        <v>0</v>
      </c>
      <c r="K747" s="202">
        <f t="shared" si="409"/>
        <v>0</v>
      </c>
      <c r="L747" s="57"/>
      <c r="M747" s="147"/>
      <c r="N747" s="147"/>
      <c r="O747" s="32"/>
    </row>
    <row r="748" spans="1:15">
      <c r="B748" s="85" t="s">
        <v>54</v>
      </c>
      <c r="C748" s="84"/>
      <c r="D748" s="41">
        <f>SUM(D746:D747)</f>
        <v>0</v>
      </c>
      <c r="E748" s="42">
        <f>SUM(E746:E747)</f>
        <v>0</v>
      </c>
      <c r="F748" s="42">
        <f>SUM(F746:F747)</f>
        <v>0</v>
      </c>
      <c r="G748" s="42">
        <f t="shared" ref="G748:I748" si="410">SUM(G746:G747)</f>
        <v>0</v>
      </c>
      <c r="H748" s="42">
        <f t="shared" si="410"/>
        <v>0</v>
      </c>
      <c r="I748" s="42">
        <f t="shared" si="410"/>
        <v>0</v>
      </c>
      <c r="J748" s="42">
        <f t="shared" ref="J748:K748" si="411">SUM(J746:J747)</f>
        <v>0</v>
      </c>
      <c r="K748" s="42">
        <f t="shared" si="411"/>
        <v>0</v>
      </c>
      <c r="L748" s="42"/>
      <c r="M748" s="42"/>
      <c r="N748" s="42"/>
      <c r="O748" s="32"/>
    </row>
    <row r="749" spans="1:15">
      <c r="B749" s="32"/>
      <c r="C749" s="32"/>
      <c r="D749" s="40"/>
      <c r="E749" s="33"/>
      <c r="F749" s="33"/>
      <c r="G749" s="33"/>
      <c r="H749" s="33"/>
      <c r="I749" s="33"/>
      <c r="J749" s="33"/>
      <c r="K749" s="33"/>
      <c r="L749" s="33"/>
      <c r="M749" s="33"/>
      <c r="N749" s="33"/>
      <c r="O749" s="32"/>
    </row>
    <row r="750" spans="1:15" ht="18.5">
      <c r="A750" s="43" t="s">
        <v>30</v>
      </c>
      <c r="C750" s="32"/>
      <c r="D750" s="2">
        <f>'Facility Detail'!$B$1897</f>
        <v>2011</v>
      </c>
      <c r="E750" s="2">
        <f>D750+1</f>
        <v>2012</v>
      </c>
      <c r="F750" s="2">
        <f>E750+1</f>
        <v>2013</v>
      </c>
      <c r="G750" s="2">
        <f t="shared" ref="G750:K750" si="412">F750+1</f>
        <v>2014</v>
      </c>
      <c r="H750" s="2">
        <f t="shared" si="412"/>
        <v>2015</v>
      </c>
      <c r="I750" s="2">
        <f t="shared" si="412"/>
        <v>2016</v>
      </c>
      <c r="J750" s="2">
        <f t="shared" si="412"/>
        <v>2017</v>
      </c>
      <c r="K750" s="2">
        <f t="shared" si="412"/>
        <v>2018</v>
      </c>
      <c r="L750" s="2">
        <f t="shared" ref="L750" si="413">K750+1</f>
        <v>2019</v>
      </c>
      <c r="M750" s="2">
        <f t="shared" ref="M750" si="414">L750+1</f>
        <v>2020</v>
      </c>
      <c r="N750" s="2">
        <f t="shared" ref="N750" si="415">M750+1</f>
        <v>2021</v>
      </c>
      <c r="O750" s="32"/>
    </row>
    <row r="751" spans="1:15">
      <c r="B751" s="86" t="s">
        <v>32</v>
      </c>
      <c r="C751" s="78"/>
      <c r="D751" s="90"/>
      <c r="E751" s="91"/>
      <c r="F751" s="91"/>
      <c r="G751" s="91"/>
      <c r="H751" s="165"/>
      <c r="I751" s="165"/>
      <c r="J751" s="165"/>
      <c r="K751" s="91"/>
      <c r="L751" s="165"/>
      <c r="M751" s="148"/>
      <c r="N751" s="148"/>
      <c r="O751" s="32"/>
    </row>
    <row r="752" spans="1:15">
      <c r="B752" s="87" t="s">
        <v>23</v>
      </c>
      <c r="C752" s="192"/>
      <c r="D752" s="93"/>
      <c r="E752" s="94"/>
      <c r="F752" s="94"/>
      <c r="G752" s="166"/>
      <c r="H752" s="166"/>
      <c r="I752" s="166"/>
      <c r="J752" s="166"/>
      <c r="K752" s="94"/>
      <c r="L752" s="166"/>
      <c r="M752" s="149"/>
      <c r="N752" s="149"/>
      <c r="O752" s="32"/>
    </row>
    <row r="753" spans="1:15">
      <c r="B753" s="96" t="s">
        <v>38</v>
      </c>
      <c r="C753" s="190"/>
      <c r="D753" s="63"/>
      <c r="E753" s="64"/>
      <c r="F753" s="64"/>
      <c r="G753" s="167"/>
      <c r="H753" s="167"/>
      <c r="I753" s="167"/>
      <c r="J753" s="167"/>
      <c r="K753" s="64"/>
      <c r="L753" s="167"/>
      <c r="M753" s="150"/>
      <c r="N753" s="150"/>
      <c r="O753" s="32"/>
    </row>
    <row r="754" spans="1:15">
      <c r="B754" s="35" t="s">
        <v>39</v>
      </c>
      <c r="D754" s="7">
        <f>SUM(D751:D753)</f>
        <v>0</v>
      </c>
      <c r="E754" s="7">
        <f>SUM(E751:E753)</f>
        <v>0</v>
      </c>
      <c r="F754" s="7">
        <f>SUM(F751:F753)</f>
        <v>0</v>
      </c>
      <c r="G754" s="7">
        <f t="shared" ref="G754:I754" si="416">SUM(G751:G753)</f>
        <v>0</v>
      </c>
      <c r="H754" s="7">
        <f t="shared" si="416"/>
        <v>0</v>
      </c>
      <c r="I754" s="7">
        <f t="shared" si="416"/>
        <v>0</v>
      </c>
      <c r="J754" s="7">
        <f t="shared" ref="J754:K754" si="417">SUM(J751:J753)</f>
        <v>0</v>
      </c>
      <c r="K754" s="7">
        <f t="shared" si="417"/>
        <v>0</v>
      </c>
      <c r="L754" s="7"/>
      <c r="M754" s="7"/>
      <c r="N754" s="7"/>
      <c r="O754" s="32"/>
    </row>
    <row r="755" spans="1:15">
      <c r="B755" s="6"/>
      <c r="D755" s="7"/>
      <c r="E755" s="7"/>
      <c r="F755" s="7"/>
      <c r="G755" s="7"/>
      <c r="H755" s="7"/>
      <c r="I755" s="7"/>
      <c r="J755" s="7"/>
      <c r="K755" s="7"/>
      <c r="L755" s="7"/>
      <c r="M755" s="7"/>
      <c r="N755" s="7"/>
      <c r="O755" s="32"/>
    </row>
    <row r="756" spans="1:15" ht="18.5">
      <c r="A756" s="9" t="s">
        <v>40</v>
      </c>
      <c r="D756" s="2">
        <f>'Facility Detail'!$B$1897</f>
        <v>2011</v>
      </c>
      <c r="E756" s="2">
        <f>D756+1</f>
        <v>2012</v>
      </c>
      <c r="F756" s="2">
        <f>E756+1</f>
        <v>2013</v>
      </c>
      <c r="G756" s="2">
        <f t="shared" ref="G756:K756" si="418">F756+1</f>
        <v>2014</v>
      </c>
      <c r="H756" s="2">
        <f t="shared" si="418"/>
        <v>2015</v>
      </c>
      <c r="I756" s="2">
        <f t="shared" si="418"/>
        <v>2016</v>
      </c>
      <c r="J756" s="2">
        <f t="shared" si="418"/>
        <v>2017</v>
      </c>
      <c r="K756" s="2">
        <f t="shared" si="418"/>
        <v>2018</v>
      </c>
      <c r="L756" s="2">
        <f t="shared" ref="L756" si="419">K756+1</f>
        <v>2019</v>
      </c>
      <c r="M756" s="2">
        <f t="shared" ref="M756" si="420">L756+1</f>
        <v>2020</v>
      </c>
      <c r="N756" s="2">
        <f t="shared" ref="N756" si="421">M756+1</f>
        <v>2021</v>
      </c>
      <c r="O756" s="32"/>
    </row>
    <row r="757" spans="1:15">
      <c r="B757" s="86" t="s">
        <v>34</v>
      </c>
      <c r="C757" s="32"/>
      <c r="D757" s="3">
        <f>D743</f>
        <v>0</v>
      </c>
      <c r="E757" s="66">
        <f>D757</f>
        <v>0</v>
      </c>
      <c r="F757" s="138"/>
      <c r="G757" s="138"/>
      <c r="H757" s="138"/>
      <c r="I757" s="138"/>
      <c r="J757" s="138"/>
      <c r="K757" s="138"/>
      <c r="L757" s="138"/>
      <c r="M757" s="67"/>
      <c r="N757" s="67"/>
      <c r="O757" s="32"/>
    </row>
    <row r="758" spans="1:15">
      <c r="B758" s="86" t="s">
        <v>35</v>
      </c>
      <c r="C758" s="32"/>
      <c r="D758" s="174">
        <f>E758</f>
        <v>0</v>
      </c>
      <c r="E758" s="10"/>
      <c r="F758" s="81"/>
      <c r="G758" s="81"/>
      <c r="H758" s="81"/>
      <c r="I758" s="81"/>
      <c r="J758" s="81"/>
      <c r="K758" s="81"/>
      <c r="L758" s="81"/>
      <c r="M758" s="175"/>
      <c r="N758" s="175"/>
      <c r="O758" s="32"/>
    </row>
    <row r="759" spans="1:15">
      <c r="B759" s="86" t="s">
        <v>36</v>
      </c>
      <c r="C759" s="32"/>
      <c r="D759" s="68"/>
      <c r="E759" s="10">
        <f>E743</f>
        <v>0</v>
      </c>
      <c r="F759" s="77">
        <f>E759</f>
        <v>0</v>
      </c>
      <c r="G759" s="81"/>
      <c r="H759" s="81"/>
      <c r="I759" s="81"/>
      <c r="J759" s="81"/>
      <c r="K759" s="81"/>
      <c r="L759" s="81"/>
      <c r="M759" s="175"/>
      <c r="N759" s="175"/>
      <c r="O759" s="32"/>
    </row>
    <row r="760" spans="1:15">
      <c r="B760" s="86" t="s">
        <v>37</v>
      </c>
      <c r="C760" s="32"/>
      <c r="D760" s="68"/>
      <c r="E760" s="77">
        <f>F760</f>
        <v>0</v>
      </c>
      <c r="F760" s="173"/>
      <c r="G760" s="81"/>
      <c r="H760" s="81"/>
      <c r="I760" s="81"/>
      <c r="J760" s="81"/>
      <c r="K760" s="81"/>
      <c r="L760" s="81"/>
      <c r="M760" s="175"/>
      <c r="N760" s="175"/>
      <c r="O760" s="32"/>
    </row>
    <row r="761" spans="1:15">
      <c r="B761" s="86" t="s">
        <v>122</v>
      </c>
      <c r="C761" s="32"/>
      <c r="D761" s="68"/>
      <c r="E761" s="157"/>
      <c r="F761" s="10">
        <f>F743</f>
        <v>0</v>
      </c>
      <c r="G761" s="158">
        <f>F761</f>
        <v>0</v>
      </c>
      <c r="H761" s="81"/>
      <c r="I761" s="81"/>
      <c r="J761" s="81"/>
      <c r="K761" s="81"/>
      <c r="L761" s="81"/>
      <c r="M761" s="175"/>
      <c r="N761" s="175"/>
      <c r="O761" s="32"/>
    </row>
    <row r="762" spans="1:15">
      <c r="B762" s="86" t="s">
        <v>123</v>
      </c>
      <c r="C762" s="32"/>
      <c r="D762" s="68"/>
      <c r="E762" s="157"/>
      <c r="F762" s="77">
        <f>G762</f>
        <v>0</v>
      </c>
      <c r="G762" s="10"/>
      <c r="H762" s="81"/>
      <c r="I762" s="81"/>
      <c r="J762" s="81" t="s">
        <v>121</v>
      </c>
      <c r="K762" s="81"/>
      <c r="L762" s="81"/>
      <c r="M762" s="175"/>
      <c r="N762" s="175"/>
      <c r="O762" s="32"/>
    </row>
    <row r="763" spans="1:15">
      <c r="B763" s="86" t="s">
        <v>124</v>
      </c>
      <c r="C763" s="32"/>
      <c r="D763" s="68"/>
      <c r="E763" s="157"/>
      <c r="F763" s="157"/>
      <c r="G763" s="10"/>
      <c r="H763" s="158">
        <f>G763</f>
        <v>0</v>
      </c>
      <c r="I763" s="157"/>
      <c r="J763" s="81"/>
      <c r="K763" s="81"/>
      <c r="L763" s="81"/>
      <c r="M763" s="161"/>
      <c r="N763" s="161"/>
      <c r="O763" s="32"/>
    </row>
    <row r="764" spans="1:15">
      <c r="B764" s="86" t="s">
        <v>125</v>
      </c>
      <c r="C764" s="32"/>
      <c r="D764" s="68"/>
      <c r="E764" s="157"/>
      <c r="F764" s="157"/>
      <c r="G764" s="77"/>
      <c r="H764" s="10"/>
      <c r="I764" s="157"/>
      <c r="J764" s="81"/>
      <c r="K764" s="81"/>
      <c r="L764" s="81"/>
      <c r="M764" s="161"/>
      <c r="N764" s="161"/>
      <c r="O764" s="32"/>
    </row>
    <row r="765" spans="1:15">
      <c r="B765" s="86" t="s">
        <v>126</v>
      </c>
      <c r="C765" s="32"/>
      <c r="D765" s="68"/>
      <c r="E765" s="157"/>
      <c r="F765" s="157"/>
      <c r="G765" s="157"/>
      <c r="H765" s="10">
        <f>H743</f>
        <v>27359</v>
      </c>
      <c r="I765" s="158">
        <f>H765</f>
        <v>27359</v>
      </c>
      <c r="J765" s="81"/>
      <c r="K765" s="81"/>
      <c r="L765" s="81"/>
      <c r="M765" s="161"/>
      <c r="N765" s="161"/>
      <c r="O765" s="32"/>
    </row>
    <row r="766" spans="1:15">
      <c r="B766" s="86" t="s">
        <v>127</v>
      </c>
      <c r="C766" s="32"/>
      <c r="D766" s="68"/>
      <c r="E766" s="157"/>
      <c r="F766" s="157"/>
      <c r="G766" s="157"/>
      <c r="H766" s="77"/>
      <c r="I766" s="10"/>
      <c r="J766" s="81"/>
      <c r="K766" s="81"/>
      <c r="L766" s="81"/>
      <c r="M766" s="161"/>
      <c r="N766" s="161"/>
      <c r="O766" s="32"/>
    </row>
    <row r="767" spans="1:15">
      <c r="B767" s="86" t="s">
        <v>128</v>
      </c>
      <c r="C767" s="32"/>
      <c r="D767" s="68"/>
      <c r="E767" s="157"/>
      <c r="F767" s="157"/>
      <c r="G767" s="157"/>
      <c r="H767" s="157"/>
      <c r="I767" s="340">
        <v>0</v>
      </c>
      <c r="J767" s="341">
        <f>I767</f>
        <v>0</v>
      </c>
      <c r="K767" s="81"/>
      <c r="L767" s="81"/>
      <c r="M767" s="161"/>
      <c r="N767" s="161"/>
      <c r="O767" s="32"/>
    </row>
    <row r="768" spans="1:15">
      <c r="B768" s="86" t="s">
        <v>119</v>
      </c>
      <c r="C768" s="32"/>
      <c r="D768" s="68"/>
      <c r="E768" s="157"/>
      <c r="F768" s="157"/>
      <c r="G768" s="157"/>
      <c r="H768" s="157"/>
      <c r="I768" s="248"/>
      <c r="J768" s="160"/>
      <c r="K768" s="81"/>
      <c r="L768" s="81"/>
      <c r="M768" s="161"/>
      <c r="N768" s="161"/>
      <c r="O768" s="32"/>
    </row>
    <row r="769" spans="1:15">
      <c r="B769" s="86" t="s">
        <v>120</v>
      </c>
      <c r="C769" s="32"/>
      <c r="D769" s="68"/>
      <c r="E769" s="157"/>
      <c r="F769" s="157"/>
      <c r="G769" s="157"/>
      <c r="H769" s="157"/>
      <c r="I769" s="157"/>
      <c r="J769" s="160">
        <v>24513</v>
      </c>
      <c r="K769" s="159">
        <f>J769</f>
        <v>24513</v>
      </c>
      <c r="L769" s="81"/>
      <c r="M769" s="161"/>
      <c r="N769" s="161"/>
      <c r="O769" s="32"/>
    </row>
    <row r="770" spans="1:15">
      <c r="B770" s="86" t="s">
        <v>152</v>
      </c>
      <c r="C770" s="32"/>
      <c r="D770" s="68"/>
      <c r="E770" s="157"/>
      <c r="F770" s="157"/>
      <c r="G770" s="157"/>
      <c r="H770" s="157"/>
      <c r="I770" s="157"/>
      <c r="J770" s="305"/>
      <c r="K770" s="160"/>
      <c r="L770" s="81"/>
      <c r="M770" s="161"/>
      <c r="N770" s="161"/>
      <c r="O770" s="32"/>
    </row>
    <row r="771" spans="1:15">
      <c r="B771" s="86" t="s">
        <v>153</v>
      </c>
      <c r="C771" s="32"/>
      <c r="D771" s="68"/>
      <c r="E771" s="157"/>
      <c r="F771" s="157"/>
      <c r="G771" s="157"/>
      <c r="H771" s="157"/>
      <c r="I771" s="157"/>
      <c r="J771" s="157"/>
      <c r="K771" s="160">
        <v>0</v>
      </c>
      <c r="L771" s="159">
        <f>K771</f>
        <v>0</v>
      </c>
      <c r="M771" s="161"/>
      <c r="N771" s="161"/>
      <c r="O771" s="32"/>
    </row>
    <row r="772" spans="1:15">
      <c r="B772" s="86" t="s">
        <v>154</v>
      </c>
      <c r="C772" s="32"/>
      <c r="D772" s="157"/>
      <c r="E772" s="157"/>
      <c r="F772" s="157"/>
      <c r="G772" s="157"/>
      <c r="H772" s="157"/>
      <c r="I772" s="157"/>
      <c r="J772" s="157"/>
      <c r="K772" s="367"/>
      <c r="L772" s="160"/>
      <c r="M772" s="311"/>
      <c r="N772" s="311"/>
      <c r="O772" s="32"/>
    </row>
    <row r="773" spans="1:15">
      <c r="B773" s="86" t="s">
        <v>155</v>
      </c>
      <c r="C773" s="32"/>
      <c r="D773" s="157"/>
      <c r="E773" s="157"/>
      <c r="F773" s="157"/>
      <c r="G773" s="157"/>
      <c r="H773" s="157"/>
      <c r="I773" s="157"/>
      <c r="J773" s="157"/>
      <c r="K773" s="157"/>
      <c r="L773" s="160"/>
      <c r="M773" s="159">
        <f>K773</f>
        <v>0</v>
      </c>
      <c r="N773" s="195"/>
      <c r="O773" s="32"/>
    </row>
    <row r="774" spans="1:15">
      <c r="B774" s="86" t="s">
        <v>156</v>
      </c>
      <c r="C774" s="32"/>
      <c r="D774" s="157"/>
      <c r="E774" s="157"/>
      <c r="F774" s="157"/>
      <c r="G774" s="157"/>
      <c r="H774" s="157"/>
      <c r="I774" s="157"/>
      <c r="J774" s="157"/>
      <c r="K774" s="157"/>
      <c r="L774" s="367"/>
      <c r="M774" s="160"/>
      <c r="N774" s="195"/>
      <c r="O774" s="32"/>
    </row>
    <row r="775" spans="1:15">
      <c r="B775" s="86" t="s">
        <v>157</v>
      </c>
      <c r="C775" s="32"/>
      <c r="D775" s="157"/>
      <c r="E775" s="157"/>
      <c r="F775" s="157"/>
      <c r="G775" s="157"/>
      <c r="H775" s="157"/>
      <c r="I775" s="157"/>
      <c r="J775" s="157"/>
      <c r="K775" s="157"/>
      <c r="L775" s="157"/>
      <c r="M775" s="160"/>
      <c r="N775" s="159">
        <f>M775</f>
        <v>0</v>
      </c>
      <c r="O775" s="32"/>
    </row>
    <row r="776" spans="1:15">
      <c r="B776" s="86" t="s">
        <v>173</v>
      </c>
      <c r="C776" s="32"/>
      <c r="D776" s="157"/>
      <c r="E776" s="157"/>
      <c r="F776" s="157"/>
      <c r="G776" s="157"/>
      <c r="H776" s="157"/>
      <c r="I776" s="157"/>
      <c r="J776" s="157"/>
      <c r="K776" s="157"/>
      <c r="L776" s="157"/>
      <c r="M776" s="377">
        <f>N776</f>
        <v>10916</v>
      </c>
      <c r="N776" s="160">
        <v>10916</v>
      </c>
      <c r="O776" s="32"/>
    </row>
    <row r="777" spans="1:15">
      <c r="B777" s="86" t="s">
        <v>174</v>
      </c>
      <c r="C777" s="32"/>
      <c r="D777" s="157"/>
      <c r="E777" s="157"/>
      <c r="F777" s="157"/>
      <c r="G777" s="157"/>
      <c r="H777" s="157"/>
      <c r="I777" s="157"/>
      <c r="J777" s="157"/>
      <c r="K777" s="157"/>
      <c r="L777" s="157"/>
      <c r="M777" s="157"/>
      <c r="N777" s="160"/>
      <c r="O777" s="32"/>
    </row>
    <row r="778" spans="1:15">
      <c r="B778" s="86"/>
      <c r="C778" s="32"/>
      <c r="D778" s="140"/>
      <c r="E778" s="140"/>
      <c r="F778" s="140"/>
      <c r="G778" s="140"/>
      <c r="H778" s="140"/>
      <c r="I778" s="140"/>
      <c r="J778" s="140"/>
      <c r="K778" s="140"/>
      <c r="L778" s="140"/>
      <c r="M778" s="140"/>
      <c r="N778" s="371"/>
      <c r="O778" s="32"/>
    </row>
    <row r="779" spans="1:15">
      <c r="B779" s="35" t="s">
        <v>17</v>
      </c>
      <c r="D779" s="198">
        <f xml:space="preserve"> D763 - D762</f>
        <v>0</v>
      </c>
      <c r="E779" s="198">
        <f xml:space="preserve"> E762 + E765 - E764 - E763</f>
        <v>0</v>
      </c>
      <c r="F779" s="198">
        <v>0</v>
      </c>
      <c r="G779" s="198">
        <f>G761-G762-G763</f>
        <v>0</v>
      </c>
      <c r="H779" s="198">
        <f>H763-H764-H765</f>
        <v>-27359</v>
      </c>
      <c r="I779" s="30">
        <f>I765-I766-I767</f>
        <v>27359</v>
      </c>
      <c r="J779" s="30">
        <f>J767-J768-J769</f>
        <v>-24513</v>
      </c>
      <c r="K779" s="30">
        <f>K769-K770-K771</f>
        <v>24513</v>
      </c>
      <c r="L779" s="30">
        <f>L771-L772-L773</f>
        <v>0</v>
      </c>
      <c r="M779" s="30">
        <f>M776</f>
        <v>10916</v>
      </c>
      <c r="N779" s="30">
        <f>N776*-1</f>
        <v>-10916</v>
      </c>
      <c r="O779" s="32"/>
    </row>
    <row r="780" spans="1:15">
      <c r="B780" s="6"/>
      <c r="D780" s="7"/>
      <c r="E780" s="7"/>
      <c r="F780" s="7"/>
      <c r="G780" s="7"/>
      <c r="H780" s="7"/>
      <c r="I780" s="308"/>
      <c r="J780" s="308"/>
      <c r="K780" s="308"/>
      <c r="L780" s="308"/>
      <c r="M780" s="308"/>
      <c r="N780" s="308"/>
      <c r="O780" s="32"/>
    </row>
    <row r="781" spans="1:15">
      <c r="B781" s="83" t="s">
        <v>12</v>
      </c>
      <c r="C781" s="78"/>
      <c r="D781" s="101"/>
      <c r="E781" s="102"/>
      <c r="F781" s="102"/>
      <c r="G781" s="169"/>
      <c r="H781" s="102"/>
      <c r="I781" s="102"/>
      <c r="J781" s="102"/>
      <c r="K781" s="102"/>
      <c r="L781" s="170"/>
      <c r="M781" s="103"/>
      <c r="N781" s="103"/>
      <c r="O781" s="32"/>
    </row>
    <row r="782" spans="1:15">
      <c r="B782" s="6"/>
      <c r="D782" s="7"/>
      <c r="E782" s="7"/>
      <c r="F782" s="7"/>
      <c r="G782" s="7"/>
      <c r="H782" s="7"/>
      <c r="I782" s="7"/>
      <c r="J782" s="7"/>
      <c r="K782" s="7"/>
      <c r="L782" s="7"/>
      <c r="M782" s="7"/>
      <c r="N782" s="7"/>
      <c r="O782" s="32"/>
    </row>
    <row r="783" spans="1:15" ht="18.5">
      <c r="A783" s="43" t="s">
        <v>26</v>
      </c>
      <c r="C783" s="78"/>
      <c r="D783" s="47">
        <f xml:space="preserve"> D743 + D748 - D754 + D779 + D781</f>
        <v>0</v>
      </c>
      <c r="E783" s="48">
        <f xml:space="preserve"> E743 + E748 - E754 + E779 + E781</f>
        <v>0</v>
      </c>
      <c r="F783" s="171">
        <f xml:space="preserve"> F743 + F748 - F754 + F779 + F781</f>
        <v>0</v>
      </c>
      <c r="G783" s="48">
        <f t="shared" ref="G783:I783" si="422" xml:space="preserve"> G743 + G748 - G754 + G779 + G781</f>
        <v>0</v>
      </c>
      <c r="H783" s="168">
        <f t="shared" si="422"/>
        <v>0</v>
      </c>
      <c r="I783" s="48">
        <f t="shared" si="422"/>
        <v>59100</v>
      </c>
      <c r="J783" s="48">
        <f xml:space="preserve"> J743 + J748 - J754 + J779 + J781</f>
        <v>899</v>
      </c>
      <c r="K783" s="48">
        <f t="shared" ref="K783:L783" si="423" xml:space="preserve"> K743 + K748 - K754 + K779 + K781</f>
        <v>55648</v>
      </c>
      <c r="L783" s="48">
        <f t="shared" si="423"/>
        <v>29526.1822240699</v>
      </c>
      <c r="M783" s="49">
        <f t="shared" ref="M783:N783" si="424" xml:space="preserve"> M743 + M748 - M754 + M779 + M781</f>
        <v>40628.148308640011</v>
      </c>
      <c r="N783" s="49">
        <f t="shared" si="424"/>
        <v>23323.326419182333</v>
      </c>
      <c r="O783" s="32"/>
    </row>
    <row r="784" spans="1:15">
      <c r="B784" s="6"/>
      <c r="D784" s="7"/>
      <c r="E784" s="7"/>
      <c r="F784" s="7"/>
      <c r="G784" s="30"/>
      <c r="H784" s="30"/>
      <c r="I784" s="30"/>
      <c r="J784" s="30"/>
      <c r="K784" s="30"/>
      <c r="L784" s="30"/>
      <c r="M784" s="30"/>
      <c r="N784" s="30"/>
      <c r="O784" s="32"/>
    </row>
    <row r="785" spans="1:15" ht="15" thickBot="1">
      <c r="O785" s="32"/>
    </row>
    <row r="786" spans="1:15">
      <c r="A786" s="8"/>
      <c r="B786" s="8"/>
      <c r="C786" s="8"/>
      <c r="D786" s="8"/>
      <c r="E786" s="8"/>
      <c r="F786" s="8"/>
      <c r="G786" s="8"/>
      <c r="H786" s="8"/>
      <c r="I786" s="8"/>
      <c r="J786" s="8"/>
      <c r="K786" s="8"/>
      <c r="L786" s="8"/>
      <c r="M786" s="8"/>
      <c r="N786" s="8"/>
      <c r="O786" s="32"/>
    </row>
    <row r="787" spans="1:15">
      <c r="B787" s="32"/>
      <c r="C787" s="32"/>
      <c r="D787" s="32"/>
      <c r="E787" s="32"/>
      <c r="F787" s="32"/>
      <c r="G787" s="32"/>
      <c r="H787" s="32"/>
      <c r="I787" s="32"/>
      <c r="J787" s="32"/>
      <c r="K787" s="32"/>
      <c r="L787" s="32"/>
      <c r="M787" s="32"/>
      <c r="N787" s="32"/>
      <c r="O787" s="32"/>
    </row>
    <row r="788" spans="1:15" ht="21">
      <c r="A788" s="14" t="s">
        <v>4</v>
      </c>
      <c r="B788" s="14"/>
      <c r="C788" s="342" t="str">
        <f>B18</f>
        <v>Campbell Hill/Three Buttes</v>
      </c>
      <c r="D788" s="45"/>
      <c r="E788" s="24"/>
      <c r="F788" s="24"/>
      <c r="O788" s="32"/>
    </row>
    <row r="789" spans="1:15">
      <c r="O789" s="32"/>
    </row>
    <row r="790" spans="1:15" ht="18.5">
      <c r="A790" s="9" t="s">
        <v>21</v>
      </c>
      <c r="B790" s="9"/>
      <c r="D790" s="2">
        <f>'Facility Detail'!$B$1897</f>
        <v>2011</v>
      </c>
      <c r="E790" s="2">
        <f>D790+1</f>
        <v>2012</v>
      </c>
      <c r="F790" s="2">
        <f>E790+1</f>
        <v>2013</v>
      </c>
      <c r="G790" s="2">
        <f t="shared" ref="G790:K790" si="425">F790+1</f>
        <v>2014</v>
      </c>
      <c r="H790" s="2">
        <f t="shared" si="425"/>
        <v>2015</v>
      </c>
      <c r="I790" s="2">
        <f t="shared" si="425"/>
        <v>2016</v>
      </c>
      <c r="J790" s="2">
        <f t="shared" si="425"/>
        <v>2017</v>
      </c>
      <c r="K790" s="2">
        <f t="shared" si="425"/>
        <v>2018</v>
      </c>
      <c r="L790" s="2">
        <f t="shared" ref="L790" si="426">K790+1</f>
        <v>2019</v>
      </c>
      <c r="M790" s="2">
        <f t="shared" ref="M790" si="427">L790+1</f>
        <v>2020</v>
      </c>
      <c r="N790" s="2">
        <f t="shared" ref="N790" si="428">M790+1</f>
        <v>2021</v>
      </c>
      <c r="O790" s="32"/>
    </row>
    <row r="791" spans="1:15">
      <c r="B791" s="86" t="str">
        <f>"Total MWh Produced / Purchased from " &amp; C788</f>
        <v>Total MWh Produced / Purchased from Campbell Hill/Three Buttes</v>
      </c>
      <c r="C791" s="78"/>
      <c r="D791" s="3"/>
      <c r="E791" s="4"/>
      <c r="F791" s="4"/>
      <c r="G791" s="4"/>
      <c r="H791" s="4">
        <v>294027</v>
      </c>
      <c r="I791" s="4">
        <v>333872</v>
      </c>
      <c r="J791" s="4">
        <v>311597</v>
      </c>
      <c r="K791" s="307">
        <v>309187.63400000002</v>
      </c>
      <c r="L791" s="307">
        <v>324597</v>
      </c>
      <c r="M791" s="378">
        <v>319183</v>
      </c>
      <c r="N791" s="378">
        <v>325985</v>
      </c>
      <c r="O791" s="32"/>
    </row>
    <row r="792" spans="1:15">
      <c r="B792" s="86" t="s">
        <v>25</v>
      </c>
      <c r="C792" s="78"/>
      <c r="D792" s="60"/>
      <c r="E792" s="61"/>
      <c r="F792" s="209"/>
      <c r="G792" s="209"/>
      <c r="H792" s="209">
        <v>1</v>
      </c>
      <c r="I792" s="209">
        <v>1</v>
      </c>
      <c r="J792" s="209">
        <v>1</v>
      </c>
      <c r="K792" s="209">
        <v>1</v>
      </c>
      <c r="L792" s="209">
        <v>1</v>
      </c>
      <c r="M792" s="313">
        <v>1</v>
      </c>
      <c r="N792" s="313">
        <v>1</v>
      </c>
      <c r="O792" s="32"/>
    </row>
    <row r="793" spans="1:15">
      <c r="B793" s="86" t="s">
        <v>20</v>
      </c>
      <c r="C793" s="78"/>
      <c r="D793" s="52"/>
      <c r="E793" s="53"/>
      <c r="F793" s="196"/>
      <c r="G793" s="196"/>
      <c r="H793" s="53">
        <f>H51</f>
        <v>8.0535999999999996E-2</v>
      </c>
      <c r="I793" s="53">
        <f t="shared" ref="I793:N793" si="429">I51</f>
        <v>8.1698151927344531E-2</v>
      </c>
      <c r="J793" s="53">
        <f t="shared" si="429"/>
        <v>8.0833713568703974E-2</v>
      </c>
      <c r="K793" s="53">
        <f t="shared" si="429"/>
        <v>7.9451999999999995E-2</v>
      </c>
      <c r="L793" s="53">
        <f t="shared" si="429"/>
        <v>7.6724662968274293E-2</v>
      </c>
      <c r="M793" s="324">
        <f t="shared" ref="M793" si="430">M51</f>
        <v>7.9127103690396022E-2</v>
      </c>
      <c r="N793" s="324">
        <f t="shared" si="429"/>
        <v>7.9127103690396022E-2</v>
      </c>
      <c r="O793" s="32"/>
    </row>
    <row r="794" spans="1:15">
      <c r="B794" s="83" t="s">
        <v>22</v>
      </c>
      <c r="C794" s="84"/>
      <c r="D794" s="39">
        <f xml:space="preserve"> ROUND(D791 * D792 * D793,0)</f>
        <v>0</v>
      </c>
      <c r="E794" s="39">
        <f t="shared" ref="E794:G794" si="431" xml:space="preserve"> ROUND(E791 * E792 * E793,0)</f>
        <v>0</v>
      </c>
      <c r="F794" s="39">
        <f t="shared" si="431"/>
        <v>0</v>
      </c>
      <c r="G794" s="39">
        <f t="shared" si="431"/>
        <v>0</v>
      </c>
      <c r="H794" s="39">
        <v>23680</v>
      </c>
      <c r="I794" s="39">
        <v>27276</v>
      </c>
      <c r="J794" s="306">
        <v>25187</v>
      </c>
      <c r="K794" s="306">
        <v>24567</v>
      </c>
      <c r="L794" s="306">
        <f>L791*L793</f>
        <v>24904.595425512929</v>
      </c>
      <c r="M794" s="306">
        <f>M791*M793</f>
        <v>25256.026337211675</v>
      </c>
      <c r="N794" s="306">
        <f>N791*N793</f>
        <v>25794.248896513749</v>
      </c>
      <c r="O794" s="32"/>
    </row>
    <row r="795" spans="1:15">
      <c r="B795" s="24"/>
      <c r="C795" s="32"/>
      <c r="D795" s="38"/>
      <c r="E795" s="38"/>
      <c r="F795" s="38"/>
      <c r="G795" s="38"/>
      <c r="H795" s="38"/>
      <c r="I795" s="38"/>
      <c r="J795" s="38"/>
      <c r="K795" s="38"/>
      <c r="L795" s="38"/>
      <c r="M795" s="38"/>
      <c r="N795" s="38"/>
      <c r="O795" s="32"/>
    </row>
    <row r="796" spans="1:15" ht="18.5">
      <c r="A796" s="46" t="s">
        <v>52</v>
      </c>
      <c r="C796" s="32"/>
      <c r="D796" s="2">
        <f>'Facility Detail'!$B$1897</f>
        <v>2011</v>
      </c>
      <c r="E796" s="2">
        <f>D796+1</f>
        <v>2012</v>
      </c>
      <c r="F796" s="2">
        <f>E796+1</f>
        <v>2013</v>
      </c>
      <c r="G796" s="2">
        <f t="shared" ref="G796:K796" si="432">F796+1</f>
        <v>2014</v>
      </c>
      <c r="H796" s="2">
        <f t="shared" si="432"/>
        <v>2015</v>
      </c>
      <c r="I796" s="2">
        <f t="shared" si="432"/>
        <v>2016</v>
      </c>
      <c r="J796" s="2">
        <f t="shared" si="432"/>
        <v>2017</v>
      </c>
      <c r="K796" s="2">
        <f t="shared" si="432"/>
        <v>2018</v>
      </c>
      <c r="L796" s="2">
        <f t="shared" ref="L796" si="433">K796+1</f>
        <v>2019</v>
      </c>
      <c r="M796" s="2">
        <f t="shared" ref="M796" si="434">L796+1</f>
        <v>2020</v>
      </c>
      <c r="N796" s="2">
        <f t="shared" ref="N796" si="435">M796+1</f>
        <v>2021</v>
      </c>
      <c r="O796" s="32"/>
    </row>
    <row r="797" spans="1:15">
      <c r="B797" s="86" t="s">
        <v>10</v>
      </c>
      <c r="C797" s="78"/>
      <c r="D797" s="55">
        <f>IF( $E18 = "Eligible", D794 * 'Facility Detail'!$B$1894, 0 )</f>
        <v>0</v>
      </c>
      <c r="E797" s="11">
        <f>IF( $E18 = "Eligible", E794 * 'Facility Detail'!$B$1894, 0 )</f>
        <v>0</v>
      </c>
      <c r="F797" s="11">
        <f>IF( $E18 = "Eligible", F794 * 'Facility Detail'!$B$1894, 0 )</f>
        <v>0</v>
      </c>
      <c r="G797" s="11">
        <f>IF( $E18 = "Eligible", G794 * 'Facility Detail'!$B$1894, 0 )</f>
        <v>0</v>
      </c>
      <c r="H797" s="11">
        <f>IF( $E18 = "Eligible", H794 * 'Facility Detail'!$B$1894, 0 )</f>
        <v>0</v>
      </c>
      <c r="I797" s="201">
        <f>IF( $E18 = "Eligible", I794 * 'Facility Detail'!$B$1894, 0 )</f>
        <v>0</v>
      </c>
      <c r="J797" s="201">
        <f>IF( $E18 = "Eligible", J794 * 'Facility Detail'!$B$1894, 0 )</f>
        <v>0</v>
      </c>
      <c r="K797" s="201">
        <f>IF( $E18 = "Eligible", K794 * 'Facility Detail'!$B$1894, 0 )</f>
        <v>0</v>
      </c>
      <c r="L797" s="201">
        <f>IF( $E18 = "Eligible", L794 * 'Facility Detail'!$B$1894, 0 )</f>
        <v>0</v>
      </c>
      <c r="M797" s="201">
        <f>IF( $E18 = "Eligible", M794 * 'Facility Detail'!$B$1894, 0 )</f>
        <v>0</v>
      </c>
      <c r="N797" s="201">
        <f>IF( $E18 = "Eligible", N794 * 'Facility Detail'!$B$1894, 0 )</f>
        <v>0</v>
      </c>
      <c r="O797" s="32"/>
    </row>
    <row r="798" spans="1:15">
      <c r="B798" s="86" t="s">
        <v>6</v>
      </c>
      <c r="C798" s="78"/>
      <c r="D798" s="56">
        <f t="shared" ref="D798:N798" si="436">IF( $F18 = "Eligible", D794, 0 )</f>
        <v>0</v>
      </c>
      <c r="E798" s="57">
        <f t="shared" si="436"/>
        <v>0</v>
      </c>
      <c r="F798" s="57">
        <f t="shared" si="436"/>
        <v>0</v>
      </c>
      <c r="G798" s="57">
        <f t="shared" si="436"/>
        <v>0</v>
      </c>
      <c r="H798" s="57">
        <f t="shared" si="436"/>
        <v>0</v>
      </c>
      <c r="I798" s="202">
        <f t="shared" si="436"/>
        <v>0</v>
      </c>
      <c r="J798" s="202">
        <f t="shared" si="436"/>
        <v>0</v>
      </c>
      <c r="K798" s="202">
        <f t="shared" si="436"/>
        <v>0</v>
      </c>
      <c r="L798" s="202">
        <f t="shared" si="436"/>
        <v>0</v>
      </c>
      <c r="M798" s="202">
        <f t="shared" ref="M798" si="437">IF( $F18 = "Eligible", M794, 0 )</f>
        <v>0</v>
      </c>
      <c r="N798" s="202">
        <f t="shared" si="436"/>
        <v>0</v>
      </c>
      <c r="O798" s="32"/>
    </row>
    <row r="799" spans="1:15">
      <c r="B799" s="85" t="s">
        <v>54</v>
      </c>
      <c r="C799" s="84"/>
      <c r="D799" s="41">
        <f>SUM(D797:D798)</f>
        <v>0</v>
      </c>
      <c r="E799" s="42">
        <f>SUM(E797:E798)</f>
        <v>0</v>
      </c>
      <c r="F799" s="42">
        <f>SUM(F797:F798)</f>
        <v>0</v>
      </c>
      <c r="G799" s="42">
        <f t="shared" ref="G799:I799" si="438">SUM(G797:G798)</f>
        <v>0</v>
      </c>
      <c r="H799" s="42">
        <f t="shared" si="438"/>
        <v>0</v>
      </c>
      <c r="I799" s="42">
        <f t="shared" si="438"/>
        <v>0</v>
      </c>
      <c r="J799" s="42">
        <f t="shared" ref="J799:K799" si="439">SUM(J797:J798)</f>
        <v>0</v>
      </c>
      <c r="K799" s="42">
        <f t="shared" si="439"/>
        <v>0</v>
      </c>
      <c r="L799" s="42">
        <f t="shared" ref="L799:N799" si="440">SUM(L797:L798)</f>
        <v>0</v>
      </c>
      <c r="M799" s="42">
        <f t="shared" ref="M799" si="441">SUM(M797:M798)</f>
        <v>0</v>
      </c>
      <c r="N799" s="42">
        <f t="shared" si="440"/>
        <v>0</v>
      </c>
      <c r="O799" s="32"/>
    </row>
    <row r="800" spans="1:15">
      <c r="B800" s="32"/>
      <c r="C800" s="32"/>
      <c r="D800" s="40"/>
      <c r="E800" s="33"/>
      <c r="F800" s="33"/>
      <c r="G800" s="33"/>
      <c r="H800" s="33"/>
      <c r="I800" s="33"/>
      <c r="J800" s="33"/>
      <c r="K800" s="33"/>
      <c r="L800" s="33"/>
      <c r="M800" s="33"/>
      <c r="N800" s="33"/>
      <c r="O800" s="32"/>
    </row>
    <row r="801" spans="1:15" ht="18.5">
      <c r="A801" s="43" t="s">
        <v>30</v>
      </c>
      <c r="C801" s="32"/>
      <c r="D801" s="2">
        <f>'Facility Detail'!$B$1897</f>
        <v>2011</v>
      </c>
      <c r="E801" s="2">
        <f>D801+1</f>
        <v>2012</v>
      </c>
      <c r="F801" s="2">
        <f>E801+1</f>
        <v>2013</v>
      </c>
      <c r="G801" s="2">
        <f t="shared" ref="G801:K801" si="442">F801+1</f>
        <v>2014</v>
      </c>
      <c r="H801" s="2">
        <f t="shared" si="442"/>
        <v>2015</v>
      </c>
      <c r="I801" s="2">
        <f t="shared" si="442"/>
        <v>2016</v>
      </c>
      <c r="J801" s="2">
        <f t="shared" si="442"/>
        <v>2017</v>
      </c>
      <c r="K801" s="2">
        <f t="shared" si="442"/>
        <v>2018</v>
      </c>
      <c r="L801" s="2">
        <f t="shared" ref="L801" si="443">K801+1</f>
        <v>2019</v>
      </c>
      <c r="M801" s="2">
        <f t="shared" ref="M801" si="444">L801+1</f>
        <v>2020</v>
      </c>
      <c r="N801" s="2">
        <f t="shared" ref="N801" si="445">M801+1</f>
        <v>2021</v>
      </c>
      <c r="O801" s="32"/>
    </row>
    <row r="802" spans="1:15">
      <c r="B802" s="86" t="s">
        <v>32</v>
      </c>
      <c r="C802" s="78"/>
      <c r="D802" s="90"/>
      <c r="E802" s="91"/>
      <c r="F802" s="91"/>
      <c r="G802" s="165"/>
      <c r="H802" s="165"/>
      <c r="I802" s="91"/>
      <c r="J802" s="91"/>
      <c r="K802" s="91"/>
      <c r="L802" s="91"/>
      <c r="M802" s="91"/>
      <c r="N802" s="91"/>
      <c r="O802" s="32"/>
    </row>
    <row r="803" spans="1:15">
      <c r="B803" s="87" t="s">
        <v>23</v>
      </c>
      <c r="C803" s="192"/>
      <c r="D803" s="93"/>
      <c r="E803" s="94"/>
      <c r="F803" s="94"/>
      <c r="G803" s="166"/>
      <c r="H803" s="166"/>
      <c r="I803" s="94"/>
      <c r="J803" s="94"/>
      <c r="K803" s="94"/>
      <c r="L803" s="94"/>
      <c r="M803" s="94"/>
      <c r="N803" s="94"/>
      <c r="O803" s="32"/>
    </row>
    <row r="804" spans="1:15">
      <c r="B804" s="96" t="s">
        <v>38</v>
      </c>
      <c r="C804" s="190"/>
      <c r="D804" s="63"/>
      <c r="E804" s="64"/>
      <c r="F804" s="64"/>
      <c r="G804" s="167"/>
      <c r="H804" s="167"/>
      <c r="I804" s="64"/>
      <c r="J804" s="64"/>
      <c r="K804" s="64"/>
      <c r="L804" s="64"/>
      <c r="M804" s="64"/>
      <c r="N804" s="64"/>
      <c r="O804" s="32"/>
    </row>
    <row r="805" spans="1:15">
      <c r="B805" s="35" t="s">
        <v>39</v>
      </c>
      <c r="D805" s="7">
        <f>SUM(D802:D804)</f>
        <v>0</v>
      </c>
      <c r="E805" s="7">
        <f>SUM(E802:E804)</f>
        <v>0</v>
      </c>
      <c r="F805" s="7">
        <f>SUM(F802:F804)</f>
        <v>0</v>
      </c>
      <c r="G805" s="7">
        <f t="shared" ref="G805:J805" si="446">SUM(G802:G804)</f>
        <v>0</v>
      </c>
      <c r="H805" s="7">
        <f t="shared" si="446"/>
        <v>0</v>
      </c>
      <c r="I805" s="7">
        <f t="shared" si="446"/>
        <v>0</v>
      </c>
      <c r="J805" s="7">
        <f t="shared" si="446"/>
        <v>0</v>
      </c>
      <c r="K805" s="7">
        <f t="shared" ref="K805:N805" si="447">SUM(K802:K804)</f>
        <v>0</v>
      </c>
      <c r="L805" s="7">
        <f t="shared" si="447"/>
        <v>0</v>
      </c>
      <c r="M805" s="7">
        <f t="shared" ref="M805" si="448">SUM(M802:M804)</f>
        <v>0</v>
      </c>
      <c r="N805" s="7">
        <f t="shared" si="447"/>
        <v>0</v>
      </c>
      <c r="O805" s="32"/>
    </row>
    <row r="806" spans="1:15">
      <c r="B806" s="6"/>
      <c r="D806" s="7"/>
      <c r="E806" s="7"/>
      <c r="F806" s="7"/>
      <c r="G806" s="7"/>
      <c r="H806" s="7"/>
      <c r="I806" s="7"/>
      <c r="J806" s="7"/>
      <c r="K806" s="7"/>
      <c r="L806" s="7"/>
      <c r="M806" s="7"/>
      <c r="N806" s="7"/>
      <c r="O806" s="32"/>
    </row>
    <row r="807" spans="1:15" ht="18.5">
      <c r="A807" s="9" t="s">
        <v>40</v>
      </c>
      <c r="D807" s="2">
        <f>'Facility Detail'!$B$1897</f>
        <v>2011</v>
      </c>
      <c r="E807" s="2">
        <f>D807+1</f>
        <v>2012</v>
      </c>
      <c r="F807" s="2">
        <f>E807+1</f>
        <v>2013</v>
      </c>
      <c r="G807" s="2">
        <f t="shared" ref="G807:K807" si="449">F807+1</f>
        <v>2014</v>
      </c>
      <c r="H807" s="2">
        <f t="shared" si="449"/>
        <v>2015</v>
      </c>
      <c r="I807" s="2">
        <f t="shared" si="449"/>
        <v>2016</v>
      </c>
      <c r="J807" s="2">
        <f t="shared" si="449"/>
        <v>2017</v>
      </c>
      <c r="K807" s="2">
        <f t="shared" si="449"/>
        <v>2018</v>
      </c>
      <c r="L807" s="2">
        <f t="shared" ref="L807" si="450">K807+1</f>
        <v>2019</v>
      </c>
      <c r="M807" s="2">
        <f t="shared" ref="M807" si="451">L807+1</f>
        <v>2020</v>
      </c>
      <c r="N807" s="2">
        <f t="shared" ref="N807" si="452">M807+1</f>
        <v>2021</v>
      </c>
      <c r="O807" s="32"/>
    </row>
    <row r="808" spans="1:15" ht="14.25" customHeight="1">
      <c r="A808" s="9"/>
      <c r="B808" s="86" t="s">
        <v>34</v>
      </c>
      <c r="C808" s="32"/>
      <c r="D808" s="3"/>
      <c r="E808" s="66">
        <f>D808</f>
        <v>0</v>
      </c>
      <c r="F808" s="138"/>
      <c r="G808" s="138"/>
      <c r="H808" s="138"/>
      <c r="I808" s="138"/>
      <c r="J808" s="138"/>
      <c r="K808" s="138"/>
      <c r="L808" s="138"/>
      <c r="M808" s="67"/>
      <c r="N808" s="67"/>
      <c r="O808" s="32"/>
    </row>
    <row r="809" spans="1:15" ht="14.25" customHeight="1">
      <c r="A809" s="9"/>
      <c r="B809" s="86" t="s">
        <v>35</v>
      </c>
      <c r="C809" s="32"/>
      <c r="D809" s="174">
        <f>E809</f>
        <v>0</v>
      </c>
      <c r="E809" s="10"/>
      <c r="F809" s="81"/>
      <c r="G809" s="81"/>
      <c r="H809" s="81"/>
      <c r="I809" s="81"/>
      <c r="J809" s="81"/>
      <c r="K809" s="81"/>
      <c r="L809" s="81"/>
      <c r="M809" s="175"/>
      <c r="N809" s="175"/>
      <c r="O809" s="32"/>
    </row>
    <row r="810" spans="1:15" ht="14.25" customHeight="1">
      <c r="A810" s="9"/>
      <c r="B810" s="86" t="s">
        <v>36</v>
      </c>
      <c r="C810" s="32"/>
      <c r="D810" s="68"/>
      <c r="E810" s="10">
        <f>E794</f>
        <v>0</v>
      </c>
      <c r="F810" s="77">
        <f>E810</f>
        <v>0</v>
      </c>
      <c r="G810" s="81"/>
      <c r="H810" s="81"/>
      <c r="I810" s="81"/>
      <c r="J810" s="81"/>
      <c r="K810" s="81"/>
      <c r="L810" s="81"/>
      <c r="M810" s="175"/>
      <c r="N810" s="175"/>
      <c r="O810" s="32"/>
    </row>
    <row r="811" spans="1:15" ht="14.25" customHeight="1">
      <c r="A811" s="9"/>
      <c r="B811" s="86" t="s">
        <v>37</v>
      </c>
      <c r="C811" s="32"/>
      <c r="D811" s="68"/>
      <c r="E811" s="77">
        <f>F811</f>
        <v>0</v>
      </c>
      <c r="F811" s="173"/>
      <c r="G811" s="81"/>
      <c r="H811" s="81"/>
      <c r="I811" s="81"/>
      <c r="J811" s="81"/>
      <c r="K811" s="81"/>
      <c r="L811" s="81"/>
      <c r="M811" s="175"/>
      <c r="N811" s="175"/>
      <c r="O811" s="32"/>
    </row>
    <row r="812" spans="1:15" ht="14.25" customHeight="1">
      <c r="A812" s="9"/>
      <c r="B812" s="86" t="s">
        <v>122</v>
      </c>
      <c r="C812" s="32"/>
      <c r="D812" s="68"/>
      <c r="E812" s="157"/>
      <c r="F812" s="10">
        <f>F794</f>
        <v>0</v>
      </c>
      <c r="G812" s="158">
        <f>F812</f>
        <v>0</v>
      </c>
      <c r="H812" s="81"/>
      <c r="I812" s="81"/>
      <c r="J812" s="81"/>
      <c r="K812" s="81"/>
      <c r="L812" s="81"/>
      <c r="M812" s="175"/>
      <c r="N812" s="175"/>
      <c r="O812" s="32"/>
    </row>
    <row r="813" spans="1:15" ht="14.25" customHeight="1">
      <c r="B813" s="86" t="s">
        <v>123</v>
      </c>
      <c r="C813" s="32"/>
      <c r="D813" s="68"/>
      <c r="E813" s="157"/>
      <c r="F813" s="77">
        <f>G813</f>
        <v>0</v>
      </c>
      <c r="G813" s="10"/>
      <c r="H813" s="81"/>
      <c r="I813" s="81"/>
      <c r="J813" s="81" t="s">
        <v>121</v>
      </c>
      <c r="K813" s="81"/>
      <c r="L813" s="81"/>
      <c r="M813" s="175"/>
      <c r="N813" s="175"/>
      <c r="O813" s="32"/>
    </row>
    <row r="814" spans="1:15" ht="14.25" customHeight="1">
      <c r="B814" s="86" t="s">
        <v>124</v>
      </c>
      <c r="C814" s="32"/>
      <c r="D814" s="68"/>
      <c r="E814" s="157"/>
      <c r="F814" s="157"/>
      <c r="G814" s="10"/>
      <c r="H814" s="158">
        <f>G814</f>
        <v>0</v>
      </c>
      <c r="I814" s="157">
        <f>H814</f>
        <v>0</v>
      </c>
      <c r="J814" s="81"/>
      <c r="K814" s="81"/>
      <c r="L814" s="81"/>
      <c r="M814" s="161"/>
      <c r="N814" s="161"/>
      <c r="O814" s="32"/>
    </row>
    <row r="815" spans="1:15" ht="14.25" customHeight="1">
      <c r="B815" s="86" t="s">
        <v>125</v>
      </c>
      <c r="C815" s="32"/>
      <c r="D815" s="68"/>
      <c r="E815" s="157"/>
      <c r="F815" s="157"/>
      <c r="G815" s="77"/>
      <c r="H815" s="10"/>
      <c r="I815" s="157"/>
      <c r="J815" s="81"/>
      <c r="K815" s="81"/>
      <c r="L815" s="81"/>
      <c r="M815" s="161"/>
      <c r="N815" s="161"/>
      <c r="O815" s="32"/>
    </row>
    <row r="816" spans="1:15" ht="14.25" customHeight="1">
      <c r="B816" s="86" t="s">
        <v>126</v>
      </c>
      <c r="C816" s="32"/>
      <c r="D816" s="68"/>
      <c r="E816" s="157"/>
      <c r="F816" s="157"/>
      <c r="G816" s="157"/>
      <c r="H816" s="10">
        <f>H794</f>
        <v>23680</v>
      </c>
      <c r="I816" s="158">
        <f>H816</f>
        <v>23680</v>
      </c>
      <c r="J816" s="81"/>
      <c r="K816" s="81"/>
      <c r="L816" s="81"/>
      <c r="M816" s="161"/>
      <c r="N816" s="161"/>
      <c r="O816" s="32"/>
    </row>
    <row r="817" spans="2:15" ht="14.25" customHeight="1">
      <c r="B817" s="86" t="s">
        <v>127</v>
      </c>
      <c r="C817" s="32"/>
      <c r="D817" s="68"/>
      <c r="E817" s="157"/>
      <c r="F817" s="157"/>
      <c r="G817" s="157"/>
      <c r="H817" s="77"/>
      <c r="I817" s="10"/>
      <c r="J817" s="81"/>
      <c r="K817" s="81"/>
      <c r="L817" s="81"/>
      <c r="M817" s="161"/>
      <c r="N817" s="161"/>
      <c r="O817" s="32"/>
    </row>
    <row r="818" spans="2:15" ht="14.25" customHeight="1">
      <c r="B818" s="86" t="s">
        <v>128</v>
      </c>
      <c r="C818" s="32"/>
      <c r="D818" s="68"/>
      <c r="E818" s="157"/>
      <c r="F818" s="157"/>
      <c r="G818" s="157"/>
      <c r="H818" s="157"/>
      <c r="I818" s="340">
        <v>0</v>
      </c>
      <c r="J818" s="341">
        <f>I818</f>
        <v>0</v>
      </c>
      <c r="K818" s="81"/>
      <c r="L818" s="81"/>
      <c r="M818" s="161"/>
      <c r="N818" s="161"/>
      <c r="O818" s="32"/>
    </row>
    <row r="819" spans="2:15" ht="14.25" customHeight="1">
      <c r="B819" s="86" t="s">
        <v>119</v>
      </c>
      <c r="C819" s="32"/>
      <c r="D819" s="68"/>
      <c r="E819" s="157"/>
      <c r="F819" s="157"/>
      <c r="G819" s="157"/>
      <c r="H819" s="157"/>
      <c r="I819" s="248"/>
      <c r="J819" s="160"/>
      <c r="K819" s="81"/>
      <c r="L819" s="81"/>
      <c r="M819" s="161"/>
      <c r="N819" s="161"/>
      <c r="O819" s="32"/>
    </row>
    <row r="820" spans="2:15" ht="14.25" customHeight="1">
      <c r="B820" s="86" t="s">
        <v>120</v>
      </c>
      <c r="C820" s="32"/>
      <c r="D820" s="68"/>
      <c r="E820" s="157"/>
      <c r="F820" s="157"/>
      <c r="G820" s="157"/>
      <c r="H820" s="157"/>
      <c r="I820" s="157"/>
      <c r="J820" s="160">
        <f>J794</f>
        <v>25187</v>
      </c>
      <c r="K820" s="341">
        <f>J820</f>
        <v>25187</v>
      </c>
      <c r="L820" s="81"/>
      <c r="M820" s="161"/>
      <c r="N820" s="161"/>
      <c r="O820" s="32"/>
    </row>
    <row r="821" spans="2:15" ht="14.25" customHeight="1">
      <c r="B821" s="86" t="s">
        <v>152</v>
      </c>
      <c r="C821" s="32"/>
      <c r="D821" s="157"/>
      <c r="E821" s="157"/>
      <c r="F821" s="157"/>
      <c r="G821" s="157"/>
      <c r="H821" s="157"/>
      <c r="I821" s="157"/>
      <c r="J821" s="305"/>
      <c r="K821" s="160"/>
      <c r="L821" s="81"/>
      <c r="M821" s="161"/>
      <c r="N821" s="161"/>
      <c r="O821" s="32"/>
    </row>
    <row r="822" spans="2:15" ht="14.25" customHeight="1">
      <c r="B822" s="86" t="s">
        <v>153</v>
      </c>
      <c r="C822" s="32"/>
      <c r="D822" s="157"/>
      <c r="E822" s="157"/>
      <c r="F822" s="157"/>
      <c r="G822" s="157"/>
      <c r="H822" s="157"/>
      <c r="I822" s="157"/>
      <c r="J822" s="157"/>
      <c r="K822" s="160">
        <v>0</v>
      </c>
      <c r="L822" s="341">
        <f>K822</f>
        <v>0</v>
      </c>
      <c r="M822" s="311"/>
      <c r="N822" s="311"/>
      <c r="O822" s="32"/>
    </row>
    <row r="823" spans="2:15" ht="14.25" customHeight="1">
      <c r="B823" s="86" t="s">
        <v>154</v>
      </c>
      <c r="C823" s="32"/>
      <c r="D823" s="157"/>
      <c r="E823" s="157"/>
      <c r="F823" s="157"/>
      <c r="G823" s="157"/>
      <c r="H823" s="157"/>
      <c r="I823" s="157"/>
      <c r="J823" s="157"/>
      <c r="K823" s="305"/>
      <c r="L823" s="160"/>
      <c r="M823" s="195"/>
      <c r="N823" s="195"/>
      <c r="O823" s="32"/>
    </row>
    <row r="824" spans="2:15" ht="14.25" customHeight="1">
      <c r="B824" s="86" t="s">
        <v>155</v>
      </c>
      <c r="C824" s="32"/>
      <c r="D824" s="157"/>
      <c r="E824" s="157"/>
      <c r="F824" s="157"/>
      <c r="G824" s="157"/>
      <c r="H824" s="157"/>
      <c r="I824" s="157"/>
      <c r="J824" s="157"/>
      <c r="K824" s="157"/>
      <c r="L824" s="160"/>
      <c r="M824" s="341">
        <f>K824</f>
        <v>0</v>
      </c>
      <c r="N824" s="161"/>
      <c r="O824" s="32"/>
    </row>
    <row r="825" spans="2:15">
      <c r="B825" s="86" t="s">
        <v>156</v>
      </c>
      <c r="C825" s="32"/>
      <c r="D825" s="157"/>
      <c r="E825" s="157"/>
      <c r="F825" s="157"/>
      <c r="G825" s="157"/>
      <c r="H825" s="157"/>
      <c r="I825" s="157"/>
      <c r="J825" s="157"/>
      <c r="K825" s="157"/>
      <c r="L825" s="305"/>
      <c r="M825" s="160"/>
      <c r="N825" s="161"/>
      <c r="O825" s="32"/>
    </row>
    <row r="826" spans="2:15">
      <c r="B826" s="86" t="s">
        <v>157</v>
      </c>
      <c r="C826" s="32"/>
      <c r="D826" s="157"/>
      <c r="E826" s="157"/>
      <c r="F826" s="157"/>
      <c r="G826" s="157"/>
      <c r="H826" s="157"/>
      <c r="I826" s="157"/>
      <c r="J826" s="157"/>
      <c r="K826" s="157"/>
      <c r="L826" s="157"/>
      <c r="M826" s="160"/>
      <c r="N826" s="341">
        <f>L824</f>
        <v>0</v>
      </c>
      <c r="O826" s="32"/>
    </row>
    <row r="827" spans="2:15">
      <c r="B827" s="86" t="s">
        <v>173</v>
      </c>
      <c r="C827" s="32"/>
      <c r="D827" s="157"/>
      <c r="E827" s="157"/>
      <c r="F827" s="157"/>
      <c r="G827" s="157"/>
      <c r="H827" s="157"/>
      <c r="I827" s="157"/>
      <c r="J827" s="157"/>
      <c r="K827" s="157"/>
      <c r="L827" s="157"/>
      <c r="M827" s="159">
        <f>N827</f>
        <v>20000</v>
      </c>
      <c r="N827" s="160">
        <v>20000</v>
      </c>
      <c r="O827" s="32"/>
    </row>
    <row r="828" spans="2:15">
      <c r="B828" s="86" t="s">
        <v>174</v>
      </c>
      <c r="C828" s="32"/>
      <c r="D828" s="157"/>
      <c r="E828" s="157"/>
      <c r="F828" s="157"/>
      <c r="G828" s="157"/>
      <c r="H828" s="157"/>
      <c r="I828" s="157"/>
      <c r="J828" s="157"/>
      <c r="K828" s="157"/>
      <c r="L828" s="157"/>
      <c r="M828" s="157"/>
      <c r="N828" s="160">
        <f>M826</f>
        <v>0</v>
      </c>
      <c r="O828" s="32"/>
    </row>
    <row r="829" spans="2:15">
      <c r="B829" s="86"/>
      <c r="C829" s="32"/>
      <c r="D829" s="140"/>
      <c r="E829" s="140"/>
      <c r="F829" s="140"/>
      <c r="G829" s="140"/>
      <c r="H829" s="140"/>
      <c r="I829" s="140"/>
      <c r="J829" s="140"/>
      <c r="K829" s="140"/>
      <c r="L829" s="140"/>
      <c r="M829" s="140"/>
      <c r="N829" s="305"/>
      <c r="O829" s="32"/>
    </row>
    <row r="830" spans="2:15">
      <c r="B830" s="35" t="s">
        <v>17</v>
      </c>
      <c r="D830" s="198">
        <f xml:space="preserve"> D812 - D808</f>
        <v>0</v>
      </c>
      <c r="E830" s="198">
        <f xml:space="preserve"> E808 + E816 - E813 - E812</f>
        <v>0</v>
      </c>
      <c r="F830" s="198">
        <f>F813 - F816</f>
        <v>0</v>
      </c>
      <c r="G830" s="198">
        <f t="shared" ref="G830" si="453">G813 - G816</f>
        <v>0</v>
      </c>
      <c r="H830" s="198">
        <f>H814-H815-H816</f>
        <v>-23680</v>
      </c>
      <c r="I830" s="198">
        <f>I816-I817-I818</f>
        <v>23680</v>
      </c>
      <c r="J830" s="198">
        <f>J818-J819-J820</f>
        <v>-25187</v>
      </c>
      <c r="K830" s="30">
        <f>K820-K821-K822</f>
        <v>25187</v>
      </c>
      <c r="L830" s="198">
        <f>L822-L823-L824</f>
        <v>0</v>
      </c>
      <c r="M830" s="198">
        <f>M827</f>
        <v>20000</v>
      </c>
      <c r="N830" s="198">
        <f>N827*-1</f>
        <v>-20000</v>
      </c>
      <c r="O830" s="32"/>
    </row>
    <row r="831" spans="2:15">
      <c r="B831" s="6"/>
      <c r="D831" s="7"/>
      <c r="E831" s="7"/>
      <c r="F831" s="7"/>
      <c r="G831" s="7"/>
      <c r="H831" s="7"/>
      <c r="I831" s="7"/>
      <c r="J831" s="7"/>
      <c r="K831" s="7"/>
      <c r="L831" s="7"/>
      <c r="M831" s="7"/>
      <c r="N831" s="7"/>
      <c r="O831" s="32"/>
    </row>
    <row r="832" spans="2:15">
      <c r="B832" s="83" t="s">
        <v>12</v>
      </c>
      <c r="C832" s="78"/>
      <c r="D832" s="101"/>
      <c r="E832" s="102"/>
      <c r="F832" s="170"/>
      <c r="G832" s="170"/>
      <c r="H832" s="170"/>
      <c r="I832" s="170"/>
      <c r="J832" s="170"/>
      <c r="K832" s="170"/>
      <c r="L832" s="170"/>
      <c r="M832" s="103"/>
      <c r="N832" s="103"/>
      <c r="O832" s="32"/>
    </row>
    <row r="833" spans="1:15">
      <c r="B833" s="6"/>
      <c r="D833" s="7"/>
      <c r="E833" s="7"/>
      <c r="F833" s="7"/>
      <c r="G833" s="7"/>
      <c r="H833" s="7"/>
      <c r="I833" s="7"/>
      <c r="J833" s="7"/>
      <c r="K833" s="7"/>
      <c r="L833" s="7"/>
      <c r="M833" s="7"/>
      <c r="N833" s="7"/>
      <c r="O833" s="32"/>
    </row>
    <row r="834" spans="1:15" ht="18.5">
      <c r="A834" s="43" t="s">
        <v>26</v>
      </c>
      <c r="C834" s="78"/>
      <c r="D834" s="47">
        <f xml:space="preserve"> D794 + D799 - D805 + D830 + D832</f>
        <v>0</v>
      </c>
      <c r="E834" s="48">
        <f xml:space="preserve"> E794 + E799 - E805 + E830 + E832</f>
        <v>0</v>
      </c>
      <c r="F834" s="48">
        <f xml:space="preserve"> F794 + F799 - F805 + F830 + F832</f>
        <v>0</v>
      </c>
      <c r="G834" s="203">
        <f t="shared" ref="G834:N834" si="454" xml:space="preserve"> G794 + G799 - G805 + G830 + G832</f>
        <v>0</v>
      </c>
      <c r="H834" s="203">
        <f t="shared" si="454"/>
        <v>0</v>
      </c>
      <c r="I834" s="203">
        <f t="shared" si="454"/>
        <v>50956</v>
      </c>
      <c r="J834" s="203">
        <f t="shared" si="454"/>
        <v>0</v>
      </c>
      <c r="K834" s="203">
        <f t="shared" si="454"/>
        <v>49754</v>
      </c>
      <c r="L834" s="203">
        <f t="shared" si="454"/>
        <v>24904.595425512929</v>
      </c>
      <c r="M834" s="203">
        <f t="shared" ref="M834" si="455" xml:space="preserve"> M794 + M799 - M805 + M830 + M832</f>
        <v>45256.026337211675</v>
      </c>
      <c r="N834" s="203">
        <f t="shared" si="454"/>
        <v>5794.2488965137491</v>
      </c>
      <c r="O834" s="32"/>
    </row>
    <row r="835" spans="1:15">
      <c r="B835" s="6"/>
      <c r="D835" s="7"/>
      <c r="E835" s="7"/>
      <c r="F835" s="7"/>
      <c r="G835" s="30"/>
      <c r="H835" s="30"/>
      <c r="I835" s="30"/>
      <c r="J835" s="30"/>
      <c r="K835" s="30"/>
      <c r="L835" s="30"/>
      <c r="M835" s="30"/>
      <c r="N835" s="30"/>
      <c r="O835" s="32"/>
    </row>
    <row r="836" spans="1:15" ht="15" thickBot="1">
      <c r="O836" s="32"/>
    </row>
    <row r="837" spans="1:15">
      <c r="A837" s="8"/>
      <c r="B837" s="8"/>
      <c r="C837" s="8"/>
      <c r="D837" s="8"/>
      <c r="E837" s="8"/>
      <c r="F837" s="8"/>
      <c r="G837" s="8"/>
      <c r="H837" s="8"/>
      <c r="I837" s="8"/>
      <c r="J837" s="8"/>
      <c r="K837" s="8"/>
      <c r="L837" s="8"/>
      <c r="M837" s="8"/>
      <c r="N837" s="8"/>
      <c r="O837" s="32"/>
    </row>
    <row r="838" spans="1:15">
      <c r="B838" s="32"/>
      <c r="C838" s="32"/>
      <c r="D838" s="32"/>
      <c r="E838" s="32"/>
      <c r="F838" s="32"/>
      <c r="G838" s="32"/>
      <c r="H838" s="32"/>
      <c r="I838" s="32"/>
      <c r="J838" s="32"/>
      <c r="K838" s="32"/>
      <c r="L838" s="32"/>
      <c r="M838" s="32"/>
      <c r="N838" s="32"/>
      <c r="O838" s="32"/>
    </row>
    <row r="839" spans="1:15" ht="21">
      <c r="A839" s="14" t="s">
        <v>4</v>
      </c>
      <c r="B839" s="14"/>
      <c r="C839" s="44" t="str">
        <f>B19</f>
        <v>Glenrock Wind I</v>
      </c>
      <c r="D839" s="45"/>
      <c r="E839" s="24"/>
      <c r="F839" s="24"/>
      <c r="O839" s="32"/>
    </row>
    <row r="840" spans="1:15">
      <c r="O840" s="32"/>
    </row>
    <row r="841" spans="1:15" ht="18.5">
      <c r="A841" s="9" t="s">
        <v>21</v>
      </c>
      <c r="B841" s="9"/>
      <c r="D841" s="2">
        <f>'Facility Detail'!$B$1897</f>
        <v>2011</v>
      </c>
      <c r="E841" s="2">
        <f>D841+1</f>
        <v>2012</v>
      </c>
      <c r="F841" s="2">
        <f>E841+1</f>
        <v>2013</v>
      </c>
      <c r="G841" s="2">
        <f t="shared" ref="G841:K841" si="456">F841+1</f>
        <v>2014</v>
      </c>
      <c r="H841" s="2">
        <f t="shared" si="456"/>
        <v>2015</v>
      </c>
      <c r="I841" s="2">
        <f t="shared" si="456"/>
        <v>2016</v>
      </c>
      <c r="J841" s="2">
        <f t="shared" si="456"/>
        <v>2017</v>
      </c>
      <c r="K841" s="2">
        <f t="shared" si="456"/>
        <v>2018</v>
      </c>
      <c r="L841" s="2">
        <f t="shared" ref="L841" si="457">K841+1</f>
        <v>2019</v>
      </c>
      <c r="M841" s="2">
        <f t="shared" ref="M841" si="458">L841+1</f>
        <v>2020</v>
      </c>
      <c r="N841" s="2">
        <f t="shared" ref="N841" si="459">M841+1</f>
        <v>2021</v>
      </c>
      <c r="O841" s="32"/>
    </row>
    <row r="842" spans="1:15">
      <c r="B842" s="86" t="str">
        <f>"Total MWh Produced / Purchased from " &amp; C839</f>
        <v>Total MWh Produced / Purchased from Glenrock Wind I</v>
      </c>
      <c r="C842" s="78"/>
      <c r="D842" s="3"/>
      <c r="E842" s="4"/>
      <c r="F842" s="4"/>
      <c r="G842" s="191"/>
      <c r="H842" s="4">
        <v>289386</v>
      </c>
      <c r="I842" s="4">
        <v>311607</v>
      </c>
      <c r="J842" s="4">
        <v>268269</v>
      </c>
      <c r="K842" s="4">
        <v>303865</v>
      </c>
      <c r="L842" s="4">
        <v>321564</v>
      </c>
      <c r="M842" s="386">
        <v>343501</v>
      </c>
      <c r="N842" s="386">
        <v>346174</v>
      </c>
      <c r="O842" s="32"/>
    </row>
    <row r="843" spans="1:15">
      <c r="B843" s="86" t="s">
        <v>25</v>
      </c>
      <c r="C843" s="78"/>
      <c r="D843" s="60"/>
      <c r="E843" s="61"/>
      <c r="F843" s="61"/>
      <c r="G843" s="61"/>
      <c r="H843" s="199">
        <v>1</v>
      </c>
      <c r="I843" s="199">
        <v>1</v>
      </c>
      <c r="J843" s="199">
        <v>1</v>
      </c>
      <c r="K843" s="199">
        <v>1</v>
      </c>
      <c r="L843" s="199">
        <v>1</v>
      </c>
      <c r="M843" s="387">
        <v>1</v>
      </c>
      <c r="N843" s="387">
        <v>1</v>
      </c>
      <c r="O843" s="32"/>
    </row>
    <row r="844" spans="1:15">
      <c r="B844" s="86" t="s">
        <v>20</v>
      </c>
      <c r="C844" s="78"/>
      <c r="D844" s="52"/>
      <c r="E844" s="53"/>
      <c r="F844" s="53"/>
      <c r="G844" s="53"/>
      <c r="H844" s="53">
        <f>H51</f>
        <v>8.0535999999999996E-2</v>
      </c>
      <c r="I844" s="53">
        <f t="shared" ref="I844:N844" si="460">I51</f>
        <v>8.1698151927344531E-2</v>
      </c>
      <c r="J844" s="53">
        <f t="shared" si="460"/>
        <v>8.0833713568703974E-2</v>
      </c>
      <c r="K844" s="53">
        <f t="shared" si="460"/>
        <v>7.9451999999999995E-2</v>
      </c>
      <c r="L844" s="53">
        <f t="shared" si="460"/>
        <v>7.6724662968274293E-2</v>
      </c>
      <c r="M844" s="324">
        <f t="shared" ref="M844" si="461">M51</f>
        <v>7.9127103690396022E-2</v>
      </c>
      <c r="N844" s="324">
        <f t="shared" si="460"/>
        <v>7.9127103690396022E-2</v>
      </c>
      <c r="O844" s="32"/>
    </row>
    <row r="845" spans="1:15">
      <c r="B845" s="83" t="s">
        <v>22</v>
      </c>
      <c r="C845" s="84"/>
      <c r="D845" s="39">
        <f>ROUND(D842 * D843 * D844,0)</f>
        <v>0</v>
      </c>
      <c r="E845" s="39">
        <f t="shared" ref="E845:G845" si="462">ROUND(E842 * E843 * E844,0)</f>
        <v>0</v>
      </c>
      <c r="F845" s="39">
        <f t="shared" si="462"/>
        <v>0</v>
      </c>
      <c r="G845" s="39">
        <f t="shared" si="462"/>
        <v>0</v>
      </c>
      <c r="H845" s="39">
        <v>23306</v>
      </c>
      <c r="I845" s="39">
        <v>25457</v>
      </c>
      <c r="J845" s="39">
        <v>21686</v>
      </c>
      <c r="K845" s="39">
        <v>24143</v>
      </c>
      <c r="L845" s="39">
        <f>L842*L844</f>
        <v>24671.889522730155</v>
      </c>
      <c r="M845" s="39">
        <f>M842*M844</f>
        <v>27180.239244754724</v>
      </c>
      <c r="N845" s="39">
        <f>N842*N844</f>
        <v>27391.745992919154</v>
      </c>
      <c r="O845" s="32"/>
    </row>
    <row r="846" spans="1:15">
      <c r="B846" s="24"/>
      <c r="C846" s="32"/>
      <c r="D846" s="38"/>
      <c r="E846" s="38"/>
      <c r="F846" s="38"/>
      <c r="G846" s="38"/>
      <c r="H846" s="38"/>
      <c r="I846" s="38"/>
      <c r="J846" s="38"/>
      <c r="K846" s="38"/>
      <c r="L846" s="38"/>
      <c r="M846" s="38"/>
      <c r="N846" s="38"/>
      <c r="O846" s="32"/>
    </row>
    <row r="847" spans="1:15" ht="18.5">
      <c r="A847" s="46" t="s">
        <v>52</v>
      </c>
      <c r="C847" s="32"/>
      <c r="D847" s="2">
        <f>'Facility Detail'!$B$1897</f>
        <v>2011</v>
      </c>
      <c r="E847" s="2">
        <f>D847+1</f>
        <v>2012</v>
      </c>
      <c r="F847" s="2">
        <f>E847+1</f>
        <v>2013</v>
      </c>
      <c r="G847" s="2">
        <f t="shared" ref="G847:I847" si="463">F847+1</f>
        <v>2014</v>
      </c>
      <c r="H847" s="2">
        <f t="shared" si="463"/>
        <v>2015</v>
      </c>
      <c r="I847" s="2">
        <f t="shared" si="463"/>
        <v>2016</v>
      </c>
      <c r="J847" s="2">
        <f t="shared" ref="J847" si="464">I847+1</f>
        <v>2017</v>
      </c>
      <c r="K847" s="2">
        <f t="shared" ref="K847" si="465">J847+1</f>
        <v>2018</v>
      </c>
      <c r="L847" s="2">
        <f t="shared" ref="L847" si="466">K847+1</f>
        <v>2019</v>
      </c>
      <c r="M847" s="2">
        <f t="shared" ref="M847" si="467">L847+1</f>
        <v>2020</v>
      </c>
      <c r="N847" s="2">
        <f t="shared" ref="N847" si="468">M847+1</f>
        <v>2021</v>
      </c>
      <c r="O847" s="32"/>
    </row>
    <row r="848" spans="1:15">
      <c r="B848" s="86" t="s">
        <v>10</v>
      </c>
      <c r="C848" s="78"/>
      <c r="D848" s="55">
        <f>IF( $E19 = "Eligible", D845 * 'Facility Detail'!$B$1894, 0 )</f>
        <v>0</v>
      </c>
      <c r="E848" s="11">
        <f>IF( $E19 = "Eligible", E845 * 'Facility Detail'!$B$1894, 0 )</f>
        <v>0</v>
      </c>
      <c r="F848" s="11">
        <f>IF( $E19 = "Eligible", F845 * 'Facility Detail'!$B$1894, 0 )</f>
        <v>0</v>
      </c>
      <c r="G848" s="204">
        <f>IF( $E19 = "Eligible", G845 * 'Facility Detail'!$B$1894, 0 )</f>
        <v>0</v>
      </c>
      <c r="H848" s="179">
        <f>IF( $E19 = "Eligible", H845 * 'Facility Detail'!$B$1894, 0 )</f>
        <v>0</v>
      </c>
      <c r="I848" s="179">
        <f>IF( $E19 = "Eligible", I845 * 'Facility Detail'!$B$1894, 0 )</f>
        <v>0</v>
      </c>
      <c r="J848" s="179">
        <f>IF( $E19 = "Eligible", J845 * 'Facility Detail'!$B$1894, 0 )</f>
        <v>0</v>
      </c>
      <c r="K848" s="179">
        <f>IF( $E19 = "Eligible", K845 * 'Facility Detail'!$B$1894, 0 )</f>
        <v>0</v>
      </c>
      <c r="L848" s="179">
        <f>IF( $E19 = "Eligible", L845 * 'Facility Detail'!$B$1894, 0 )</f>
        <v>0</v>
      </c>
      <c r="M848" s="12">
        <f>IF( $E19 = "Eligible", M845 * 'Facility Detail'!$B$1894, 0 )</f>
        <v>0</v>
      </c>
      <c r="N848" s="12">
        <f>IF( $E19 = "Eligible", N845 * 'Facility Detail'!$B$1894, 0 )</f>
        <v>0</v>
      </c>
      <c r="O848" s="32"/>
    </row>
    <row r="849" spans="1:15">
      <c r="B849" s="86" t="s">
        <v>6</v>
      </c>
      <c r="C849" s="78"/>
      <c r="D849" s="56">
        <f t="shared" ref="D849:N849" si="469">IF( $F19 = "Eligible", D845, 0 )</f>
        <v>0</v>
      </c>
      <c r="E849" s="57">
        <f t="shared" si="469"/>
        <v>0</v>
      </c>
      <c r="F849" s="57">
        <f t="shared" si="469"/>
        <v>0</v>
      </c>
      <c r="G849" s="57">
        <f t="shared" si="469"/>
        <v>0</v>
      </c>
      <c r="H849" s="208">
        <f t="shared" si="469"/>
        <v>0</v>
      </c>
      <c r="I849" s="197">
        <f t="shared" si="469"/>
        <v>0</v>
      </c>
      <c r="J849" s="197">
        <f t="shared" si="469"/>
        <v>0</v>
      </c>
      <c r="K849" s="197">
        <f t="shared" si="469"/>
        <v>0</v>
      </c>
      <c r="L849" s="197">
        <f t="shared" si="469"/>
        <v>0</v>
      </c>
      <c r="M849" s="58">
        <f t="shared" ref="M849" si="470">IF( $F19 = "Eligible", M845, 0 )</f>
        <v>0</v>
      </c>
      <c r="N849" s="58">
        <f t="shared" si="469"/>
        <v>0</v>
      </c>
      <c r="O849" s="32"/>
    </row>
    <row r="850" spans="1:15">
      <c r="B850" s="85" t="s">
        <v>54</v>
      </c>
      <c r="C850" s="84"/>
      <c r="D850" s="41">
        <f>SUM(D848:D849)</f>
        <v>0</v>
      </c>
      <c r="E850" s="42">
        <f>SUM(E848:E849)</f>
        <v>0</v>
      </c>
      <c r="F850" s="42">
        <f>SUM(F848:F849)</f>
        <v>0</v>
      </c>
      <c r="G850" s="42">
        <f t="shared" ref="G850:I850" si="471">SUM(G848:G849)</f>
        <v>0</v>
      </c>
      <c r="H850" s="42">
        <f t="shared" si="471"/>
        <v>0</v>
      </c>
      <c r="I850" s="42">
        <f t="shared" si="471"/>
        <v>0</v>
      </c>
      <c r="J850" s="42">
        <f t="shared" ref="J850:L850" si="472">SUM(J848:J849)</f>
        <v>0</v>
      </c>
      <c r="K850" s="42">
        <f t="shared" si="472"/>
        <v>0</v>
      </c>
      <c r="L850" s="42">
        <f t="shared" si="472"/>
        <v>0</v>
      </c>
      <c r="M850" s="42">
        <f t="shared" ref="M850:N850" si="473">SUM(M848:M849)</f>
        <v>0</v>
      </c>
      <c r="N850" s="42">
        <f t="shared" si="473"/>
        <v>0</v>
      </c>
      <c r="O850" s="32"/>
    </row>
    <row r="851" spans="1:15">
      <c r="B851" s="32"/>
      <c r="C851" s="32"/>
      <c r="D851" s="40"/>
      <c r="E851" s="33"/>
      <c r="F851" s="33"/>
      <c r="G851" s="33"/>
      <c r="H851" s="33"/>
      <c r="I851" s="33"/>
      <c r="J851" s="33"/>
      <c r="K851" s="33"/>
      <c r="L851" s="33"/>
      <c r="M851" s="33"/>
      <c r="N851" s="33"/>
      <c r="O851" s="32"/>
    </row>
    <row r="852" spans="1:15" ht="18.5">
      <c r="A852" s="43" t="s">
        <v>30</v>
      </c>
      <c r="C852" s="32"/>
      <c r="D852" s="2">
        <f>'Facility Detail'!$B$1897</f>
        <v>2011</v>
      </c>
      <c r="E852" s="2">
        <f>D852+1</f>
        <v>2012</v>
      </c>
      <c r="F852" s="2">
        <f>E852+1</f>
        <v>2013</v>
      </c>
      <c r="G852" s="2">
        <f t="shared" ref="G852:I852" si="474">F852+1</f>
        <v>2014</v>
      </c>
      <c r="H852" s="2">
        <f t="shared" si="474"/>
        <v>2015</v>
      </c>
      <c r="I852" s="2">
        <f t="shared" si="474"/>
        <v>2016</v>
      </c>
      <c r="J852" s="2">
        <f t="shared" ref="J852" si="475">I852+1</f>
        <v>2017</v>
      </c>
      <c r="K852" s="2">
        <f t="shared" ref="K852" si="476">J852+1</f>
        <v>2018</v>
      </c>
      <c r="L852" s="2">
        <f t="shared" ref="L852" si="477">K852+1</f>
        <v>2019</v>
      </c>
      <c r="M852" s="2">
        <f t="shared" ref="M852" si="478">L852+1</f>
        <v>2020</v>
      </c>
      <c r="N852" s="2">
        <f t="shared" ref="N852" si="479">M852+1</f>
        <v>2021</v>
      </c>
      <c r="O852" s="32"/>
    </row>
    <row r="853" spans="1:15">
      <c r="B853" s="86" t="s">
        <v>32</v>
      </c>
      <c r="C853" s="78"/>
      <c r="D853" s="90"/>
      <c r="E853" s="91"/>
      <c r="F853" s="91"/>
      <c r="G853" s="165"/>
      <c r="H853" s="165"/>
      <c r="I853" s="91"/>
      <c r="J853" s="91"/>
      <c r="K853" s="91"/>
      <c r="L853" s="91"/>
      <c r="M853" s="92"/>
      <c r="N853" s="92"/>
      <c r="O853" s="32"/>
    </row>
    <row r="854" spans="1:15">
      <c r="B854" s="87" t="s">
        <v>23</v>
      </c>
      <c r="C854" s="192"/>
      <c r="D854" s="93"/>
      <c r="E854" s="94"/>
      <c r="F854" s="94"/>
      <c r="G854" s="166"/>
      <c r="H854" s="166"/>
      <c r="I854" s="94"/>
      <c r="J854" s="94"/>
      <c r="K854" s="94"/>
      <c r="L854" s="94"/>
      <c r="M854" s="95"/>
      <c r="N854" s="95"/>
      <c r="O854" s="32"/>
    </row>
    <row r="855" spans="1:15">
      <c r="B855" s="96" t="s">
        <v>38</v>
      </c>
      <c r="C855" s="190"/>
      <c r="D855" s="63"/>
      <c r="E855" s="64"/>
      <c r="F855" s="64"/>
      <c r="G855" s="167"/>
      <c r="H855" s="167"/>
      <c r="I855" s="64"/>
      <c r="J855" s="64"/>
      <c r="K855" s="64"/>
      <c r="L855" s="64"/>
      <c r="M855" s="65"/>
      <c r="N855" s="65"/>
      <c r="O855" s="32"/>
    </row>
    <row r="856" spans="1:15">
      <c r="B856" s="35" t="s">
        <v>39</v>
      </c>
      <c r="D856" s="7">
        <f>SUM(D853:D855)</f>
        <v>0</v>
      </c>
      <c r="E856" s="7">
        <f>SUM(E853:E855)</f>
        <v>0</v>
      </c>
      <c r="F856" s="7">
        <f>SUM(F853:F855)</f>
        <v>0</v>
      </c>
      <c r="G856" s="7">
        <f t="shared" ref="G856:I856" si="480">SUM(G853:G855)</f>
        <v>0</v>
      </c>
      <c r="H856" s="7">
        <f t="shared" si="480"/>
        <v>0</v>
      </c>
      <c r="I856" s="7">
        <f t="shared" si="480"/>
        <v>0</v>
      </c>
      <c r="J856" s="7">
        <f t="shared" ref="J856:L856" si="481">SUM(J853:J855)</f>
        <v>0</v>
      </c>
      <c r="K856" s="7">
        <f t="shared" si="481"/>
        <v>0</v>
      </c>
      <c r="L856" s="7">
        <f t="shared" si="481"/>
        <v>0</v>
      </c>
      <c r="M856" s="7">
        <f t="shared" ref="M856:N856" si="482">SUM(M853:M855)</f>
        <v>0</v>
      </c>
      <c r="N856" s="7">
        <f t="shared" si="482"/>
        <v>0</v>
      </c>
      <c r="O856" s="32"/>
    </row>
    <row r="857" spans="1:15">
      <c r="B857" s="6"/>
      <c r="D857" s="7"/>
      <c r="E857" s="7"/>
      <c r="F857" s="7"/>
      <c r="G857" s="7"/>
      <c r="H857" s="7"/>
      <c r="I857" s="7"/>
      <c r="J857" s="7"/>
      <c r="K857" s="7"/>
      <c r="L857" s="7"/>
      <c r="M857" s="7"/>
      <c r="N857" s="7"/>
      <c r="O857" s="32"/>
    </row>
    <row r="858" spans="1:15" ht="18.5">
      <c r="A858" s="9" t="s">
        <v>40</v>
      </c>
      <c r="D858" s="2">
        <f>'Facility Detail'!$B$1897</f>
        <v>2011</v>
      </c>
      <c r="E858" s="2">
        <f>D858+1</f>
        <v>2012</v>
      </c>
      <c r="F858" s="2">
        <f>E858+1</f>
        <v>2013</v>
      </c>
      <c r="G858" s="2">
        <f t="shared" ref="G858:K858" si="483">F858+1</f>
        <v>2014</v>
      </c>
      <c r="H858" s="2">
        <f t="shared" si="483"/>
        <v>2015</v>
      </c>
      <c r="I858" s="2">
        <f t="shared" si="483"/>
        <v>2016</v>
      </c>
      <c r="J858" s="2">
        <f t="shared" si="483"/>
        <v>2017</v>
      </c>
      <c r="K858" s="2">
        <f t="shared" si="483"/>
        <v>2018</v>
      </c>
      <c r="L858" s="2">
        <f t="shared" ref="L858" si="484">K858+1</f>
        <v>2019</v>
      </c>
      <c r="M858" s="2">
        <f t="shared" ref="M858" si="485">L858+1</f>
        <v>2020</v>
      </c>
      <c r="N858" s="2">
        <f t="shared" ref="N858" si="486">M858+1</f>
        <v>2021</v>
      </c>
      <c r="O858" s="32"/>
    </row>
    <row r="859" spans="1:15">
      <c r="B859" s="86" t="s">
        <v>34</v>
      </c>
      <c r="C859" s="32"/>
      <c r="D859" s="3"/>
      <c r="E859" s="66">
        <f>D859</f>
        <v>0</v>
      </c>
      <c r="F859" s="138"/>
      <c r="G859" s="138"/>
      <c r="H859" s="138"/>
      <c r="I859" s="138"/>
      <c r="J859" s="138"/>
      <c r="K859" s="138"/>
      <c r="L859" s="138"/>
      <c r="M859" s="67"/>
      <c r="N859" s="67"/>
      <c r="O859" s="32"/>
    </row>
    <row r="860" spans="1:15">
      <c r="B860" s="86" t="s">
        <v>35</v>
      </c>
      <c r="C860" s="32"/>
      <c r="D860" s="174">
        <f>E860</f>
        <v>0</v>
      </c>
      <c r="E860" s="10"/>
      <c r="F860" s="81"/>
      <c r="G860" s="81"/>
      <c r="H860" s="81"/>
      <c r="I860" s="81"/>
      <c r="J860" s="81"/>
      <c r="K860" s="81"/>
      <c r="L860" s="81"/>
      <c r="M860" s="175"/>
      <c r="N860" s="175"/>
      <c r="O860" s="32"/>
    </row>
    <row r="861" spans="1:15">
      <c r="B861" s="86" t="s">
        <v>36</v>
      </c>
      <c r="C861" s="32"/>
      <c r="D861" s="68"/>
      <c r="E861" s="10">
        <f>E845</f>
        <v>0</v>
      </c>
      <c r="F861" s="77">
        <f>E861</f>
        <v>0</v>
      </c>
      <c r="G861" s="81"/>
      <c r="H861" s="81"/>
      <c r="I861" s="81"/>
      <c r="J861" s="81"/>
      <c r="K861" s="81"/>
      <c r="L861" s="81"/>
      <c r="M861" s="175"/>
      <c r="N861" s="175"/>
      <c r="O861" s="32"/>
    </row>
    <row r="862" spans="1:15">
      <c r="B862" s="86" t="s">
        <v>37</v>
      </c>
      <c r="C862" s="32"/>
      <c r="D862" s="68"/>
      <c r="E862" s="77">
        <f>F862</f>
        <v>0</v>
      </c>
      <c r="F862" s="173"/>
      <c r="G862" s="81"/>
      <c r="H862" s="81"/>
      <c r="I862" s="81"/>
      <c r="J862" s="81"/>
      <c r="K862" s="81"/>
      <c r="L862" s="81"/>
      <c r="M862" s="175"/>
      <c r="N862" s="175"/>
      <c r="O862" s="32"/>
    </row>
    <row r="863" spans="1:15">
      <c r="B863" s="86" t="s">
        <v>122</v>
      </c>
      <c r="C863" s="32"/>
      <c r="D863" s="68"/>
      <c r="E863" s="157"/>
      <c r="F863" s="10">
        <f>F845</f>
        <v>0</v>
      </c>
      <c r="G863" s="158">
        <f>F863</f>
        <v>0</v>
      </c>
      <c r="H863" s="81"/>
      <c r="I863" s="81"/>
      <c r="J863" s="81"/>
      <c r="K863" s="81"/>
      <c r="L863" s="81"/>
      <c r="M863" s="175"/>
      <c r="N863" s="175"/>
      <c r="O863" s="32"/>
    </row>
    <row r="864" spans="1:15">
      <c r="B864" s="86" t="s">
        <v>123</v>
      </c>
      <c r="C864" s="32"/>
      <c r="D864" s="68"/>
      <c r="E864" s="157"/>
      <c r="F864" s="77">
        <f>G864</f>
        <v>0</v>
      </c>
      <c r="G864" s="10"/>
      <c r="H864" s="81"/>
      <c r="I864" s="81"/>
      <c r="J864" s="81" t="s">
        <v>121</v>
      </c>
      <c r="K864" s="81"/>
      <c r="L864" s="81"/>
      <c r="M864" s="175"/>
      <c r="N864" s="175"/>
      <c r="O864" s="32"/>
    </row>
    <row r="865" spans="2:15">
      <c r="B865" s="86" t="s">
        <v>124</v>
      </c>
      <c r="C865" s="32"/>
      <c r="D865" s="68"/>
      <c r="E865" s="157"/>
      <c r="F865" s="157"/>
      <c r="G865" s="10"/>
      <c r="H865" s="158">
        <f>G865</f>
        <v>0</v>
      </c>
      <c r="I865" s="157">
        <f>H865</f>
        <v>0</v>
      </c>
      <c r="J865" s="81"/>
      <c r="K865" s="81"/>
      <c r="L865" s="81"/>
      <c r="M865" s="161"/>
      <c r="N865" s="161"/>
      <c r="O865" s="32"/>
    </row>
    <row r="866" spans="2:15">
      <c r="B866" s="86" t="s">
        <v>125</v>
      </c>
      <c r="C866" s="32"/>
      <c r="D866" s="68"/>
      <c r="E866" s="157"/>
      <c r="F866" s="157"/>
      <c r="G866" s="77">
        <f>H866</f>
        <v>0</v>
      </c>
      <c r="H866" s="10"/>
      <c r="I866" s="157"/>
      <c r="J866" s="81"/>
      <c r="K866" s="81"/>
      <c r="L866" s="81"/>
      <c r="M866" s="161"/>
      <c r="N866" s="161"/>
      <c r="O866" s="32"/>
    </row>
    <row r="867" spans="2:15">
      <c r="B867" s="86" t="s">
        <v>126</v>
      </c>
      <c r="C867" s="32"/>
      <c r="D867" s="68"/>
      <c r="E867" s="157"/>
      <c r="F867" s="157"/>
      <c r="G867" s="157"/>
      <c r="H867" s="10">
        <f>H845</f>
        <v>23306</v>
      </c>
      <c r="I867" s="158">
        <f>H867</f>
        <v>23306</v>
      </c>
      <c r="J867" s="81"/>
      <c r="K867" s="81"/>
      <c r="L867" s="81"/>
      <c r="M867" s="161"/>
      <c r="N867" s="161"/>
      <c r="O867" s="32"/>
    </row>
    <row r="868" spans="2:15">
      <c r="B868" s="86" t="s">
        <v>127</v>
      </c>
      <c r="C868" s="32"/>
      <c r="D868" s="68"/>
      <c r="E868" s="157"/>
      <c r="F868" s="157"/>
      <c r="G868" s="157"/>
      <c r="H868" s="77"/>
      <c r="I868" s="10"/>
      <c r="J868" s="81"/>
      <c r="K868" s="81"/>
      <c r="L868" s="81"/>
      <c r="M868" s="161"/>
      <c r="N868" s="161"/>
      <c r="O868" s="32"/>
    </row>
    <row r="869" spans="2:15">
      <c r="B869" s="86" t="s">
        <v>128</v>
      </c>
      <c r="C869" s="32"/>
      <c r="D869" s="68"/>
      <c r="E869" s="157"/>
      <c r="F869" s="157"/>
      <c r="G869" s="157"/>
      <c r="H869" s="157"/>
      <c r="I869" s="340">
        <v>13886</v>
      </c>
      <c r="J869" s="341">
        <f>I869</f>
        <v>13886</v>
      </c>
      <c r="K869" s="81"/>
      <c r="L869" s="81"/>
      <c r="M869" s="161"/>
      <c r="N869" s="161"/>
      <c r="O869" s="32"/>
    </row>
    <row r="870" spans="2:15">
      <c r="B870" s="86" t="s">
        <v>119</v>
      </c>
      <c r="C870" s="32"/>
      <c r="D870" s="68"/>
      <c r="E870" s="157"/>
      <c r="F870" s="157"/>
      <c r="G870" s="157"/>
      <c r="H870" s="157"/>
      <c r="I870" s="248"/>
      <c r="J870" s="160"/>
      <c r="K870" s="81"/>
      <c r="L870" s="81"/>
      <c r="M870" s="161"/>
      <c r="N870" s="161"/>
      <c r="O870" s="32"/>
    </row>
    <row r="871" spans="2:15">
      <c r="B871" s="86" t="s">
        <v>120</v>
      </c>
      <c r="C871" s="32"/>
      <c r="D871" s="68"/>
      <c r="E871" s="157"/>
      <c r="F871" s="157"/>
      <c r="G871" s="157"/>
      <c r="H871" s="157"/>
      <c r="I871" s="157"/>
      <c r="J871" s="160">
        <v>0</v>
      </c>
      <c r="K871" s="159">
        <f>J871</f>
        <v>0</v>
      </c>
      <c r="L871" s="81"/>
      <c r="M871" s="161"/>
      <c r="N871" s="161"/>
      <c r="O871" s="32"/>
    </row>
    <row r="872" spans="2:15">
      <c r="B872" s="86" t="s">
        <v>152</v>
      </c>
      <c r="C872" s="32"/>
      <c r="D872" s="68"/>
      <c r="E872" s="157"/>
      <c r="F872" s="157"/>
      <c r="G872" s="157"/>
      <c r="H872" s="157"/>
      <c r="I872" s="157"/>
      <c r="J872" s="305"/>
      <c r="K872" s="160"/>
      <c r="L872" s="81"/>
      <c r="M872" s="161"/>
      <c r="N872" s="161"/>
      <c r="O872" s="32"/>
    </row>
    <row r="873" spans="2:15">
      <c r="B873" s="86" t="s">
        <v>153</v>
      </c>
      <c r="C873" s="32"/>
      <c r="D873" s="68"/>
      <c r="E873" s="157"/>
      <c r="F873" s="157"/>
      <c r="G873" s="157"/>
      <c r="H873" s="157"/>
      <c r="I873" s="157"/>
      <c r="J873" s="157"/>
      <c r="K873" s="374">
        <v>0</v>
      </c>
      <c r="L873" s="159">
        <f>K873</f>
        <v>0</v>
      </c>
      <c r="M873" s="311"/>
      <c r="N873" s="311"/>
      <c r="O873" s="32"/>
    </row>
    <row r="874" spans="2:15">
      <c r="B874" s="86" t="s">
        <v>154</v>
      </c>
      <c r="C874" s="32"/>
      <c r="D874" s="68"/>
      <c r="E874" s="157"/>
      <c r="F874" s="157"/>
      <c r="G874" s="157"/>
      <c r="H874" s="157"/>
      <c r="I874" s="157"/>
      <c r="J874" s="157"/>
      <c r="K874" s="373"/>
      <c r="L874" s="160"/>
      <c r="M874" s="195"/>
      <c r="N874" s="195"/>
      <c r="O874" s="32"/>
    </row>
    <row r="875" spans="2:15">
      <c r="B875" s="86" t="s">
        <v>155</v>
      </c>
      <c r="C875" s="32"/>
      <c r="D875" s="68"/>
      <c r="E875" s="157"/>
      <c r="F875" s="157"/>
      <c r="G875" s="157"/>
      <c r="H875" s="157"/>
      <c r="I875" s="157"/>
      <c r="J875" s="157"/>
      <c r="K875" s="157"/>
      <c r="L875" s="374">
        <v>0</v>
      </c>
      <c r="M875" s="159">
        <f>L875</f>
        <v>0</v>
      </c>
      <c r="N875" s="161"/>
      <c r="O875" s="32"/>
    </row>
    <row r="876" spans="2:15">
      <c r="B876" s="86" t="s">
        <v>156</v>
      </c>
      <c r="C876" s="32"/>
      <c r="D876" s="68"/>
      <c r="E876" s="157"/>
      <c r="F876" s="157"/>
      <c r="G876" s="157"/>
      <c r="H876" s="157"/>
      <c r="I876" s="157"/>
      <c r="J876" s="157"/>
      <c r="K876" s="157"/>
      <c r="L876" s="373"/>
      <c r="M876" s="160"/>
      <c r="N876" s="195"/>
      <c r="O876" s="32"/>
    </row>
    <row r="877" spans="2:15">
      <c r="B877" s="86" t="s">
        <v>157</v>
      </c>
      <c r="C877" s="32"/>
      <c r="D877" s="68"/>
      <c r="E877" s="157"/>
      <c r="F877" s="157"/>
      <c r="G877" s="157"/>
      <c r="H877" s="157"/>
      <c r="I877" s="157"/>
      <c r="J877" s="157"/>
      <c r="K877" s="157"/>
      <c r="L877" s="157"/>
      <c r="M877" s="374">
        <v>0</v>
      </c>
      <c r="N877" s="159">
        <f>M877</f>
        <v>0</v>
      </c>
      <c r="O877" s="32"/>
    </row>
    <row r="878" spans="2:15">
      <c r="B878" s="86" t="s">
        <v>173</v>
      </c>
      <c r="C878" s="32"/>
      <c r="D878" s="68"/>
      <c r="E878" s="157"/>
      <c r="F878" s="157"/>
      <c r="G878" s="157"/>
      <c r="H878" s="157"/>
      <c r="I878" s="157"/>
      <c r="J878" s="157"/>
      <c r="K878" s="157"/>
      <c r="L878" s="157"/>
      <c r="M878" s="249">
        <f>N878</f>
        <v>20000</v>
      </c>
      <c r="N878" s="160">
        <v>20000</v>
      </c>
      <c r="O878" s="32"/>
    </row>
    <row r="879" spans="2:15">
      <c r="B879" s="86" t="s">
        <v>174</v>
      </c>
      <c r="C879" s="32"/>
      <c r="D879" s="68"/>
      <c r="E879" s="157"/>
      <c r="F879" s="157"/>
      <c r="G879" s="157"/>
      <c r="H879" s="157"/>
      <c r="I879" s="157"/>
      <c r="J879" s="157"/>
      <c r="K879" s="157"/>
      <c r="L879" s="157"/>
      <c r="M879" s="372"/>
      <c r="N879" s="374">
        <v>0</v>
      </c>
      <c r="O879" s="32"/>
    </row>
    <row r="880" spans="2:15">
      <c r="B880" s="86"/>
      <c r="C880" s="32"/>
      <c r="D880" s="140"/>
      <c r="E880" s="140"/>
      <c r="F880" s="140"/>
      <c r="G880" s="140"/>
      <c r="H880" s="140"/>
      <c r="I880" s="140"/>
      <c r="J880" s="140"/>
      <c r="K880" s="140"/>
      <c r="L880" s="140"/>
      <c r="M880" s="140"/>
      <c r="N880" s="375"/>
      <c r="O880" s="32"/>
    </row>
    <row r="881" spans="1:15">
      <c r="B881" s="35" t="s">
        <v>17</v>
      </c>
      <c r="D881" s="198">
        <f xml:space="preserve"> D863 - D859</f>
        <v>0</v>
      </c>
      <c r="E881" s="198">
        <f xml:space="preserve"> E859 + E867 - E864 - E863</f>
        <v>0</v>
      </c>
      <c r="F881" s="198">
        <f>F864 - F867</f>
        <v>0</v>
      </c>
      <c r="G881" s="198">
        <f t="shared" ref="G881" si="487">G864 - G867</f>
        <v>0</v>
      </c>
      <c r="H881" s="198">
        <f>H865-H866-H867</f>
        <v>-23306</v>
      </c>
      <c r="I881" s="198">
        <f>I867-I868-I869</f>
        <v>9420</v>
      </c>
      <c r="J881" s="198">
        <f>J869-J870-J871</f>
        <v>13886</v>
      </c>
      <c r="K881" s="198">
        <f>K871-K872-K873</f>
        <v>0</v>
      </c>
      <c r="L881" s="198">
        <f>L873-L874-L875</f>
        <v>0</v>
      </c>
      <c r="M881" s="198">
        <f>M878</f>
        <v>20000</v>
      </c>
      <c r="N881" s="198">
        <f>N878*-1</f>
        <v>-20000</v>
      </c>
      <c r="O881" s="32"/>
    </row>
    <row r="882" spans="1:15">
      <c r="B882" s="6"/>
      <c r="D882" s="7"/>
      <c r="E882" s="7"/>
      <c r="F882" s="7"/>
      <c r="G882" s="7"/>
      <c r="H882" s="7"/>
      <c r="I882" s="7"/>
      <c r="J882" s="7"/>
      <c r="K882" s="7"/>
      <c r="L882" s="7"/>
      <c r="M882" s="7"/>
      <c r="N882" s="7"/>
      <c r="O882" s="32"/>
    </row>
    <row r="883" spans="1:15">
      <c r="B883" s="83" t="s">
        <v>12</v>
      </c>
      <c r="C883" s="78"/>
      <c r="D883" s="101"/>
      <c r="E883" s="102"/>
      <c r="F883" s="170"/>
      <c r="G883" s="102"/>
      <c r="H883" s="169"/>
      <c r="I883" s="102"/>
      <c r="J883" s="102"/>
      <c r="K883" s="102"/>
      <c r="L883" s="102"/>
      <c r="M883" s="103"/>
      <c r="N883" s="103"/>
      <c r="O883" s="32"/>
    </row>
    <row r="884" spans="1:15">
      <c r="B884" s="6"/>
      <c r="D884" s="7"/>
      <c r="E884" s="7"/>
      <c r="F884" s="7"/>
      <c r="G884" s="7"/>
      <c r="H884" s="7"/>
      <c r="I884" s="7"/>
      <c r="J884" s="7"/>
      <c r="K884" s="7"/>
      <c r="L884" s="7"/>
      <c r="M884" s="7"/>
      <c r="N884" s="7"/>
      <c r="O884" s="32"/>
    </row>
    <row r="885" spans="1:15" ht="18.5">
      <c r="A885" s="43" t="s">
        <v>26</v>
      </c>
      <c r="C885" s="78"/>
      <c r="D885" s="47">
        <f xml:space="preserve"> D845 + D850 - D856 + D881 + D883</f>
        <v>0</v>
      </c>
      <c r="E885" s="48">
        <f xml:space="preserve"> E845 + E850 - E856 + E881 + E883</f>
        <v>0</v>
      </c>
      <c r="F885" s="171">
        <f xml:space="preserve"> F845 + F850 - F856 + F881 + F883</f>
        <v>0</v>
      </c>
      <c r="G885" s="48">
        <f t="shared" ref="G885:N885" si="488" xml:space="preserve"> G845 + G850 - G856 + G881 + G883</f>
        <v>0</v>
      </c>
      <c r="H885" s="203">
        <f t="shared" si="488"/>
        <v>0</v>
      </c>
      <c r="I885" s="203">
        <f t="shared" si="488"/>
        <v>34877</v>
      </c>
      <c r="J885" s="203">
        <f t="shared" si="488"/>
        <v>35572</v>
      </c>
      <c r="K885" s="203">
        <f t="shared" si="488"/>
        <v>24143</v>
      </c>
      <c r="L885" s="203">
        <f t="shared" si="488"/>
        <v>24671.889522730155</v>
      </c>
      <c r="M885" s="203">
        <f t="shared" ref="M885" si="489" xml:space="preserve"> M845 + M850 - M856 + M881 + M883</f>
        <v>47180.239244754724</v>
      </c>
      <c r="N885" s="203">
        <f t="shared" si="488"/>
        <v>7391.7459929191537</v>
      </c>
      <c r="O885" s="32"/>
    </row>
    <row r="886" spans="1:15">
      <c r="B886" s="6"/>
      <c r="D886" s="7"/>
      <c r="E886" s="7"/>
      <c r="F886" s="7"/>
      <c r="G886" s="30"/>
      <c r="H886" s="30"/>
      <c r="I886" s="30"/>
      <c r="J886" s="30"/>
      <c r="K886" s="30"/>
      <c r="L886" s="30"/>
      <c r="M886" s="30"/>
      <c r="N886" s="30"/>
      <c r="O886" s="32"/>
    </row>
    <row r="887" spans="1:15" ht="15" thickBot="1">
      <c r="O887" s="32"/>
    </row>
    <row r="888" spans="1:15" ht="15" customHeight="1">
      <c r="A888" s="8"/>
      <c r="B888" s="8"/>
      <c r="C888" s="8"/>
      <c r="D888" s="8"/>
      <c r="E888" s="8"/>
      <c r="F888" s="8"/>
      <c r="G888" s="8"/>
      <c r="H888" s="8"/>
      <c r="I888" s="8"/>
      <c r="J888" s="8"/>
      <c r="K888" s="8"/>
      <c r="L888" s="8"/>
      <c r="M888" s="8"/>
      <c r="N888" s="8"/>
      <c r="O888" s="32"/>
    </row>
    <row r="889" spans="1:15" ht="15" customHeight="1">
      <c r="B889" s="32"/>
      <c r="C889" s="32"/>
      <c r="D889" s="32"/>
      <c r="E889" s="32"/>
      <c r="F889" s="32"/>
      <c r="G889" s="32"/>
      <c r="H889" s="32"/>
      <c r="I889" s="32"/>
      <c r="J889" s="32"/>
      <c r="K889" s="32"/>
      <c r="L889" s="32"/>
      <c r="M889" s="32"/>
      <c r="N889" s="32"/>
      <c r="O889" s="32"/>
    </row>
    <row r="890" spans="1:15" ht="21" customHeight="1">
      <c r="A890" s="14" t="s">
        <v>4</v>
      </c>
      <c r="B890" s="14"/>
      <c r="C890" s="44" t="str">
        <f>B20</f>
        <v>Rolling Hills</v>
      </c>
      <c r="D890" s="45"/>
      <c r="E890" s="24"/>
      <c r="F890" s="24"/>
      <c r="O890" s="32"/>
    </row>
    <row r="891" spans="1:15" ht="15" customHeight="1">
      <c r="O891" s="32"/>
    </row>
    <row r="892" spans="1:15" ht="18.75" customHeight="1">
      <c r="A892" s="9" t="s">
        <v>21</v>
      </c>
      <c r="B892" s="9"/>
      <c r="D892" s="2">
        <f>'Facility Detail'!$B$1897</f>
        <v>2011</v>
      </c>
      <c r="E892" s="2">
        <f>D892+1</f>
        <v>2012</v>
      </c>
      <c r="F892" s="2">
        <f>E892+1</f>
        <v>2013</v>
      </c>
      <c r="G892" s="2">
        <f t="shared" ref="G892:K892" si="490">F892+1</f>
        <v>2014</v>
      </c>
      <c r="H892" s="2">
        <f t="shared" si="490"/>
        <v>2015</v>
      </c>
      <c r="I892" s="2">
        <f t="shared" si="490"/>
        <v>2016</v>
      </c>
      <c r="J892" s="2">
        <f t="shared" si="490"/>
        <v>2017</v>
      </c>
      <c r="K892" s="2">
        <f t="shared" si="490"/>
        <v>2018</v>
      </c>
      <c r="L892" s="2">
        <f t="shared" ref="L892" si="491">K892+1</f>
        <v>2019</v>
      </c>
      <c r="M892" s="2">
        <f t="shared" ref="M892" si="492">L892+1</f>
        <v>2020</v>
      </c>
      <c r="N892" s="2">
        <f t="shared" ref="N892" si="493">M892+1</f>
        <v>2021</v>
      </c>
      <c r="O892" s="32"/>
    </row>
    <row r="893" spans="1:15" ht="15" customHeight="1">
      <c r="B893" s="86" t="str">
        <f>"Total MWh Produced / Purchased from " &amp; C890</f>
        <v>Total MWh Produced / Purchased from Rolling Hills</v>
      </c>
      <c r="C893" s="78"/>
      <c r="D893" s="3"/>
      <c r="E893" s="4"/>
      <c r="F893" s="4"/>
      <c r="G893" s="205"/>
      <c r="H893" s="205">
        <v>5468</v>
      </c>
      <c r="I893" s="205"/>
      <c r="J893" s="205"/>
      <c r="K893" s="205"/>
      <c r="L893" s="205"/>
      <c r="M893" s="205"/>
      <c r="N893" s="205"/>
      <c r="O893" s="32"/>
    </row>
    <row r="894" spans="1:15" ht="15" customHeight="1">
      <c r="B894" s="86" t="s">
        <v>25</v>
      </c>
      <c r="C894" s="78"/>
      <c r="D894" s="60"/>
      <c r="E894" s="61"/>
      <c r="F894" s="61"/>
      <c r="G894" s="207"/>
      <c r="H894" s="206">
        <v>1</v>
      </c>
      <c r="I894" s="206"/>
      <c r="J894" s="206"/>
      <c r="K894" s="206"/>
      <c r="L894" s="206"/>
      <c r="M894" s="206"/>
      <c r="N894" s="206"/>
      <c r="O894" s="32"/>
    </row>
    <row r="895" spans="1:15" ht="15" customHeight="1">
      <c r="B895" s="86" t="s">
        <v>20</v>
      </c>
      <c r="C895" s="78"/>
      <c r="D895" s="52"/>
      <c r="E895" s="53"/>
      <c r="F895" s="53"/>
      <c r="G895" s="200"/>
      <c r="H895" s="53">
        <v>1</v>
      </c>
      <c r="I895" s="53"/>
      <c r="J895" s="53"/>
      <c r="K895" s="53"/>
      <c r="L895" s="53"/>
      <c r="M895" s="53"/>
      <c r="N895" s="53"/>
      <c r="O895" s="32"/>
    </row>
    <row r="896" spans="1:15" ht="15" customHeight="1">
      <c r="B896" s="83" t="s">
        <v>22</v>
      </c>
      <c r="C896" s="84"/>
      <c r="D896" s="39">
        <f xml:space="preserve"> ROUND(D893 * D894 * D895,0)</f>
        <v>0</v>
      </c>
      <c r="E896" s="39">
        <f t="shared" ref="E896:G896" si="494" xml:space="preserve"> ROUND(E893 * E894 * E895,0)</f>
        <v>0</v>
      </c>
      <c r="F896" s="39">
        <f t="shared" si="494"/>
        <v>0</v>
      </c>
      <c r="G896" s="39">
        <f t="shared" si="494"/>
        <v>0</v>
      </c>
      <c r="H896" s="39">
        <v>5468</v>
      </c>
      <c r="I896" s="39">
        <f t="shared" ref="I896:J896" si="495" xml:space="preserve"> ROUND(I893 * I894 * I895,0)</f>
        <v>0</v>
      </c>
      <c r="J896" s="39">
        <f t="shared" si="495"/>
        <v>0</v>
      </c>
      <c r="K896" s="39">
        <f t="shared" ref="K896:N896" si="496" xml:space="preserve"> ROUND(K893 * K894 * K895,0)</f>
        <v>0</v>
      </c>
      <c r="L896" s="39">
        <f t="shared" si="496"/>
        <v>0</v>
      </c>
      <c r="M896" s="39">
        <f t="shared" ref="M896" si="497" xml:space="preserve"> ROUND(M893 * M894 * M895,0)</f>
        <v>0</v>
      </c>
      <c r="N896" s="39">
        <f t="shared" si="496"/>
        <v>0</v>
      </c>
      <c r="O896" s="32"/>
    </row>
    <row r="897" spans="1:15" ht="15" customHeight="1">
      <c r="B897" s="24"/>
      <c r="C897" s="32"/>
      <c r="D897" s="38"/>
      <c r="E897" s="38"/>
      <c r="F897" s="38"/>
      <c r="G897" s="38"/>
      <c r="H897" s="38"/>
      <c r="I897" s="38"/>
      <c r="J897" s="38"/>
      <c r="K897" s="38"/>
      <c r="L897" s="38"/>
      <c r="M897" s="38"/>
      <c r="N897" s="38"/>
      <c r="O897" s="32"/>
    </row>
    <row r="898" spans="1:15" ht="18.75" customHeight="1">
      <c r="A898" s="46" t="s">
        <v>52</v>
      </c>
      <c r="C898" s="32"/>
      <c r="D898" s="2">
        <f>'Facility Detail'!$B$1897</f>
        <v>2011</v>
      </c>
      <c r="E898" s="2">
        <f>D898+1</f>
        <v>2012</v>
      </c>
      <c r="F898" s="2">
        <f>E898+1</f>
        <v>2013</v>
      </c>
      <c r="G898" s="2">
        <f t="shared" ref="G898:J898" si="498">F898+1</f>
        <v>2014</v>
      </c>
      <c r="H898" s="2">
        <f t="shared" si="498"/>
        <v>2015</v>
      </c>
      <c r="I898" s="2">
        <f t="shared" si="498"/>
        <v>2016</v>
      </c>
      <c r="J898" s="2">
        <f t="shared" si="498"/>
        <v>2017</v>
      </c>
      <c r="K898" s="2">
        <f>K892</f>
        <v>2018</v>
      </c>
      <c r="L898" s="2">
        <f t="shared" ref="L898:N898" si="499">L892</f>
        <v>2019</v>
      </c>
      <c r="M898" s="2">
        <f t="shared" si="499"/>
        <v>2020</v>
      </c>
      <c r="N898" s="2">
        <f t="shared" si="499"/>
        <v>2021</v>
      </c>
      <c r="O898" s="32"/>
    </row>
    <row r="899" spans="1:15" ht="15" customHeight="1">
      <c r="B899" s="86" t="s">
        <v>10</v>
      </c>
      <c r="C899" s="78"/>
      <c r="D899" s="55">
        <f>IF( $E20 = "Eligible", D896 * 'Facility Detail'!$B$1894, 0 )</f>
        <v>0</v>
      </c>
      <c r="E899" s="11">
        <f>IF( $E20 = "Eligible", E896 * 'Facility Detail'!$B$1894, 0 )</f>
        <v>0</v>
      </c>
      <c r="F899" s="11">
        <f>IF( $E20 = "Eligible", F896 * 'Facility Detail'!$B$1894, 0 )</f>
        <v>0</v>
      </c>
      <c r="G899" s="11">
        <f>IF( $E20 = "Eligible", G896 * 'Facility Detail'!$B$1894, 0 )</f>
        <v>0</v>
      </c>
      <c r="H899" s="11">
        <f>IF( $E20 = "Eligible", H896 * 'Facility Detail'!$B$1894, 0 )</f>
        <v>0</v>
      </c>
      <c r="I899" s="11">
        <f>IF( $E20 = "Eligible", I896 * 'Facility Detail'!$B$1894, 0 )</f>
        <v>0</v>
      </c>
      <c r="J899" s="11">
        <f>IF( $E20 = "Eligible", J896 * 'Facility Detail'!$B$1894, 0 )</f>
        <v>0</v>
      </c>
      <c r="K899" s="11">
        <f>IF( $E20 = "Eligible", K896 * 'Facility Detail'!$B$1894, 0 )</f>
        <v>0</v>
      </c>
      <c r="L899" s="11">
        <f>IF( $E20 = "Eligible", L896 * 'Facility Detail'!$B$1894, 0 )</f>
        <v>0</v>
      </c>
      <c r="M899" s="11">
        <f>IF( $E20 = "Eligible", M896 * 'Facility Detail'!$B$1894, 0 )</f>
        <v>0</v>
      </c>
      <c r="N899" s="11">
        <f>IF( $E20 = "Eligible", N896 * 'Facility Detail'!$B$1894, 0 )</f>
        <v>0</v>
      </c>
      <c r="O899" s="32"/>
    </row>
    <row r="900" spans="1:15" ht="15" customHeight="1">
      <c r="B900" s="86" t="s">
        <v>6</v>
      </c>
      <c r="C900" s="78"/>
      <c r="D900" s="56">
        <f t="shared" ref="D900:J900" si="500">IF( $F20 = "Eligible", D896, 0 )</f>
        <v>0</v>
      </c>
      <c r="E900" s="57">
        <f t="shared" si="500"/>
        <v>0</v>
      </c>
      <c r="F900" s="57">
        <f t="shared" si="500"/>
        <v>0</v>
      </c>
      <c r="G900" s="57">
        <f t="shared" si="500"/>
        <v>0</v>
      </c>
      <c r="H900" s="57">
        <f t="shared" si="500"/>
        <v>0</v>
      </c>
      <c r="I900" s="57">
        <f t="shared" si="500"/>
        <v>0</v>
      </c>
      <c r="J900" s="57">
        <f t="shared" si="500"/>
        <v>0</v>
      </c>
      <c r="K900" s="57">
        <f t="shared" ref="K900:N900" si="501">IF( $F20 = "Eligible", K896, 0 )</f>
        <v>0</v>
      </c>
      <c r="L900" s="57">
        <f t="shared" si="501"/>
        <v>0</v>
      </c>
      <c r="M900" s="57">
        <f t="shared" ref="M900" si="502">IF( $F20 = "Eligible", M896, 0 )</f>
        <v>0</v>
      </c>
      <c r="N900" s="57">
        <f t="shared" si="501"/>
        <v>0</v>
      </c>
      <c r="O900" s="32"/>
    </row>
    <row r="901" spans="1:15" ht="15" customHeight="1">
      <c r="B901" s="85" t="s">
        <v>54</v>
      </c>
      <c r="C901" s="84"/>
      <c r="D901" s="41">
        <f>SUM(D899:D900)</f>
        <v>0</v>
      </c>
      <c r="E901" s="42">
        <f>SUM(E899:E900)</f>
        <v>0</v>
      </c>
      <c r="F901" s="42">
        <f>SUM(F899:F900)</f>
        <v>0</v>
      </c>
      <c r="G901" s="42">
        <f t="shared" ref="G901:I901" si="503">SUM(G899:G900)</f>
        <v>0</v>
      </c>
      <c r="H901" s="42">
        <f t="shared" si="503"/>
        <v>0</v>
      </c>
      <c r="I901" s="42">
        <f t="shared" si="503"/>
        <v>0</v>
      </c>
      <c r="J901" s="42"/>
      <c r="K901" s="42"/>
      <c r="L901" s="42"/>
      <c r="M901" s="42"/>
      <c r="N901" s="42"/>
      <c r="O901" s="32"/>
    </row>
    <row r="902" spans="1:15" ht="15" customHeight="1">
      <c r="B902" s="32"/>
      <c r="C902" s="32"/>
      <c r="D902" s="40"/>
      <c r="E902" s="33"/>
      <c r="F902" s="33"/>
      <c r="G902" s="33"/>
      <c r="H902" s="33"/>
      <c r="I902" s="33"/>
      <c r="J902" s="33"/>
      <c r="K902" s="33"/>
      <c r="L902" s="33"/>
      <c r="M902" s="33"/>
      <c r="N902" s="33"/>
      <c r="O902" s="32"/>
    </row>
    <row r="903" spans="1:15" ht="18.75" customHeight="1">
      <c r="A903" s="43" t="s">
        <v>30</v>
      </c>
      <c r="C903" s="32"/>
      <c r="D903" s="2">
        <f>'Facility Detail'!$B$1897</f>
        <v>2011</v>
      </c>
      <c r="E903" s="2">
        <f>D903+1</f>
        <v>2012</v>
      </c>
      <c r="F903" s="2">
        <f>E903+1</f>
        <v>2013</v>
      </c>
      <c r="G903" s="2">
        <f t="shared" ref="G903:J903" si="504">F903+1</f>
        <v>2014</v>
      </c>
      <c r="H903" s="2">
        <f t="shared" si="504"/>
        <v>2015</v>
      </c>
      <c r="I903" s="2">
        <f t="shared" si="504"/>
        <v>2016</v>
      </c>
      <c r="J903" s="2">
        <f t="shared" si="504"/>
        <v>2017</v>
      </c>
      <c r="K903" s="2">
        <f>K892</f>
        <v>2018</v>
      </c>
      <c r="L903" s="2">
        <f t="shared" ref="L903:N903" si="505">L892</f>
        <v>2019</v>
      </c>
      <c r="M903" s="2">
        <f t="shared" si="505"/>
        <v>2020</v>
      </c>
      <c r="N903" s="2">
        <f t="shared" si="505"/>
        <v>2021</v>
      </c>
      <c r="O903" s="32"/>
    </row>
    <row r="904" spans="1:15" ht="15" customHeight="1">
      <c r="B904" s="86" t="s">
        <v>32</v>
      </c>
      <c r="C904" s="78"/>
      <c r="D904" s="90"/>
      <c r="E904" s="91"/>
      <c r="F904" s="91"/>
      <c r="G904" s="91"/>
      <c r="H904" s="165"/>
      <c r="I904" s="165"/>
      <c r="J904" s="165"/>
      <c r="K904" s="165"/>
      <c r="L904" s="165"/>
      <c r="M904" s="165"/>
      <c r="N904" s="165"/>
      <c r="O904" s="32"/>
    </row>
    <row r="905" spans="1:15" ht="15" customHeight="1">
      <c r="B905" s="87" t="s">
        <v>23</v>
      </c>
      <c r="C905" s="192"/>
      <c r="D905" s="93"/>
      <c r="E905" s="94"/>
      <c r="F905" s="94"/>
      <c r="G905" s="94"/>
      <c r="H905" s="166"/>
      <c r="I905" s="166"/>
      <c r="J905" s="166"/>
      <c r="K905" s="166"/>
      <c r="L905" s="166"/>
      <c r="M905" s="166"/>
      <c r="N905" s="166"/>
      <c r="O905" s="32"/>
    </row>
    <row r="906" spans="1:15" ht="15" customHeight="1">
      <c r="B906" s="96" t="s">
        <v>38</v>
      </c>
      <c r="C906" s="190"/>
      <c r="D906" s="63"/>
      <c r="E906" s="64"/>
      <c r="F906" s="64"/>
      <c r="G906" s="64"/>
      <c r="H906" s="167"/>
      <c r="I906" s="167"/>
      <c r="J906" s="167"/>
      <c r="K906" s="167"/>
      <c r="L906" s="167"/>
      <c r="M906" s="167"/>
      <c r="N906" s="167"/>
      <c r="O906" s="32"/>
    </row>
    <row r="907" spans="1:15" ht="15" customHeight="1">
      <c r="B907" s="35" t="s">
        <v>39</v>
      </c>
      <c r="D907" s="7">
        <f>SUM(D904:D906)</f>
        <v>0</v>
      </c>
      <c r="E907" s="7">
        <f>SUM(E904:E906)</f>
        <v>0</v>
      </c>
      <c r="F907" s="7">
        <f>SUM(F904:F906)</f>
        <v>0</v>
      </c>
      <c r="G907" s="7">
        <f t="shared" ref="G907:I907" si="506">SUM(G904:G906)</f>
        <v>0</v>
      </c>
      <c r="H907" s="7">
        <f t="shared" si="506"/>
        <v>0</v>
      </c>
      <c r="I907" s="7">
        <f t="shared" si="506"/>
        <v>0</v>
      </c>
      <c r="J907" s="7"/>
      <c r="K907" s="7"/>
      <c r="L907" s="7"/>
      <c r="M907" s="7"/>
      <c r="N907" s="7"/>
      <c r="O907" s="32"/>
    </row>
    <row r="908" spans="1:15" ht="15" customHeight="1">
      <c r="B908" s="6"/>
      <c r="D908" s="7"/>
      <c r="E908" s="7"/>
      <c r="F908" s="7"/>
      <c r="G908" s="7"/>
      <c r="H908" s="7"/>
      <c r="I908" s="7"/>
      <c r="J908" s="7"/>
      <c r="K908" s="7"/>
      <c r="L908" s="7"/>
      <c r="M908" s="7"/>
      <c r="N908" s="7"/>
      <c r="O908" s="32"/>
    </row>
    <row r="909" spans="1:15" ht="18.75" customHeight="1">
      <c r="A909" s="9" t="s">
        <v>40</v>
      </c>
      <c r="D909" s="2">
        <f>'Facility Detail'!$B$1897</f>
        <v>2011</v>
      </c>
      <c r="E909" s="2">
        <f>D909+1</f>
        <v>2012</v>
      </c>
      <c r="F909" s="2">
        <f>E909+1</f>
        <v>2013</v>
      </c>
      <c r="G909" s="2">
        <f t="shared" ref="G909:J909" si="507">F909+1</f>
        <v>2014</v>
      </c>
      <c r="H909" s="2">
        <f t="shared" si="507"/>
        <v>2015</v>
      </c>
      <c r="I909" s="2">
        <f t="shared" si="507"/>
        <v>2016</v>
      </c>
      <c r="J909" s="2">
        <f t="shared" si="507"/>
        <v>2017</v>
      </c>
      <c r="K909" s="2">
        <f>K892</f>
        <v>2018</v>
      </c>
      <c r="L909" s="2">
        <f t="shared" ref="L909:N909" si="508">L892</f>
        <v>2019</v>
      </c>
      <c r="M909" s="2">
        <f t="shared" si="508"/>
        <v>2020</v>
      </c>
      <c r="N909" s="2">
        <f t="shared" si="508"/>
        <v>2021</v>
      </c>
      <c r="O909" s="32"/>
    </row>
    <row r="910" spans="1:15" ht="15" customHeight="1">
      <c r="A910" s="9"/>
      <c r="B910" s="86" t="s">
        <v>34</v>
      </c>
      <c r="C910" s="32"/>
      <c r="D910" s="3"/>
      <c r="E910" s="66">
        <f>D910</f>
        <v>0</v>
      </c>
      <c r="F910" s="138"/>
      <c r="G910" s="138"/>
      <c r="H910" s="138"/>
      <c r="I910" s="138"/>
      <c r="J910" s="138"/>
      <c r="K910" s="138"/>
      <c r="L910" s="138"/>
      <c r="M910" s="138"/>
      <c r="N910" s="138"/>
      <c r="O910" s="32"/>
    </row>
    <row r="911" spans="1:15" ht="15" customHeight="1">
      <c r="A911" s="9"/>
      <c r="B911" s="86" t="s">
        <v>35</v>
      </c>
      <c r="C911" s="32"/>
      <c r="D911" s="174">
        <f>E911</f>
        <v>0</v>
      </c>
      <c r="E911" s="10"/>
      <c r="F911" s="81"/>
      <c r="G911" s="81"/>
      <c r="H911" s="81"/>
      <c r="I911" s="81"/>
      <c r="J911" s="81"/>
      <c r="K911" s="81"/>
      <c r="L911" s="81"/>
      <c r="M911" s="81"/>
      <c r="N911" s="81"/>
      <c r="O911" s="32"/>
    </row>
    <row r="912" spans="1:15" ht="15" customHeight="1">
      <c r="A912" s="9"/>
      <c r="B912" s="86" t="s">
        <v>36</v>
      </c>
      <c r="C912" s="32"/>
      <c r="D912" s="68"/>
      <c r="E912" s="10">
        <f>E896</f>
        <v>0</v>
      </c>
      <c r="F912" s="77">
        <f>E912</f>
        <v>0</v>
      </c>
      <c r="G912" s="81"/>
      <c r="H912" s="81"/>
      <c r="I912" s="81"/>
      <c r="J912" s="81"/>
      <c r="K912" s="81"/>
      <c r="L912" s="81"/>
      <c r="M912" s="81"/>
      <c r="N912" s="81"/>
      <c r="O912" s="32"/>
    </row>
    <row r="913" spans="1:15" ht="15" customHeight="1">
      <c r="A913" s="9"/>
      <c r="B913" s="86" t="s">
        <v>37</v>
      </c>
      <c r="C913" s="32"/>
      <c r="D913" s="68"/>
      <c r="E913" s="77">
        <f>F913</f>
        <v>0</v>
      </c>
      <c r="F913" s="173"/>
      <c r="G913" s="81"/>
      <c r="H913" s="81"/>
      <c r="I913" s="81"/>
      <c r="J913" s="81"/>
      <c r="K913" s="81"/>
      <c r="L913" s="81"/>
      <c r="M913" s="81"/>
      <c r="N913" s="81"/>
      <c r="O913" s="32"/>
    </row>
    <row r="914" spans="1:15" ht="15" customHeight="1">
      <c r="A914" s="9"/>
      <c r="B914" s="86" t="s">
        <v>122</v>
      </c>
      <c r="C914" s="32"/>
      <c r="D914" s="68"/>
      <c r="E914" s="157"/>
      <c r="F914" s="10">
        <f>F896</f>
        <v>0</v>
      </c>
      <c r="G914" s="158">
        <f>F914</f>
        <v>0</v>
      </c>
      <c r="H914" s="81"/>
      <c r="I914" s="81"/>
      <c r="J914" s="81"/>
      <c r="K914" s="81"/>
      <c r="L914" s="81"/>
      <c r="M914" s="81"/>
      <c r="N914" s="81"/>
      <c r="O914" s="32"/>
    </row>
    <row r="915" spans="1:15" ht="15" customHeight="1">
      <c r="B915" s="86" t="s">
        <v>123</v>
      </c>
      <c r="C915" s="32"/>
      <c r="D915" s="68"/>
      <c r="E915" s="157"/>
      <c r="F915" s="77">
        <f>G915</f>
        <v>0</v>
      </c>
      <c r="G915" s="10"/>
      <c r="H915" s="81"/>
      <c r="I915" s="81"/>
      <c r="J915" s="81"/>
      <c r="K915" s="81"/>
      <c r="L915" s="81"/>
      <c r="M915" s="81"/>
      <c r="N915" s="81"/>
      <c r="O915" s="32"/>
    </row>
    <row r="916" spans="1:15" ht="15" customHeight="1">
      <c r="B916" s="86" t="s">
        <v>124</v>
      </c>
      <c r="C916" s="32"/>
      <c r="D916" s="68"/>
      <c r="E916" s="157"/>
      <c r="F916" s="157"/>
      <c r="G916" s="10"/>
      <c r="H916" s="158">
        <f>G916</f>
        <v>0</v>
      </c>
      <c r="I916" s="157"/>
      <c r="J916" s="157"/>
      <c r="K916" s="157"/>
      <c r="L916" s="157"/>
      <c r="M916" s="157"/>
      <c r="N916" s="157"/>
      <c r="O916" s="32"/>
    </row>
    <row r="917" spans="1:15" ht="15" customHeight="1">
      <c r="B917" s="86" t="s">
        <v>125</v>
      </c>
      <c r="C917" s="32"/>
      <c r="D917" s="68"/>
      <c r="E917" s="157"/>
      <c r="F917" s="157"/>
      <c r="G917" s="159"/>
      <c r="H917" s="160"/>
      <c r="I917" s="157"/>
      <c r="J917" s="157"/>
      <c r="K917" s="157"/>
      <c r="L917" s="157"/>
      <c r="M917" s="157"/>
      <c r="N917" s="157"/>
      <c r="O917" s="32"/>
    </row>
    <row r="918" spans="1:15" ht="15" customHeight="1">
      <c r="B918" s="86" t="s">
        <v>126</v>
      </c>
      <c r="C918" s="32"/>
      <c r="D918" s="68"/>
      <c r="E918" s="157"/>
      <c r="F918" s="157"/>
      <c r="G918" s="157"/>
      <c r="H918" s="160">
        <f>H896</f>
        <v>5468</v>
      </c>
      <c r="I918" s="158">
        <f>H918</f>
        <v>5468</v>
      </c>
      <c r="J918" s="158"/>
      <c r="K918" s="158"/>
      <c r="L918" s="158"/>
      <c r="M918" s="158"/>
      <c r="N918" s="158"/>
      <c r="O918" s="32"/>
    </row>
    <row r="919" spans="1:15" ht="15" customHeight="1">
      <c r="B919" s="86" t="s">
        <v>127</v>
      </c>
      <c r="C919" s="32"/>
      <c r="D919" s="68"/>
      <c r="E919" s="157"/>
      <c r="F919" s="157"/>
      <c r="G919" s="157"/>
      <c r="H919" s="77"/>
      <c r="I919" s="160"/>
      <c r="J919" s="160"/>
      <c r="K919" s="160"/>
      <c r="L919" s="160"/>
      <c r="M919" s="160"/>
      <c r="N919" s="160"/>
      <c r="O919" s="32"/>
    </row>
    <row r="920" spans="1:15" ht="15" customHeight="1">
      <c r="B920" s="86" t="s">
        <v>128</v>
      </c>
      <c r="C920" s="32"/>
      <c r="D920" s="68"/>
      <c r="E920" s="157"/>
      <c r="F920" s="157"/>
      <c r="G920" s="157"/>
      <c r="H920" s="157"/>
      <c r="I920" s="160">
        <f>I896</f>
        <v>0</v>
      </c>
      <c r="J920" s="160">
        <f>I920</f>
        <v>0</v>
      </c>
      <c r="K920" s="160">
        <f t="shared" ref="K920:L920" si="509">J920</f>
        <v>0</v>
      </c>
      <c r="L920" s="160">
        <f t="shared" si="509"/>
        <v>0</v>
      </c>
      <c r="M920" s="160">
        <f>K920</f>
        <v>0</v>
      </c>
      <c r="N920" s="160">
        <f>L920</f>
        <v>0</v>
      </c>
      <c r="O920" s="32"/>
    </row>
    <row r="921" spans="1:15" ht="15" customHeight="1">
      <c r="B921" s="86" t="s">
        <v>119</v>
      </c>
      <c r="C921" s="32"/>
      <c r="D921" s="68"/>
      <c r="E921" s="157"/>
      <c r="F921" s="157"/>
      <c r="G921" s="157"/>
      <c r="H921" s="157"/>
      <c r="I921" s="77"/>
      <c r="J921" s="77"/>
      <c r="K921" s="77"/>
      <c r="L921" s="77"/>
      <c r="M921" s="77"/>
      <c r="N921" s="77"/>
      <c r="O921" s="32"/>
    </row>
    <row r="922" spans="1:15" ht="15" customHeight="1">
      <c r="B922" s="86" t="s">
        <v>120</v>
      </c>
      <c r="C922" s="32"/>
      <c r="D922" s="69"/>
      <c r="E922" s="140"/>
      <c r="F922" s="140"/>
      <c r="G922" s="140"/>
      <c r="H922" s="140"/>
      <c r="I922" s="140"/>
      <c r="J922" s="140"/>
      <c r="K922" s="140"/>
      <c r="L922" s="140"/>
      <c r="M922" s="140"/>
      <c r="N922" s="140"/>
      <c r="O922" s="32"/>
    </row>
    <row r="923" spans="1:15" ht="15" customHeight="1">
      <c r="B923" s="35" t="s">
        <v>17</v>
      </c>
      <c r="D923" s="198">
        <f xml:space="preserve"> D916 - D915</f>
        <v>0</v>
      </c>
      <c r="E923" s="198">
        <f xml:space="preserve"> E915 + E918 - E917 - E916</f>
        <v>0</v>
      </c>
      <c r="F923" s="198">
        <f>F917 - F918</f>
        <v>0</v>
      </c>
      <c r="G923" s="198">
        <f t="shared" ref="G923:H923" si="510">G917 - G918</f>
        <v>0</v>
      </c>
      <c r="H923" s="198">
        <f t="shared" si="510"/>
        <v>-5468</v>
      </c>
      <c r="I923" s="198">
        <f>I918-I919-I920</f>
        <v>5468</v>
      </c>
      <c r="J923" s="198">
        <f t="shared" ref="J923" si="511">J918-J919-J920</f>
        <v>0</v>
      </c>
      <c r="K923" s="198">
        <f t="shared" ref="K923:N923" si="512">K918-K919-K920</f>
        <v>0</v>
      </c>
      <c r="L923" s="198">
        <f t="shared" si="512"/>
        <v>0</v>
      </c>
      <c r="M923" s="198">
        <f t="shared" ref="M923" si="513">M918-M919-M920</f>
        <v>0</v>
      </c>
      <c r="N923" s="198">
        <f t="shared" si="512"/>
        <v>0</v>
      </c>
      <c r="O923" s="32"/>
    </row>
    <row r="924" spans="1:15" ht="15" customHeight="1">
      <c r="B924" s="6"/>
      <c r="D924" s="7"/>
      <c r="E924" s="7"/>
      <c r="F924" s="7"/>
      <c r="G924" s="7"/>
      <c r="H924" s="7"/>
      <c r="I924" s="7"/>
      <c r="J924" s="7"/>
      <c r="K924" s="7"/>
      <c r="L924" s="7"/>
      <c r="M924" s="7"/>
      <c r="N924" s="7"/>
      <c r="O924" s="32"/>
    </row>
    <row r="925" spans="1:15" ht="15" customHeight="1">
      <c r="B925" s="83" t="s">
        <v>12</v>
      </c>
      <c r="C925" s="78"/>
      <c r="D925" s="101"/>
      <c r="E925" s="102"/>
      <c r="F925" s="170"/>
      <c r="G925" s="102"/>
      <c r="H925" s="102"/>
      <c r="I925" s="102"/>
      <c r="J925" s="102"/>
      <c r="K925" s="102"/>
      <c r="L925" s="102"/>
      <c r="M925" s="103"/>
      <c r="N925" s="103"/>
      <c r="O925" s="32"/>
    </row>
    <row r="926" spans="1:15" ht="15" customHeight="1">
      <c r="B926" s="6"/>
      <c r="D926" s="7"/>
      <c r="E926" s="7"/>
      <c r="F926" s="7"/>
      <c r="G926" s="7"/>
      <c r="H926" s="7"/>
      <c r="I926" s="7"/>
      <c r="J926" s="7"/>
      <c r="K926" s="7"/>
      <c r="L926" s="7"/>
      <c r="M926" s="7"/>
      <c r="N926" s="7"/>
      <c r="O926" s="32"/>
    </row>
    <row r="927" spans="1:15" ht="18.75" customHeight="1">
      <c r="A927" s="43" t="s">
        <v>26</v>
      </c>
      <c r="C927" s="78"/>
      <c r="D927" s="47">
        <f xml:space="preserve"> D896 + D901 - D907 + D923 + D925</f>
        <v>0</v>
      </c>
      <c r="E927" s="48">
        <f xml:space="preserve"> E896 + E901 - E907 + E923 + E925</f>
        <v>0</v>
      </c>
      <c r="F927" s="48">
        <f xml:space="preserve"> F896 + F901 - F907 + F923 + F925</f>
        <v>0</v>
      </c>
      <c r="G927" s="203">
        <f t="shared" ref="G927:K927" si="514" xml:space="preserve"> G896 + G901 - G907 + G923 + G925</f>
        <v>0</v>
      </c>
      <c r="H927" s="168">
        <f t="shared" si="514"/>
        <v>0</v>
      </c>
      <c r="I927" s="48">
        <f t="shared" si="514"/>
        <v>5468</v>
      </c>
      <c r="J927" s="48">
        <f t="shared" si="514"/>
        <v>0</v>
      </c>
      <c r="K927" s="48">
        <f t="shared" si="514"/>
        <v>0</v>
      </c>
      <c r="L927" s="48">
        <f t="shared" ref="L927" si="515" xml:space="preserve"> L896 + L901 - L907 + L923 + L925</f>
        <v>0</v>
      </c>
      <c r="M927" s="49"/>
      <c r="N927" s="49"/>
      <c r="O927" s="32"/>
    </row>
    <row r="928" spans="1:15" ht="15" customHeight="1">
      <c r="B928" s="6"/>
      <c r="D928" s="7"/>
      <c r="E928" s="7"/>
      <c r="F928" s="7"/>
      <c r="G928" s="30"/>
      <c r="H928" s="30"/>
      <c r="I928" s="30"/>
      <c r="J928" s="30"/>
      <c r="K928" s="30"/>
      <c r="L928" s="30"/>
      <c r="M928" s="30"/>
      <c r="N928" s="30"/>
      <c r="O928" s="32"/>
    </row>
    <row r="929" spans="1:15" ht="15.75" customHeight="1" thickBot="1">
      <c r="O929" s="32"/>
    </row>
    <row r="930" spans="1:15">
      <c r="A930" s="8"/>
      <c r="B930" s="8"/>
      <c r="C930" s="8"/>
      <c r="D930" s="8"/>
      <c r="E930" s="8"/>
      <c r="F930" s="8"/>
      <c r="G930" s="8"/>
      <c r="H930" s="8"/>
      <c r="I930" s="8"/>
      <c r="J930" s="8"/>
      <c r="K930" s="8"/>
      <c r="L930" s="8"/>
      <c r="M930" s="8"/>
      <c r="N930" s="8"/>
      <c r="O930" s="32"/>
    </row>
    <row r="931" spans="1:15">
      <c r="B931" s="32"/>
      <c r="C931" s="32"/>
      <c r="D931" s="32"/>
      <c r="E931" s="32"/>
      <c r="F931" s="32"/>
      <c r="G931" s="32"/>
      <c r="H931" s="32"/>
      <c r="I931" s="32"/>
      <c r="J931" s="32"/>
      <c r="K931" s="32"/>
      <c r="L931" s="32"/>
      <c r="M931" s="32"/>
      <c r="N931" s="32"/>
      <c r="O931" s="32"/>
    </row>
    <row r="932" spans="1:15" ht="21">
      <c r="A932" s="14" t="s">
        <v>4</v>
      </c>
      <c r="B932" s="14"/>
      <c r="C932" s="44" t="str">
        <f>B21</f>
        <v>SPI Aberdeen - REC Only</v>
      </c>
      <c r="D932" s="45"/>
      <c r="E932" s="24"/>
      <c r="F932" s="24"/>
      <c r="O932" s="32"/>
    </row>
    <row r="933" spans="1:15">
      <c r="O933" s="32"/>
    </row>
    <row r="934" spans="1:15" ht="18.5">
      <c r="A934" s="9" t="s">
        <v>21</v>
      </c>
      <c r="B934" s="9"/>
      <c r="D934" s="2">
        <f>'Facility Detail'!$B$1897</f>
        <v>2011</v>
      </c>
      <c r="E934" s="2">
        <f>D934+1</f>
        <v>2012</v>
      </c>
      <c r="F934" s="2">
        <f>E934+1</f>
        <v>2013</v>
      </c>
      <c r="G934" s="2">
        <f t="shared" ref="G934:K934" si="516">F934+1</f>
        <v>2014</v>
      </c>
      <c r="H934" s="2">
        <f t="shared" si="516"/>
        <v>2015</v>
      </c>
      <c r="I934" s="2">
        <f t="shared" si="516"/>
        <v>2016</v>
      </c>
      <c r="J934" s="2">
        <f t="shared" si="516"/>
        <v>2017</v>
      </c>
      <c r="K934" s="2">
        <f t="shared" si="516"/>
        <v>2018</v>
      </c>
      <c r="L934" s="2">
        <f t="shared" ref="L934" si="517">K934+1</f>
        <v>2019</v>
      </c>
      <c r="M934" s="2">
        <f t="shared" ref="M934" si="518">L934+1</f>
        <v>2020</v>
      </c>
      <c r="N934" s="2">
        <f t="shared" ref="N934" si="519">M934+1</f>
        <v>2021</v>
      </c>
      <c r="O934" s="32"/>
    </row>
    <row r="935" spans="1:15">
      <c r="B935" s="86" t="str">
        <f>"Total MWh Produced / Purchased from " &amp; C932</f>
        <v>Total MWh Produced / Purchased from SPI Aberdeen - REC Only</v>
      </c>
      <c r="C935" s="78"/>
      <c r="D935" s="3"/>
      <c r="E935" s="4"/>
      <c r="F935" s="4"/>
      <c r="G935" s="4"/>
      <c r="H935" s="4">
        <v>40000</v>
      </c>
      <c r="I935" s="4"/>
      <c r="J935" s="4"/>
      <c r="K935" s="4"/>
      <c r="L935" s="4"/>
      <c r="M935" s="4"/>
      <c r="N935" s="4"/>
      <c r="O935" s="32"/>
    </row>
    <row r="936" spans="1:15">
      <c r="B936" s="86" t="s">
        <v>25</v>
      </c>
      <c r="C936" s="78"/>
      <c r="D936" s="60"/>
      <c r="E936" s="61"/>
      <c r="F936" s="61"/>
      <c r="G936" s="61"/>
      <c r="H936" s="61">
        <v>1</v>
      </c>
      <c r="I936" s="61"/>
      <c r="J936" s="61"/>
      <c r="K936" s="61"/>
      <c r="L936" s="61"/>
      <c r="M936" s="61"/>
      <c r="N936" s="61"/>
      <c r="O936" s="32"/>
    </row>
    <row r="937" spans="1:15">
      <c r="B937" s="86" t="s">
        <v>20</v>
      </c>
      <c r="C937" s="78"/>
      <c r="D937" s="52"/>
      <c r="E937" s="53"/>
      <c r="F937" s="53"/>
      <c r="G937" s="53"/>
      <c r="H937" s="53">
        <v>1</v>
      </c>
      <c r="I937" s="53"/>
      <c r="J937" s="53"/>
      <c r="K937" s="53"/>
      <c r="L937" s="53"/>
      <c r="M937" s="53"/>
      <c r="N937" s="53"/>
      <c r="O937" s="32"/>
    </row>
    <row r="938" spans="1:15">
      <c r="B938" s="83" t="s">
        <v>22</v>
      </c>
      <c r="C938" s="84"/>
      <c r="D938" s="39">
        <f xml:space="preserve"> D935 * D936 * D937</f>
        <v>0</v>
      </c>
      <c r="E938" s="39">
        <f xml:space="preserve"> E935 * E936 * E937</f>
        <v>0</v>
      </c>
      <c r="F938" s="39">
        <f xml:space="preserve"> F935 * F936 * F937</f>
        <v>0</v>
      </c>
      <c r="G938" s="39">
        <f t="shared" ref="G938:J938" si="520" xml:space="preserve"> G935 * G936 * G937</f>
        <v>0</v>
      </c>
      <c r="H938" s="39">
        <v>40000</v>
      </c>
      <c r="I938" s="39">
        <f t="shared" si="520"/>
        <v>0</v>
      </c>
      <c r="J938" s="39">
        <f t="shared" si="520"/>
        <v>0</v>
      </c>
      <c r="K938" s="39">
        <f t="shared" ref="K938:N938" si="521" xml:space="preserve"> K935 * K936 * K937</f>
        <v>0</v>
      </c>
      <c r="L938" s="39">
        <f t="shared" si="521"/>
        <v>0</v>
      </c>
      <c r="M938" s="39">
        <f t="shared" ref="M938" si="522" xml:space="preserve"> M935 * M936 * M937</f>
        <v>0</v>
      </c>
      <c r="N938" s="39">
        <f t="shared" si="521"/>
        <v>0</v>
      </c>
      <c r="O938" s="32"/>
    </row>
    <row r="939" spans="1:15">
      <c r="B939" s="24"/>
      <c r="C939" s="32"/>
      <c r="D939" s="38"/>
      <c r="E939" s="38"/>
      <c r="F939" s="38"/>
      <c r="G939" s="38"/>
      <c r="H939" s="38"/>
      <c r="I939" s="38"/>
      <c r="J939" s="38"/>
      <c r="K939" s="38"/>
      <c r="L939" s="38"/>
      <c r="M939" s="38"/>
      <c r="N939" s="38"/>
      <c r="O939" s="32"/>
    </row>
    <row r="940" spans="1:15" ht="18.5">
      <c r="A940" s="46" t="s">
        <v>52</v>
      </c>
      <c r="C940" s="32"/>
      <c r="D940" s="2">
        <f>'Facility Detail'!$B$1897</f>
        <v>2011</v>
      </c>
      <c r="E940" s="2">
        <f>D940+1</f>
        <v>2012</v>
      </c>
      <c r="F940" s="2">
        <f>E940+1</f>
        <v>2013</v>
      </c>
      <c r="G940" s="2">
        <f t="shared" ref="G940:J940" si="523">F940+1</f>
        <v>2014</v>
      </c>
      <c r="H940" s="2">
        <f t="shared" si="523"/>
        <v>2015</v>
      </c>
      <c r="I940" s="2">
        <f t="shared" si="523"/>
        <v>2016</v>
      </c>
      <c r="J940" s="2">
        <f t="shared" si="523"/>
        <v>2017</v>
      </c>
      <c r="K940" s="2">
        <f>K934</f>
        <v>2018</v>
      </c>
      <c r="L940" s="2">
        <f t="shared" ref="L940:N940" si="524">L934</f>
        <v>2019</v>
      </c>
      <c r="M940" s="2">
        <f t="shared" si="524"/>
        <v>2020</v>
      </c>
      <c r="N940" s="2">
        <f t="shared" si="524"/>
        <v>2021</v>
      </c>
      <c r="O940" s="32"/>
    </row>
    <row r="941" spans="1:15">
      <c r="B941" s="86" t="s">
        <v>10</v>
      </c>
      <c r="C941" s="78"/>
      <c r="D941" s="55">
        <f>IF( $E21 = "Eligible", D938 * 'Facility Detail'!$B$1894, 0 )</f>
        <v>0</v>
      </c>
      <c r="E941" s="11">
        <f>IF( $E21 = "Eligible", E938 * 'Facility Detail'!$B$1894, 0 )</f>
        <v>0</v>
      </c>
      <c r="F941" s="11">
        <f>IF( $E21 = "Eligible", F938 * 'Facility Detail'!$B$1894, 0 )</f>
        <v>0</v>
      </c>
      <c r="G941" s="11">
        <f>IF( $E21 = "Eligible", G938 * 'Facility Detail'!$B$1894, 0 )</f>
        <v>0</v>
      </c>
      <c r="H941" s="201">
        <f>IF( $E21 = "Eligible", H938 * 'Facility Detail'!$B$1894, 0 )</f>
        <v>0</v>
      </c>
      <c r="I941" s="201">
        <f>IF( $E21 = "Eligible", I938 * 'Facility Detail'!$B$1894, 0 )</f>
        <v>0</v>
      </c>
      <c r="J941" s="201">
        <f>IF( $E21 = "Eligible", J938 * 'Facility Detail'!$B$1894, 0 )</f>
        <v>0</v>
      </c>
      <c r="K941" s="201"/>
      <c r="L941" s="201"/>
      <c r="M941" s="201"/>
      <c r="N941" s="201"/>
      <c r="O941" s="32"/>
    </row>
    <row r="942" spans="1:15">
      <c r="B942" s="86" t="s">
        <v>6</v>
      </c>
      <c r="C942" s="78"/>
      <c r="D942" s="56">
        <f t="shared" ref="D942:J942" si="525">IF( $F21 = "Eligible", D938, 0 )</f>
        <v>0</v>
      </c>
      <c r="E942" s="57">
        <f t="shared" si="525"/>
        <v>0</v>
      </c>
      <c r="F942" s="57">
        <f t="shared" si="525"/>
        <v>0</v>
      </c>
      <c r="G942" s="57">
        <f t="shared" si="525"/>
        <v>0</v>
      </c>
      <c r="H942" s="202">
        <f t="shared" si="525"/>
        <v>0</v>
      </c>
      <c r="I942" s="202">
        <f t="shared" si="525"/>
        <v>0</v>
      </c>
      <c r="J942" s="202">
        <f t="shared" si="525"/>
        <v>0</v>
      </c>
      <c r="K942" s="202"/>
      <c r="L942" s="202"/>
      <c r="M942" s="202"/>
      <c r="N942" s="202"/>
      <c r="O942" s="32"/>
    </row>
    <row r="943" spans="1:15">
      <c r="B943" s="85" t="s">
        <v>54</v>
      </c>
      <c r="C943" s="84"/>
      <c r="D943" s="41">
        <f>SUM(D941:D942)</f>
        <v>0</v>
      </c>
      <c r="E943" s="42">
        <f>SUM(E941:E942)</f>
        <v>0</v>
      </c>
      <c r="F943" s="42">
        <f>SUM(F941:F942)</f>
        <v>0</v>
      </c>
      <c r="G943" s="42">
        <f t="shared" ref="G943:I943" si="526">SUM(G941:G942)</f>
        <v>0</v>
      </c>
      <c r="H943" s="42">
        <f t="shared" si="526"/>
        <v>0</v>
      </c>
      <c r="I943" s="42">
        <f t="shared" si="526"/>
        <v>0</v>
      </c>
      <c r="J943" s="42">
        <f t="shared" ref="J943" si="527">SUM(J941:J942)</f>
        <v>0</v>
      </c>
      <c r="K943" s="42"/>
      <c r="L943" s="42"/>
      <c r="M943" s="42"/>
      <c r="N943" s="42"/>
      <c r="O943" s="32"/>
    </row>
    <row r="944" spans="1:15">
      <c r="B944" s="32"/>
      <c r="C944" s="32"/>
      <c r="D944" s="40"/>
      <c r="E944" s="33"/>
      <c r="F944" s="33"/>
      <c r="G944" s="33"/>
      <c r="H944" s="33"/>
      <c r="I944" s="33"/>
      <c r="J944" s="33"/>
      <c r="K944" s="33"/>
      <c r="L944" s="33"/>
      <c r="M944" s="33"/>
      <c r="N944" s="33"/>
      <c r="O944" s="32"/>
    </row>
    <row r="945" spans="1:15" ht="18.5">
      <c r="A945" s="43" t="s">
        <v>30</v>
      </c>
      <c r="C945" s="32"/>
      <c r="D945" s="2">
        <f>'Facility Detail'!$B$1897</f>
        <v>2011</v>
      </c>
      <c r="E945" s="2">
        <f>D945+1</f>
        <v>2012</v>
      </c>
      <c r="F945" s="2">
        <f>E945+1</f>
        <v>2013</v>
      </c>
      <c r="G945" s="2">
        <f t="shared" ref="G945:J945" si="528">F945+1</f>
        <v>2014</v>
      </c>
      <c r="H945" s="2">
        <f t="shared" si="528"/>
        <v>2015</v>
      </c>
      <c r="I945" s="2">
        <f t="shared" si="528"/>
        <v>2016</v>
      </c>
      <c r="J945" s="2">
        <f t="shared" si="528"/>
        <v>2017</v>
      </c>
      <c r="K945" s="2">
        <f>K934</f>
        <v>2018</v>
      </c>
      <c r="L945" s="2">
        <f t="shared" ref="L945:N945" si="529">L934</f>
        <v>2019</v>
      </c>
      <c r="M945" s="2">
        <f t="shared" si="529"/>
        <v>2020</v>
      </c>
      <c r="N945" s="2">
        <f t="shared" si="529"/>
        <v>2021</v>
      </c>
      <c r="O945" s="32"/>
    </row>
    <row r="946" spans="1:15">
      <c r="B946" s="86" t="s">
        <v>32</v>
      </c>
      <c r="C946" s="78"/>
      <c r="D946" s="90"/>
      <c r="E946" s="91"/>
      <c r="F946" s="91"/>
      <c r="G946" s="165"/>
      <c r="H946" s="165"/>
      <c r="I946" s="165"/>
      <c r="J946" s="165"/>
      <c r="K946" s="165"/>
      <c r="L946" s="165"/>
      <c r="M946" s="165"/>
      <c r="N946" s="165"/>
      <c r="O946" s="32"/>
    </row>
    <row r="947" spans="1:15">
      <c r="B947" s="87" t="s">
        <v>23</v>
      </c>
      <c r="C947" s="192"/>
      <c r="D947" s="93"/>
      <c r="E947" s="94"/>
      <c r="F947" s="94"/>
      <c r="G947" s="166"/>
      <c r="H947" s="166"/>
      <c r="I947" s="166"/>
      <c r="J947" s="166"/>
      <c r="K947" s="166"/>
      <c r="L947" s="166"/>
      <c r="M947" s="166"/>
      <c r="N947" s="166"/>
      <c r="O947" s="32"/>
    </row>
    <row r="948" spans="1:15">
      <c r="B948" s="96" t="s">
        <v>38</v>
      </c>
      <c r="C948" s="190"/>
      <c r="D948" s="63"/>
      <c r="E948" s="64"/>
      <c r="F948" s="64"/>
      <c r="G948" s="167"/>
      <c r="H948" s="167"/>
      <c r="I948" s="167"/>
      <c r="J948" s="167"/>
      <c r="K948" s="167"/>
      <c r="L948" s="167"/>
      <c r="M948" s="167"/>
      <c r="N948" s="167"/>
      <c r="O948" s="32"/>
    </row>
    <row r="949" spans="1:15">
      <c r="B949" s="35" t="s">
        <v>39</v>
      </c>
      <c r="D949" s="7">
        <f>SUM(D946:D948)</f>
        <v>0</v>
      </c>
      <c r="E949" s="7">
        <f>SUM(E946:E948)</f>
        <v>0</v>
      </c>
      <c r="F949" s="7">
        <f>SUM(F946:F948)</f>
        <v>0</v>
      </c>
      <c r="G949" s="7">
        <f t="shared" ref="G949:I949" si="530">SUM(G946:G948)</f>
        <v>0</v>
      </c>
      <c r="H949" s="7">
        <f t="shared" si="530"/>
        <v>0</v>
      </c>
      <c r="I949" s="7">
        <f t="shared" si="530"/>
        <v>0</v>
      </c>
      <c r="J949" s="7">
        <f t="shared" ref="J949" si="531">SUM(J946:J948)</f>
        <v>0</v>
      </c>
      <c r="K949" s="7"/>
      <c r="L949" s="7"/>
      <c r="M949" s="7"/>
      <c r="N949" s="7"/>
      <c r="O949" s="32"/>
    </row>
    <row r="950" spans="1:15">
      <c r="B950" s="6"/>
      <c r="D950" s="7"/>
      <c r="E950" s="7"/>
      <c r="F950" s="7"/>
      <c r="G950" s="7"/>
      <c r="H950" s="7"/>
      <c r="I950" s="7"/>
      <c r="J950" s="7"/>
      <c r="K950" s="7"/>
      <c r="L950" s="7"/>
      <c r="M950" s="7"/>
      <c r="N950" s="7"/>
      <c r="O950" s="32"/>
    </row>
    <row r="951" spans="1:15" ht="18.5">
      <c r="A951" s="9" t="s">
        <v>40</v>
      </c>
      <c r="D951" s="2">
        <f>'Facility Detail'!$B$1897</f>
        <v>2011</v>
      </c>
      <c r="E951" s="2">
        <f>D951+1</f>
        <v>2012</v>
      </c>
      <c r="F951" s="2">
        <f>E951+1</f>
        <v>2013</v>
      </c>
      <c r="G951" s="2">
        <f t="shared" ref="G951:J951" si="532">F951+1</f>
        <v>2014</v>
      </c>
      <c r="H951" s="2">
        <f t="shared" si="532"/>
        <v>2015</v>
      </c>
      <c r="I951" s="2">
        <f t="shared" si="532"/>
        <v>2016</v>
      </c>
      <c r="J951" s="2">
        <f t="shared" si="532"/>
        <v>2017</v>
      </c>
      <c r="K951" s="2">
        <f>K934</f>
        <v>2018</v>
      </c>
      <c r="L951" s="2">
        <f t="shared" ref="L951:N951" si="533">L934</f>
        <v>2019</v>
      </c>
      <c r="M951" s="2">
        <f t="shared" si="533"/>
        <v>2020</v>
      </c>
      <c r="N951" s="2">
        <f t="shared" si="533"/>
        <v>2021</v>
      </c>
      <c r="O951" s="32"/>
    </row>
    <row r="952" spans="1:15" ht="14.25" customHeight="1">
      <c r="A952" s="9"/>
      <c r="B952" s="86" t="str">
        <f xml:space="preserve"> 'Facility Detail'!$B$1897 &amp; " Surplus Applied to " &amp; ( 'Facility Detail'!$B$1897 + 1 )</f>
        <v>2011 Surplus Applied to 2012</v>
      </c>
      <c r="C952" s="32"/>
      <c r="D952" s="3"/>
      <c r="E952" s="66">
        <f>D952</f>
        <v>0</v>
      </c>
      <c r="F952" s="138"/>
      <c r="G952" s="138"/>
      <c r="H952" s="138"/>
      <c r="I952" s="138"/>
      <c r="J952" s="138"/>
      <c r="K952" s="138"/>
      <c r="L952" s="138"/>
      <c r="M952" s="138"/>
      <c r="N952" s="138"/>
      <c r="O952" s="32"/>
    </row>
    <row r="953" spans="1:15" ht="14.25" customHeight="1">
      <c r="A953" s="9"/>
      <c r="B953" s="86" t="str">
        <f xml:space="preserve"> ( 'Facility Detail'!$B$1897 + 1 ) &amp; " Surplus Applied to " &amp; ( 'Facility Detail'!$B$1897 )</f>
        <v>2012 Surplus Applied to 2011</v>
      </c>
      <c r="C953" s="32"/>
      <c r="D953" s="174">
        <f>E953</f>
        <v>0</v>
      </c>
      <c r="E953" s="10"/>
      <c r="F953" s="81"/>
      <c r="G953" s="81"/>
      <c r="H953" s="81"/>
      <c r="I953" s="81"/>
      <c r="J953" s="81"/>
      <c r="K953" s="81"/>
      <c r="L953" s="81"/>
      <c r="M953" s="81"/>
      <c r="N953" s="81"/>
      <c r="O953" s="32"/>
    </row>
    <row r="954" spans="1:15" ht="14.25" customHeight="1">
      <c r="A954" s="9"/>
      <c r="B954" s="86" t="str">
        <f xml:space="preserve"> ( 'Facility Detail'!$B$1897 + 1 ) &amp; " Surplus Applied to " &amp; ( 'Facility Detail'!$B$1897 + 2 )</f>
        <v>2012 Surplus Applied to 2013</v>
      </c>
      <c r="C954" s="32"/>
      <c r="D954" s="68"/>
      <c r="E954" s="10">
        <f>E938</f>
        <v>0</v>
      </c>
      <c r="F954" s="77">
        <f>E954</f>
        <v>0</v>
      </c>
      <c r="G954" s="81"/>
      <c r="H954" s="81"/>
      <c r="I954" s="81"/>
      <c r="J954" s="81"/>
      <c r="K954" s="81"/>
      <c r="L954" s="81"/>
      <c r="M954" s="81"/>
      <c r="N954" s="81"/>
      <c r="O954" s="32"/>
    </row>
    <row r="955" spans="1:15" ht="14.25" customHeight="1">
      <c r="A955" s="9"/>
      <c r="B955" s="86" t="str">
        <f xml:space="preserve"> ( 'Facility Detail'!$B$1897 + 2 ) &amp; " Surplus Applied to " &amp; ( 'Facility Detail'!$B$1897 + 1 )</f>
        <v>2013 Surplus Applied to 2012</v>
      </c>
      <c r="C955" s="32"/>
      <c r="D955" s="68"/>
      <c r="E955" s="77">
        <f>F955</f>
        <v>0</v>
      </c>
      <c r="F955" s="173"/>
      <c r="G955" s="81"/>
      <c r="H955" s="81"/>
      <c r="I955" s="81"/>
      <c r="J955" s="81"/>
      <c r="K955" s="81"/>
      <c r="L955" s="81"/>
      <c r="M955" s="81"/>
      <c r="N955" s="81"/>
      <c r="O955" s="32"/>
    </row>
    <row r="956" spans="1:15" ht="14.25" customHeight="1">
      <c r="A956" s="9"/>
      <c r="B956" s="86" t="str">
        <f xml:space="preserve"> ( 'Facility Detail'!$B$1897 + 2 ) &amp; " Surplus Applied to " &amp; ( 'Facility Detail'!$B$1897 + 3 )</f>
        <v>2013 Surplus Applied to 2014</v>
      </c>
      <c r="C956" s="32"/>
      <c r="D956" s="68"/>
      <c r="E956" s="157"/>
      <c r="F956" s="10">
        <f>F938</f>
        <v>0</v>
      </c>
      <c r="G956" s="158">
        <f>F956</f>
        <v>0</v>
      </c>
      <c r="H956" s="81"/>
      <c r="I956" s="81"/>
      <c r="J956" s="81"/>
      <c r="K956" s="81"/>
      <c r="L956" s="81"/>
      <c r="M956" s="81"/>
      <c r="N956" s="81"/>
      <c r="O956" s="32"/>
    </row>
    <row r="957" spans="1:15" ht="14.25" customHeight="1">
      <c r="B957" s="86" t="str">
        <f xml:space="preserve"> ( 'Facility Detail'!$B$1897 + 3 ) &amp; " Surplus Applied to " &amp; ( 'Facility Detail'!$B$1897 + 2 )</f>
        <v>2014 Surplus Applied to 2013</v>
      </c>
      <c r="C957" s="32"/>
      <c r="D957" s="68"/>
      <c r="E957" s="157"/>
      <c r="F957" s="77">
        <f>G957</f>
        <v>0</v>
      </c>
      <c r="G957" s="10"/>
      <c r="H957" s="81"/>
      <c r="I957" s="81"/>
      <c r="J957" s="81"/>
      <c r="K957" s="81"/>
      <c r="L957" s="81"/>
      <c r="M957" s="81"/>
      <c r="N957" s="81"/>
      <c r="O957" s="32"/>
    </row>
    <row r="958" spans="1:15" ht="14.25" customHeight="1">
      <c r="B958" s="86" t="str">
        <f xml:space="preserve"> ( 'Facility Detail'!$B$1897 + 3 ) &amp; " Surplus Applied to " &amp; ( 'Facility Detail'!$B$1897 + 4 )</f>
        <v>2014 Surplus Applied to 2015</v>
      </c>
      <c r="C958" s="32"/>
      <c r="D958" s="68"/>
      <c r="E958" s="157"/>
      <c r="F958" s="157"/>
      <c r="G958" s="10">
        <f>G938</f>
        <v>0</v>
      </c>
      <c r="H958" s="158">
        <f>G958</f>
        <v>0</v>
      </c>
      <c r="I958" s="157">
        <f>H958</f>
        <v>0</v>
      </c>
      <c r="J958" s="157"/>
      <c r="K958" s="157"/>
      <c r="L958" s="157"/>
      <c r="M958" s="157"/>
      <c r="N958" s="157"/>
      <c r="O958" s="32"/>
    </row>
    <row r="959" spans="1:15" ht="14.25" customHeight="1">
      <c r="B959" s="86" t="str">
        <f xml:space="preserve"> ( 'Facility Detail'!$B$1897 + 4 ) &amp; " Surplus Applied to " &amp; ( 'Facility Detail'!$B$1897 + 3 )</f>
        <v>2015 Surplus Applied to 2014</v>
      </c>
      <c r="C959" s="32"/>
      <c r="D959" s="68"/>
      <c r="E959" s="157"/>
      <c r="F959" s="157"/>
      <c r="G959" s="159"/>
      <c r="H959" s="160"/>
      <c r="I959" s="157"/>
      <c r="J959" s="157"/>
      <c r="K959" s="157"/>
      <c r="L959" s="157"/>
      <c r="M959" s="157"/>
      <c r="N959" s="157"/>
      <c r="O959" s="32"/>
    </row>
    <row r="960" spans="1:15" ht="14.25" customHeight="1">
      <c r="B960" s="86" t="str">
        <f xml:space="preserve"> ( 'Facility Detail'!$B$1897 + 4 ) &amp; " Surplus Applied to " &amp; ( 'Facility Detail'!$B$1897 + 5 )</f>
        <v>2015 Surplus Applied to 2016</v>
      </c>
      <c r="C960" s="32"/>
      <c r="D960" s="68"/>
      <c r="E960" s="157"/>
      <c r="F960" s="157"/>
      <c r="G960" s="157"/>
      <c r="H960" s="160">
        <v>0</v>
      </c>
      <c r="I960" s="158">
        <f>H960</f>
        <v>0</v>
      </c>
      <c r="J960" s="158"/>
      <c r="K960" s="158"/>
      <c r="L960" s="158"/>
      <c r="M960" s="158"/>
      <c r="N960" s="158"/>
      <c r="O960" s="32"/>
    </row>
    <row r="961" spans="1:15" ht="14.25" customHeight="1">
      <c r="B961" s="86" t="str">
        <f xml:space="preserve"> ( 'Facility Detail'!$B$1897 + 5 ) &amp; " Surplus Applied to " &amp; ( 'Facility Detail'!$B$1897 + 4 )</f>
        <v>2016 Surplus Applied to 2015</v>
      </c>
      <c r="C961" s="32"/>
      <c r="D961" s="68"/>
      <c r="E961" s="157"/>
      <c r="F961" s="157"/>
      <c r="G961" s="157"/>
      <c r="H961" s="77"/>
      <c r="I961" s="160"/>
      <c r="J961" s="160"/>
      <c r="K961" s="160"/>
      <c r="L961" s="160"/>
      <c r="M961" s="160"/>
      <c r="N961" s="160"/>
      <c r="O961" s="32"/>
    </row>
    <row r="962" spans="1:15" ht="14.25" customHeight="1">
      <c r="B962" s="86" t="str">
        <f xml:space="preserve"> ( 'Facility Detail'!$B$1897 + 5 ) &amp; " Surplus Applied to " &amp; ( 'Facility Detail'!$B$1897 + 6 )</f>
        <v>2016 Surplus Applied to 2017</v>
      </c>
      <c r="C962" s="32"/>
      <c r="D962" s="69"/>
      <c r="E962" s="140"/>
      <c r="F962" s="140"/>
      <c r="G962" s="140"/>
      <c r="H962" s="140"/>
      <c r="I962" s="162">
        <f>I938</f>
        <v>0</v>
      </c>
      <c r="J962" s="162"/>
      <c r="K962" s="162"/>
      <c r="L962" s="162"/>
      <c r="M962" s="162"/>
      <c r="N962" s="162"/>
      <c r="O962" s="32"/>
    </row>
    <row r="963" spans="1:15">
      <c r="B963" s="35" t="s">
        <v>17</v>
      </c>
      <c r="D963" s="198">
        <f xml:space="preserve"> D958 - D957</f>
        <v>0</v>
      </c>
      <c r="E963" s="198">
        <f xml:space="preserve"> E957 + E960 - E959 - E958</f>
        <v>0</v>
      </c>
      <c r="F963" s="198">
        <f>F959 - F960</f>
        <v>0</v>
      </c>
      <c r="G963" s="198">
        <f t="shared" ref="G963:H963" si="534">G959 - G960</f>
        <v>0</v>
      </c>
      <c r="H963" s="198">
        <f t="shared" si="534"/>
        <v>0</v>
      </c>
      <c r="I963" s="198">
        <f>I960</f>
        <v>0</v>
      </c>
      <c r="J963" s="198">
        <f>J962</f>
        <v>0</v>
      </c>
      <c r="K963" s="198">
        <f>K962</f>
        <v>0</v>
      </c>
      <c r="L963" s="198">
        <f t="shared" ref="L963:N963" si="535">L962</f>
        <v>0</v>
      </c>
      <c r="M963" s="198">
        <f t="shared" ref="M963" si="536">M962</f>
        <v>0</v>
      </c>
      <c r="N963" s="198">
        <f t="shared" si="535"/>
        <v>0</v>
      </c>
      <c r="O963" s="32"/>
    </row>
    <row r="964" spans="1:15">
      <c r="B964" s="6"/>
      <c r="D964" s="7"/>
      <c r="E964" s="7"/>
      <c r="F964" s="7"/>
      <c r="G964" s="7"/>
      <c r="H964" s="7"/>
      <c r="I964" s="7"/>
      <c r="J964" s="7"/>
      <c r="K964" s="7"/>
      <c r="L964" s="7"/>
      <c r="M964" s="7"/>
      <c r="N964" s="7"/>
      <c r="O964" s="32"/>
    </row>
    <row r="965" spans="1:15">
      <c r="B965" s="83" t="s">
        <v>12</v>
      </c>
      <c r="C965" s="78"/>
      <c r="D965" s="101"/>
      <c r="E965" s="102"/>
      <c r="F965" s="170"/>
      <c r="G965" s="170"/>
      <c r="H965" s="170"/>
      <c r="I965" s="170"/>
      <c r="J965" s="170"/>
      <c r="K965" s="170"/>
      <c r="L965" s="170"/>
      <c r="M965" s="170"/>
      <c r="N965" s="170"/>
      <c r="O965" s="32"/>
    </row>
    <row r="966" spans="1:15">
      <c r="B966" s="6"/>
      <c r="D966" s="7"/>
      <c r="E966" s="7"/>
      <c r="F966" s="7"/>
      <c r="G966" s="7"/>
      <c r="H966" s="7"/>
      <c r="I966" s="7"/>
      <c r="J966" s="7"/>
      <c r="K966" s="7"/>
      <c r="L966" s="7"/>
      <c r="M966" s="7"/>
      <c r="N966" s="7"/>
      <c r="O966" s="32"/>
    </row>
    <row r="967" spans="1:15" ht="18.5">
      <c r="A967" s="43" t="s">
        <v>26</v>
      </c>
      <c r="C967" s="78"/>
      <c r="D967" s="47">
        <f xml:space="preserve"> D938 + D943 - D949 + D963 + D965</f>
        <v>0</v>
      </c>
      <c r="E967" s="48">
        <f xml:space="preserve"> E938 + E943 - E949 + E963 + E965</f>
        <v>0</v>
      </c>
      <c r="F967" s="171">
        <f xml:space="preserve"> F938 + F943 - F949 + F963 + F965</f>
        <v>0</v>
      </c>
      <c r="G967" s="171">
        <f t="shared" ref="G967:J967" si="537" xml:space="preserve"> G938 + G943 - G949 + G963 + G965</f>
        <v>0</v>
      </c>
      <c r="H967" s="171">
        <f t="shared" si="537"/>
        <v>40000</v>
      </c>
      <c r="I967" s="171">
        <f t="shared" si="537"/>
        <v>0</v>
      </c>
      <c r="J967" s="171">
        <f t="shared" si="537"/>
        <v>0</v>
      </c>
      <c r="K967" s="171">
        <f t="shared" ref="K967:N967" si="538" xml:space="preserve"> K938 + K943 - K949 + K963 + K965</f>
        <v>0</v>
      </c>
      <c r="L967" s="171">
        <f t="shared" si="538"/>
        <v>0</v>
      </c>
      <c r="M967" s="171">
        <f t="shared" ref="M967" si="539" xml:space="preserve"> M938 + M943 - M949 + M963 + M965</f>
        <v>0</v>
      </c>
      <c r="N967" s="171">
        <f t="shared" si="538"/>
        <v>0</v>
      </c>
      <c r="O967" s="32"/>
    </row>
    <row r="968" spans="1:15">
      <c r="B968" s="6"/>
      <c r="D968" s="7"/>
      <c r="E968" s="7"/>
      <c r="F968" s="7"/>
      <c r="G968" s="30"/>
      <c r="H968" s="30"/>
      <c r="I968" s="30"/>
      <c r="J968" s="30"/>
      <c r="K968" s="30"/>
      <c r="L968" s="30"/>
      <c r="M968" s="30"/>
      <c r="N968" s="30"/>
      <c r="O968" s="32"/>
    </row>
    <row r="969" spans="1:15" ht="15" thickBot="1">
      <c r="O969" s="32"/>
    </row>
    <row r="970" spans="1:15">
      <c r="A970" s="8"/>
      <c r="B970" s="8"/>
      <c r="C970" s="8"/>
      <c r="D970" s="8"/>
      <c r="E970" s="8"/>
      <c r="F970" s="8"/>
      <c r="G970" s="8"/>
      <c r="H970" s="8"/>
      <c r="I970" s="8"/>
      <c r="J970" s="8"/>
      <c r="K970" s="8"/>
      <c r="L970" s="8"/>
      <c r="M970" s="8"/>
      <c r="N970" s="8"/>
      <c r="O970" s="32"/>
    </row>
    <row r="971" spans="1:15">
      <c r="B971" s="32"/>
      <c r="C971" s="32"/>
      <c r="D971" s="32"/>
      <c r="E971" s="32"/>
      <c r="F971" s="32"/>
      <c r="G971" s="32"/>
      <c r="H971" s="32"/>
      <c r="I971" s="32"/>
      <c r="J971" s="32"/>
      <c r="K971" s="32"/>
      <c r="L971" s="32"/>
      <c r="M971" s="32"/>
      <c r="N971" s="32"/>
      <c r="O971" s="32"/>
    </row>
    <row r="972" spans="1:15" ht="21">
      <c r="A972" s="14" t="s">
        <v>4</v>
      </c>
      <c r="B972" s="14"/>
      <c r="C972" s="44" t="str">
        <f>B22</f>
        <v>Hidden Hollow - REC Only</v>
      </c>
      <c r="D972" s="216"/>
      <c r="E972" s="24"/>
      <c r="F972" s="24"/>
      <c r="O972" s="32"/>
    </row>
    <row r="973" spans="1:15">
      <c r="O973" s="32"/>
    </row>
    <row r="974" spans="1:15" ht="18.5">
      <c r="A974" s="9" t="s">
        <v>21</v>
      </c>
      <c r="B974" s="9"/>
      <c r="D974" s="2">
        <f>'Facility Detail'!$B$1897</f>
        <v>2011</v>
      </c>
      <c r="E974" s="2">
        <f>D974+1</f>
        <v>2012</v>
      </c>
      <c r="F974" s="2">
        <f>E974+1</f>
        <v>2013</v>
      </c>
      <c r="G974" s="2">
        <f t="shared" ref="G974:K974" si="540">F974+1</f>
        <v>2014</v>
      </c>
      <c r="H974" s="2">
        <f t="shared" si="540"/>
        <v>2015</v>
      </c>
      <c r="I974" s="2">
        <f t="shared" si="540"/>
        <v>2016</v>
      </c>
      <c r="J974" s="2">
        <f t="shared" si="540"/>
        <v>2017</v>
      </c>
      <c r="K974" s="2">
        <f t="shared" si="540"/>
        <v>2018</v>
      </c>
      <c r="L974" s="2">
        <f t="shared" ref="L974" si="541">K974+1</f>
        <v>2019</v>
      </c>
      <c r="M974" s="2">
        <f t="shared" ref="M974" si="542">L974+1</f>
        <v>2020</v>
      </c>
      <c r="N974" s="2">
        <f t="shared" ref="N974" si="543">M974+1</f>
        <v>2021</v>
      </c>
      <c r="O974" s="32"/>
    </row>
    <row r="975" spans="1:15">
      <c r="B975" s="86" t="str">
        <f>"Total MWh Produced / Purchased from " &amp; C972</f>
        <v>Total MWh Produced / Purchased from Hidden Hollow - REC Only</v>
      </c>
      <c r="C975" s="78"/>
      <c r="D975" s="3"/>
      <c r="E975" s="4"/>
      <c r="F975" s="4"/>
      <c r="G975" s="4"/>
      <c r="H975" s="4">
        <v>12501</v>
      </c>
      <c r="I975" s="4">
        <v>3960</v>
      </c>
      <c r="J975" s="4"/>
      <c r="K975" s="4"/>
      <c r="L975" s="4"/>
      <c r="M975" s="4"/>
      <c r="N975" s="4"/>
      <c r="O975" s="32"/>
    </row>
    <row r="976" spans="1:15">
      <c r="B976" s="86" t="s">
        <v>25</v>
      </c>
      <c r="C976" s="78"/>
      <c r="D976" s="60"/>
      <c r="E976" s="61"/>
      <c r="F976" s="61"/>
      <c r="G976" s="61"/>
      <c r="H976" s="61">
        <v>1</v>
      </c>
      <c r="I976" s="61">
        <v>1</v>
      </c>
      <c r="J976" s="61"/>
      <c r="K976" s="61"/>
      <c r="L976" s="61"/>
      <c r="M976" s="61"/>
      <c r="N976" s="61"/>
      <c r="O976" s="32"/>
    </row>
    <row r="977" spans="1:15">
      <c r="B977" s="86" t="s">
        <v>20</v>
      </c>
      <c r="C977" s="78"/>
      <c r="D977" s="52"/>
      <c r="E977" s="53"/>
      <c r="F977" s="53"/>
      <c r="G977" s="53"/>
      <c r="H977" s="53">
        <v>1</v>
      </c>
      <c r="I977" s="53">
        <v>1</v>
      </c>
      <c r="J977" s="53"/>
      <c r="K977" s="53"/>
      <c r="L977" s="53"/>
      <c r="M977" s="53"/>
      <c r="N977" s="53"/>
      <c r="O977" s="32"/>
    </row>
    <row r="978" spans="1:15">
      <c r="B978" s="83" t="s">
        <v>22</v>
      </c>
      <c r="C978" s="84"/>
      <c r="D978" s="39">
        <f xml:space="preserve"> D975 * D976 * D977</f>
        <v>0</v>
      </c>
      <c r="E978" s="39">
        <f xml:space="preserve"> E975 * E976 * E977</f>
        <v>0</v>
      </c>
      <c r="F978" s="39">
        <f xml:space="preserve"> F975 * F976 * F977</f>
        <v>0</v>
      </c>
      <c r="G978" s="39">
        <f t="shared" ref="G978" si="544" xml:space="preserve"> G975 * G976 * G977</f>
        <v>0</v>
      </c>
      <c r="H978" s="39">
        <v>12501</v>
      </c>
      <c r="I978" s="39">
        <v>3960</v>
      </c>
      <c r="J978" s="39"/>
      <c r="K978" s="39"/>
      <c r="L978" s="39"/>
      <c r="M978" s="39"/>
      <c r="N978" s="39"/>
      <c r="O978" s="32"/>
    </row>
    <row r="979" spans="1:15">
      <c r="B979" s="24"/>
      <c r="C979" s="32"/>
      <c r="D979" s="38"/>
      <c r="E979" s="38"/>
      <c r="F979" s="38"/>
      <c r="G979" s="38"/>
      <c r="H979" s="38"/>
      <c r="I979" s="38"/>
      <c r="J979" s="38"/>
      <c r="K979" s="38"/>
      <c r="L979" s="38"/>
      <c r="M979" s="38"/>
      <c r="N979" s="38"/>
      <c r="O979" s="32"/>
    </row>
    <row r="980" spans="1:15" ht="18.5">
      <c r="A980" s="46" t="s">
        <v>52</v>
      </c>
      <c r="C980" s="32"/>
      <c r="D980" s="2">
        <f>'Facility Detail'!$B$1897</f>
        <v>2011</v>
      </c>
      <c r="E980" s="2">
        <f>D980+1</f>
        <v>2012</v>
      </c>
      <c r="F980" s="2">
        <f>E980+1</f>
        <v>2013</v>
      </c>
      <c r="G980" s="2">
        <f t="shared" ref="G980:J980" si="545">F980+1</f>
        <v>2014</v>
      </c>
      <c r="H980" s="2">
        <f t="shared" si="545"/>
        <v>2015</v>
      </c>
      <c r="I980" s="2">
        <f t="shared" si="545"/>
        <v>2016</v>
      </c>
      <c r="J980" s="2">
        <f t="shared" si="545"/>
        <v>2017</v>
      </c>
      <c r="K980" s="2">
        <f>K974</f>
        <v>2018</v>
      </c>
      <c r="L980" s="2">
        <f t="shared" ref="L980:N980" si="546">L974</f>
        <v>2019</v>
      </c>
      <c r="M980" s="2">
        <f t="shared" si="546"/>
        <v>2020</v>
      </c>
      <c r="N980" s="2">
        <f t="shared" si="546"/>
        <v>2021</v>
      </c>
      <c r="O980" s="32"/>
    </row>
    <row r="981" spans="1:15">
      <c r="B981" s="86" t="s">
        <v>10</v>
      </c>
      <c r="C981" s="78"/>
      <c r="D981" s="55">
        <f>IF( $E22 = "Eligible", D978 * 'Facility Detail'!$B$1894, 0 )</f>
        <v>0</v>
      </c>
      <c r="E981" s="11">
        <f>IF( $E22 = "Eligible", E978 * 'Facility Detail'!$B$1894, 0 )</f>
        <v>0</v>
      </c>
      <c r="F981" s="11">
        <f>IF( $E22 = "Eligible", F978 * 'Facility Detail'!$B$1894, 0 )</f>
        <v>0</v>
      </c>
      <c r="G981" s="11">
        <f>IF( $E22 = "Eligible", G978 * 'Facility Detail'!$B$1894, 0 )</f>
        <v>0</v>
      </c>
      <c r="H981" s="11">
        <f>IF( $E22 = "Eligible", H978 * 'Facility Detail'!$B$1894, 0 )</f>
        <v>0</v>
      </c>
      <c r="I981" s="11">
        <f>IF( $E22 = "Eligible", I978 * 'Facility Detail'!$B$1894, 0 )</f>
        <v>0</v>
      </c>
      <c r="J981" s="11">
        <f>IF( $E22 = "Eligible", J978 * 'Facility Detail'!$B$1894, 0 )</f>
        <v>0</v>
      </c>
      <c r="K981" s="11">
        <f>IF( $E22 = "Eligible", K978 * 'Facility Detail'!$B$1894, 0 )</f>
        <v>0</v>
      </c>
      <c r="L981" s="11">
        <f>IF( $E22 = "Eligible", L978 * 'Facility Detail'!$B$1894, 0 )</f>
        <v>0</v>
      </c>
      <c r="M981" s="11">
        <f>IF( $E22 = "Eligible", M978 * 'Facility Detail'!$B$1894, 0 )</f>
        <v>0</v>
      </c>
      <c r="N981" s="11">
        <f>IF( $E22 = "Eligible", N978 * 'Facility Detail'!$B$1894, 0 )</f>
        <v>0</v>
      </c>
      <c r="O981" s="32"/>
    </row>
    <row r="982" spans="1:15">
      <c r="B982" s="86" t="s">
        <v>6</v>
      </c>
      <c r="C982" s="78"/>
      <c r="D982" s="56">
        <f t="shared" ref="D982:J982" si="547">IF( $F22 = "Eligible", D978, 0 )</f>
        <v>0</v>
      </c>
      <c r="E982" s="57">
        <f t="shared" si="547"/>
        <v>0</v>
      </c>
      <c r="F982" s="57">
        <f t="shared" si="547"/>
        <v>0</v>
      </c>
      <c r="G982" s="57">
        <f t="shared" si="547"/>
        <v>0</v>
      </c>
      <c r="H982" s="57">
        <f t="shared" si="547"/>
        <v>0</v>
      </c>
      <c r="I982" s="57">
        <f t="shared" si="547"/>
        <v>0</v>
      </c>
      <c r="J982" s="57">
        <f t="shared" si="547"/>
        <v>0</v>
      </c>
      <c r="K982" s="57">
        <f t="shared" ref="K982:N982" si="548">IF( $F22 = "Eligible", K978, 0 )</f>
        <v>0</v>
      </c>
      <c r="L982" s="57">
        <f t="shared" si="548"/>
        <v>0</v>
      </c>
      <c r="M982" s="57">
        <f t="shared" ref="M982" si="549">IF( $F22 = "Eligible", M978, 0 )</f>
        <v>0</v>
      </c>
      <c r="N982" s="57">
        <f t="shared" si="548"/>
        <v>0</v>
      </c>
      <c r="O982" s="32"/>
    </row>
    <row r="983" spans="1:15">
      <c r="B983" s="85" t="s">
        <v>54</v>
      </c>
      <c r="C983" s="84"/>
      <c r="D983" s="41">
        <f>SUM(D981:D982)</f>
        <v>0</v>
      </c>
      <c r="E983" s="42">
        <f>SUM(E981:E982)</f>
        <v>0</v>
      </c>
      <c r="F983" s="42">
        <f>SUM(F981:F982)</f>
        <v>0</v>
      </c>
      <c r="G983" s="42">
        <f t="shared" ref="G983:I983" si="550">SUM(G981:G982)</f>
        <v>0</v>
      </c>
      <c r="H983" s="42">
        <f t="shared" si="550"/>
        <v>0</v>
      </c>
      <c r="I983" s="42">
        <f t="shared" si="550"/>
        <v>0</v>
      </c>
      <c r="J983" s="42">
        <f t="shared" ref="J983:N983" si="551">SUM(J981:J982)</f>
        <v>0</v>
      </c>
      <c r="K983" s="42">
        <f t="shared" si="551"/>
        <v>0</v>
      </c>
      <c r="L983" s="42">
        <f t="shared" si="551"/>
        <v>0</v>
      </c>
      <c r="M983" s="42">
        <f t="shared" ref="M983" si="552">SUM(M981:M982)</f>
        <v>0</v>
      </c>
      <c r="N983" s="42">
        <f t="shared" si="551"/>
        <v>0</v>
      </c>
      <c r="O983" s="32"/>
    </row>
    <row r="984" spans="1:15">
      <c r="B984" s="32"/>
      <c r="C984" s="32"/>
      <c r="D984" s="40"/>
      <c r="E984" s="33"/>
      <c r="F984" s="33"/>
      <c r="G984" s="33"/>
      <c r="H984" s="33"/>
      <c r="I984" s="33"/>
      <c r="J984" s="33"/>
      <c r="K984" s="33"/>
      <c r="L984" s="33"/>
      <c r="M984" s="33"/>
      <c r="N984" s="33"/>
      <c r="O984" s="32"/>
    </row>
    <row r="985" spans="1:15" ht="18.5">
      <c r="A985" s="43" t="s">
        <v>30</v>
      </c>
      <c r="C985" s="32"/>
      <c r="D985" s="2">
        <f>'Facility Detail'!$B$1897</f>
        <v>2011</v>
      </c>
      <c r="E985" s="2">
        <f>D985+1</f>
        <v>2012</v>
      </c>
      <c r="F985" s="2">
        <f>E985+1</f>
        <v>2013</v>
      </c>
      <c r="G985" s="2">
        <f t="shared" ref="G985:K985" si="553">F985+1</f>
        <v>2014</v>
      </c>
      <c r="H985" s="2">
        <f t="shared" si="553"/>
        <v>2015</v>
      </c>
      <c r="I985" s="2">
        <f t="shared" si="553"/>
        <v>2016</v>
      </c>
      <c r="J985" s="2">
        <f t="shared" si="553"/>
        <v>2017</v>
      </c>
      <c r="K985" s="2">
        <f t="shared" si="553"/>
        <v>2018</v>
      </c>
      <c r="L985" s="2">
        <f t="shared" ref="L985" si="554">K985+1</f>
        <v>2019</v>
      </c>
      <c r="M985" s="2">
        <f t="shared" ref="M985" si="555">L985+1</f>
        <v>2020</v>
      </c>
      <c r="N985" s="2">
        <f t="shared" ref="N985" si="556">M985+1</f>
        <v>2021</v>
      </c>
      <c r="O985" s="32"/>
    </row>
    <row r="986" spans="1:15">
      <c r="B986" s="86" t="s">
        <v>32</v>
      </c>
      <c r="C986" s="78"/>
      <c r="D986" s="90"/>
      <c r="E986" s="91"/>
      <c r="F986" s="91"/>
      <c r="G986" s="91"/>
      <c r="H986" s="91"/>
      <c r="I986" s="91"/>
      <c r="J986" s="91"/>
      <c r="K986" s="91"/>
      <c r="L986" s="91"/>
      <c r="M986" s="91"/>
      <c r="N986" s="91"/>
      <c r="O986" s="32"/>
    </row>
    <row r="987" spans="1:15">
      <c r="B987" s="87" t="s">
        <v>23</v>
      </c>
      <c r="C987" s="192"/>
      <c r="D987" s="93"/>
      <c r="E987" s="94"/>
      <c r="F987" s="94"/>
      <c r="G987" s="94"/>
      <c r="H987" s="94"/>
      <c r="I987" s="94"/>
      <c r="J987" s="94"/>
      <c r="K987" s="94"/>
      <c r="L987" s="94"/>
      <c r="M987" s="94"/>
      <c r="N987" s="94"/>
      <c r="O987" s="32"/>
    </row>
    <row r="988" spans="1:15">
      <c r="B988" s="96" t="s">
        <v>38</v>
      </c>
      <c r="C988" s="190"/>
      <c r="D988" s="63"/>
      <c r="E988" s="64"/>
      <c r="F988" s="64"/>
      <c r="G988" s="64"/>
      <c r="H988" s="64"/>
      <c r="I988" s="64"/>
      <c r="J988" s="64"/>
      <c r="K988" s="64"/>
      <c r="L988" s="64"/>
      <c r="M988" s="64"/>
      <c r="N988" s="64"/>
      <c r="O988" s="32"/>
    </row>
    <row r="989" spans="1:15">
      <c r="B989" s="35" t="s">
        <v>39</v>
      </c>
      <c r="D989" s="7">
        <f>SUM(D986:D988)</f>
        <v>0</v>
      </c>
      <c r="E989" s="7">
        <f>SUM(E986:E988)</f>
        <v>0</v>
      </c>
      <c r="F989" s="7">
        <f>SUM(F986:F988)</f>
        <v>0</v>
      </c>
      <c r="G989" s="7">
        <f t="shared" ref="G989:I989" si="557">SUM(G986:G988)</f>
        <v>0</v>
      </c>
      <c r="H989" s="7">
        <f t="shared" si="557"/>
        <v>0</v>
      </c>
      <c r="I989" s="7">
        <f t="shared" si="557"/>
        <v>0</v>
      </c>
      <c r="J989" s="7">
        <f t="shared" ref="J989:N989" si="558">SUM(J986:J988)</f>
        <v>0</v>
      </c>
      <c r="K989" s="7">
        <f t="shared" si="558"/>
        <v>0</v>
      </c>
      <c r="L989" s="7">
        <f t="shared" si="558"/>
        <v>0</v>
      </c>
      <c r="M989" s="7">
        <f t="shared" ref="M989" si="559">SUM(M986:M988)</f>
        <v>0</v>
      </c>
      <c r="N989" s="7">
        <f t="shared" si="558"/>
        <v>0</v>
      </c>
      <c r="O989" s="32"/>
    </row>
    <row r="990" spans="1:15">
      <c r="B990" s="6"/>
      <c r="D990" s="7"/>
      <c r="E990" s="7"/>
      <c r="F990" s="7"/>
      <c r="G990" s="7"/>
      <c r="H990" s="7"/>
      <c r="I990" s="7"/>
      <c r="J990" s="7"/>
      <c r="K990" s="7"/>
      <c r="L990" s="7"/>
      <c r="M990" s="7"/>
      <c r="N990" s="7"/>
      <c r="O990" s="32"/>
    </row>
    <row r="991" spans="1:15" ht="18.5">
      <c r="A991" s="9" t="s">
        <v>40</v>
      </c>
      <c r="D991" s="2">
        <f>'Facility Detail'!$B$1897</f>
        <v>2011</v>
      </c>
      <c r="E991" s="2">
        <f>D991+1</f>
        <v>2012</v>
      </c>
      <c r="F991" s="2">
        <f>E991+1</f>
        <v>2013</v>
      </c>
      <c r="G991" s="2">
        <f t="shared" ref="G991:K991" si="560">F991+1</f>
        <v>2014</v>
      </c>
      <c r="H991" s="2">
        <f t="shared" si="560"/>
        <v>2015</v>
      </c>
      <c r="I991" s="2">
        <f t="shared" si="560"/>
        <v>2016</v>
      </c>
      <c r="J991" s="2">
        <f t="shared" si="560"/>
        <v>2017</v>
      </c>
      <c r="K991" s="2">
        <f t="shared" si="560"/>
        <v>2018</v>
      </c>
      <c r="L991" s="2">
        <f t="shared" ref="L991" si="561">K991+1</f>
        <v>2019</v>
      </c>
      <c r="M991" s="2">
        <f t="shared" ref="M991" si="562">L991+1</f>
        <v>2020</v>
      </c>
      <c r="N991" s="2">
        <f t="shared" ref="N991" si="563">M991+1</f>
        <v>2021</v>
      </c>
      <c r="O991" s="32"/>
    </row>
    <row r="992" spans="1:15" ht="14.25" customHeight="1">
      <c r="A992" s="9"/>
      <c r="B992" s="86" t="s">
        <v>34</v>
      </c>
      <c r="C992" s="78"/>
      <c r="D992" s="3"/>
      <c r="E992" s="66">
        <f>D992</f>
        <v>0</v>
      </c>
      <c r="F992" s="138"/>
      <c r="G992" s="138"/>
      <c r="H992" s="138"/>
      <c r="I992" s="138"/>
      <c r="J992" s="138"/>
      <c r="K992" s="138"/>
      <c r="L992" s="138"/>
      <c r="M992" s="138"/>
      <c r="N992" s="138"/>
      <c r="O992" s="32"/>
    </row>
    <row r="993" spans="1:15" ht="14.25" customHeight="1">
      <c r="A993" s="9"/>
      <c r="B993" s="86" t="s">
        <v>35</v>
      </c>
      <c r="C993" s="78"/>
      <c r="D993" s="174">
        <f>E993</f>
        <v>0</v>
      </c>
      <c r="E993" s="10"/>
      <c r="F993" s="81"/>
      <c r="G993" s="81"/>
      <c r="H993" s="81"/>
      <c r="I993" s="81"/>
      <c r="J993" s="81"/>
      <c r="K993" s="81"/>
      <c r="L993" s="81"/>
      <c r="M993" s="81"/>
      <c r="N993" s="81"/>
      <c r="O993" s="32"/>
    </row>
    <row r="994" spans="1:15" ht="14.25" customHeight="1">
      <c r="A994" s="9"/>
      <c r="B994" s="86" t="s">
        <v>36</v>
      </c>
      <c r="C994" s="78"/>
      <c r="D994" s="68"/>
      <c r="E994" s="10">
        <f>E978</f>
        <v>0</v>
      </c>
      <c r="F994" s="77">
        <f>E994</f>
        <v>0</v>
      </c>
      <c r="G994" s="81"/>
      <c r="H994" s="81"/>
      <c r="I994" s="81"/>
      <c r="J994" s="81"/>
      <c r="K994" s="81"/>
      <c r="L994" s="81"/>
      <c r="M994" s="81"/>
      <c r="N994" s="81"/>
      <c r="O994" s="32"/>
    </row>
    <row r="995" spans="1:15" ht="14.25" customHeight="1">
      <c r="A995" s="9"/>
      <c r="B995" s="86" t="s">
        <v>37</v>
      </c>
      <c r="C995" s="78"/>
      <c r="D995" s="68"/>
      <c r="E995" s="77">
        <f>F995</f>
        <v>0</v>
      </c>
      <c r="F995" s="173"/>
      <c r="G995" s="81"/>
      <c r="H995" s="81"/>
      <c r="I995" s="81"/>
      <c r="J995" s="81"/>
      <c r="K995" s="81"/>
      <c r="L995" s="81"/>
      <c r="M995" s="81"/>
      <c r="N995" s="81"/>
      <c r="O995" s="32"/>
    </row>
    <row r="996" spans="1:15" ht="14.25" customHeight="1">
      <c r="A996" s="9"/>
      <c r="B996" s="86" t="s">
        <v>122</v>
      </c>
      <c r="C996" s="78"/>
      <c r="D996" s="68"/>
      <c r="E996" s="157"/>
      <c r="F996" s="10">
        <f>F978</f>
        <v>0</v>
      </c>
      <c r="G996" s="158">
        <f>F996</f>
        <v>0</v>
      </c>
      <c r="H996" s="81"/>
      <c r="I996" s="81"/>
      <c r="J996" s="81"/>
      <c r="K996" s="81"/>
      <c r="L996" s="81"/>
      <c r="M996" s="81"/>
      <c r="N996" s="81"/>
      <c r="O996" s="32"/>
    </row>
    <row r="997" spans="1:15" ht="14.25" customHeight="1">
      <c r="B997" s="86" t="s">
        <v>123</v>
      </c>
      <c r="C997" s="78"/>
      <c r="D997" s="68"/>
      <c r="E997" s="157"/>
      <c r="F997" s="77">
        <f>G997</f>
        <v>0</v>
      </c>
      <c r="G997" s="10"/>
      <c r="H997" s="81"/>
      <c r="I997" s="81"/>
      <c r="J997" s="81"/>
      <c r="K997" s="81"/>
      <c r="L997" s="81"/>
      <c r="M997" s="81"/>
      <c r="N997" s="81"/>
      <c r="O997" s="32"/>
    </row>
    <row r="998" spans="1:15" ht="14.25" customHeight="1">
      <c r="B998" s="86" t="s">
        <v>124</v>
      </c>
      <c r="C998" s="78"/>
      <c r="D998" s="68"/>
      <c r="E998" s="157"/>
      <c r="F998" s="157"/>
      <c r="G998" s="10">
        <f>G978</f>
        <v>0</v>
      </c>
      <c r="H998" s="158">
        <f>G998</f>
        <v>0</v>
      </c>
      <c r="I998" s="157"/>
      <c r="J998" s="157"/>
      <c r="K998" s="157"/>
      <c r="L998" s="157"/>
      <c r="M998" s="157"/>
      <c r="N998" s="157"/>
      <c r="O998" s="32"/>
    </row>
    <row r="999" spans="1:15" ht="14.25" customHeight="1">
      <c r="B999" s="86" t="s">
        <v>125</v>
      </c>
      <c r="C999" s="78"/>
      <c r="D999" s="68"/>
      <c r="E999" s="157"/>
      <c r="F999" s="157"/>
      <c r="G999" s="159"/>
      <c r="H999" s="160"/>
      <c r="I999" s="157"/>
      <c r="J999" s="157"/>
      <c r="K999" s="157"/>
      <c r="L999" s="157"/>
      <c r="M999" s="157"/>
      <c r="N999" s="157"/>
      <c r="O999" s="32"/>
    </row>
    <row r="1000" spans="1:15" ht="14.25" customHeight="1">
      <c r="B1000" s="86" t="s">
        <v>126</v>
      </c>
      <c r="C1000" s="78"/>
      <c r="D1000" s="68"/>
      <c r="E1000" s="157"/>
      <c r="F1000" s="157"/>
      <c r="G1000" s="157"/>
      <c r="H1000" s="160">
        <f>H978</f>
        <v>12501</v>
      </c>
      <c r="I1000" s="158">
        <f>H1000</f>
        <v>12501</v>
      </c>
      <c r="J1000" s="158"/>
      <c r="K1000" s="158"/>
      <c r="L1000" s="158"/>
      <c r="M1000" s="158"/>
      <c r="N1000" s="158"/>
      <c r="O1000" s="32"/>
    </row>
    <row r="1001" spans="1:15" ht="14.25" customHeight="1">
      <c r="B1001" s="86" t="s">
        <v>127</v>
      </c>
      <c r="C1001" s="32"/>
      <c r="D1001" s="68"/>
      <c r="E1001" s="157"/>
      <c r="F1001" s="157"/>
      <c r="G1001" s="157"/>
      <c r="H1001" s="77"/>
      <c r="I1001" s="160"/>
      <c r="J1001" s="160"/>
      <c r="K1001" s="160"/>
      <c r="L1001" s="160"/>
      <c r="M1001" s="160"/>
      <c r="N1001" s="160"/>
      <c r="O1001" s="32"/>
    </row>
    <row r="1002" spans="1:15" ht="14.25" customHeight="1">
      <c r="B1002" s="86" t="s">
        <v>128</v>
      </c>
      <c r="C1002" s="32"/>
      <c r="D1002" s="68"/>
      <c r="E1002" s="157"/>
      <c r="F1002" s="157"/>
      <c r="G1002" s="157"/>
      <c r="H1002" s="157"/>
      <c r="I1002" s="160">
        <f>I978</f>
        <v>3960</v>
      </c>
      <c r="J1002" s="160">
        <f>I1002</f>
        <v>3960</v>
      </c>
      <c r="K1002" s="160"/>
      <c r="L1002" s="160"/>
      <c r="M1002" s="160"/>
      <c r="N1002" s="160"/>
      <c r="O1002" s="32"/>
    </row>
    <row r="1003" spans="1:15" ht="14.25" customHeight="1">
      <c r="B1003" s="86" t="s">
        <v>119</v>
      </c>
      <c r="C1003" s="32"/>
      <c r="D1003" s="68"/>
      <c r="E1003" s="157"/>
      <c r="F1003" s="157"/>
      <c r="G1003" s="157"/>
      <c r="H1003" s="157"/>
      <c r="I1003" s="77"/>
      <c r="J1003" s="77"/>
      <c r="K1003" s="77"/>
      <c r="L1003" s="77"/>
      <c r="M1003" s="77"/>
      <c r="N1003" s="77"/>
      <c r="O1003" s="32"/>
    </row>
    <row r="1004" spans="1:15" ht="14.25" customHeight="1">
      <c r="B1004" s="86" t="s">
        <v>120</v>
      </c>
      <c r="C1004" s="32"/>
      <c r="D1004" s="69"/>
      <c r="E1004" s="140"/>
      <c r="F1004" s="140"/>
      <c r="G1004" s="140"/>
      <c r="H1004" s="140"/>
      <c r="I1004" s="140"/>
      <c r="J1004" s="140"/>
      <c r="K1004" s="140"/>
      <c r="L1004" s="140"/>
      <c r="M1004" s="140"/>
      <c r="N1004" s="140"/>
      <c r="O1004" s="32"/>
    </row>
    <row r="1005" spans="1:15">
      <c r="B1005" s="35" t="s">
        <v>17</v>
      </c>
      <c r="D1005" s="198">
        <f xml:space="preserve"> D998 - D997</f>
        <v>0</v>
      </c>
      <c r="E1005" s="198">
        <f xml:space="preserve"> E997 + E1000 - E999 - E998</f>
        <v>0</v>
      </c>
      <c r="F1005" s="198">
        <f>F999 - F1000</f>
        <v>0</v>
      </c>
      <c r="G1005" s="198">
        <f t="shared" ref="G1005" si="564">G999 - G1000</f>
        <v>0</v>
      </c>
      <c r="H1005" s="30">
        <f>H998-H999-H1000</f>
        <v>-12501</v>
      </c>
      <c r="I1005" s="30">
        <f>I1000-I1001-I1002</f>
        <v>8541</v>
      </c>
      <c r="J1005" s="30">
        <f>J1002-J1003-J1004</f>
        <v>3960</v>
      </c>
      <c r="K1005" s="30">
        <f>K1002</f>
        <v>0</v>
      </c>
      <c r="L1005" s="30">
        <f t="shared" ref="L1005:N1005" si="565">L1002</f>
        <v>0</v>
      </c>
      <c r="M1005" s="30">
        <f t="shared" ref="M1005" si="566">M1002</f>
        <v>0</v>
      </c>
      <c r="N1005" s="30">
        <f t="shared" si="565"/>
        <v>0</v>
      </c>
      <c r="O1005" s="32"/>
    </row>
    <row r="1006" spans="1:15">
      <c r="B1006" s="6"/>
      <c r="D1006" s="7"/>
      <c r="E1006" s="7"/>
      <c r="F1006" s="7"/>
      <c r="G1006" s="7"/>
      <c r="H1006" s="7"/>
      <c r="I1006" s="7"/>
      <c r="J1006" s="7"/>
      <c r="K1006" s="7"/>
      <c r="L1006" s="7"/>
      <c r="M1006" s="7"/>
      <c r="N1006" s="7"/>
      <c r="O1006" s="32"/>
    </row>
    <row r="1007" spans="1:15">
      <c r="B1007" s="83" t="s">
        <v>12</v>
      </c>
      <c r="C1007" s="78"/>
      <c r="D1007" s="101"/>
      <c r="E1007" s="102"/>
      <c r="F1007" s="102"/>
      <c r="G1007" s="102"/>
      <c r="H1007" s="102"/>
      <c r="I1007" s="102"/>
      <c r="J1007" s="102"/>
      <c r="K1007" s="102"/>
      <c r="L1007" s="102"/>
      <c r="M1007" s="102"/>
      <c r="N1007" s="102"/>
      <c r="O1007" s="32"/>
    </row>
    <row r="1008" spans="1:15">
      <c r="B1008" s="6"/>
      <c r="D1008" s="7"/>
      <c r="E1008" s="7"/>
      <c r="F1008" s="7"/>
      <c r="G1008" s="7"/>
      <c r="H1008" s="7"/>
      <c r="I1008" s="7"/>
      <c r="J1008" s="7"/>
      <c r="K1008" s="7"/>
      <c r="L1008" s="7"/>
      <c r="M1008" s="7"/>
      <c r="N1008" s="7"/>
      <c r="O1008" s="32"/>
    </row>
    <row r="1009" spans="1:15" ht="18.5">
      <c r="A1009" s="43" t="s">
        <v>26</v>
      </c>
      <c r="C1009" s="78"/>
      <c r="D1009" s="47">
        <f xml:space="preserve"> D978 + D983 - D989 + D1005 + D1007</f>
        <v>0</v>
      </c>
      <c r="E1009" s="48">
        <f xml:space="preserve"> E978 + E983 - E989 + E1005 + E1007</f>
        <v>0</v>
      </c>
      <c r="F1009" s="48">
        <f xml:space="preserve"> F978 + F983 - F989 + F1005 + F1007</f>
        <v>0</v>
      </c>
      <c r="G1009" s="48">
        <f t="shared" ref="G1009:H1009" si="567" xml:space="preserve"> G978 + G983 - G989 + G1005 + G1007</f>
        <v>0</v>
      </c>
      <c r="H1009" s="48">
        <f t="shared" si="567"/>
        <v>0</v>
      </c>
      <c r="I1009" s="48">
        <f t="shared" ref="I1009:J1009" si="568" xml:space="preserve"> I978 + I983 - I989 + I1005 + I1007</f>
        <v>12501</v>
      </c>
      <c r="J1009" s="48">
        <f t="shared" si="568"/>
        <v>3960</v>
      </c>
      <c r="K1009" s="48">
        <f t="shared" ref="K1009:N1009" si="569" xml:space="preserve"> K978 + K983 - K989 + K1005 + K1007</f>
        <v>0</v>
      </c>
      <c r="L1009" s="48">
        <f t="shared" si="569"/>
        <v>0</v>
      </c>
      <c r="M1009" s="48">
        <f t="shared" ref="M1009" si="570" xml:space="preserve"> M978 + M983 - M989 + M1005 + M1007</f>
        <v>0</v>
      </c>
      <c r="N1009" s="48">
        <f t="shared" si="569"/>
        <v>0</v>
      </c>
      <c r="O1009" s="32"/>
    </row>
    <row r="1010" spans="1:15">
      <c r="B1010" s="6"/>
      <c r="D1010" s="7"/>
      <c r="E1010" s="7"/>
      <c r="F1010" s="7"/>
      <c r="G1010" s="30"/>
      <c r="H1010" s="30"/>
      <c r="I1010" s="30"/>
      <c r="J1010" s="30"/>
      <c r="K1010" s="30"/>
      <c r="L1010" s="30"/>
      <c r="M1010" s="30"/>
      <c r="N1010" s="30"/>
      <c r="O1010" s="32"/>
    </row>
    <row r="1011" spans="1:15" ht="15" thickBot="1">
      <c r="O1011" s="32"/>
    </row>
    <row r="1012" spans="1:15">
      <c r="A1012" s="8"/>
      <c r="B1012" s="8"/>
      <c r="C1012" s="8"/>
      <c r="D1012" s="8"/>
      <c r="E1012" s="8"/>
      <c r="F1012" s="8"/>
      <c r="G1012" s="8"/>
      <c r="H1012" s="8"/>
      <c r="I1012" s="8"/>
      <c r="J1012" s="8"/>
      <c r="K1012" s="8"/>
      <c r="L1012" s="8"/>
      <c r="M1012" s="8"/>
      <c r="N1012" s="8"/>
      <c r="O1012" s="32"/>
    </row>
    <row r="1013" spans="1:15">
      <c r="B1013" s="32"/>
      <c r="C1013" s="32"/>
      <c r="D1013" s="32"/>
      <c r="E1013" s="32"/>
      <c r="F1013" s="32"/>
      <c r="G1013" s="32"/>
      <c r="H1013" s="32"/>
      <c r="I1013" s="32"/>
      <c r="J1013" s="32"/>
      <c r="K1013" s="32"/>
      <c r="L1013" s="32"/>
      <c r="M1013" s="32"/>
      <c r="N1013" s="32"/>
    </row>
    <row r="1014" spans="1:15" ht="21">
      <c r="A1014" s="14" t="s">
        <v>4</v>
      </c>
      <c r="B1014" s="14"/>
      <c r="C1014" s="44" t="str">
        <f>B23</f>
        <v>Fighting Creek - REC Only</v>
      </c>
      <c r="D1014" s="45"/>
      <c r="E1014" s="24"/>
      <c r="F1014" s="24"/>
    </row>
    <row r="1016" spans="1:15" ht="18.5">
      <c r="A1016" s="9" t="s">
        <v>21</v>
      </c>
      <c r="B1016" s="9"/>
      <c r="D1016" s="2">
        <f>'Facility Detail'!$B$1897</f>
        <v>2011</v>
      </c>
      <c r="E1016" s="2">
        <f>D1016+1</f>
        <v>2012</v>
      </c>
      <c r="F1016" s="2">
        <f>E1016+1</f>
        <v>2013</v>
      </c>
      <c r="G1016" s="2">
        <f t="shared" ref="G1016:K1016" si="571">F1016+1</f>
        <v>2014</v>
      </c>
      <c r="H1016" s="2">
        <f t="shared" si="571"/>
        <v>2015</v>
      </c>
      <c r="I1016" s="2">
        <f t="shared" si="571"/>
        <v>2016</v>
      </c>
      <c r="J1016" s="2">
        <f t="shared" si="571"/>
        <v>2017</v>
      </c>
      <c r="K1016" s="2">
        <f t="shared" si="571"/>
        <v>2018</v>
      </c>
      <c r="L1016" s="2">
        <f t="shared" ref="L1016" si="572">K1016+1</f>
        <v>2019</v>
      </c>
      <c r="M1016" s="2">
        <f t="shared" ref="M1016" si="573">L1016+1</f>
        <v>2020</v>
      </c>
      <c r="N1016" s="2">
        <f t="shared" ref="N1016" si="574">M1016+1</f>
        <v>2021</v>
      </c>
    </row>
    <row r="1017" spans="1:15">
      <c r="B1017" s="86" t="str">
        <f>"Total MWh Produced / Purchased from " &amp; C1014</f>
        <v>Total MWh Produced / Purchased from Fighting Creek - REC Only</v>
      </c>
      <c r="C1017" s="78"/>
      <c r="D1017" s="3"/>
      <c r="E1017" s="4"/>
      <c r="F1017" s="4"/>
      <c r="G1017" s="4"/>
      <c r="H1017" s="4">
        <v>730</v>
      </c>
      <c r="I1017" s="4"/>
      <c r="J1017" s="4"/>
      <c r="K1017" s="4"/>
      <c r="L1017" s="4"/>
      <c r="M1017" s="4"/>
      <c r="N1017" s="4"/>
    </row>
    <row r="1018" spans="1:15">
      <c r="B1018" s="86" t="s">
        <v>25</v>
      </c>
      <c r="C1018" s="78"/>
      <c r="D1018" s="60"/>
      <c r="E1018" s="61"/>
      <c r="F1018" s="61"/>
      <c r="G1018" s="61"/>
      <c r="H1018" s="61">
        <v>1</v>
      </c>
      <c r="I1018" s="61"/>
      <c r="J1018" s="61"/>
      <c r="K1018" s="61"/>
      <c r="L1018" s="61"/>
      <c r="M1018" s="61"/>
      <c r="N1018" s="61"/>
    </row>
    <row r="1019" spans="1:15">
      <c r="B1019" s="86" t="s">
        <v>20</v>
      </c>
      <c r="C1019" s="78"/>
      <c r="D1019" s="52"/>
      <c r="E1019" s="53"/>
      <c r="F1019" s="53"/>
      <c r="G1019" s="53"/>
      <c r="H1019" s="53">
        <v>1</v>
      </c>
      <c r="I1019" s="53"/>
      <c r="J1019" s="53"/>
      <c r="K1019" s="53"/>
      <c r="L1019" s="53"/>
      <c r="M1019" s="53"/>
      <c r="N1019" s="53"/>
    </row>
    <row r="1020" spans="1:15">
      <c r="B1020" s="83" t="s">
        <v>22</v>
      </c>
      <c r="C1020" s="84"/>
      <c r="D1020" s="39">
        <f xml:space="preserve"> D1017 * D1018 * D1019</f>
        <v>0</v>
      </c>
      <c r="E1020" s="39">
        <f xml:space="preserve"> E1017 * E1018 * E1019</f>
        <v>0</v>
      </c>
      <c r="F1020" s="39">
        <f xml:space="preserve"> F1017 * F1018 * F1019</f>
        <v>0</v>
      </c>
      <c r="G1020" s="39">
        <f t="shared" ref="G1020:J1020" si="575" xml:space="preserve"> G1017 * G1018 * G1019</f>
        <v>0</v>
      </c>
      <c r="H1020" s="39">
        <v>730</v>
      </c>
      <c r="I1020" s="39">
        <f t="shared" si="575"/>
        <v>0</v>
      </c>
      <c r="J1020" s="39">
        <f t="shared" si="575"/>
        <v>0</v>
      </c>
      <c r="K1020" s="39">
        <f t="shared" ref="K1020:N1020" si="576" xml:space="preserve"> K1017 * K1018 * K1019</f>
        <v>0</v>
      </c>
      <c r="L1020" s="39">
        <f t="shared" si="576"/>
        <v>0</v>
      </c>
      <c r="M1020" s="39">
        <f t="shared" ref="M1020" si="577" xml:space="preserve"> M1017 * M1018 * M1019</f>
        <v>0</v>
      </c>
      <c r="N1020" s="39">
        <f t="shared" si="576"/>
        <v>0</v>
      </c>
    </row>
    <row r="1021" spans="1:15">
      <c r="B1021" s="24"/>
      <c r="C1021" s="32"/>
      <c r="D1021" s="38"/>
      <c r="E1021" s="38"/>
      <c r="F1021" s="38"/>
      <c r="G1021" s="38"/>
      <c r="H1021" s="38"/>
      <c r="I1021" s="38"/>
      <c r="J1021" s="38"/>
      <c r="K1021" s="38"/>
      <c r="L1021" s="38"/>
      <c r="M1021" s="38"/>
      <c r="N1021" s="38"/>
    </row>
    <row r="1022" spans="1:15" ht="18.5">
      <c r="A1022" s="46" t="s">
        <v>52</v>
      </c>
      <c r="C1022" s="32"/>
      <c r="D1022" s="2">
        <f>'Facility Detail'!$B$1897</f>
        <v>2011</v>
      </c>
      <c r="E1022" s="2">
        <f>D1022+1</f>
        <v>2012</v>
      </c>
      <c r="F1022" s="2">
        <f>E1022+1</f>
        <v>2013</v>
      </c>
      <c r="G1022" s="2">
        <f t="shared" ref="G1022:K1022" si="578">F1022+1</f>
        <v>2014</v>
      </c>
      <c r="H1022" s="2">
        <f t="shared" si="578"/>
        <v>2015</v>
      </c>
      <c r="I1022" s="2">
        <f t="shared" si="578"/>
        <v>2016</v>
      </c>
      <c r="J1022" s="2">
        <f t="shared" si="578"/>
        <v>2017</v>
      </c>
      <c r="K1022" s="2">
        <f t="shared" si="578"/>
        <v>2018</v>
      </c>
      <c r="L1022" s="2">
        <f t="shared" ref="L1022" si="579">K1022+1</f>
        <v>2019</v>
      </c>
      <c r="M1022" s="2">
        <f t="shared" ref="M1022" si="580">L1022+1</f>
        <v>2020</v>
      </c>
      <c r="N1022" s="2">
        <f t="shared" ref="N1022" si="581">M1022+1</f>
        <v>2021</v>
      </c>
    </row>
    <row r="1023" spans="1:15">
      <c r="B1023" s="86" t="s">
        <v>10</v>
      </c>
      <c r="C1023" s="78"/>
      <c r="D1023" s="55">
        <f>IF( $E23 = "Eligible", D1020 * 'Facility Detail'!$B$1894, 0 )</f>
        <v>0</v>
      </c>
      <c r="E1023" s="11">
        <f>IF( $E23 = "Eligible", E1020 * 'Facility Detail'!$B$1894, 0 )</f>
        <v>0</v>
      </c>
      <c r="F1023" s="11">
        <f>IF( $E23 = "Eligible", F1020 * 'Facility Detail'!$B$1894, 0 )</f>
        <v>0</v>
      </c>
      <c r="G1023" s="11">
        <f>IF( $E23 = "Eligible", G1020 * 'Facility Detail'!$B$1894, 0 )</f>
        <v>0</v>
      </c>
      <c r="H1023" s="11">
        <f>IF( $E23 = "Eligible", H1020 * 'Facility Detail'!$B$1894, 0 )</f>
        <v>0</v>
      </c>
      <c r="I1023" s="11">
        <f>IF( $E23 = "Eligible", I1020 * 'Facility Detail'!$B$1894, 0 )</f>
        <v>0</v>
      </c>
      <c r="J1023" s="11">
        <f>IF( $E23 = "Eligible", J1020 * 'Facility Detail'!$B$1894, 0 )</f>
        <v>0</v>
      </c>
      <c r="K1023" s="11">
        <f>IF( $E23 = "Eligible", K1020 * 'Facility Detail'!$B$1894, 0 )</f>
        <v>0</v>
      </c>
      <c r="L1023" s="11">
        <f>IF( $E23 = "Eligible", L1020 * 'Facility Detail'!$B$1894, 0 )</f>
        <v>0</v>
      </c>
      <c r="M1023" s="11">
        <f>IF( $E23 = "Eligible", M1020 * 'Facility Detail'!$B$1894, 0 )</f>
        <v>0</v>
      </c>
      <c r="N1023" s="11">
        <f>IF( $E23 = "Eligible", N1020 * 'Facility Detail'!$B$1894, 0 )</f>
        <v>0</v>
      </c>
    </row>
    <row r="1024" spans="1:15">
      <c r="B1024" s="86" t="s">
        <v>6</v>
      </c>
      <c r="C1024" s="78"/>
      <c r="D1024" s="56">
        <f t="shared" ref="D1024:K1024" si="582">IF( $F23 = "Eligible", D1020, 0 )</f>
        <v>0</v>
      </c>
      <c r="E1024" s="57">
        <f t="shared" si="582"/>
        <v>0</v>
      </c>
      <c r="F1024" s="57">
        <f t="shared" si="582"/>
        <v>0</v>
      </c>
      <c r="G1024" s="57">
        <f t="shared" si="582"/>
        <v>0</v>
      </c>
      <c r="H1024" s="57">
        <f t="shared" si="582"/>
        <v>0</v>
      </c>
      <c r="I1024" s="57">
        <f t="shared" si="582"/>
        <v>0</v>
      </c>
      <c r="J1024" s="57">
        <f t="shared" si="582"/>
        <v>0</v>
      </c>
      <c r="K1024" s="57">
        <f t="shared" si="582"/>
        <v>0</v>
      </c>
      <c r="L1024" s="57">
        <f t="shared" ref="L1024:N1024" si="583">IF( $F23 = "Eligible", L1020, 0 )</f>
        <v>0</v>
      </c>
      <c r="M1024" s="57">
        <f t="shared" ref="M1024" si="584">IF( $F23 = "Eligible", M1020, 0 )</f>
        <v>0</v>
      </c>
      <c r="N1024" s="57">
        <f t="shared" si="583"/>
        <v>0</v>
      </c>
    </row>
    <row r="1025" spans="1:14">
      <c r="B1025" s="85" t="s">
        <v>54</v>
      </c>
      <c r="C1025" s="84"/>
      <c r="D1025" s="41">
        <f>SUM(D1023:D1024)</f>
        <v>0</v>
      </c>
      <c r="E1025" s="42">
        <f>SUM(E1023:E1024)</f>
        <v>0</v>
      </c>
      <c r="F1025" s="42">
        <f>SUM(F1023:F1024)</f>
        <v>0</v>
      </c>
      <c r="G1025" s="42">
        <f t="shared" ref="G1025:I1025" si="585">SUM(G1023:G1024)</f>
        <v>0</v>
      </c>
      <c r="H1025" s="42">
        <f t="shared" si="585"/>
        <v>0</v>
      </c>
      <c r="I1025" s="42">
        <f t="shared" si="585"/>
        <v>0</v>
      </c>
      <c r="J1025" s="42">
        <f t="shared" ref="J1025" si="586">SUM(J1023:J1024)</f>
        <v>0</v>
      </c>
      <c r="K1025" s="42">
        <f t="shared" ref="K1025:N1025" si="587">SUM(K1023:K1024)</f>
        <v>0</v>
      </c>
      <c r="L1025" s="42">
        <f t="shared" si="587"/>
        <v>0</v>
      </c>
      <c r="M1025" s="42">
        <f t="shared" ref="M1025" si="588">SUM(M1023:M1024)</f>
        <v>0</v>
      </c>
      <c r="N1025" s="42">
        <f t="shared" si="587"/>
        <v>0</v>
      </c>
    </row>
    <row r="1026" spans="1:14">
      <c r="B1026" s="32"/>
      <c r="C1026" s="32"/>
      <c r="D1026" s="40"/>
      <c r="E1026" s="33"/>
      <c r="F1026" s="33"/>
      <c r="G1026" s="33"/>
      <c r="H1026" s="33"/>
      <c r="I1026" s="33"/>
      <c r="J1026" s="33"/>
      <c r="K1026" s="33"/>
      <c r="L1026" s="33"/>
      <c r="M1026" s="33"/>
      <c r="N1026" s="33"/>
    </row>
    <row r="1027" spans="1:14" ht="18.5">
      <c r="A1027" s="43" t="s">
        <v>30</v>
      </c>
      <c r="C1027" s="32"/>
      <c r="D1027" s="2">
        <f>'Facility Detail'!$B$1897</f>
        <v>2011</v>
      </c>
      <c r="E1027" s="2">
        <f>D1027+1</f>
        <v>2012</v>
      </c>
      <c r="F1027" s="2">
        <f>E1027+1</f>
        <v>2013</v>
      </c>
      <c r="G1027" s="2">
        <f t="shared" ref="G1027:K1027" si="589">F1027+1</f>
        <v>2014</v>
      </c>
      <c r="H1027" s="2">
        <f t="shared" si="589"/>
        <v>2015</v>
      </c>
      <c r="I1027" s="2">
        <f t="shared" si="589"/>
        <v>2016</v>
      </c>
      <c r="J1027" s="2">
        <f t="shared" si="589"/>
        <v>2017</v>
      </c>
      <c r="K1027" s="2">
        <f t="shared" si="589"/>
        <v>2018</v>
      </c>
      <c r="L1027" s="2">
        <f t="shared" ref="L1027" si="590">K1027+1</f>
        <v>2019</v>
      </c>
      <c r="M1027" s="2">
        <f t="shared" ref="M1027" si="591">L1027+1</f>
        <v>2020</v>
      </c>
      <c r="N1027" s="2">
        <f t="shared" ref="N1027" si="592">M1027+1</f>
        <v>2021</v>
      </c>
    </row>
    <row r="1028" spans="1:14">
      <c r="B1028" s="86" t="s">
        <v>32</v>
      </c>
      <c r="C1028" s="78"/>
      <c r="D1028" s="90"/>
      <c r="E1028" s="91"/>
      <c r="F1028" s="91"/>
      <c r="G1028" s="91"/>
      <c r="H1028" s="91"/>
      <c r="I1028" s="91"/>
      <c r="J1028" s="91"/>
      <c r="K1028" s="91"/>
      <c r="L1028" s="91"/>
      <c r="M1028" s="91"/>
      <c r="N1028" s="91"/>
    </row>
    <row r="1029" spans="1:14">
      <c r="B1029" s="87" t="s">
        <v>23</v>
      </c>
      <c r="C1029" s="192"/>
      <c r="D1029" s="93"/>
      <c r="E1029" s="94"/>
      <c r="F1029" s="94"/>
      <c r="G1029" s="94"/>
      <c r="H1029" s="94"/>
      <c r="I1029" s="94"/>
      <c r="J1029" s="94"/>
      <c r="K1029" s="94"/>
      <c r="L1029" s="94"/>
      <c r="M1029" s="94"/>
      <c r="N1029" s="94"/>
    </row>
    <row r="1030" spans="1:14">
      <c r="B1030" s="96" t="s">
        <v>38</v>
      </c>
      <c r="C1030" s="190"/>
      <c r="D1030" s="63"/>
      <c r="E1030" s="64"/>
      <c r="F1030" s="64"/>
      <c r="G1030" s="64"/>
      <c r="H1030" s="64"/>
      <c r="I1030" s="64"/>
      <c r="J1030" s="64"/>
      <c r="K1030" s="64"/>
      <c r="L1030" s="64"/>
      <c r="M1030" s="64"/>
      <c r="N1030" s="64"/>
    </row>
    <row r="1031" spans="1:14">
      <c r="B1031" s="35" t="s">
        <v>39</v>
      </c>
      <c r="D1031" s="7">
        <f>SUM(D1028:D1030)</f>
        <v>0</v>
      </c>
      <c r="E1031" s="7">
        <f>SUM(E1028:E1030)</f>
        <v>0</v>
      </c>
      <c r="F1031" s="7">
        <f>SUM(F1028:F1030)</f>
        <v>0</v>
      </c>
      <c r="G1031" s="7">
        <f t="shared" ref="G1031:I1031" si="593">SUM(G1028:G1030)</f>
        <v>0</v>
      </c>
      <c r="H1031" s="7">
        <f t="shared" si="593"/>
        <v>0</v>
      </c>
      <c r="I1031" s="7">
        <f t="shared" si="593"/>
        <v>0</v>
      </c>
      <c r="J1031" s="7">
        <f t="shared" ref="J1031" si="594">SUM(J1028:J1030)</f>
        <v>0</v>
      </c>
      <c r="K1031" s="7">
        <f t="shared" ref="K1031:N1031" si="595">SUM(K1028:K1030)</f>
        <v>0</v>
      </c>
      <c r="L1031" s="7">
        <f t="shared" si="595"/>
        <v>0</v>
      </c>
      <c r="M1031" s="7">
        <f t="shared" ref="M1031" si="596">SUM(M1028:M1030)</f>
        <v>0</v>
      </c>
      <c r="N1031" s="7">
        <f t="shared" si="595"/>
        <v>0</v>
      </c>
    </row>
    <row r="1032" spans="1:14">
      <c r="B1032" s="6"/>
      <c r="D1032" s="7"/>
      <c r="E1032" s="7"/>
      <c r="F1032" s="7"/>
      <c r="G1032" s="7"/>
      <c r="H1032" s="7"/>
      <c r="I1032" s="7"/>
      <c r="J1032" s="7"/>
      <c r="K1032" s="7"/>
      <c r="L1032" s="7"/>
      <c r="M1032" s="7"/>
      <c r="N1032" s="7"/>
    </row>
    <row r="1033" spans="1:14" ht="18.5">
      <c r="A1033" s="9" t="s">
        <v>40</v>
      </c>
      <c r="D1033" s="2">
        <f>'Facility Detail'!$B$1897</f>
        <v>2011</v>
      </c>
      <c r="E1033" s="2">
        <f>D1033+1</f>
        <v>2012</v>
      </c>
      <c r="F1033" s="2">
        <f>E1033+1</f>
        <v>2013</v>
      </c>
      <c r="G1033" s="2">
        <f t="shared" ref="G1033:K1033" si="597">F1033+1</f>
        <v>2014</v>
      </c>
      <c r="H1033" s="2">
        <f t="shared" si="597"/>
        <v>2015</v>
      </c>
      <c r="I1033" s="2">
        <f t="shared" si="597"/>
        <v>2016</v>
      </c>
      <c r="J1033" s="2">
        <f t="shared" si="597"/>
        <v>2017</v>
      </c>
      <c r="K1033" s="2">
        <f t="shared" si="597"/>
        <v>2018</v>
      </c>
      <c r="L1033" s="2">
        <f t="shared" ref="L1033" si="598">K1033+1</f>
        <v>2019</v>
      </c>
      <c r="M1033" s="2">
        <f t="shared" ref="M1033" si="599">L1033+1</f>
        <v>2020</v>
      </c>
      <c r="N1033" s="2">
        <f t="shared" ref="N1033" si="600">M1033+1</f>
        <v>2021</v>
      </c>
    </row>
    <row r="1034" spans="1:14">
      <c r="B1034" s="86" t="s">
        <v>34</v>
      </c>
      <c r="C1034" s="78"/>
      <c r="D1034" s="3"/>
      <c r="E1034" s="66">
        <f>D1034</f>
        <v>0</v>
      </c>
      <c r="F1034" s="138"/>
      <c r="G1034" s="138"/>
      <c r="H1034" s="138"/>
      <c r="I1034" s="138"/>
      <c r="J1034" s="138"/>
      <c r="K1034" s="138"/>
      <c r="L1034" s="138"/>
      <c r="M1034" s="138"/>
      <c r="N1034" s="138"/>
    </row>
    <row r="1035" spans="1:14">
      <c r="B1035" s="86" t="s">
        <v>35</v>
      </c>
      <c r="C1035" s="78"/>
      <c r="D1035" s="174">
        <f>E1035</f>
        <v>0</v>
      </c>
      <c r="E1035" s="10"/>
      <c r="F1035" s="81"/>
      <c r="G1035" s="81"/>
      <c r="H1035" s="81"/>
      <c r="I1035" s="81"/>
      <c r="J1035" s="81"/>
      <c r="K1035" s="81"/>
      <c r="L1035" s="81"/>
      <c r="M1035" s="81"/>
      <c r="N1035" s="81"/>
    </row>
    <row r="1036" spans="1:14">
      <c r="B1036" s="86" t="s">
        <v>36</v>
      </c>
      <c r="C1036" s="78"/>
      <c r="D1036" s="68"/>
      <c r="E1036" s="10">
        <f>E1020</f>
        <v>0</v>
      </c>
      <c r="F1036" s="77">
        <f>E1036</f>
        <v>0</v>
      </c>
      <c r="G1036" s="81"/>
      <c r="H1036" s="81"/>
      <c r="I1036" s="81"/>
      <c r="J1036" s="81"/>
      <c r="K1036" s="81"/>
      <c r="L1036" s="81"/>
      <c r="M1036" s="81"/>
      <c r="N1036" s="81"/>
    </row>
    <row r="1037" spans="1:14">
      <c r="B1037" s="86" t="s">
        <v>37</v>
      </c>
      <c r="C1037" s="78"/>
      <c r="D1037" s="68"/>
      <c r="E1037" s="77">
        <f>F1037</f>
        <v>0</v>
      </c>
      <c r="F1037" s="173"/>
      <c r="G1037" s="81"/>
      <c r="H1037" s="81"/>
      <c r="I1037" s="81"/>
      <c r="J1037" s="81"/>
      <c r="K1037" s="81"/>
      <c r="L1037" s="81"/>
      <c r="M1037" s="81"/>
      <c r="N1037" s="81"/>
    </row>
    <row r="1038" spans="1:14">
      <c r="B1038" s="86" t="s">
        <v>122</v>
      </c>
      <c r="C1038" s="78"/>
      <c r="D1038" s="68"/>
      <c r="E1038" s="157"/>
      <c r="F1038" s="10">
        <f>F1020</f>
        <v>0</v>
      </c>
      <c r="G1038" s="158">
        <f>F1038</f>
        <v>0</v>
      </c>
      <c r="H1038" s="81"/>
      <c r="I1038" s="81"/>
      <c r="J1038" s="81"/>
      <c r="K1038" s="81"/>
      <c r="L1038" s="81"/>
      <c r="M1038" s="81"/>
      <c r="N1038" s="81"/>
    </row>
    <row r="1039" spans="1:14">
      <c r="B1039" s="86" t="s">
        <v>123</v>
      </c>
      <c r="C1039" s="78"/>
      <c r="D1039" s="68"/>
      <c r="E1039" s="157"/>
      <c r="F1039" s="77">
        <f>G1039</f>
        <v>0</v>
      </c>
      <c r="G1039" s="10"/>
      <c r="H1039" s="81"/>
      <c r="I1039" s="81"/>
      <c r="J1039" s="81"/>
      <c r="K1039" s="81"/>
      <c r="L1039" s="81"/>
      <c r="M1039" s="81"/>
      <c r="N1039" s="81"/>
    </row>
    <row r="1040" spans="1:14">
      <c r="B1040" s="86" t="s">
        <v>124</v>
      </c>
      <c r="C1040" s="78"/>
      <c r="D1040" s="68"/>
      <c r="E1040" s="157"/>
      <c r="F1040" s="157"/>
      <c r="G1040" s="10">
        <f>G1020</f>
        <v>0</v>
      </c>
      <c r="H1040" s="158">
        <f>G1040</f>
        <v>0</v>
      </c>
      <c r="I1040" s="157"/>
      <c r="J1040" s="157"/>
      <c r="K1040" s="157"/>
      <c r="L1040" s="157"/>
      <c r="M1040" s="157"/>
      <c r="N1040" s="157"/>
    </row>
    <row r="1041" spans="1:14">
      <c r="B1041" s="86" t="s">
        <v>125</v>
      </c>
      <c r="C1041" s="78"/>
      <c r="D1041" s="68"/>
      <c r="E1041" s="157"/>
      <c r="F1041" s="157"/>
      <c r="G1041" s="159">
        <f>H1041</f>
        <v>0</v>
      </c>
      <c r="H1041" s="160"/>
      <c r="I1041" s="157"/>
      <c r="J1041" s="157"/>
      <c r="K1041" s="157"/>
      <c r="L1041" s="157"/>
      <c r="M1041" s="157"/>
      <c r="N1041" s="157"/>
    </row>
    <row r="1042" spans="1:14">
      <c r="B1042" s="86" t="s">
        <v>126</v>
      </c>
      <c r="C1042" s="78"/>
      <c r="D1042" s="68"/>
      <c r="E1042" s="157"/>
      <c r="F1042" s="157"/>
      <c r="G1042" s="157"/>
      <c r="H1042" s="160">
        <f>H1020</f>
        <v>730</v>
      </c>
      <c r="I1042" s="158">
        <f>H1042</f>
        <v>730</v>
      </c>
      <c r="J1042" s="158"/>
      <c r="K1042" s="158"/>
      <c r="L1042" s="158"/>
      <c r="M1042" s="158"/>
      <c r="N1042" s="158"/>
    </row>
    <row r="1043" spans="1:14">
      <c r="B1043" s="86" t="s">
        <v>127</v>
      </c>
      <c r="C1043" s="32"/>
      <c r="D1043" s="68"/>
      <c r="E1043" s="157"/>
      <c r="F1043" s="157"/>
      <c r="G1043" s="157"/>
      <c r="H1043" s="77">
        <f>I1043</f>
        <v>0</v>
      </c>
      <c r="I1043" s="160"/>
      <c r="J1043" s="160"/>
      <c r="K1043" s="160"/>
      <c r="L1043" s="160"/>
      <c r="M1043" s="160"/>
      <c r="N1043" s="160"/>
    </row>
    <row r="1044" spans="1:14">
      <c r="B1044" s="86" t="s">
        <v>128</v>
      </c>
      <c r="C1044" s="32"/>
      <c r="D1044" s="68"/>
      <c r="E1044" s="157"/>
      <c r="F1044" s="157"/>
      <c r="G1044" s="157"/>
      <c r="H1044" s="157"/>
      <c r="I1044" s="160">
        <f>I1020</f>
        <v>0</v>
      </c>
      <c r="J1044" s="160">
        <f>I1044</f>
        <v>0</v>
      </c>
      <c r="K1044" s="160">
        <f>J1044</f>
        <v>0</v>
      </c>
      <c r="L1044" s="160">
        <f t="shared" ref="L1044" si="601">K1044</f>
        <v>0</v>
      </c>
      <c r="M1044" s="160">
        <f>K1044</f>
        <v>0</v>
      </c>
      <c r="N1044" s="160">
        <f>L1044</f>
        <v>0</v>
      </c>
    </row>
    <row r="1045" spans="1:14">
      <c r="B1045" s="86" t="s">
        <v>119</v>
      </c>
      <c r="C1045" s="32"/>
      <c r="D1045" s="68"/>
      <c r="E1045" s="157"/>
      <c r="F1045" s="157"/>
      <c r="G1045" s="157"/>
      <c r="H1045" s="157"/>
      <c r="I1045" s="249"/>
      <c r="J1045" s="249"/>
      <c r="K1045" s="249"/>
      <c r="L1045" s="249"/>
      <c r="M1045" s="249"/>
      <c r="N1045" s="249"/>
    </row>
    <row r="1046" spans="1:14">
      <c r="B1046" s="86" t="s">
        <v>120</v>
      </c>
      <c r="C1046" s="32"/>
      <c r="D1046" s="69"/>
      <c r="E1046" s="140"/>
      <c r="F1046" s="140"/>
      <c r="G1046" s="140"/>
      <c r="H1046" s="140"/>
      <c r="I1046" s="140"/>
      <c r="J1046" s="140"/>
      <c r="K1046" s="140"/>
      <c r="L1046" s="140"/>
      <c r="M1046" s="140"/>
      <c r="N1046" s="140"/>
    </row>
    <row r="1047" spans="1:14">
      <c r="B1047" s="35" t="s">
        <v>17</v>
      </c>
      <c r="D1047" s="198">
        <f xml:space="preserve"> D1040 - D1039</f>
        <v>0</v>
      </c>
      <c r="E1047" s="198">
        <f xml:space="preserve"> E1039 + E1042 - E1041 - E1040</f>
        <v>0</v>
      </c>
      <c r="F1047" s="198">
        <f>F1036-F1037-F1038</f>
        <v>0</v>
      </c>
      <c r="G1047" s="198">
        <f>G1038-G1039-G1040</f>
        <v>0</v>
      </c>
      <c r="H1047" s="198">
        <f>H1040-H1041-H1042</f>
        <v>-730</v>
      </c>
      <c r="I1047" s="198">
        <f>I1042-I1043-I1044</f>
        <v>730</v>
      </c>
      <c r="J1047" s="198">
        <f>J1044</f>
        <v>0</v>
      </c>
      <c r="K1047" s="198">
        <f>K1044</f>
        <v>0</v>
      </c>
      <c r="L1047" s="198">
        <f t="shared" ref="L1047:N1047" si="602">L1044</f>
        <v>0</v>
      </c>
      <c r="M1047" s="198">
        <f t="shared" ref="M1047" si="603">M1044</f>
        <v>0</v>
      </c>
      <c r="N1047" s="198">
        <f t="shared" si="602"/>
        <v>0</v>
      </c>
    </row>
    <row r="1048" spans="1:14">
      <c r="B1048" s="6"/>
      <c r="D1048" s="7"/>
      <c r="E1048" s="7"/>
      <c r="F1048" s="7"/>
      <c r="G1048" s="7"/>
      <c r="H1048" s="7"/>
      <c r="I1048" s="7"/>
      <c r="J1048" s="7"/>
      <c r="K1048" s="7"/>
      <c r="L1048" s="7"/>
      <c r="M1048" s="7"/>
      <c r="N1048" s="7"/>
    </row>
    <row r="1049" spans="1:14">
      <c r="B1049" s="83" t="s">
        <v>12</v>
      </c>
      <c r="C1049" s="78"/>
      <c r="D1049" s="101"/>
      <c r="E1049" s="102"/>
      <c r="F1049" s="102"/>
      <c r="G1049" s="102"/>
      <c r="H1049" s="102"/>
      <c r="I1049" s="102"/>
      <c r="J1049" s="102"/>
      <c r="K1049" s="102"/>
      <c r="L1049" s="102"/>
      <c r="M1049" s="102"/>
      <c r="N1049" s="102"/>
    </row>
    <row r="1050" spans="1:14">
      <c r="B1050" s="6"/>
      <c r="D1050" s="7"/>
      <c r="E1050" s="7"/>
      <c r="F1050" s="7"/>
      <c r="G1050" s="7"/>
      <c r="H1050" s="7"/>
      <c r="I1050" s="7"/>
      <c r="J1050" s="7"/>
      <c r="K1050" s="7"/>
      <c r="L1050" s="7"/>
      <c r="M1050" s="7"/>
      <c r="N1050" s="7"/>
    </row>
    <row r="1051" spans="1:14" ht="18.5">
      <c r="A1051" s="43" t="s">
        <v>26</v>
      </c>
      <c r="C1051" s="78"/>
      <c r="D1051" s="47">
        <f xml:space="preserve"> D1020 + D1025 - D1031 + D1047 + D1049</f>
        <v>0</v>
      </c>
      <c r="E1051" s="48">
        <f xml:space="preserve"> E1020 + E1025 - E1031 + E1047 + E1049</f>
        <v>0</v>
      </c>
      <c r="F1051" s="48">
        <f t="shared" ref="F1051:J1051" si="604" xml:space="preserve"> F1020 + F1025 - F1031 + F1047 + F1049</f>
        <v>0</v>
      </c>
      <c r="G1051" s="48">
        <f t="shared" si="604"/>
        <v>0</v>
      </c>
      <c r="H1051" s="48">
        <f t="shared" si="604"/>
        <v>0</v>
      </c>
      <c r="I1051" s="48">
        <f t="shared" si="604"/>
        <v>730</v>
      </c>
      <c r="J1051" s="48">
        <f t="shared" si="604"/>
        <v>0</v>
      </c>
      <c r="K1051" s="48">
        <f t="shared" ref="K1051:N1051" si="605" xml:space="preserve"> K1020 + K1025 - K1031 + K1047 + K1049</f>
        <v>0</v>
      </c>
      <c r="L1051" s="48">
        <f t="shared" si="605"/>
        <v>0</v>
      </c>
      <c r="M1051" s="48">
        <f t="shared" ref="M1051" si="606" xml:space="preserve"> M1020 + M1025 - M1031 + M1047 + M1049</f>
        <v>0</v>
      </c>
      <c r="N1051" s="48">
        <f t="shared" si="605"/>
        <v>0</v>
      </c>
    </row>
    <row r="1052" spans="1:14">
      <c r="B1052" s="6"/>
      <c r="D1052" s="7"/>
      <c r="E1052" s="7"/>
      <c r="F1052" s="7"/>
      <c r="G1052" s="30"/>
      <c r="H1052" s="30"/>
      <c r="I1052" s="30"/>
      <c r="J1052" s="30"/>
      <c r="K1052" s="30"/>
      <c r="L1052" s="30"/>
      <c r="M1052" s="30"/>
      <c r="N1052" s="30"/>
    </row>
    <row r="1053" spans="1:14" ht="15" thickBot="1"/>
    <row r="1054" spans="1:14">
      <c r="A1054" s="8"/>
      <c r="B1054" s="8"/>
      <c r="C1054" s="8"/>
      <c r="D1054" s="8"/>
      <c r="E1054" s="8"/>
      <c r="F1054" s="8"/>
      <c r="G1054" s="8"/>
      <c r="H1054" s="8"/>
      <c r="I1054" s="8"/>
      <c r="J1054" s="8"/>
      <c r="K1054" s="8"/>
      <c r="L1054" s="8"/>
      <c r="M1054" s="8"/>
      <c r="N1054" s="8"/>
    </row>
    <row r="1055" spans="1:14">
      <c r="B1055" s="32"/>
      <c r="C1055" s="32"/>
      <c r="D1055" s="32"/>
      <c r="E1055" s="32"/>
      <c r="F1055" s="32"/>
      <c r="G1055" s="32"/>
      <c r="H1055" s="32"/>
      <c r="I1055" s="32"/>
      <c r="J1055" s="32"/>
      <c r="K1055" s="32"/>
      <c r="L1055" s="32"/>
      <c r="M1055" s="32"/>
      <c r="N1055" s="32"/>
    </row>
    <row r="1056" spans="1:14" ht="21">
      <c r="A1056" s="14" t="s">
        <v>4</v>
      </c>
      <c r="B1056" s="14"/>
      <c r="C1056" s="342" t="str">
        <f>B24</f>
        <v>Lower Snake – Phalen Gulch - REC Only</v>
      </c>
      <c r="D1056" s="45"/>
      <c r="E1056" s="24"/>
      <c r="F1056" s="24"/>
    </row>
    <row r="1058" spans="1:14" ht="18.5">
      <c r="A1058" s="9" t="s">
        <v>21</v>
      </c>
      <c r="B1058" s="9"/>
      <c r="D1058" s="2">
        <f>'Facility Detail'!$B$1897</f>
        <v>2011</v>
      </c>
      <c r="E1058" s="2">
        <f>D1058+1</f>
        <v>2012</v>
      </c>
      <c r="F1058" s="2">
        <f>E1058+1</f>
        <v>2013</v>
      </c>
      <c r="G1058" s="2">
        <f t="shared" ref="G1058:K1058" si="607">F1058+1</f>
        <v>2014</v>
      </c>
      <c r="H1058" s="2">
        <f t="shared" si="607"/>
        <v>2015</v>
      </c>
      <c r="I1058" s="2">
        <f t="shared" si="607"/>
        <v>2016</v>
      </c>
      <c r="J1058" s="2">
        <f t="shared" si="607"/>
        <v>2017</v>
      </c>
      <c r="K1058" s="2">
        <f t="shared" si="607"/>
        <v>2018</v>
      </c>
      <c r="L1058" s="2">
        <f t="shared" ref="L1058" si="608">K1058+1</f>
        <v>2019</v>
      </c>
      <c r="M1058" s="2">
        <f t="shared" ref="M1058" si="609">L1058+1</f>
        <v>2020</v>
      </c>
      <c r="N1058" s="2">
        <f t="shared" ref="N1058" si="610">M1058+1</f>
        <v>2021</v>
      </c>
    </row>
    <row r="1059" spans="1:14">
      <c r="B1059" s="86" t="str">
        <f>"Total MWh Produced / Purchased from " &amp; C1056</f>
        <v>Total MWh Produced / Purchased from Lower Snake – Phalen Gulch - REC Only</v>
      </c>
      <c r="C1059" s="78"/>
      <c r="D1059" s="3"/>
      <c r="E1059" s="4"/>
      <c r="F1059" s="4"/>
      <c r="G1059" s="4"/>
      <c r="H1059" s="4">
        <v>1300</v>
      </c>
      <c r="I1059" s="4"/>
      <c r="J1059" s="4"/>
      <c r="K1059" s="4"/>
      <c r="L1059" s="4"/>
      <c r="M1059" s="4"/>
      <c r="N1059" s="4"/>
    </row>
    <row r="1060" spans="1:14">
      <c r="B1060" s="86" t="s">
        <v>25</v>
      </c>
      <c r="C1060" s="78"/>
      <c r="D1060" s="60"/>
      <c r="E1060" s="61"/>
      <c r="F1060" s="61"/>
      <c r="G1060" s="61"/>
      <c r="H1060" s="61">
        <v>1</v>
      </c>
      <c r="I1060" s="61"/>
      <c r="J1060" s="61">
        <v>1</v>
      </c>
      <c r="K1060" s="61">
        <v>1</v>
      </c>
      <c r="L1060" s="61">
        <v>2</v>
      </c>
      <c r="M1060" s="61">
        <v>3</v>
      </c>
      <c r="N1060" s="61">
        <v>3</v>
      </c>
    </row>
    <row r="1061" spans="1:14">
      <c r="B1061" s="86" t="s">
        <v>20</v>
      </c>
      <c r="C1061" s="78"/>
      <c r="D1061" s="52"/>
      <c r="E1061" s="53"/>
      <c r="F1061" s="53"/>
      <c r="G1061" s="53"/>
      <c r="H1061" s="53">
        <v>1</v>
      </c>
      <c r="I1061" s="53"/>
      <c r="J1061" s="53"/>
      <c r="K1061" s="53"/>
      <c r="L1061" s="53"/>
      <c r="M1061" s="53"/>
      <c r="N1061" s="53"/>
    </row>
    <row r="1062" spans="1:14">
      <c r="B1062" s="83" t="s">
        <v>22</v>
      </c>
      <c r="C1062" s="84"/>
      <c r="D1062" s="39">
        <f xml:space="preserve"> D1059 * D1060 * D1061</f>
        <v>0</v>
      </c>
      <c r="E1062" s="39">
        <f xml:space="preserve"> E1059 * E1060 * E1061</f>
        <v>0</v>
      </c>
      <c r="F1062" s="39">
        <f xml:space="preserve"> F1059 * F1060 * F1061</f>
        <v>0</v>
      </c>
      <c r="G1062" s="39">
        <f t="shared" ref="G1062:J1062" si="611" xml:space="preserve"> G1059 * G1060 * G1061</f>
        <v>0</v>
      </c>
      <c r="H1062" s="39">
        <v>1300</v>
      </c>
      <c r="I1062" s="39">
        <f t="shared" si="611"/>
        <v>0</v>
      </c>
      <c r="J1062" s="39">
        <f t="shared" si="611"/>
        <v>0</v>
      </c>
      <c r="K1062" s="39">
        <f t="shared" ref="K1062:N1062" si="612" xml:space="preserve"> K1059 * K1060 * K1061</f>
        <v>0</v>
      </c>
      <c r="L1062" s="39">
        <f t="shared" si="612"/>
        <v>0</v>
      </c>
      <c r="M1062" s="39">
        <f t="shared" ref="M1062" si="613" xml:space="preserve"> M1059 * M1060 * M1061</f>
        <v>0</v>
      </c>
      <c r="N1062" s="39">
        <f t="shared" si="612"/>
        <v>0</v>
      </c>
    </row>
    <row r="1063" spans="1:14">
      <c r="B1063" s="24"/>
      <c r="C1063" s="32"/>
      <c r="D1063" s="38"/>
      <c r="E1063" s="38"/>
      <c r="F1063" s="38"/>
      <c r="G1063" s="38"/>
      <c r="H1063" s="38"/>
      <c r="I1063" s="38"/>
      <c r="J1063" s="38"/>
      <c r="K1063" s="38"/>
      <c r="L1063" s="38"/>
      <c r="M1063" s="38"/>
      <c r="N1063" s="38"/>
    </row>
    <row r="1064" spans="1:14" ht="18.5">
      <c r="A1064" s="46" t="s">
        <v>52</v>
      </c>
      <c r="C1064" s="32"/>
      <c r="D1064" s="2">
        <f>'Facility Detail'!$B$1897</f>
        <v>2011</v>
      </c>
      <c r="E1064" s="2">
        <f>D1064+1</f>
        <v>2012</v>
      </c>
      <c r="F1064" s="2">
        <f>E1064+1</f>
        <v>2013</v>
      </c>
      <c r="G1064" s="2">
        <f t="shared" ref="G1064:K1064" si="614">F1064+1</f>
        <v>2014</v>
      </c>
      <c r="H1064" s="2">
        <f t="shared" si="614"/>
        <v>2015</v>
      </c>
      <c r="I1064" s="2">
        <f t="shared" si="614"/>
        <v>2016</v>
      </c>
      <c r="J1064" s="2">
        <f t="shared" si="614"/>
        <v>2017</v>
      </c>
      <c r="K1064" s="2">
        <f t="shared" si="614"/>
        <v>2018</v>
      </c>
      <c r="L1064" s="2">
        <f t="shared" ref="L1064" si="615">K1064+1</f>
        <v>2019</v>
      </c>
      <c r="M1064" s="2">
        <f t="shared" ref="M1064" si="616">L1064+1</f>
        <v>2020</v>
      </c>
      <c r="N1064" s="2">
        <f t="shared" ref="N1064" si="617">M1064+1</f>
        <v>2021</v>
      </c>
    </row>
    <row r="1065" spans="1:14">
      <c r="B1065" s="86" t="s">
        <v>10</v>
      </c>
      <c r="C1065" s="78"/>
      <c r="D1065" s="55">
        <f>IF( $E24 = "Eligible", D1062 * 'Facility Detail'!$B$1894, 0 )</f>
        <v>0</v>
      </c>
      <c r="E1065" s="11">
        <f>IF( $E24 = "Eligible", E1062 * 'Facility Detail'!$B$1894, 0 )</f>
        <v>0</v>
      </c>
      <c r="F1065" s="11">
        <f>IF( $E24 = "Eligible", F1062 * 'Facility Detail'!$B$1894, 0 )</f>
        <v>0</v>
      </c>
      <c r="G1065" s="11">
        <f>IF( $E24 = "Eligible", G1062 * 'Facility Detail'!$B$1894, 0 )</f>
        <v>0</v>
      </c>
      <c r="H1065" s="11">
        <f>IF( $E24 = "Eligible", H1062 * 'Facility Detail'!$B$1894, 0 )</f>
        <v>0</v>
      </c>
      <c r="I1065" s="11">
        <f>IF( $E24 = "Eligible", I1062 * 'Facility Detail'!$B$1894, 0 )</f>
        <v>0</v>
      </c>
      <c r="J1065" s="11">
        <f>IF( $E24 = "Eligible", J1062 * 'Facility Detail'!$B$1894, 0 )</f>
        <v>0</v>
      </c>
      <c r="K1065" s="11">
        <f>IF( $E24 = "Eligible", K1062 * 'Facility Detail'!$B$1894, 0 )</f>
        <v>0</v>
      </c>
      <c r="L1065" s="11">
        <f>IF( $E24 = "Eligible", L1062 * 'Facility Detail'!$B$1894, 0 )</f>
        <v>0</v>
      </c>
      <c r="M1065" s="11">
        <f>IF( $E24 = "Eligible", M1062 * 'Facility Detail'!$B$1894, 0 )</f>
        <v>0</v>
      </c>
      <c r="N1065" s="11">
        <f>IF( $E24 = "Eligible", N1062 * 'Facility Detail'!$B$1894, 0 )</f>
        <v>0</v>
      </c>
    </row>
    <row r="1066" spans="1:14">
      <c r="B1066" s="86" t="s">
        <v>6</v>
      </c>
      <c r="C1066" s="78"/>
      <c r="D1066" s="56">
        <f t="shared" ref="D1066:K1066" si="618">IF( $F24 = "Eligible", D1062, 0 )</f>
        <v>0</v>
      </c>
      <c r="E1066" s="57">
        <f t="shared" si="618"/>
        <v>0</v>
      </c>
      <c r="F1066" s="57">
        <f t="shared" si="618"/>
        <v>0</v>
      </c>
      <c r="G1066" s="57">
        <f t="shared" si="618"/>
        <v>0</v>
      </c>
      <c r="H1066" s="57">
        <f t="shared" si="618"/>
        <v>0</v>
      </c>
      <c r="I1066" s="57">
        <f t="shared" si="618"/>
        <v>0</v>
      </c>
      <c r="J1066" s="57">
        <f t="shared" si="618"/>
        <v>0</v>
      </c>
      <c r="K1066" s="57">
        <f t="shared" si="618"/>
        <v>0</v>
      </c>
      <c r="L1066" s="57">
        <f t="shared" ref="L1066:N1066" si="619">IF( $F24 = "Eligible", L1062, 0 )</f>
        <v>0</v>
      </c>
      <c r="M1066" s="57">
        <f t="shared" ref="M1066" si="620">IF( $F24 = "Eligible", M1062, 0 )</f>
        <v>0</v>
      </c>
      <c r="N1066" s="57">
        <f t="shared" si="619"/>
        <v>0</v>
      </c>
    </row>
    <row r="1067" spans="1:14">
      <c r="B1067" s="85" t="s">
        <v>54</v>
      </c>
      <c r="C1067" s="84"/>
      <c r="D1067" s="41">
        <f>SUM(D1065:D1066)</f>
        <v>0</v>
      </c>
      <c r="E1067" s="42">
        <f>SUM(E1065:E1066)</f>
        <v>0</v>
      </c>
      <c r="F1067" s="42">
        <f>SUM(F1065:F1066)</f>
        <v>0</v>
      </c>
      <c r="G1067" s="42">
        <f t="shared" ref="G1067:I1067" si="621">SUM(G1065:G1066)</f>
        <v>0</v>
      </c>
      <c r="H1067" s="42">
        <f t="shared" si="621"/>
        <v>0</v>
      </c>
      <c r="I1067" s="42">
        <f t="shared" si="621"/>
        <v>0</v>
      </c>
      <c r="J1067" s="42">
        <f t="shared" ref="J1067" si="622">SUM(J1065:J1066)</f>
        <v>0</v>
      </c>
      <c r="K1067" s="42">
        <f t="shared" ref="K1067:N1067" si="623">SUM(K1065:K1066)</f>
        <v>0</v>
      </c>
      <c r="L1067" s="42">
        <f t="shared" si="623"/>
        <v>0</v>
      </c>
      <c r="M1067" s="42">
        <f t="shared" ref="M1067" si="624">SUM(M1065:M1066)</f>
        <v>0</v>
      </c>
      <c r="N1067" s="42">
        <f t="shared" si="623"/>
        <v>0</v>
      </c>
    </row>
    <row r="1068" spans="1:14">
      <c r="B1068" s="32"/>
      <c r="C1068" s="32"/>
      <c r="D1068" s="40"/>
      <c r="E1068" s="33"/>
      <c r="F1068" s="33"/>
      <c r="G1068" s="33"/>
      <c r="H1068" s="33"/>
      <c r="I1068" s="33"/>
      <c r="J1068" s="33"/>
      <c r="K1068" s="33"/>
      <c r="L1068" s="33"/>
      <c r="M1068" s="33"/>
      <c r="N1068" s="33"/>
    </row>
    <row r="1069" spans="1:14" ht="18.5">
      <c r="A1069" s="43" t="s">
        <v>30</v>
      </c>
      <c r="C1069" s="32"/>
      <c r="D1069" s="2">
        <f>'Facility Detail'!$B$1897</f>
        <v>2011</v>
      </c>
      <c r="E1069" s="2">
        <f>D1069+1</f>
        <v>2012</v>
      </c>
      <c r="F1069" s="2">
        <f>E1069+1</f>
        <v>2013</v>
      </c>
      <c r="G1069" s="2">
        <f t="shared" ref="G1069:K1069" si="625">F1069+1</f>
        <v>2014</v>
      </c>
      <c r="H1069" s="2">
        <f t="shared" si="625"/>
        <v>2015</v>
      </c>
      <c r="I1069" s="2">
        <f t="shared" si="625"/>
        <v>2016</v>
      </c>
      <c r="J1069" s="2">
        <f t="shared" si="625"/>
        <v>2017</v>
      </c>
      <c r="K1069" s="2">
        <f t="shared" si="625"/>
        <v>2018</v>
      </c>
      <c r="L1069" s="2">
        <f t="shared" ref="L1069" si="626">K1069+1</f>
        <v>2019</v>
      </c>
      <c r="M1069" s="2">
        <f t="shared" ref="M1069" si="627">L1069+1</f>
        <v>2020</v>
      </c>
      <c r="N1069" s="2">
        <f t="shared" ref="N1069" si="628">M1069+1</f>
        <v>2021</v>
      </c>
    </row>
    <row r="1070" spans="1:14">
      <c r="B1070" s="86" t="s">
        <v>32</v>
      </c>
      <c r="C1070" s="78"/>
      <c r="D1070" s="90"/>
      <c r="E1070" s="91"/>
      <c r="F1070" s="91"/>
      <c r="G1070" s="91"/>
      <c r="H1070" s="91"/>
      <c r="I1070" s="91"/>
      <c r="J1070" s="91"/>
      <c r="K1070" s="91"/>
      <c r="L1070" s="91"/>
      <c r="M1070" s="91"/>
      <c r="N1070" s="91"/>
    </row>
    <row r="1071" spans="1:14">
      <c r="B1071" s="87" t="s">
        <v>23</v>
      </c>
      <c r="C1071" s="192"/>
      <c r="D1071" s="93"/>
      <c r="E1071" s="94"/>
      <c r="F1071" s="94"/>
      <c r="G1071" s="94"/>
      <c r="H1071" s="94"/>
      <c r="I1071" s="94"/>
      <c r="J1071" s="94"/>
      <c r="K1071" s="94"/>
      <c r="L1071" s="94"/>
      <c r="M1071" s="94"/>
      <c r="N1071" s="94"/>
    </row>
    <row r="1072" spans="1:14">
      <c r="B1072" s="96" t="s">
        <v>38</v>
      </c>
      <c r="C1072" s="190"/>
      <c r="D1072" s="63"/>
      <c r="E1072" s="64"/>
      <c r="F1072" s="64"/>
      <c r="G1072" s="64"/>
      <c r="H1072" s="64"/>
      <c r="I1072" s="64"/>
      <c r="J1072" s="64"/>
      <c r="K1072" s="64"/>
      <c r="L1072" s="64"/>
      <c r="M1072" s="64"/>
      <c r="N1072" s="64"/>
    </row>
    <row r="1073" spans="1:14">
      <c r="B1073" s="35" t="s">
        <v>39</v>
      </c>
      <c r="D1073" s="7">
        <f>SUM(D1070:D1072)</f>
        <v>0</v>
      </c>
      <c r="E1073" s="7">
        <f>SUM(E1070:E1072)</f>
        <v>0</v>
      </c>
      <c r="F1073" s="7">
        <f>SUM(F1070:F1072)</f>
        <v>0</v>
      </c>
      <c r="G1073" s="7">
        <f t="shared" ref="G1073:I1073" si="629">SUM(G1070:G1072)</f>
        <v>0</v>
      </c>
      <c r="H1073" s="7">
        <f t="shared" si="629"/>
        <v>0</v>
      </c>
      <c r="I1073" s="7">
        <f t="shared" si="629"/>
        <v>0</v>
      </c>
      <c r="J1073" s="7">
        <f t="shared" ref="J1073" si="630">SUM(J1070:J1072)</f>
        <v>0</v>
      </c>
      <c r="K1073" s="7">
        <f t="shared" ref="K1073:N1073" si="631">SUM(K1070:K1072)</f>
        <v>0</v>
      </c>
      <c r="L1073" s="7">
        <f t="shared" si="631"/>
        <v>0</v>
      </c>
      <c r="M1073" s="7">
        <f t="shared" ref="M1073" si="632">SUM(M1070:M1072)</f>
        <v>0</v>
      </c>
      <c r="N1073" s="7">
        <f t="shared" si="631"/>
        <v>0</v>
      </c>
    </row>
    <row r="1074" spans="1:14">
      <c r="B1074" s="6"/>
      <c r="D1074" s="7"/>
      <c r="E1074" s="7"/>
      <c r="F1074" s="7"/>
      <c r="G1074" s="7"/>
      <c r="H1074" s="7"/>
      <c r="I1074" s="7"/>
      <c r="J1074" s="7"/>
      <c r="K1074" s="7"/>
      <c r="L1074" s="7"/>
      <c r="M1074" s="7"/>
      <c r="N1074" s="7"/>
    </row>
    <row r="1075" spans="1:14" ht="18.5">
      <c r="A1075" s="9" t="s">
        <v>40</v>
      </c>
      <c r="D1075" s="2">
        <f>'Facility Detail'!$B$1897</f>
        <v>2011</v>
      </c>
      <c r="E1075" s="2">
        <f>D1075+1</f>
        <v>2012</v>
      </c>
      <c r="F1075" s="2">
        <f>E1075+1</f>
        <v>2013</v>
      </c>
      <c r="G1075" s="2">
        <f t="shared" ref="G1075:K1075" si="633">F1075+1</f>
        <v>2014</v>
      </c>
      <c r="H1075" s="2">
        <f t="shared" si="633"/>
        <v>2015</v>
      </c>
      <c r="I1075" s="2">
        <f t="shared" si="633"/>
        <v>2016</v>
      </c>
      <c r="J1075" s="2">
        <f t="shared" si="633"/>
        <v>2017</v>
      </c>
      <c r="K1075" s="2">
        <f t="shared" si="633"/>
        <v>2018</v>
      </c>
      <c r="L1075" s="2">
        <f t="shared" ref="L1075" si="634">K1075+1</f>
        <v>2019</v>
      </c>
      <c r="M1075" s="2">
        <f t="shared" ref="M1075" si="635">L1075+1</f>
        <v>2020</v>
      </c>
      <c r="N1075" s="2">
        <f t="shared" ref="N1075" si="636">M1075+1</f>
        <v>2021</v>
      </c>
    </row>
    <row r="1076" spans="1:14">
      <c r="B1076" s="86" t="s">
        <v>34</v>
      </c>
      <c r="C1076" s="78"/>
      <c r="D1076" s="3"/>
      <c r="E1076" s="66">
        <f>D1076</f>
        <v>0</v>
      </c>
      <c r="F1076" s="138"/>
      <c r="G1076" s="138"/>
      <c r="H1076" s="138"/>
      <c r="I1076" s="138"/>
      <c r="J1076" s="138"/>
      <c r="K1076" s="138"/>
      <c r="L1076" s="138"/>
      <c r="M1076" s="138"/>
      <c r="N1076" s="138"/>
    </row>
    <row r="1077" spans="1:14">
      <c r="B1077" s="86" t="s">
        <v>35</v>
      </c>
      <c r="C1077" s="78"/>
      <c r="D1077" s="174">
        <f>E1077</f>
        <v>0</v>
      </c>
      <c r="E1077" s="10"/>
      <c r="F1077" s="81"/>
      <c r="G1077" s="81"/>
      <c r="H1077" s="81"/>
      <c r="I1077" s="81"/>
      <c r="J1077" s="81"/>
      <c r="K1077" s="81"/>
      <c r="L1077" s="81"/>
      <c r="M1077" s="81"/>
      <c r="N1077" s="81"/>
    </row>
    <row r="1078" spans="1:14">
      <c r="B1078" s="86" t="s">
        <v>36</v>
      </c>
      <c r="C1078" s="78"/>
      <c r="D1078" s="68"/>
      <c r="E1078" s="10">
        <f>E1062</f>
        <v>0</v>
      </c>
      <c r="F1078" s="77">
        <f>E1078</f>
        <v>0</v>
      </c>
      <c r="G1078" s="81"/>
      <c r="H1078" s="81"/>
      <c r="I1078" s="81"/>
      <c r="J1078" s="81"/>
      <c r="K1078" s="81"/>
      <c r="L1078" s="81"/>
      <c r="M1078" s="81"/>
      <c r="N1078" s="81"/>
    </row>
    <row r="1079" spans="1:14">
      <c r="B1079" s="86" t="s">
        <v>37</v>
      </c>
      <c r="C1079" s="78"/>
      <c r="D1079" s="68"/>
      <c r="E1079" s="77">
        <f>F1079</f>
        <v>0</v>
      </c>
      <c r="F1079" s="173"/>
      <c r="G1079" s="81"/>
      <c r="H1079" s="81"/>
      <c r="I1079" s="81"/>
      <c r="J1079" s="81"/>
      <c r="K1079" s="81"/>
      <c r="L1079" s="81"/>
      <c r="M1079" s="81"/>
      <c r="N1079" s="81"/>
    </row>
    <row r="1080" spans="1:14">
      <c r="B1080" s="86" t="s">
        <v>122</v>
      </c>
      <c r="C1080" s="32"/>
      <c r="D1080" s="68"/>
      <c r="E1080" s="157"/>
      <c r="F1080" s="10">
        <f>F1062</f>
        <v>0</v>
      </c>
      <c r="G1080" s="158">
        <f>F1080</f>
        <v>0</v>
      </c>
      <c r="H1080" s="81"/>
      <c r="I1080" s="81"/>
      <c r="J1080" s="81"/>
      <c r="K1080" s="81"/>
      <c r="L1080" s="81"/>
      <c r="M1080" s="81"/>
      <c r="N1080" s="81"/>
    </row>
    <row r="1081" spans="1:14">
      <c r="B1081" s="86" t="s">
        <v>123</v>
      </c>
      <c r="C1081" s="32"/>
      <c r="D1081" s="68"/>
      <c r="E1081" s="157"/>
      <c r="F1081" s="77">
        <f>G1081</f>
        <v>0</v>
      </c>
      <c r="G1081" s="10"/>
      <c r="H1081" s="81"/>
      <c r="I1081" s="81"/>
      <c r="J1081" s="81"/>
      <c r="K1081" s="81"/>
      <c r="L1081" s="81"/>
      <c r="M1081" s="81"/>
      <c r="N1081" s="81"/>
    </row>
    <row r="1082" spans="1:14">
      <c r="B1082" s="86" t="s">
        <v>124</v>
      </c>
      <c r="C1082" s="32"/>
      <c r="D1082" s="68"/>
      <c r="E1082" s="157"/>
      <c r="F1082" s="157"/>
      <c r="G1082" s="10">
        <f>G1062</f>
        <v>0</v>
      </c>
      <c r="H1082" s="158">
        <f>G1082</f>
        <v>0</v>
      </c>
      <c r="I1082" s="157"/>
      <c r="J1082" s="157"/>
      <c r="K1082" s="157"/>
      <c r="L1082" s="157"/>
      <c r="M1082" s="157"/>
      <c r="N1082" s="157"/>
    </row>
    <row r="1083" spans="1:14">
      <c r="B1083" s="86" t="s">
        <v>125</v>
      </c>
      <c r="C1083" s="32"/>
      <c r="D1083" s="68"/>
      <c r="E1083" s="157"/>
      <c r="F1083" s="157"/>
      <c r="G1083" s="159"/>
      <c r="H1083" s="160"/>
      <c r="I1083" s="157"/>
      <c r="J1083" s="157"/>
      <c r="K1083" s="157"/>
      <c r="L1083" s="157"/>
      <c r="M1083" s="157"/>
      <c r="N1083" s="157"/>
    </row>
    <row r="1084" spans="1:14">
      <c r="B1084" s="86" t="s">
        <v>126</v>
      </c>
      <c r="C1084" s="32"/>
      <c r="D1084" s="68"/>
      <c r="E1084" s="157"/>
      <c r="F1084" s="157"/>
      <c r="G1084" s="157"/>
      <c r="H1084" s="160">
        <f>H1062</f>
        <v>1300</v>
      </c>
      <c r="I1084" s="158">
        <f>H1084</f>
        <v>1300</v>
      </c>
      <c r="J1084" s="158"/>
      <c r="K1084" s="158"/>
      <c r="L1084" s="158"/>
      <c r="M1084" s="158"/>
      <c r="N1084" s="158"/>
    </row>
    <row r="1085" spans="1:14">
      <c r="B1085" s="86" t="s">
        <v>127</v>
      </c>
      <c r="C1085" s="32"/>
      <c r="D1085" s="68"/>
      <c r="E1085" s="157"/>
      <c r="F1085" s="157"/>
      <c r="G1085" s="157"/>
      <c r="H1085" s="77"/>
      <c r="I1085" s="160"/>
      <c r="J1085" s="160"/>
      <c r="K1085" s="160"/>
      <c r="L1085" s="160"/>
      <c r="M1085" s="160"/>
      <c r="N1085" s="160"/>
    </row>
    <row r="1086" spans="1:14">
      <c r="B1086" s="86" t="s">
        <v>128</v>
      </c>
      <c r="C1086" s="32"/>
      <c r="D1086" s="68"/>
      <c r="E1086" s="157"/>
      <c r="F1086" s="157"/>
      <c r="G1086" s="157"/>
      <c r="H1086" s="157"/>
      <c r="I1086" s="160">
        <f>I1062</f>
        <v>0</v>
      </c>
      <c r="J1086" s="160">
        <f>I1086</f>
        <v>0</v>
      </c>
      <c r="K1086" s="160">
        <f>J1086</f>
        <v>0</v>
      </c>
      <c r="L1086" s="160">
        <f t="shared" ref="L1086" si="637">K1086</f>
        <v>0</v>
      </c>
      <c r="M1086" s="160">
        <f>K1086</f>
        <v>0</v>
      </c>
      <c r="N1086" s="160">
        <f>L1086</f>
        <v>0</v>
      </c>
    </row>
    <row r="1087" spans="1:14">
      <c r="B1087" s="86" t="s">
        <v>119</v>
      </c>
      <c r="C1087" s="32"/>
      <c r="D1087" s="68"/>
      <c r="E1087" s="157"/>
      <c r="F1087" s="157"/>
      <c r="G1087" s="157"/>
      <c r="H1087" s="157"/>
      <c r="I1087" s="77"/>
      <c r="J1087" s="77"/>
      <c r="K1087" s="77"/>
      <c r="L1087" s="77"/>
      <c r="M1087" s="77"/>
      <c r="N1087" s="77"/>
    </row>
    <row r="1088" spans="1:14">
      <c r="B1088" s="86" t="s">
        <v>120</v>
      </c>
      <c r="C1088" s="32"/>
      <c r="D1088" s="69"/>
      <c r="E1088" s="140"/>
      <c r="F1088" s="140"/>
      <c r="G1088" s="140"/>
      <c r="H1088" s="140"/>
      <c r="I1088" s="140"/>
      <c r="J1088" s="140"/>
      <c r="K1088" s="140"/>
      <c r="L1088" s="140"/>
      <c r="M1088" s="140"/>
      <c r="N1088" s="140"/>
    </row>
    <row r="1089" spans="1:14">
      <c r="B1089" s="35" t="s">
        <v>17</v>
      </c>
      <c r="D1089" s="198">
        <f xml:space="preserve"> D1082 - D1081</f>
        <v>0</v>
      </c>
      <c r="E1089" s="198">
        <f xml:space="preserve"> E1081 + E1084 - E1083 - E1082</f>
        <v>0</v>
      </c>
      <c r="F1089" s="198">
        <f>F1083 - F1084</f>
        <v>0</v>
      </c>
      <c r="G1089" s="198">
        <f t="shared" ref="G1089" si="638">G1083 - G1084</f>
        <v>0</v>
      </c>
      <c r="H1089" s="198">
        <f>H1082-H1083-H1084</f>
        <v>-1300</v>
      </c>
      <c r="I1089" s="198">
        <f>I1084-I1085-I1086</f>
        <v>1300</v>
      </c>
      <c r="J1089" s="198">
        <f>J1086-J1087-J1088</f>
        <v>0</v>
      </c>
      <c r="K1089" s="198">
        <f>K1088</f>
        <v>0</v>
      </c>
      <c r="L1089" s="198">
        <f t="shared" ref="L1089:N1089" si="639">L1088</f>
        <v>0</v>
      </c>
      <c r="M1089" s="198">
        <f t="shared" ref="M1089" si="640">M1088</f>
        <v>0</v>
      </c>
      <c r="N1089" s="198">
        <f t="shared" si="639"/>
        <v>0</v>
      </c>
    </row>
    <row r="1090" spans="1:14">
      <c r="B1090" s="6"/>
      <c r="D1090" s="7"/>
      <c r="E1090" s="7"/>
      <c r="F1090" s="7"/>
      <c r="G1090" s="7"/>
      <c r="H1090" s="7"/>
      <c r="I1090" s="7"/>
      <c r="J1090" s="7"/>
      <c r="K1090" s="7"/>
      <c r="L1090" s="7"/>
      <c r="M1090" s="7"/>
      <c r="N1090" s="7"/>
    </row>
    <row r="1091" spans="1:14">
      <c r="B1091" s="83" t="s">
        <v>12</v>
      </c>
      <c r="C1091" s="78"/>
      <c r="D1091" s="101"/>
      <c r="E1091" s="102"/>
      <c r="F1091" s="102"/>
      <c r="G1091" s="102"/>
      <c r="H1091" s="102"/>
      <c r="I1091" s="102"/>
      <c r="J1091" s="102"/>
      <c r="K1091" s="102"/>
      <c r="L1091" s="102"/>
      <c r="M1091" s="102"/>
      <c r="N1091" s="102"/>
    </row>
    <row r="1092" spans="1:14">
      <c r="B1092" s="6"/>
      <c r="D1092" s="7"/>
      <c r="E1092" s="7"/>
      <c r="F1092" s="7"/>
      <c r="G1092" s="7"/>
      <c r="H1092" s="7"/>
      <c r="I1092" s="7"/>
      <c r="J1092" s="7"/>
      <c r="K1092" s="7"/>
      <c r="L1092" s="7"/>
      <c r="M1092" s="7"/>
      <c r="N1092" s="7"/>
    </row>
    <row r="1093" spans="1:14" ht="18.5">
      <c r="A1093" s="43" t="s">
        <v>26</v>
      </c>
      <c r="C1093" s="78"/>
      <c r="D1093" s="47">
        <f xml:space="preserve"> D1062 + D1067 - D1073 + D1089 + D1091</f>
        <v>0</v>
      </c>
      <c r="E1093" s="48">
        <f xml:space="preserve"> E1062 + E1067 - E1073 + E1089 + E1091</f>
        <v>0</v>
      </c>
      <c r="F1093" s="48">
        <f xml:space="preserve"> F1062 + F1067 - F1073 + F1089 + F1091</f>
        <v>0</v>
      </c>
      <c r="G1093" s="48">
        <f t="shared" ref="G1093:I1093" si="641" xml:space="preserve"> G1062 + G1067 - G1073 + G1089 + G1091</f>
        <v>0</v>
      </c>
      <c r="H1093" s="48">
        <f t="shared" si="641"/>
        <v>0</v>
      </c>
      <c r="I1093" s="48">
        <f t="shared" si="641"/>
        <v>1300</v>
      </c>
      <c r="J1093" s="48">
        <f t="shared" ref="J1093" si="642" xml:space="preserve"> J1062 + J1067 - J1073 + J1089 + J1091</f>
        <v>0</v>
      </c>
      <c r="K1093" s="48">
        <f t="shared" ref="K1093:N1093" si="643" xml:space="preserve"> K1062 + K1067 - K1073 + K1089 + K1091</f>
        <v>0</v>
      </c>
      <c r="L1093" s="48">
        <f t="shared" si="643"/>
        <v>0</v>
      </c>
      <c r="M1093" s="48">
        <f t="shared" ref="M1093" si="644" xml:space="preserve"> M1062 + M1067 - M1073 + M1089 + M1091</f>
        <v>0</v>
      </c>
      <c r="N1093" s="48">
        <f t="shared" si="643"/>
        <v>0</v>
      </c>
    </row>
    <row r="1094" spans="1:14">
      <c r="B1094" s="6"/>
      <c r="D1094" s="7"/>
      <c r="E1094" s="7"/>
      <c r="F1094" s="7"/>
      <c r="G1094" s="30"/>
      <c r="H1094" s="30"/>
      <c r="I1094" s="30"/>
      <c r="J1094" s="30"/>
      <c r="K1094" s="30"/>
      <c r="L1094" s="30"/>
      <c r="M1094" s="30"/>
      <c r="N1094" s="30"/>
    </row>
    <row r="1095" spans="1:14" ht="15" thickBot="1"/>
    <row r="1096" spans="1:14">
      <c r="A1096" s="8"/>
      <c r="B1096" s="8"/>
      <c r="C1096" s="8"/>
      <c r="D1096" s="8"/>
      <c r="E1096" s="8"/>
      <c r="F1096" s="8"/>
      <c r="G1096" s="8"/>
      <c r="H1096" s="8"/>
      <c r="I1096" s="8"/>
      <c r="J1096" s="8"/>
      <c r="K1096" s="8"/>
      <c r="L1096" s="8"/>
      <c r="M1096" s="8"/>
      <c r="N1096" s="8"/>
    </row>
    <row r="1097" spans="1:14">
      <c r="B1097" s="32"/>
      <c r="C1097" s="32"/>
      <c r="D1097" s="32"/>
      <c r="E1097" s="32"/>
      <c r="F1097" s="32"/>
      <c r="G1097" s="32"/>
      <c r="H1097" s="32"/>
      <c r="I1097" s="32"/>
      <c r="J1097" s="32"/>
      <c r="K1097" s="32"/>
      <c r="L1097" s="32"/>
      <c r="M1097" s="32"/>
      <c r="N1097" s="32"/>
    </row>
    <row r="1098" spans="1:14" ht="21">
      <c r="A1098" s="14" t="s">
        <v>4</v>
      </c>
      <c r="B1098" s="14"/>
      <c r="C1098" s="342" t="str">
        <f>B25</f>
        <v>Elkhorn Valley Wind - REC Only</v>
      </c>
      <c r="D1098" s="45"/>
      <c r="E1098" s="24"/>
      <c r="F1098" s="24"/>
    </row>
    <row r="1100" spans="1:14" ht="18.5">
      <c r="A1100" s="9" t="s">
        <v>21</v>
      </c>
      <c r="B1100" s="9"/>
      <c r="D1100" s="2">
        <f>'Facility Detail'!$B$1897</f>
        <v>2011</v>
      </c>
      <c r="E1100" s="2">
        <f>D1100+1</f>
        <v>2012</v>
      </c>
      <c r="F1100" s="2">
        <f>E1100+1</f>
        <v>2013</v>
      </c>
      <c r="G1100" s="2">
        <f t="shared" ref="G1100:K1100" si="645">F1100+1</f>
        <v>2014</v>
      </c>
      <c r="H1100" s="2">
        <f t="shared" si="645"/>
        <v>2015</v>
      </c>
      <c r="I1100" s="2">
        <f t="shared" si="645"/>
        <v>2016</v>
      </c>
      <c r="J1100" s="2">
        <f t="shared" si="645"/>
        <v>2017</v>
      </c>
      <c r="K1100" s="2">
        <f t="shared" si="645"/>
        <v>2018</v>
      </c>
      <c r="L1100" s="2">
        <f t="shared" ref="L1100" si="646">K1100+1</f>
        <v>2019</v>
      </c>
      <c r="M1100" s="2">
        <f t="shared" ref="M1100" si="647">L1100+1</f>
        <v>2020</v>
      </c>
      <c r="N1100" s="2">
        <f t="shared" ref="N1100" si="648">M1100+1</f>
        <v>2021</v>
      </c>
    </row>
    <row r="1101" spans="1:14">
      <c r="B1101" s="86" t="str">
        <f>"Total MWh Produced / Purchased from " &amp; C1098</f>
        <v>Total MWh Produced / Purchased from Elkhorn Valley Wind - REC Only</v>
      </c>
      <c r="C1101" s="78"/>
      <c r="D1101" s="3"/>
      <c r="E1101" s="4"/>
      <c r="F1101" s="4"/>
      <c r="G1101" s="4"/>
      <c r="H1101" s="4">
        <v>4468</v>
      </c>
      <c r="I1101" s="4"/>
      <c r="J1101" s="4"/>
      <c r="K1101" s="4"/>
      <c r="L1101" s="4"/>
      <c r="M1101" s="4"/>
      <c r="N1101" s="4"/>
    </row>
    <row r="1102" spans="1:14">
      <c r="B1102" s="86" t="s">
        <v>25</v>
      </c>
      <c r="C1102" s="78"/>
      <c r="D1102" s="60"/>
      <c r="E1102" s="61"/>
      <c r="F1102" s="61"/>
      <c r="G1102" s="61"/>
      <c r="H1102" s="61">
        <v>1</v>
      </c>
      <c r="I1102" s="61"/>
      <c r="J1102" s="61"/>
      <c r="K1102" s="61"/>
      <c r="L1102" s="61"/>
      <c r="M1102" s="61"/>
      <c r="N1102" s="61"/>
    </row>
    <row r="1103" spans="1:14">
      <c r="B1103" s="86" t="s">
        <v>20</v>
      </c>
      <c r="C1103" s="78"/>
      <c r="D1103" s="52"/>
      <c r="E1103" s="53"/>
      <c r="F1103" s="53"/>
      <c r="G1103" s="53"/>
      <c r="H1103" s="53">
        <v>1</v>
      </c>
      <c r="I1103" s="53"/>
      <c r="J1103" s="53"/>
      <c r="K1103" s="53"/>
      <c r="L1103" s="53"/>
      <c r="M1103" s="53"/>
      <c r="N1103" s="53"/>
    </row>
    <row r="1104" spans="1:14">
      <c r="B1104" s="83" t="s">
        <v>22</v>
      </c>
      <c r="C1104" s="84"/>
      <c r="D1104" s="39">
        <f xml:space="preserve"> D1101 * D1102 * D1103</f>
        <v>0</v>
      </c>
      <c r="E1104" s="39">
        <f xml:space="preserve"> E1101 * E1102 * E1103</f>
        <v>0</v>
      </c>
      <c r="F1104" s="39">
        <f xml:space="preserve"> F1101 * F1102 * F1103</f>
        <v>0</v>
      </c>
      <c r="G1104" s="39">
        <f t="shared" ref="G1104:J1104" si="649" xml:space="preserve"> G1101 * G1102 * G1103</f>
        <v>0</v>
      </c>
      <c r="H1104" s="39">
        <v>4468</v>
      </c>
      <c r="I1104" s="39">
        <f t="shared" si="649"/>
        <v>0</v>
      </c>
      <c r="J1104" s="39">
        <f t="shared" si="649"/>
        <v>0</v>
      </c>
      <c r="K1104" s="39">
        <f t="shared" ref="K1104:N1104" si="650" xml:space="preserve"> K1101 * K1102 * K1103</f>
        <v>0</v>
      </c>
      <c r="L1104" s="39">
        <f t="shared" si="650"/>
        <v>0</v>
      </c>
      <c r="M1104" s="39">
        <f t="shared" ref="M1104" si="651" xml:space="preserve"> M1101 * M1102 * M1103</f>
        <v>0</v>
      </c>
      <c r="N1104" s="39">
        <f t="shared" si="650"/>
        <v>0</v>
      </c>
    </row>
    <row r="1105" spans="1:14">
      <c r="B1105" s="24"/>
      <c r="C1105" s="32"/>
      <c r="D1105" s="38"/>
      <c r="E1105" s="38"/>
      <c r="F1105" s="38"/>
      <c r="G1105" s="38"/>
      <c r="H1105" s="38"/>
      <c r="I1105" s="38"/>
      <c r="J1105" s="38"/>
      <c r="K1105" s="38"/>
      <c r="L1105" s="38"/>
      <c r="M1105" s="38"/>
      <c r="N1105" s="38"/>
    </row>
    <row r="1106" spans="1:14" ht="18.5">
      <c r="A1106" s="46" t="s">
        <v>52</v>
      </c>
      <c r="C1106" s="32"/>
      <c r="D1106" s="2">
        <f>'Facility Detail'!$B$1897</f>
        <v>2011</v>
      </c>
      <c r="E1106" s="2">
        <f>D1106+1</f>
        <v>2012</v>
      </c>
      <c r="F1106" s="2">
        <f>E1106+1</f>
        <v>2013</v>
      </c>
      <c r="G1106" s="2">
        <f t="shared" ref="G1106:K1106" si="652">F1106+1</f>
        <v>2014</v>
      </c>
      <c r="H1106" s="2">
        <f t="shared" si="652"/>
        <v>2015</v>
      </c>
      <c r="I1106" s="2">
        <f t="shared" si="652"/>
        <v>2016</v>
      </c>
      <c r="J1106" s="2">
        <f t="shared" si="652"/>
        <v>2017</v>
      </c>
      <c r="K1106" s="2">
        <f t="shared" si="652"/>
        <v>2018</v>
      </c>
      <c r="L1106" s="2">
        <f t="shared" ref="L1106" si="653">K1106+1</f>
        <v>2019</v>
      </c>
      <c r="M1106" s="2">
        <f t="shared" ref="M1106" si="654">L1106+1</f>
        <v>2020</v>
      </c>
      <c r="N1106" s="2">
        <f t="shared" ref="N1106" si="655">M1106+1</f>
        <v>2021</v>
      </c>
    </row>
    <row r="1107" spans="1:14">
      <c r="B1107" s="86" t="s">
        <v>10</v>
      </c>
      <c r="C1107" s="78"/>
      <c r="D1107" s="55">
        <f>IF( $E25 = "Eligible", D1104 * 'Facility Detail'!$B$1894, 0 )</f>
        <v>0</v>
      </c>
      <c r="E1107" s="11">
        <f>IF( $E25 = "Eligible", E1104 * 'Facility Detail'!$B$1894, 0 )</f>
        <v>0</v>
      </c>
      <c r="F1107" s="11">
        <f>IF( $E25 = "Eligible", F1104 * 'Facility Detail'!$B$1894, 0 )</f>
        <v>0</v>
      </c>
      <c r="G1107" s="11">
        <f>IF( $E25 = "Eligible", G1104 * 'Facility Detail'!$B$1894, 0 )</f>
        <v>0</v>
      </c>
      <c r="H1107" s="11">
        <f>IF( $E25 = "Eligible", H1104 * 'Facility Detail'!$B$1894, 0 )</f>
        <v>0</v>
      </c>
      <c r="I1107" s="11">
        <f>IF( $E25 = "Eligible", I1104 * 'Facility Detail'!$B$1894, 0 )</f>
        <v>0</v>
      </c>
      <c r="J1107" s="11">
        <f>IF( $E25 = "Eligible", J1104 * 'Facility Detail'!$B$1894, 0 )</f>
        <v>0</v>
      </c>
      <c r="K1107" s="11">
        <f>IF( $E25 = "Eligible", K1104 * 'Facility Detail'!$B$1894, 0 )</f>
        <v>0</v>
      </c>
      <c r="L1107" s="11">
        <f>IF( $E25 = "Eligible", L1104 * 'Facility Detail'!$B$1894, 0 )</f>
        <v>0</v>
      </c>
      <c r="M1107" s="11">
        <f>IF( $E25 = "Eligible", M1104 * 'Facility Detail'!$B$1894, 0 )</f>
        <v>0</v>
      </c>
      <c r="N1107" s="11">
        <f>IF( $E25 = "Eligible", N1104 * 'Facility Detail'!$B$1894, 0 )</f>
        <v>0</v>
      </c>
    </row>
    <row r="1108" spans="1:14">
      <c r="B1108" s="86" t="s">
        <v>6</v>
      </c>
      <c r="C1108" s="78"/>
      <c r="D1108" s="56">
        <f t="shared" ref="D1108:K1108" si="656">IF( $F25 = "Eligible", D1104, 0 )</f>
        <v>0</v>
      </c>
      <c r="E1108" s="57">
        <f t="shared" si="656"/>
        <v>0</v>
      </c>
      <c r="F1108" s="57">
        <f t="shared" si="656"/>
        <v>0</v>
      </c>
      <c r="G1108" s="57">
        <f t="shared" si="656"/>
        <v>0</v>
      </c>
      <c r="H1108" s="57">
        <f t="shared" si="656"/>
        <v>0</v>
      </c>
      <c r="I1108" s="57">
        <f t="shared" si="656"/>
        <v>0</v>
      </c>
      <c r="J1108" s="57">
        <f t="shared" si="656"/>
        <v>0</v>
      </c>
      <c r="K1108" s="57">
        <f t="shared" si="656"/>
        <v>0</v>
      </c>
      <c r="L1108" s="57">
        <f t="shared" ref="L1108:N1108" si="657">IF( $F25 = "Eligible", L1104, 0 )</f>
        <v>0</v>
      </c>
      <c r="M1108" s="57">
        <f t="shared" ref="M1108" si="658">IF( $F25 = "Eligible", M1104, 0 )</f>
        <v>0</v>
      </c>
      <c r="N1108" s="57">
        <f t="shared" si="657"/>
        <v>0</v>
      </c>
    </row>
    <row r="1109" spans="1:14">
      <c r="B1109" s="85" t="s">
        <v>54</v>
      </c>
      <c r="C1109" s="84"/>
      <c r="D1109" s="41">
        <f>SUM(D1107:D1108)</f>
        <v>0</v>
      </c>
      <c r="E1109" s="42">
        <f>SUM(E1107:E1108)</f>
        <v>0</v>
      </c>
      <c r="F1109" s="42">
        <f>SUM(F1107:F1108)</f>
        <v>0</v>
      </c>
      <c r="G1109" s="42">
        <f t="shared" ref="G1109:I1109" si="659">SUM(G1107:G1108)</f>
        <v>0</v>
      </c>
      <c r="H1109" s="42">
        <f t="shared" si="659"/>
        <v>0</v>
      </c>
      <c r="I1109" s="42">
        <f t="shared" si="659"/>
        <v>0</v>
      </c>
      <c r="J1109" s="42">
        <f t="shared" ref="J1109" si="660">SUM(J1107:J1108)</f>
        <v>0</v>
      </c>
      <c r="K1109" s="42">
        <f t="shared" ref="K1109:N1109" si="661">SUM(K1107:K1108)</f>
        <v>0</v>
      </c>
      <c r="L1109" s="42">
        <f t="shared" si="661"/>
        <v>0</v>
      </c>
      <c r="M1109" s="42">
        <f t="shared" ref="M1109" si="662">SUM(M1107:M1108)</f>
        <v>0</v>
      </c>
      <c r="N1109" s="42">
        <f t="shared" si="661"/>
        <v>0</v>
      </c>
    </row>
    <row r="1110" spans="1:14">
      <c r="B1110" s="32"/>
      <c r="C1110" s="32"/>
      <c r="D1110" s="40"/>
      <c r="E1110" s="33"/>
      <c r="F1110" s="33"/>
      <c r="G1110" s="33"/>
      <c r="H1110" s="33"/>
      <c r="I1110" s="33"/>
      <c r="J1110" s="33"/>
      <c r="K1110" s="33"/>
      <c r="L1110" s="33"/>
      <c r="M1110" s="33"/>
      <c r="N1110" s="33"/>
    </row>
    <row r="1111" spans="1:14" ht="18.5">
      <c r="A1111" s="43" t="s">
        <v>30</v>
      </c>
      <c r="C1111" s="32"/>
      <c r="D1111" s="2">
        <f>'Facility Detail'!$B$1897</f>
        <v>2011</v>
      </c>
      <c r="E1111" s="2">
        <f>D1111+1</f>
        <v>2012</v>
      </c>
      <c r="F1111" s="2">
        <f>E1111+1</f>
        <v>2013</v>
      </c>
      <c r="G1111" s="2">
        <f t="shared" ref="G1111:K1111" si="663">F1111+1</f>
        <v>2014</v>
      </c>
      <c r="H1111" s="2">
        <f t="shared" si="663"/>
        <v>2015</v>
      </c>
      <c r="I1111" s="2">
        <f t="shared" si="663"/>
        <v>2016</v>
      </c>
      <c r="J1111" s="2">
        <f t="shared" si="663"/>
        <v>2017</v>
      </c>
      <c r="K1111" s="2">
        <f t="shared" si="663"/>
        <v>2018</v>
      </c>
      <c r="L1111" s="2">
        <f t="shared" ref="L1111" si="664">K1111+1</f>
        <v>2019</v>
      </c>
      <c r="M1111" s="2">
        <f t="shared" ref="M1111" si="665">L1111+1</f>
        <v>2020</v>
      </c>
      <c r="N1111" s="2">
        <f t="shared" ref="N1111" si="666">M1111+1</f>
        <v>2021</v>
      </c>
    </row>
    <row r="1112" spans="1:14">
      <c r="B1112" s="86" t="s">
        <v>32</v>
      </c>
      <c r="C1112" s="78"/>
      <c r="D1112" s="90"/>
      <c r="E1112" s="91"/>
      <c r="F1112" s="91"/>
      <c r="G1112" s="91"/>
      <c r="H1112" s="91"/>
      <c r="I1112" s="91"/>
      <c r="J1112" s="91"/>
      <c r="K1112" s="91"/>
      <c r="L1112" s="91"/>
      <c r="M1112" s="91"/>
      <c r="N1112" s="91"/>
    </row>
    <row r="1113" spans="1:14">
      <c r="B1113" s="87" t="s">
        <v>23</v>
      </c>
      <c r="C1113" s="192"/>
      <c r="D1113" s="93"/>
      <c r="E1113" s="94"/>
      <c r="F1113" s="94"/>
      <c r="G1113" s="94"/>
      <c r="H1113" s="94"/>
      <c r="I1113" s="94"/>
      <c r="J1113" s="94"/>
      <c r="K1113" s="94"/>
      <c r="L1113" s="94"/>
      <c r="M1113" s="94"/>
      <c r="N1113" s="94"/>
    </row>
    <row r="1114" spans="1:14">
      <c r="B1114" s="96" t="s">
        <v>38</v>
      </c>
      <c r="C1114" s="190"/>
      <c r="D1114" s="63"/>
      <c r="E1114" s="64"/>
      <c r="F1114" s="64"/>
      <c r="G1114" s="64"/>
      <c r="H1114" s="64"/>
      <c r="I1114" s="64"/>
      <c r="J1114" s="64"/>
      <c r="K1114" s="64"/>
      <c r="L1114" s="64"/>
      <c r="M1114" s="64"/>
      <c r="N1114" s="64"/>
    </row>
    <row r="1115" spans="1:14">
      <c r="B1115" s="35" t="s">
        <v>39</v>
      </c>
      <c r="D1115" s="7">
        <f>SUM(D1112:D1114)</f>
        <v>0</v>
      </c>
      <c r="E1115" s="7">
        <f>SUM(E1112:E1114)</f>
        <v>0</v>
      </c>
      <c r="F1115" s="7">
        <f>SUM(F1112:F1114)</f>
        <v>0</v>
      </c>
      <c r="G1115" s="7">
        <f t="shared" ref="G1115:I1115" si="667">SUM(G1112:G1114)</f>
        <v>0</v>
      </c>
      <c r="H1115" s="7">
        <f t="shared" si="667"/>
        <v>0</v>
      </c>
      <c r="I1115" s="7">
        <f t="shared" si="667"/>
        <v>0</v>
      </c>
      <c r="J1115" s="7">
        <f t="shared" ref="J1115" si="668">SUM(J1112:J1114)</f>
        <v>0</v>
      </c>
      <c r="K1115" s="7">
        <f t="shared" ref="K1115:N1115" si="669">SUM(K1112:K1114)</f>
        <v>0</v>
      </c>
      <c r="L1115" s="7">
        <f t="shared" si="669"/>
        <v>0</v>
      </c>
      <c r="M1115" s="7">
        <f t="shared" ref="M1115" si="670">SUM(M1112:M1114)</f>
        <v>0</v>
      </c>
      <c r="N1115" s="7">
        <f t="shared" si="669"/>
        <v>0</v>
      </c>
    </row>
    <row r="1116" spans="1:14">
      <c r="B1116" s="6"/>
      <c r="D1116" s="7"/>
      <c r="E1116" s="7"/>
      <c r="F1116" s="7"/>
      <c r="G1116" s="7"/>
      <c r="H1116" s="7"/>
      <c r="I1116" s="7"/>
      <c r="J1116" s="7"/>
      <c r="K1116" s="7"/>
      <c r="L1116" s="7"/>
      <c r="M1116" s="7"/>
      <c r="N1116" s="7"/>
    </row>
    <row r="1117" spans="1:14" ht="18.5">
      <c r="A1117" s="9" t="s">
        <v>40</v>
      </c>
      <c r="D1117" s="2">
        <f>'Facility Detail'!$B$1897</f>
        <v>2011</v>
      </c>
      <c r="E1117" s="2">
        <f>D1117+1</f>
        <v>2012</v>
      </c>
      <c r="F1117" s="2">
        <f>E1117+1</f>
        <v>2013</v>
      </c>
      <c r="G1117" s="2">
        <f t="shared" ref="G1117:K1117" si="671">F1117+1</f>
        <v>2014</v>
      </c>
      <c r="H1117" s="2">
        <f t="shared" si="671"/>
        <v>2015</v>
      </c>
      <c r="I1117" s="2">
        <f t="shared" si="671"/>
        <v>2016</v>
      </c>
      <c r="J1117" s="2">
        <f t="shared" si="671"/>
        <v>2017</v>
      </c>
      <c r="K1117" s="2">
        <f t="shared" si="671"/>
        <v>2018</v>
      </c>
      <c r="L1117" s="2">
        <f t="shared" ref="L1117" si="672">K1117+1</f>
        <v>2019</v>
      </c>
      <c r="M1117" s="2">
        <f t="shared" ref="M1117" si="673">L1117+1</f>
        <v>2020</v>
      </c>
      <c r="N1117" s="2">
        <f t="shared" ref="N1117" si="674">M1117+1</f>
        <v>2021</v>
      </c>
    </row>
    <row r="1118" spans="1:14">
      <c r="B1118" s="86" t="s">
        <v>34</v>
      </c>
      <c r="C1118" s="78"/>
      <c r="D1118" s="3"/>
      <c r="E1118" s="66">
        <f>D1118</f>
        <v>0</v>
      </c>
      <c r="F1118" s="138"/>
      <c r="G1118" s="138"/>
      <c r="H1118" s="138"/>
      <c r="I1118" s="138"/>
      <c r="J1118" s="138"/>
      <c r="K1118" s="138"/>
      <c r="L1118" s="138"/>
      <c r="M1118" s="138"/>
      <c r="N1118" s="138"/>
    </row>
    <row r="1119" spans="1:14">
      <c r="B1119" s="86" t="s">
        <v>35</v>
      </c>
      <c r="C1119" s="78"/>
      <c r="D1119" s="174">
        <f>E1119</f>
        <v>0</v>
      </c>
      <c r="E1119" s="10"/>
      <c r="F1119" s="81"/>
      <c r="G1119" s="81"/>
      <c r="H1119" s="81"/>
      <c r="I1119" s="81"/>
      <c r="J1119" s="81"/>
      <c r="K1119" s="81"/>
      <c r="L1119" s="81"/>
      <c r="M1119" s="81"/>
      <c r="N1119" s="81"/>
    </row>
    <row r="1120" spans="1:14">
      <c r="B1120" s="86" t="s">
        <v>36</v>
      </c>
      <c r="C1120" s="78"/>
      <c r="D1120" s="68"/>
      <c r="E1120" s="10">
        <f>E1104</f>
        <v>0</v>
      </c>
      <c r="F1120" s="77">
        <f>E1120</f>
        <v>0</v>
      </c>
      <c r="G1120" s="81"/>
      <c r="H1120" s="81"/>
      <c r="I1120" s="81"/>
      <c r="J1120" s="81"/>
      <c r="K1120" s="81"/>
      <c r="L1120" s="81"/>
      <c r="M1120" s="81"/>
      <c r="N1120" s="81"/>
    </row>
    <row r="1121" spans="1:14">
      <c r="B1121" s="86" t="s">
        <v>37</v>
      </c>
      <c r="C1121" s="78"/>
      <c r="D1121" s="68"/>
      <c r="E1121" s="77">
        <f>F1121</f>
        <v>0</v>
      </c>
      <c r="F1121" s="173"/>
      <c r="G1121" s="81"/>
      <c r="H1121" s="81"/>
      <c r="I1121" s="81"/>
      <c r="J1121" s="81"/>
      <c r="K1121" s="81"/>
      <c r="L1121" s="81"/>
      <c r="M1121" s="81"/>
      <c r="N1121" s="81"/>
    </row>
    <row r="1122" spans="1:14">
      <c r="B1122" s="86" t="s">
        <v>122</v>
      </c>
      <c r="C1122" s="32"/>
      <c r="D1122" s="68"/>
      <c r="E1122" s="157"/>
      <c r="F1122" s="10">
        <f>F1104</f>
        <v>0</v>
      </c>
      <c r="G1122" s="158">
        <f>F1122</f>
        <v>0</v>
      </c>
      <c r="H1122" s="81"/>
      <c r="I1122" s="81"/>
      <c r="J1122" s="81"/>
      <c r="K1122" s="81"/>
      <c r="L1122" s="81"/>
      <c r="M1122" s="81"/>
      <c r="N1122" s="81"/>
    </row>
    <row r="1123" spans="1:14">
      <c r="B1123" s="86" t="s">
        <v>123</v>
      </c>
      <c r="C1123" s="32"/>
      <c r="D1123" s="68"/>
      <c r="E1123" s="157"/>
      <c r="F1123" s="77">
        <f>G1123</f>
        <v>0</v>
      </c>
      <c r="G1123" s="10"/>
      <c r="H1123" s="81"/>
      <c r="I1123" s="81"/>
      <c r="J1123" s="81"/>
      <c r="K1123" s="81"/>
      <c r="L1123" s="81"/>
      <c r="M1123" s="81"/>
      <c r="N1123" s="81"/>
    </row>
    <row r="1124" spans="1:14">
      <c r="B1124" s="86" t="s">
        <v>124</v>
      </c>
      <c r="C1124" s="32"/>
      <c r="D1124" s="68"/>
      <c r="E1124" s="157"/>
      <c r="F1124" s="157"/>
      <c r="G1124" s="10">
        <f>G1104</f>
        <v>0</v>
      </c>
      <c r="H1124" s="158">
        <f>G1124</f>
        <v>0</v>
      </c>
      <c r="I1124" s="157">
        <f>H1124</f>
        <v>0</v>
      </c>
      <c r="J1124" s="157"/>
      <c r="K1124" s="157"/>
      <c r="L1124" s="157"/>
      <c r="M1124" s="157"/>
      <c r="N1124" s="157"/>
    </row>
    <row r="1125" spans="1:14">
      <c r="B1125" s="86" t="s">
        <v>125</v>
      </c>
      <c r="C1125" s="32"/>
      <c r="D1125" s="68"/>
      <c r="E1125" s="157"/>
      <c r="F1125" s="157"/>
      <c r="G1125" s="159"/>
      <c r="H1125" s="160"/>
      <c r="I1125" s="157"/>
      <c r="J1125" s="157"/>
      <c r="K1125" s="157"/>
      <c r="L1125" s="157"/>
      <c r="M1125" s="157"/>
      <c r="N1125" s="157"/>
    </row>
    <row r="1126" spans="1:14">
      <c r="B1126" s="86" t="s">
        <v>126</v>
      </c>
      <c r="C1126" s="32"/>
      <c r="D1126" s="68"/>
      <c r="E1126" s="157"/>
      <c r="F1126" s="157"/>
      <c r="G1126" s="157"/>
      <c r="H1126" s="160">
        <f>H1104</f>
        <v>4468</v>
      </c>
      <c r="I1126" s="158">
        <f>H1126</f>
        <v>4468</v>
      </c>
      <c r="J1126" s="158"/>
      <c r="K1126" s="158"/>
      <c r="L1126" s="158"/>
      <c r="M1126" s="158"/>
      <c r="N1126" s="158"/>
    </row>
    <row r="1127" spans="1:14">
      <c r="B1127" s="86" t="s">
        <v>127</v>
      </c>
      <c r="C1127" s="32"/>
      <c r="D1127" s="68"/>
      <c r="E1127" s="157"/>
      <c r="F1127" s="157"/>
      <c r="G1127" s="157"/>
      <c r="H1127" s="77"/>
      <c r="I1127" s="160"/>
      <c r="J1127" s="160"/>
      <c r="K1127" s="160"/>
      <c r="L1127" s="160"/>
      <c r="M1127" s="160"/>
      <c r="N1127" s="160"/>
    </row>
    <row r="1128" spans="1:14">
      <c r="B1128" s="86" t="s">
        <v>128</v>
      </c>
      <c r="C1128" s="32"/>
      <c r="D1128" s="68"/>
      <c r="E1128" s="157"/>
      <c r="F1128" s="157"/>
      <c r="G1128" s="157"/>
      <c r="H1128" s="157"/>
      <c r="I1128" s="160">
        <f>I1104</f>
        <v>0</v>
      </c>
      <c r="J1128" s="160">
        <f>I1128</f>
        <v>0</v>
      </c>
      <c r="K1128" s="160"/>
      <c r="L1128" s="160"/>
      <c r="M1128" s="160"/>
      <c r="N1128" s="160"/>
    </row>
    <row r="1129" spans="1:14">
      <c r="B1129" s="86" t="s">
        <v>119</v>
      </c>
      <c r="C1129" s="32"/>
      <c r="D1129" s="68"/>
      <c r="E1129" s="157"/>
      <c r="F1129" s="157"/>
      <c r="G1129" s="157"/>
      <c r="H1129" s="157"/>
      <c r="I1129" s="77"/>
      <c r="J1129" s="77"/>
      <c r="K1129" s="77"/>
      <c r="L1129" s="77"/>
      <c r="M1129" s="77"/>
      <c r="N1129" s="77"/>
    </row>
    <row r="1130" spans="1:14">
      <c r="B1130" s="86" t="s">
        <v>120</v>
      </c>
      <c r="C1130" s="32"/>
      <c r="D1130" s="69"/>
      <c r="E1130" s="140"/>
      <c r="F1130" s="140"/>
      <c r="G1130" s="140"/>
      <c r="H1130" s="140"/>
      <c r="I1130" s="140"/>
      <c r="J1130" s="140"/>
      <c r="K1130" s="140"/>
      <c r="L1130" s="140"/>
      <c r="M1130" s="140"/>
      <c r="N1130" s="140"/>
    </row>
    <row r="1131" spans="1:14">
      <c r="B1131" s="35" t="s">
        <v>17</v>
      </c>
      <c r="D1131" s="7">
        <f xml:space="preserve"> D1119 - D1118</f>
        <v>0</v>
      </c>
      <c r="E1131" s="7">
        <f xml:space="preserve"> E1118 + E1121 - E1120 - E1119</f>
        <v>0</v>
      </c>
      <c r="F1131" s="7">
        <f>F1120 - F1121</f>
        <v>0</v>
      </c>
      <c r="G1131" s="7">
        <f t="shared" ref="G1131" si="675">G1120 - G1121</f>
        <v>0</v>
      </c>
      <c r="H1131" s="7">
        <f>H1124-H1125-H1126</f>
        <v>-4468</v>
      </c>
      <c r="I1131" s="7">
        <f>I1126-I1127-I1128</f>
        <v>4468</v>
      </c>
      <c r="J1131" s="7">
        <f>J1128-J1129-J1130</f>
        <v>0</v>
      </c>
      <c r="K1131" s="7">
        <f>K1130</f>
        <v>0</v>
      </c>
      <c r="L1131" s="7">
        <f t="shared" ref="L1131:N1131" si="676">L1130</f>
        <v>0</v>
      </c>
      <c r="M1131" s="7">
        <f t="shared" ref="M1131" si="677">M1130</f>
        <v>0</v>
      </c>
      <c r="N1131" s="7">
        <f t="shared" si="676"/>
        <v>0</v>
      </c>
    </row>
    <row r="1132" spans="1:14">
      <c r="B1132" s="6"/>
      <c r="D1132" s="7"/>
      <c r="E1132" s="7"/>
      <c r="F1132" s="7"/>
      <c r="G1132" s="7"/>
      <c r="H1132" s="7"/>
      <c r="I1132" s="7"/>
      <c r="J1132" s="7"/>
      <c r="K1132" s="7"/>
      <c r="L1132" s="7"/>
      <c r="M1132" s="7"/>
      <c r="N1132" s="7"/>
    </row>
    <row r="1133" spans="1:14">
      <c r="B1133" s="83" t="s">
        <v>12</v>
      </c>
      <c r="C1133" s="78"/>
      <c r="D1133" s="101"/>
      <c r="E1133" s="102"/>
      <c r="F1133" s="102"/>
      <c r="G1133" s="102"/>
      <c r="H1133" s="102"/>
      <c r="I1133" s="102"/>
      <c r="J1133" s="102"/>
      <c r="K1133" s="102"/>
      <c r="L1133" s="102"/>
      <c r="M1133" s="102"/>
      <c r="N1133" s="102"/>
    </row>
    <row r="1134" spans="1:14">
      <c r="B1134" s="6"/>
      <c r="D1134" s="7"/>
      <c r="E1134" s="7"/>
      <c r="F1134" s="7"/>
      <c r="G1134" s="7"/>
      <c r="H1134" s="7"/>
      <c r="I1134" s="7"/>
      <c r="J1134" s="7"/>
      <c r="K1134" s="7"/>
      <c r="L1134" s="7"/>
      <c r="M1134" s="7"/>
      <c r="N1134" s="7"/>
    </row>
    <row r="1135" spans="1:14" ht="18.5">
      <c r="A1135" s="43" t="s">
        <v>26</v>
      </c>
      <c r="C1135" s="78"/>
      <c r="D1135" s="47">
        <f t="shared" ref="D1135:H1135" si="678" xml:space="preserve"> D1104 + D1109 - D1115 + D1131 + D1133</f>
        <v>0</v>
      </c>
      <c r="E1135" s="48">
        <f t="shared" si="678"/>
        <v>0</v>
      </c>
      <c r="F1135" s="48">
        <f t="shared" si="678"/>
        <v>0</v>
      </c>
      <c r="G1135" s="48">
        <f t="shared" si="678"/>
        <v>0</v>
      </c>
      <c r="H1135" s="48">
        <f t="shared" si="678"/>
        <v>0</v>
      </c>
      <c r="I1135" s="48">
        <f t="shared" ref="I1135:J1135" si="679" xml:space="preserve"> I1104 + I1109 - I1115 + I1131 + I1133</f>
        <v>4468</v>
      </c>
      <c r="J1135" s="48">
        <f t="shared" si="679"/>
        <v>0</v>
      </c>
      <c r="K1135" s="48">
        <f t="shared" ref="K1135:N1135" si="680" xml:space="preserve"> K1104 + K1109 - K1115 + K1131 + K1133</f>
        <v>0</v>
      </c>
      <c r="L1135" s="48">
        <f t="shared" si="680"/>
        <v>0</v>
      </c>
      <c r="M1135" s="48">
        <f t="shared" ref="M1135" si="681" xml:space="preserve"> M1104 + M1109 - M1115 + M1131 + M1133</f>
        <v>0</v>
      </c>
      <c r="N1135" s="48">
        <f t="shared" si="680"/>
        <v>0</v>
      </c>
    </row>
    <row r="1136" spans="1:14">
      <c r="B1136" s="6"/>
      <c r="D1136" s="7"/>
      <c r="E1136" s="7"/>
      <c r="F1136" s="7"/>
      <c r="G1136" s="30"/>
      <c r="H1136" s="30"/>
      <c r="I1136" s="30"/>
      <c r="J1136" s="30"/>
      <c r="K1136" s="30"/>
      <c r="L1136" s="30"/>
      <c r="M1136" s="30"/>
      <c r="N1136" s="30"/>
    </row>
    <row r="1137" spans="1:14" ht="15" thickBot="1"/>
    <row r="1138" spans="1:14">
      <c r="A1138" s="8"/>
      <c r="B1138" s="8"/>
      <c r="C1138" s="8"/>
      <c r="D1138" s="8"/>
      <c r="E1138" s="8"/>
      <c r="F1138" s="8"/>
      <c r="G1138" s="8"/>
      <c r="H1138" s="8"/>
      <c r="I1138" s="8"/>
      <c r="J1138" s="8"/>
      <c r="K1138" s="8"/>
      <c r="L1138" s="8"/>
      <c r="M1138" s="8"/>
      <c r="N1138" s="8"/>
    </row>
    <row r="1139" spans="1:14">
      <c r="B1139" s="32"/>
      <c r="C1139" s="32"/>
      <c r="D1139" s="32"/>
      <c r="E1139" s="32"/>
      <c r="F1139" s="32"/>
      <c r="G1139" s="32"/>
      <c r="H1139" s="32"/>
      <c r="I1139" s="32"/>
      <c r="J1139" s="32"/>
      <c r="K1139" s="32"/>
      <c r="L1139" s="32"/>
      <c r="M1139" s="32"/>
      <c r="N1139" s="32"/>
    </row>
    <row r="1140" spans="1:14" ht="21">
      <c r="A1140" s="14" t="s">
        <v>4</v>
      </c>
      <c r="B1140" s="14"/>
      <c r="C1140" s="342" t="str">
        <f>B26</f>
        <v>Condon Wind Power Project - Condon Phase II - REC Only</v>
      </c>
      <c r="D1140" s="45"/>
      <c r="E1140" s="24"/>
      <c r="F1140" s="24"/>
    </row>
    <row r="1142" spans="1:14" ht="18.5">
      <c r="A1142" s="9" t="s">
        <v>21</v>
      </c>
      <c r="B1142" s="9"/>
      <c r="D1142" s="2">
        <f>'Facility Detail'!$B$1897</f>
        <v>2011</v>
      </c>
      <c r="E1142" s="2">
        <f>D1142+1</f>
        <v>2012</v>
      </c>
      <c r="F1142" s="2">
        <f>E1142+1</f>
        <v>2013</v>
      </c>
      <c r="G1142" s="2">
        <f t="shared" ref="G1142:K1142" si="682">F1142+1</f>
        <v>2014</v>
      </c>
      <c r="H1142" s="2">
        <f t="shared" si="682"/>
        <v>2015</v>
      </c>
      <c r="I1142" s="2">
        <f t="shared" si="682"/>
        <v>2016</v>
      </c>
      <c r="J1142" s="2">
        <f t="shared" si="682"/>
        <v>2017</v>
      </c>
      <c r="K1142" s="2">
        <f t="shared" si="682"/>
        <v>2018</v>
      </c>
      <c r="L1142" s="2">
        <f t="shared" ref="L1142" si="683">K1142+1</f>
        <v>2019</v>
      </c>
      <c r="M1142" s="2">
        <f t="shared" ref="M1142" si="684">L1142+1</f>
        <v>2020</v>
      </c>
      <c r="N1142" s="2">
        <f t="shared" ref="N1142" si="685">M1142+1</f>
        <v>2021</v>
      </c>
    </row>
    <row r="1143" spans="1:14">
      <c r="B1143" s="86" t="str">
        <f>"Total MWh Produced / Purchased from " &amp; C1140</f>
        <v>Total MWh Produced / Purchased from Condon Wind Power Project - Condon Phase II - REC Only</v>
      </c>
      <c r="C1143" s="78"/>
      <c r="D1143" s="3"/>
      <c r="E1143" s="4"/>
      <c r="F1143" s="4"/>
      <c r="G1143" s="4"/>
      <c r="H1143" s="307"/>
      <c r="I1143" s="307">
        <v>7725</v>
      </c>
      <c r="J1143" s="307"/>
      <c r="K1143" s="307"/>
      <c r="L1143" s="307"/>
      <c r="M1143" s="307"/>
      <c r="N1143" s="307"/>
    </row>
    <row r="1144" spans="1:14">
      <c r="B1144" s="86" t="s">
        <v>25</v>
      </c>
      <c r="C1144" s="78"/>
      <c r="D1144" s="60"/>
      <c r="E1144" s="61"/>
      <c r="F1144" s="61"/>
      <c r="G1144" s="61"/>
      <c r="H1144" s="61"/>
      <c r="I1144" s="61">
        <v>1</v>
      </c>
      <c r="J1144" s="61">
        <v>1</v>
      </c>
      <c r="K1144" s="61">
        <v>1</v>
      </c>
      <c r="L1144" s="61">
        <v>2</v>
      </c>
      <c r="M1144" s="61">
        <v>3</v>
      </c>
      <c r="N1144" s="61">
        <v>3</v>
      </c>
    </row>
    <row r="1145" spans="1:14">
      <c r="B1145" s="86" t="s">
        <v>20</v>
      </c>
      <c r="C1145" s="78"/>
      <c r="D1145" s="52"/>
      <c r="E1145" s="53"/>
      <c r="F1145" s="53"/>
      <c r="G1145" s="53"/>
      <c r="H1145" s="53"/>
      <c r="I1145" s="53">
        <v>1</v>
      </c>
      <c r="J1145" s="53"/>
      <c r="K1145" s="53"/>
      <c r="L1145" s="53"/>
      <c r="M1145" s="53"/>
      <c r="N1145" s="53"/>
    </row>
    <row r="1146" spans="1:14">
      <c r="B1146" s="83" t="s">
        <v>22</v>
      </c>
      <c r="C1146" s="84"/>
      <c r="D1146" s="39">
        <f xml:space="preserve"> D1143 * D1144 * D1145</f>
        <v>0</v>
      </c>
      <c r="E1146" s="39">
        <f xml:space="preserve"> E1143 * E1144 * E1145</f>
        <v>0</v>
      </c>
      <c r="F1146" s="39">
        <f xml:space="preserve"> F1143 * F1144 * F1145</f>
        <v>0</v>
      </c>
      <c r="G1146" s="39">
        <f t="shared" ref="G1146" si="686" xml:space="preserve"> G1143 * G1144 * G1145</f>
        <v>0</v>
      </c>
      <c r="H1146" s="306">
        <f t="shared" ref="H1146" si="687" xml:space="preserve"> H1143 * H1144 * H1145</f>
        <v>0</v>
      </c>
      <c r="I1146" s="306">
        <v>7725</v>
      </c>
      <c r="J1146" s="306">
        <f t="shared" ref="J1146:K1146" si="688" xml:space="preserve"> J1143 * J1144 * J1145</f>
        <v>0</v>
      </c>
      <c r="K1146" s="306">
        <f t="shared" si="688"/>
        <v>0</v>
      </c>
      <c r="L1146" s="306">
        <f t="shared" ref="L1146:N1146" si="689" xml:space="preserve"> L1143 * L1144 * L1145</f>
        <v>0</v>
      </c>
      <c r="M1146" s="306">
        <f t="shared" ref="M1146" si="690" xml:space="preserve"> M1143 * M1144 * M1145</f>
        <v>0</v>
      </c>
      <c r="N1146" s="306">
        <f t="shared" si="689"/>
        <v>0</v>
      </c>
    </row>
    <row r="1147" spans="1:14">
      <c r="B1147" s="24"/>
      <c r="C1147" s="32"/>
      <c r="D1147" s="38"/>
      <c r="E1147" s="38"/>
      <c r="F1147" s="38"/>
      <c r="G1147" s="38"/>
      <c r="H1147" s="38"/>
      <c r="I1147" s="38"/>
      <c r="J1147" s="38"/>
      <c r="K1147" s="38"/>
      <c r="L1147" s="38"/>
      <c r="M1147" s="38"/>
      <c r="N1147" s="38"/>
    </row>
    <row r="1148" spans="1:14" ht="18.5">
      <c r="A1148" s="46" t="s">
        <v>52</v>
      </c>
      <c r="C1148" s="32"/>
      <c r="D1148" s="2">
        <f>'Facility Detail'!$B$1897</f>
        <v>2011</v>
      </c>
      <c r="E1148" s="2">
        <f>D1148+1</f>
        <v>2012</v>
      </c>
      <c r="F1148" s="2">
        <f>E1148+1</f>
        <v>2013</v>
      </c>
      <c r="G1148" s="2">
        <f t="shared" ref="G1148:K1148" si="691">F1148+1</f>
        <v>2014</v>
      </c>
      <c r="H1148" s="2">
        <f t="shared" si="691"/>
        <v>2015</v>
      </c>
      <c r="I1148" s="2">
        <f t="shared" si="691"/>
        <v>2016</v>
      </c>
      <c r="J1148" s="2">
        <f t="shared" si="691"/>
        <v>2017</v>
      </c>
      <c r="K1148" s="2">
        <f t="shared" si="691"/>
        <v>2018</v>
      </c>
      <c r="L1148" s="2">
        <f t="shared" ref="L1148" si="692">K1148+1</f>
        <v>2019</v>
      </c>
      <c r="M1148" s="2">
        <f t="shared" ref="M1148" si="693">L1148+1</f>
        <v>2020</v>
      </c>
      <c r="N1148" s="2">
        <f t="shared" ref="N1148" si="694">M1148+1</f>
        <v>2021</v>
      </c>
    </row>
    <row r="1149" spans="1:14">
      <c r="B1149" s="86" t="s">
        <v>10</v>
      </c>
      <c r="C1149" s="78"/>
      <c r="D1149" s="55">
        <f>IF( $E125 = "Eligible", D1146 * 'Facility Detail'!$B$1894, 0 )</f>
        <v>0</v>
      </c>
      <c r="E1149" s="11">
        <f>IF( $E125 = "Eligible", E1146 * 'Facility Detail'!$B$1894, 0 )</f>
        <v>0</v>
      </c>
      <c r="F1149" s="11">
        <f>IF( $E125 = "Eligible", F1146 * 'Facility Detail'!$B$1894, 0 )</f>
        <v>0</v>
      </c>
      <c r="G1149" s="11">
        <f>IF( $E125 = "Eligible", G1146 * 'Facility Detail'!$B$1894, 0 )</f>
        <v>0</v>
      </c>
      <c r="H1149" s="11">
        <f>IF( $E125 = "Eligible", H1146 * 'Facility Detail'!$B$1894, 0 )</f>
        <v>0</v>
      </c>
      <c r="I1149" s="11">
        <f>IF( $E125 = "Eligible", I1146 * 'Facility Detail'!$B$1894, 0 )</f>
        <v>0</v>
      </c>
      <c r="J1149" s="11">
        <f>IF( $E125 = "Eligible", J1146 * 'Facility Detail'!$B$1894, 0 )</f>
        <v>0</v>
      </c>
      <c r="K1149" s="11">
        <f>IF( $E125 = "Eligible", K1146 * 'Facility Detail'!$B$1894, 0 )</f>
        <v>0</v>
      </c>
      <c r="L1149" s="11">
        <f>IF( $E125 = "Eligible", L1146 * 'Facility Detail'!$B$1894, 0 )</f>
        <v>0</v>
      </c>
      <c r="M1149" s="11">
        <f>IF( $E125 = "Eligible", M1146 * 'Facility Detail'!$B$1894, 0 )</f>
        <v>0</v>
      </c>
      <c r="N1149" s="11">
        <f>IF( $E125 = "Eligible", N1146 * 'Facility Detail'!$B$1894, 0 )</f>
        <v>0</v>
      </c>
    </row>
    <row r="1150" spans="1:14">
      <c r="B1150" s="86" t="s">
        <v>6</v>
      </c>
      <c r="C1150" s="78"/>
      <c r="D1150" s="56">
        <f t="shared" ref="D1150:K1150" si="695">IF( $F125 = "Eligible", D1146, 0 )</f>
        <v>0</v>
      </c>
      <c r="E1150" s="57">
        <f t="shared" si="695"/>
        <v>0</v>
      </c>
      <c r="F1150" s="57">
        <f t="shared" si="695"/>
        <v>0</v>
      </c>
      <c r="G1150" s="57">
        <f t="shared" si="695"/>
        <v>0</v>
      </c>
      <c r="H1150" s="57">
        <f t="shared" si="695"/>
        <v>0</v>
      </c>
      <c r="I1150" s="57">
        <f t="shared" si="695"/>
        <v>0</v>
      </c>
      <c r="J1150" s="57">
        <f t="shared" si="695"/>
        <v>0</v>
      </c>
      <c r="K1150" s="57">
        <f t="shared" si="695"/>
        <v>0</v>
      </c>
      <c r="L1150" s="57">
        <f t="shared" ref="L1150:N1150" si="696">IF( $F125 = "Eligible", L1146, 0 )</f>
        <v>0</v>
      </c>
      <c r="M1150" s="57">
        <f t="shared" ref="M1150" si="697">IF( $F125 = "Eligible", M1146, 0 )</f>
        <v>0</v>
      </c>
      <c r="N1150" s="57">
        <f t="shared" si="696"/>
        <v>0</v>
      </c>
    </row>
    <row r="1151" spans="1:14">
      <c r="B1151" s="85" t="s">
        <v>54</v>
      </c>
      <c r="C1151" s="84"/>
      <c r="D1151" s="41">
        <f>SUM(D1149:D1150)</f>
        <v>0</v>
      </c>
      <c r="E1151" s="42">
        <f>SUM(E1149:E1150)</f>
        <v>0</v>
      </c>
      <c r="F1151" s="42">
        <f>SUM(F1149:F1150)</f>
        <v>0</v>
      </c>
      <c r="G1151" s="42">
        <f t="shared" ref="G1151" si="698">SUM(G1149:G1150)</f>
        <v>0</v>
      </c>
      <c r="H1151" s="42">
        <f t="shared" ref="H1151" si="699">SUM(H1149:H1150)</f>
        <v>0</v>
      </c>
      <c r="I1151" s="42">
        <f t="shared" ref="I1151:J1151" si="700">SUM(I1149:I1150)</f>
        <v>0</v>
      </c>
      <c r="J1151" s="42">
        <f t="shared" si="700"/>
        <v>0</v>
      </c>
      <c r="K1151" s="42">
        <f t="shared" ref="K1151:N1151" si="701">SUM(K1149:K1150)</f>
        <v>0</v>
      </c>
      <c r="L1151" s="42">
        <f t="shared" si="701"/>
        <v>0</v>
      </c>
      <c r="M1151" s="42">
        <f t="shared" ref="M1151" si="702">SUM(M1149:M1150)</f>
        <v>0</v>
      </c>
      <c r="N1151" s="42">
        <f t="shared" si="701"/>
        <v>0</v>
      </c>
    </row>
    <row r="1152" spans="1:14">
      <c r="B1152" s="32"/>
      <c r="C1152" s="32"/>
      <c r="D1152" s="40"/>
      <c r="E1152" s="33"/>
      <c r="F1152" s="33"/>
      <c r="G1152" s="33"/>
      <c r="H1152" s="33"/>
      <c r="I1152" s="33"/>
      <c r="J1152" s="33"/>
      <c r="K1152" s="33"/>
      <c r="L1152" s="33"/>
      <c r="M1152" s="33"/>
      <c r="N1152" s="33"/>
    </row>
    <row r="1153" spans="1:14" ht="18.5">
      <c r="A1153" s="43" t="s">
        <v>30</v>
      </c>
      <c r="C1153" s="32"/>
      <c r="D1153" s="2">
        <f>'Facility Detail'!$B$1897</f>
        <v>2011</v>
      </c>
      <c r="E1153" s="2">
        <f>D1153+1</f>
        <v>2012</v>
      </c>
      <c r="F1153" s="2">
        <f>E1153+1</f>
        <v>2013</v>
      </c>
      <c r="G1153" s="2">
        <f t="shared" ref="G1153:K1153" si="703">F1153+1</f>
        <v>2014</v>
      </c>
      <c r="H1153" s="2">
        <f t="shared" si="703"/>
        <v>2015</v>
      </c>
      <c r="I1153" s="2">
        <f t="shared" si="703"/>
        <v>2016</v>
      </c>
      <c r="J1153" s="2">
        <f t="shared" si="703"/>
        <v>2017</v>
      </c>
      <c r="K1153" s="2">
        <f t="shared" si="703"/>
        <v>2018</v>
      </c>
      <c r="L1153" s="2">
        <f t="shared" ref="L1153" si="704">K1153+1</f>
        <v>2019</v>
      </c>
      <c r="M1153" s="2">
        <f t="shared" ref="M1153" si="705">L1153+1</f>
        <v>2020</v>
      </c>
      <c r="N1153" s="2">
        <f t="shared" ref="N1153" si="706">M1153+1</f>
        <v>2021</v>
      </c>
    </row>
    <row r="1154" spans="1:14">
      <c r="B1154" s="86" t="s">
        <v>32</v>
      </c>
      <c r="C1154" s="78"/>
      <c r="D1154" s="90"/>
      <c r="E1154" s="91"/>
      <c r="F1154" s="91"/>
      <c r="G1154" s="91"/>
      <c r="H1154" s="91"/>
      <c r="I1154" s="91"/>
      <c r="J1154" s="91"/>
      <c r="K1154" s="91"/>
      <c r="L1154" s="91"/>
      <c r="M1154" s="91"/>
      <c r="N1154" s="91"/>
    </row>
    <row r="1155" spans="1:14">
      <c r="B1155" s="87" t="s">
        <v>23</v>
      </c>
      <c r="C1155" s="192"/>
      <c r="D1155" s="93"/>
      <c r="E1155" s="94"/>
      <c r="F1155" s="94"/>
      <c r="G1155" s="94"/>
      <c r="H1155" s="94"/>
      <c r="I1155" s="94"/>
      <c r="J1155" s="94"/>
      <c r="K1155" s="94"/>
      <c r="L1155" s="94"/>
      <c r="M1155" s="94"/>
      <c r="N1155" s="94"/>
    </row>
    <row r="1156" spans="1:14">
      <c r="B1156" s="96" t="s">
        <v>38</v>
      </c>
      <c r="C1156" s="190"/>
      <c r="D1156" s="63"/>
      <c r="E1156" s="64"/>
      <c r="F1156" s="64"/>
      <c r="G1156" s="64"/>
      <c r="H1156" s="64"/>
      <c r="I1156" s="64"/>
      <c r="J1156" s="64"/>
      <c r="K1156" s="64"/>
      <c r="L1156" s="64"/>
      <c r="M1156" s="64"/>
      <c r="N1156" s="64"/>
    </row>
    <row r="1157" spans="1:14">
      <c r="B1157" s="35" t="s">
        <v>39</v>
      </c>
      <c r="D1157" s="7">
        <f>SUM(D1154:D1156)</f>
        <v>0</v>
      </c>
      <c r="E1157" s="7">
        <f>SUM(E1154:E1156)</f>
        <v>0</v>
      </c>
      <c r="F1157" s="7">
        <f>SUM(F1154:F1156)</f>
        <v>0</v>
      </c>
      <c r="G1157" s="7">
        <f t="shared" ref="G1157" si="707">SUM(G1154:G1156)</f>
        <v>0</v>
      </c>
      <c r="H1157" s="7">
        <f t="shared" ref="H1157" si="708">SUM(H1154:H1156)</f>
        <v>0</v>
      </c>
      <c r="I1157" s="7">
        <f t="shared" ref="I1157:J1157" si="709">SUM(I1154:I1156)</f>
        <v>0</v>
      </c>
      <c r="J1157" s="7">
        <f t="shared" si="709"/>
        <v>0</v>
      </c>
      <c r="K1157" s="7">
        <f t="shared" ref="K1157:N1157" si="710">SUM(K1154:K1156)</f>
        <v>0</v>
      </c>
      <c r="L1157" s="7">
        <f t="shared" si="710"/>
        <v>0</v>
      </c>
      <c r="M1157" s="7">
        <f t="shared" ref="M1157" si="711">SUM(M1154:M1156)</f>
        <v>0</v>
      </c>
      <c r="N1157" s="7">
        <f t="shared" si="710"/>
        <v>0</v>
      </c>
    </row>
    <row r="1158" spans="1:14">
      <c r="B1158" s="6"/>
      <c r="D1158" s="7"/>
      <c r="E1158" s="7"/>
      <c r="F1158" s="7"/>
      <c r="G1158" s="7"/>
      <c r="H1158" s="7"/>
      <c r="I1158" s="7"/>
      <c r="J1158" s="7"/>
      <c r="K1158" s="7"/>
      <c r="L1158" s="7"/>
      <c r="M1158" s="7"/>
      <c r="N1158" s="7"/>
    </row>
    <row r="1159" spans="1:14" ht="18.5">
      <c r="A1159" s="9" t="s">
        <v>40</v>
      </c>
      <c r="D1159" s="2">
        <f>'Facility Detail'!$B$1897</f>
        <v>2011</v>
      </c>
      <c r="E1159" s="2">
        <f>D1159+1</f>
        <v>2012</v>
      </c>
      <c r="F1159" s="2">
        <f>E1159+1</f>
        <v>2013</v>
      </c>
      <c r="G1159" s="2">
        <f t="shared" ref="G1159:K1159" si="712">F1159+1</f>
        <v>2014</v>
      </c>
      <c r="H1159" s="2">
        <f t="shared" si="712"/>
        <v>2015</v>
      </c>
      <c r="I1159" s="2">
        <f t="shared" si="712"/>
        <v>2016</v>
      </c>
      <c r="J1159" s="2">
        <f t="shared" si="712"/>
        <v>2017</v>
      </c>
      <c r="K1159" s="2">
        <f t="shared" si="712"/>
        <v>2018</v>
      </c>
      <c r="L1159" s="2">
        <f t="shared" ref="L1159" si="713">K1159+1</f>
        <v>2019</v>
      </c>
      <c r="M1159" s="2">
        <f t="shared" ref="M1159" si="714">L1159+1</f>
        <v>2020</v>
      </c>
      <c r="N1159" s="2">
        <f t="shared" ref="N1159" si="715">M1159+1</f>
        <v>2021</v>
      </c>
    </row>
    <row r="1160" spans="1:14">
      <c r="B1160" s="86" t="s">
        <v>34</v>
      </c>
      <c r="C1160" s="78"/>
      <c r="D1160" s="3"/>
      <c r="E1160" s="66">
        <f>D1160</f>
        <v>0</v>
      </c>
      <c r="F1160" s="138"/>
      <c r="G1160" s="138"/>
      <c r="H1160" s="138"/>
      <c r="I1160" s="138"/>
      <c r="J1160" s="138"/>
      <c r="K1160" s="138"/>
      <c r="L1160" s="138"/>
      <c r="M1160" s="138"/>
      <c r="N1160" s="138"/>
    </row>
    <row r="1161" spans="1:14">
      <c r="B1161" s="86" t="s">
        <v>35</v>
      </c>
      <c r="C1161" s="78"/>
      <c r="D1161" s="174">
        <f>E1161</f>
        <v>0</v>
      </c>
      <c r="E1161" s="10"/>
      <c r="F1161" s="81"/>
      <c r="G1161" s="81"/>
      <c r="H1161" s="81"/>
      <c r="I1161" s="81"/>
      <c r="J1161" s="81"/>
      <c r="K1161" s="81"/>
      <c r="L1161" s="81"/>
      <c r="M1161" s="81"/>
      <c r="N1161" s="81"/>
    </row>
    <row r="1162" spans="1:14">
      <c r="B1162" s="86" t="s">
        <v>36</v>
      </c>
      <c r="C1162" s="78"/>
      <c r="D1162" s="68"/>
      <c r="E1162" s="10">
        <f>E1146</f>
        <v>0</v>
      </c>
      <c r="F1162" s="77">
        <f>E1162</f>
        <v>0</v>
      </c>
      <c r="G1162" s="81"/>
      <c r="H1162" s="81"/>
      <c r="I1162" s="81"/>
      <c r="J1162" s="81"/>
      <c r="K1162" s="81"/>
      <c r="L1162" s="81"/>
      <c r="M1162" s="81"/>
      <c r="N1162" s="81"/>
    </row>
    <row r="1163" spans="1:14">
      <c r="B1163" s="86" t="s">
        <v>37</v>
      </c>
      <c r="C1163" s="78"/>
      <c r="D1163" s="68"/>
      <c r="E1163" s="77">
        <f>F1163</f>
        <v>0</v>
      </c>
      <c r="F1163" s="173"/>
      <c r="G1163" s="81"/>
      <c r="H1163" s="81"/>
      <c r="I1163" s="81"/>
      <c r="J1163" s="81"/>
      <c r="K1163" s="81"/>
      <c r="L1163" s="81"/>
      <c r="M1163" s="81"/>
      <c r="N1163" s="81"/>
    </row>
    <row r="1164" spans="1:14">
      <c r="B1164" s="86" t="s">
        <v>122</v>
      </c>
      <c r="C1164" s="32"/>
      <c r="D1164" s="68"/>
      <c r="E1164" s="157"/>
      <c r="F1164" s="10">
        <f>F1146</f>
        <v>0</v>
      </c>
      <c r="G1164" s="158">
        <f>F1164</f>
        <v>0</v>
      </c>
      <c r="H1164" s="81"/>
      <c r="I1164" s="81"/>
      <c r="J1164" s="81"/>
      <c r="K1164" s="81"/>
      <c r="L1164" s="81"/>
      <c r="M1164" s="81"/>
      <c r="N1164" s="81"/>
    </row>
    <row r="1165" spans="1:14">
      <c r="B1165" s="86" t="s">
        <v>123</v>
      </c>
      <c r="C1165" s="32"/>
      <c r="D1165" s="68"/>
      <c r="E1165" s="157"/>
      <c r="F1165" s="77">
        <f>G1165</f>
        <v>0</v>
      </c>
      <c r="G1165" s="10"/>
      <c r="H1165" s="81"/>
      <c r="I1165" s="81"/>
      <c r="J1165" s="81"/>
      <c r="K1165" s="81"/>
      <c r="L1165" s="81"/>
      <c r="M1165" s="81"/>
      <c r="N1165" s="81"/>
    </row>
    <row r="1166" spans="1:14">
      <c r="B1166" s="86" t="s">
        <v>124</v>
      </c>
      <c r="C1166" s="32"/>
      <c r="D1166" s="68"/>
      <c r="E1166" s="157"/>
      <c r="F1166" s="157"/>
      <c r="G1166" s="10">
        <f>G1146</f>
        <v>0</v>
      </c>
      <c r="H1166" s="158">
        <f>G1166</f>
        <v>0</v>
      </c>
      <c r="I1166" s="157">
        <f>H1166</f>
        <v>0</v>
      </c>
      <c r="J1166" s="157"/>
      <c r="K1166" s="157"/>
      <c r="L1166" s="157"/>
      <c r="M1166" s="157"/>
      <c r="N1166" s="157"/>
    </row>
    <row r="1167" spans="1:14">
      <c r="B1167" s="86" t="s">
        <v>125</v>
      </c>
      <c r="C1167" s="32"/>
      <c r="D1167" s="68"/>
      <c r="E1167" s="157"/>
      <c r="F1167" s="157"/>
      <c r="G1167" s="159"/>
      <c r="H1167" s="160"/>
      <c r="I1167" s="157"/>
      <c r="J1167" s="157"/>
      <c r="K1167" s="157"/>
      <c r="L1167" s="157"/>
      <c r="M1167" s="157"/>
      <c r="N1167" s="157"/>
    </row>
    <row r="1168" spans="1:14">
      <c r="B1168" s="86" t="s">
        <v>126</v>
      </c>
      <c r="C1168" s="32"/>
      <c r="D1168" s="68"/>
      <c r="E1168" s="157"/>
      <c r="F1168" s="157"/>
      <c r="G1168" s="157"/>
      <c r="H1168" s="160">
        <v>0</v>
      </c>
      <c r="I1168" s="158">
        <f>H1168</f>
        <v>0</v>
      </c>
      <c r="J1168" s="158"/>
      <c r="K1168" s="158"/>
      <c r="L1168" s="158"/>
      <c r="M1168" s="158"/>
      <c r="N1168" s="158"/>
    </row>
    <row r="1169" spans="1:14">
      <c r="B1169" s="86" t="s">
        <v>127</v>
      </c>
      <c r="C1169" s="32"/>
      <c r="D1169" s="68"/>
      <c r="E1169" s="157"/>
      <c r="F1169" s="157"/>
      <c r="G1169" s="157"/>
      <c r="H1169" s="77"/>
      <c r="I1169" s="160"/>
      <c r="J1169" s="160"/>
      <c r="K1169" s="160"/>
      <c r="L1169" s="160"/>
      <c r="M1169" s="160"/>
      <c r="N1169" s="160"/>
    </row>
    <row r="1170" spans="1:14">
      <c r="B1170" s="86" t="s">
        <v>128</v>
      </c>
      <c r="C1170" s="32"/>
      <c r="D1170" s="68"/>
      <c r="E1170" s="157"/>
      <c r="F1170" s="157"/>
      <c r="G1170" s="157"/>
      <c r="H1170" s="157"/>
      <c r="I1170" s="160">
        <f>I1146</f>
        <v>7725</v>
      </c>
      <c r="J1170" s="160">
        <f>I1170</f>
        <v>7725</v>
      </c>
      <c r="K1170" s="160"/>
      <c r="L1170" s="160"/>
      <c r="M1170" s="160"/>
      <c r="N1170" s="160"/>
    </row>
    <row r="1171" spans="1:14">
      <c r="B1171" s="86" t="s">
        <v>119</v>
      </c>
      <c r="C1171" s="32"/>
      <c r="D1171" s="68"/>
      <c r="E1171" s="157"/>
      <c r="F1171" s="157"/>
      <c r="G1171" s="157"/>
      <c r="H1171" s="157"/>
      <c r="I1171" s="249"/>
      <c r="J1171" s="249"/>
      <c r="K1171" s="249"/>
      <c r="L1171" s="249"/>
      <c r="M1171" s="249"/>
      <c r="N1171" s="249"/>
    </row>
    <row r="1172" spans="1:14">
      <c r="B1172" s="86" t="s">
        <v>120</v>
      </c>
      <c r="C1172" s="32"/>
      <c r="D1172" s="69"/>
      <c r="E1172" s="140"/>
      <c r="F1172" s="140"/>
      <c r="G1172" s="140"/>
      <c r="H1172" s="140"/>
      <c r="I1172" s="140"/>
      <c r="J1172" s="140"/>
      <c r="K1172" s="140"/>
      <c r="L1172" s="140"/>
      <c r="M1172" s="140"/>
      <c r="N1172" s="140"/>
    </row>
    <row r="1173" spans="1:14">
      <c r="B1173" s="35" t="s">
        <v>17</v>
      </c>
      <c r="D1173" s="198">
        <f xml:space="preserve"> D1166 - D1165</f>
        <v>0</v>
      </c>
      <c r="E1173" s="198">
        <f xml:space="preserve"> E1165 + E1168 - E1167 - E1166</f>
        <v>0</v>
      </c>
      <c r="F1173" s="198">
        <f>F1167 - F1168</f>
        <v>0</v>
      </c>
      <c r="G1173" s="198">
        <f t="shared" ref="G1173" si="716">G1167 - G1168</f>
        <v>0</v>
      </c>
      <c r="H1173" s="30">
        <f>H1166-H1167-H1168</f>
        <v>0</v>
      </c>
      <c r="I1173" s="30">
        <f>I1168-I1169-I1170</f>
        <v>-7725</v>
      </c>
      <c r="J1173" s="30">
        <f>J1170-J1171-J1172</f>
        <v>7725</v>
      </c>
      <c r="K1173" s="30">
        <f>K1172</f>
        <v>0</v>
      </c>
      <c r="L1173" s="30">
        <f t="shared" ref="L1173:N1173" si="717">L1172</f>
        <v>0</v>
      </c>
      <c r="M1173" s="30">
        <f t="shared" ref="M1173" si="718">M1172</f>
        <v>0</v>
      </c>
      <c r="N1173" s="30">
        <f t="shared" si="717"/>
        <v>0</v>
      </c>
    </row>
    <row r="1174" spans="1:14">
      <c r="B1174" s="6"/>
      <c r="D1174" s="7"/>
      <c r="E1174" s="7"/>
      <c r="F1174" s="7"/>
      <c r="G1174" s="7"/>
      <c r="H1174" s="7"/>
      <c r="I1174" s="7"/>
      <c r="J1174" s="7"/>
      <c r="K1174" s="7"/>
      <c r="L1174" s="7"/>
      <c r="M1174" s="7"/>
      <c r="N1174" s="7"/>
    </row>
    <row r="1175" spans="1:14">
      <c r="B1175" s="83" t="s">
        <v>12</v>
      </c>
      <c r="C1175" s="78"/>
      <c r="D1175" s="101"/>
      <c r="E1175" s="102"/>
      <c r="F1175" s="102"/>
      <c r="G1175" s="102"/>
      <c r="H1175" s="102"/>
      <c r="I1175" s="102"/>
      <c r="J1175" s="102"/>
      <c r="K1175" s="102"/>
      <c r="L1175" s="102"/>
      <c r="M1175" s="102"/>
      <c r="N1175" s="102"/>
    </row>
    <row r="1176" spans="1:14">
      <c r="B1176" s="6"/>
      <c r="D1176" s="7"/>
      <c r="E1176" s="7"/>
      <c r="F1176" s="7"/>
      <c r="G1176" s="7"/>
      <c r="H1176" s="7"/>
      <c r="I1176" s="7"/>
      <c r="J1176" s="7"/>
      <c r="K1176" s="7"/>
      <c r="L1176" s="7"/>
      <c r="M1176" s="7"/>
      <c r="N1176" s="7"/>
    </row>
    <row r="1177" spans="1:14" ht="18.5">
      <c r="A1177" s="43" t="s">
        <v>26</v>
      </c>
      <c r="C1177" s="78"/>
      <c r="D1177" s="47">
        <f xml:space="preserve"> D1146 + D1151 - D1157 + D1173 + D1175</f>
        <v>0</v>
      </c>
      <c r="E1177" s="48">
        <f xml:space="preserve"> E1146 + E1151 - E1157 + E1173 + E1175</f>
        <v>0</v>
      </c>
      <c r="F1177" s="48">
        <f xml:space="preserve"> F1146 + F1151 - F1157 + F1173 + F1175</f>
        <v>0</v>
      </c>
      <c r="G1177" s="48">
        <f t="shared" ref="G1177:J1177" si="719" xml:space="preserve"> G1146 + G1151 - G1157 + G1173 + G1175</f>
        <v>0</v>
      </c>
      <c r="H1177" s="48">
        <f t="shared" si="719"/>
        <v>0</v>
      </c>
      <c r="I1177" s="48">
        <f t="shared" si="719"/>
        <v>0</v>
      </c>
      <c r="J1177" s="48">
        <f t="shared" si="719"/>
        <v>7725</v>
      </c>
      <c r="K1177" s="48">
        <f t="shared" ref="K1177:N1177" si="720" xml:space="preserve"> K1146 + K1151 - K1157 + K1173 + K1175</f>
        <v>0</v>
      </c>
      <c r="L1177" s="48">
        <f t="shared" si="720"/>
        <v>0</v>
      </c>
      <c r="M1177" s="48">
        <f t="shared" ref="M1177" si="721" xml:space="preserve"> M1146 + M1151 - M1157 + M1173 + M1175</f>
        <v>0</v>
      </c>
      <c r="N1177" s="48">
        <f t="shared" si="720"/>
        <v>0</v>
      </c>
    </row>
    <row r="1178" spans="1:14">
      <c r="B1178" s="6"/>
      <c r="D1178" s="7"/>
      <c r="E1178" s="7"/>
      <c r="F1178" s="7"/>
      <c r="G1178" s="30"/>
      <c r="H1178" s="30"/>
      <c r="I1178" s="30"/>
      <c r="J1178" s="30"/>
      <c r="K1178" s="30"/>
      <c r="L1178" s="30"/>
      <c r="M1178" s="30"/>
      <c r="N1178" s="30"/>
    </row>
    <row r="1179" spans="1:14" ht="15" thickBot="1"/>
    <row r="1180" spans="1:14">
      <c r="A1180" s="8"/>
      <c r="B1180" s="8"/>
      <c r="C1180" s="8"/>
      <c r="D1180" s="8"/>
      <c r="E1180" s="8"/>
      <c r="F1180" s="8"/>
      <c r="G1180" s="8"/>
      <c r="H1180" s="8"/>
      <c r="I1180" s="8"/>
      <c r="J1180" s="8"/>
      <c r="K1180" s="8"/>
      <c r="L1180" s="8"/>
      <c r="M1180" s="8"/>
      <c r="N1180" s="8"/>
    </row>
    <row r="1181" spans="1:14">
      <c r="B1181" s="32"/>
      <c r="C1181" s="32"/>
      <c r="D1181" s="32"/>
      <c r="E1181" s="32"/>
      <c r="F1181" s="32"/>
      <c r="G1181" s="32"/>
      <c r="H1181" s="32"/>
      <c r="I1181" s="32"/>
      <c r="J1181" s="32"/>
      <c r="K1181" s="32"/>
      <c r="L1181" s="32"/>
      <c r="M1181" s="32"/>
      <c r="N1181" s="32"/>
    </row>
    <row r="1182" spans="1:14" ht="21">
      <c r="A1182" s="14" t="s">
        <v>4</v>
      </c>
      <c r="B1182" s="14"/>
      <c r="C1182" s="342" t="str">
        <f>B27</f>
        <v>Condon Wind Power Project - Condon Wind Power Project - REC Only</v>
      </c>
      <c r="D1182" s="45"/>
      <c r="E1182" s="24"/>
      <c r="F1182" s="24"/>
    </row>
    <row r="1184" spans="1:14" ht="18.5">
      <c r="A1184" s="9" t="s">
        <v>21</v>
      </c>
      <c r="B1184" s="9"/>
      <c r="D1184" s="2">
        <f>'Facility Detail'!$B$1897</f>
        <v>2011</v>
      </c>
      <c r="E1184" s="2">
        <f>D1184+1</f>
        <v>2012</v>
      </c>
      <c r="F1184" s="2">
        <f>E1184+1</f>
        <v>2013</v>
      </c>
      <c r="G1184" s="2">
        <f t="shared" ref="G1184:K1184" si="722">F1184+1</f>
        <v>2014</v>
      </c>
      <c r="H1184" s="2">
        <f t="shared" si="722"/>
        <v>2015</v>
      </c>
      <c r="I1184" s="2">
        <f t="shared" si="722"/>
        <v>2016</v>
      </c>
      <c r="J1184" s="2">
        <f t="shared" si="722"/>
        <v>2017</v>
      </c>
      <c r="K1184" s="2">
        <f t="shared" si="722"/>
        <v>2018</v>
      </c>
      <c r="L1184" s="2">
        <f t="shared" ref="L1184" si="723">K1184+1</f>
        <v>2019</v>
      </c>
      <c r="M1184" s="2">
        <f t="shared" ref="M1184" si="724">L1184+1</f>
        <v>2020</v>
      </c>
      <c r="N1184" s="2">
        <f t="shared" ref="N1184" si="725">M1184+1</f>
        <v>2021</v>
      </c>
    </row>
    <row r="1185" spans="1:14">
      <c r="B1185" s="86" t="str">
        <f>"Total MWh Produced / Purchased from " &amp; C1182</f>
        <v>Total MWh Produced / Purchased from Condon Wind Power Project - Condon Wind Power Project - REC Only</v>
      </c>
      <c r="C1185" s="78"/>
      <c r="D1185" s="3"/>
      <c r="E1185" s="4"/>
      <c r="F1185" s="4"/>
      <c r="G1185" s="4"/>
      <c r="H1185" s="307"/>
      <c r="I1185" s="307">
        <v>8286</v>
      </c>
      <c r="J1185" s="307"/>
      <c r="K1185" s="307"/>
      <c r="L1185" s="307"/>
      <c r="M1185" s="307"/>
      <c r="N1185" s="307"/>
    </row>
    <row r="1186" spans="1:14">
      <c r="B1186" s="86" t="s">
        <v>25</v>
      </c>
      <c r="C1186" s="78"/>
      <c r="D1186" s="60"/>
      <c r="E1186" s="61"/>
      <c r="F1186" s="61"/>
      <c r="G1186" s="61"/>
      <c r="H1186" s="61"/>
      <c r="I1186" s="61">
        <v>1</v>
      </c>
      <c r="J1186" s="61">
        <v>1</v>
      </c>
      <c r="K1186" s="61">
        <v>1</v>
      </c>
      <c r="L1186" s="61">
        <v>2</v>
      </c>
      <c r="M1186" s="61">
        <v>3</v>
      </c>
      <c r="N1186" s="61">
        <v>3</v>
      </c>
    </row>
    <row r="1187" spans="1:14">
      <c r="B1187" s="86" t="s">
        <v>20</v>
      </c>
      <c r="C1187" s="78"/>
      <c r="D1187" s="52"/>
      <c r="E1187" s="53"/>
      <c r="F1187" s="53"/>
      <c r="G1187" s="53"/>
      <c r="H1187" s="53"/>
      <c r="I1187" s="53">
        <v>1</v>
      </c>
      <c r="J1187" s="53"/>
      <c r="K1187" s="53"/>
      <c r="L1187" s="53"/>
      <c r="M1187" s="53"/>
      <c r="N1187" s="53"/>
    </row>
    <row r="1188" spans="1:14">
      <c r="B1188" s="83" t="s">
        <v>22</v>
      </c>
      <c r="C1188" s="84"/>
      <c r="D1188" s="39">
        <f xml:space="preserve"> D1185 * D1186 * D1187</f>
        <v>0</v>
      </c>
      <c r="E1188" s="39">
        <f xml:space="preserve"> E1185 * E1186 * E1187</f>
        <v>0</v>
      </c>
      <c r="F1188" s="39">
        <f xml:space="preserve"> F1185 * F1186 * F1187</f>
        <v>0</v>
      </c>
      <c r="G1188" s="39">
        <f t="shared" ref="G1188" si="726" xml:space="preserve"> G1185 * G1186 * G1187</f>
        <v>0</v>
      </c>
      <c r="H1188" s="306">
        <f t="shared" ref="H1188" si="727" xml:space="preserve"> H1185 * H1186 * H1187</f>
        <v>0</v>
      </c>
      <c r="I1188" s="306">
        <v>8286</v>
      </c>
      <c r="J1188" s="306">
        <f t="shared" ref="J1188:K1188" si="728" xml:space="preserve"> J1185 * J1186 * J1187</f>
        <v>0</v>
      </c>
      <c r="K1188" s="306">
        <f t="shared" si="728"/>
        <v>0</v>
      </c>
      <c r="L1188" s="306">
        <f t="shared" ref="L1188:N1188" si="729" xml:space="preserve"> L1185 * L1186 * L1187</f>
        <v>0</v>
      </c>
      <c r="M1188" s="306">
        <f t="shared" ref="M1188" si="730" xml:space="preserve"> M1185 * M1186 * M1187</f>
        <v>0</v>
      </c>
      <c r="N1188" s="306">
        <f t="shared" si="729"/>
        <v>0</v>
      </c>
    </row>
    <row r="1189" spans="1:14">
      <c r="B1189" s="24"/>
      <c r="C1189" s="32"/>
      <c r="D1189" s="38"/>
      <c r="E1189" s="38"/>
      <c r="F1189" s="38"/>
      <c r="G1189" s="38"/>
      <c r="H1189" s="38"/>
      <c r="I1189" s="38"/>
      <c r="J1189" s="38"/>
      <c r="K1189" s="38"/>
      <c r="L1189" s="38"/>
      <c r="M1189" s="38"/>
      <c r="N1189" s="38"/>
    </row>
    <row r="1190" spans="1:14" ht="18.5">
      <c r="A1190" s="46" t="s">
        <v>52</v>
      </c>
      <c r="C1190" s="32"/>
      <c r="D1190" s="2">
        <f>'Facility Detail'!$B$1897</f>
        <v>2011</v>
      </c>
      <c r="E1190" s="2">
        <f>D1190+1</f>
        <v>2012</v>
      </c>
      <c r="F1190" s="2">
        <f>E1190+1</f>
        <v>2013</v>
      </c>
      <c r="G1190" s="2">
        <f t="shared" ref="G1190:K1190" si="731">F1190+1</f>
        <v>2014</v>
      </c>
      <c r="H1190" s="2">
        <f t="shared" si="731"/>
        <v>2015</v>
      </c>
      <c r="I1190" s="2">
        <f t="shared" si="731"/>
        <v>2016</v>
      </c>
      <c r="J1190" s="2">
        <f t="shared" si="731"/>
        <v>2017</v>
      </c>
      <c r="K1190" s="2">
        <f t="shared" si="731"/>
        <v>2018</v>
      </c>
      <c r="L1190" s="2">
        <f t="shared" ref="L1190" si="732">K1190+1</f>
        <v>2019</v>
      </c>
      <c r="M1190" s="2">
        <f t="shared" ref="M1190" si="733">L1190+1</f>
        <v>2020</v>
      </c>
      <c r="N1190" s="2">
        <f t="shared" ref="N1190" si="734">M1190+1</f>
        <v>2021</v>
      </c>
    </row>
    <row r="1191" spans="1:14">
      <c r="B1191" s="86" t="s">
        <v>10</v>
      </c>
      <c r="C1191" s="78"/>
      <c r="D1191" s="55">
        <f>IF( $E176 = "Eligible", D1188 * 'Facility Detail'!$B$1894, 0 )</f>
        <v>0</v>
      </c>
      <c r="E1191" s="11">
        <f>IF( $E176 = "Eligible", E1188 * 'Facility Detail'!$B$1894, 0 )</f>
        <v>0</v>
      </c>
      <c r="F1191" s="11">
        <f>IF( $E176 = "Eligible", F1188 * 'Facility Detail'!$B$1894, 0 )</f>
        <v>0</v>
      </c>
      <c r="G1191" s="11">
        <f>IF( $E176 = "Eligible", G1188 * 'Facility Detail'!$B$1894, 0 )</f>
        <v>0</v>
      </c>
      <c r="H1191" s="11">
        <f>IF( $E176 = "Eligible", H1188 * 'Facility Detail'!$B$1894, 0 )</f>
        <v>0</v>
      </c>
      <c r="I1191" s="11">
        <f>IF( $E176 = "Eligible", I1188 * 'Facility Detail'!$B$1894, 0 )</f>
        <v>0</v>
      </c>
      <c r="J1191" s="11">
        <f>IF( $E176 = "Eligible", J1188 * 'Facility Detail'!$B$1894, 0 )</f>
        <v>0</v>
      </c>
      <c r="K1191" s="11">
        <f>IF( $E176 = "Eligible", K1188 * 'Facility Detail'!$B$1894, 0 )</f>
        <v>0</v>
      </c>
      <c r="L1191" s="11">
        <f>IF( $E176 = "Eligible", L1188 * 'Facility Detail'!$B$1894, 0 )</f>
        <v>0</v>
      </c>
      <c r="M1191" s="11">
        <f>IF( $E176 = "Eligible", M1188 * 'Facility Detail'!$B$1894, 0 )</f>
        <v>0</v>
      </c>
      <c r="N1191" s="11">
        <f>IF( $E176 = "Eligible", N1188 * 'Facility Detail'!$B$1894, 0 )</f>
        <v>0</v>
      </c>
    </row>
    <row r="1192" spans="1:14">
      <c r="B1192" s="86" t="s">
        <v>6</v>
      </c>
      <c r="C1192" s="78"/>
      <c r="D1192" s="56">
        <f t="shared" ref="D1192:K1192" si="735">IF( $F176 = "Eligible", D1188, 0 )</f>
        <v>0</v>
      </c>
      <c r="E1192" s="57">
        <f t="shared" si="735"/>
        <v>0</v>
      </c>
      <c r="F1192" s="57">
        <f t="shared" si="735"/>
        <v>0</v>
      </c>
      <c r="G1192" s="57">
        <f t="shared" si="735"/>
        <v>0</v>
      </c>
      <c r="H1192" s="57">
        <f t="shared" si="735"/>
        <v>0</v>
      </c>
      <c r="I1192" s="57">
        <f t="shared" si="735"/>
        <v>0</v>
      </c>
      <c r="J1192" s="57">
        <f t="shared" si="735"/>
        <v>0</v>
      </c>
      <c r="K1192" s="57">
        <f t="shared" si="735"/>
        <v>0</v>
      </c>
      <c r="L1192" s="57">
        <f t="shared" ref="L1192:N1192" si="736">IF( $F176 = "Eligible", L1188, 0 )</f>
        <v>0</v>
      </c>
      <c r="M1192" s="57">
        <f t="shared" ref="M1192" si="737">IF( $F176 = "Eligible", M1188, 0 )</f>
        <v>0</v>
      </c>
      <c r="N1192" s="57">
        <f t="shared" si="736"/>
        <v>0</v>
      </c>
    </row>
    <row r="1193" spans="1:14">
      <c r="B1193" s="85" t="s">
        <v>54</v>
      </c>
      <c r="C1193" s="84"/>
      <c r="D1193" s="41">
        <f>SUM(D1191:D1192)</f>
        <v>0</v>
      </c>
      <c r="E1193" s="42">
        <f>SUM(E1191:E1192)</f>
        <v>0</v>
      </c>
      <c r="F1193" s="42">
        <f>SUM(F1191:F1192)</f>
        <v>0</v>
      </c>
      <c r="G1193" s="42">
        <f t="shared" ref="G1193" si="738">SUM(G1191:G1192)</f>
        <v>0</v>
      </c>
      <c r="H1193" s="42">
        <f t="shared" ref="H1193" si="739">SUM(H1191:H1192)</f>
        <v>0</v>
      </c>
      <c r="I1193" s="42">
        <f t="shared" ref="I1193:J1193" si="740">SUM(I1191:I1192)</f>
        <v>0</v>
      </c>
      <c r="J1193" s="42">
        <f t="shared" si="740"/>
        <v>0</v>
      </c>
      <c r="K1193" s="42">
        <f t="shared" ref="K1193:N1193" si="741">SUM(K1191:K1192)</f>
        <v>0</v>
      </c>
      <c r="L1193" s="42">
        <f t="shared" si="741"/>
        <v>0</v>
      </c>
      <c r="M1193" s="42">
        <f t="shared" ref="M1193" si="742">SUM(M1191:M1192)</f>
        <v>0</v>
      </c>
      <c r="N1193" s="42">
        <f t="shared" si="741"/>
        <v>0</v>
      </c>
    </row>
    <row r="1194" spans="1:14">
      <c r="B1194" s="32"/>
      <c r="C1194" s="32"/>
      <c r="D1194" s="40"/>
      <c r="E1194" s="33"/>
      <c r="F1194" s="33"/>
      <c r="G1194" s="33"/>
      <c r="H1194" s="33"/>
      <c r="I1194" s="33"/>
      <c r="J1194" s="33"/>
      <c r="K1194" s="33"/>
      <c r="L1194" s="33"/>
      <c r="M1194" s="33"/>
      <c r="N1194" s="33"/>
    </row>
    <row r="1195" spans="1:14" ht="18.5">
      <c r="A1195" s="43" t="s">
        <v>30</v>
      </c>
      <c r="C1195" s="32"/>
      <c r="D1195" s="2">
        <f>'Facility Detail'!$B$1897</f>
        <v>2011</v>
      </c>
      <c r="E1195" s="2">
        <f>D1195+1</f>
        <v>2012</v>
      </c>
      <c r="F1195" s="2">
        <f>E1195+1</f>
        <v>2013</v>
      </c>
      <c r="G1195" s="2">
        <f t="shared" ref="G1195:K1195" si="743">F1195+1</f>
        <v>2014</v>
      </c>
      <c r="H1195" s="2">
        <f t="shared" si="743"/>
        <v>2015</v>
      </c>
      <c r="I1195" s="2">
        <f t="shared" si="743"/>
        <v>2016</v>
      </c>
      <c r="J1195" s="2">
        <f t="shared" si="743"/>
        <v>2017</v>
      </c>
      <c r="K1195" s="2">
        <f t="shared" si="743"/>
        <v>2018</v>
      </c>
      <c r="L1195" s="2">
        <f t="shared" ref="L1195" si="744">K1195+1</f>
        <v>2019</v>
      </c>
      <c r="M1195" s="2">
        <f t="shared" ref="M1195" si="745">L1195+1</f>
        <v>2020</v>
      </c>
      <c r="N1195" s="2">
        <f t="shared" ref="N1195" si="746">M1195+1</f>
        <v>2021</v>
      </c>
    </row>
    <row r="1196" spans="1:14">
      <c r="B1196" s="86" t="s">
        <v>32</v>
      </c>
      <c r="C1196" s="78"/>
      <c r="D1196" s="90"/>
      <c r="E1196" s="91"/>
      <c r="F1196" s="91"/>
      <c r="G1196" s="91"/>
      <c r="H1196" s="91"/>
      <c r="I1196" s="91"/>
      <c r="J1196" s="91"/>
      <c r="K1196" s="91"/>
      <c r="L1196" s="91"/>
      <c r="M1196" s="91"/>
      <c r="N1196" s="91"/>
    </row>
    <row r="1197" spans="1:14">
      <c r="B1197" s="87" t="s">
        <v>23</v>
      </c>
      <c r="C1197" s="192"/>
      <c r="D1197" s="93"/>
      <c r="E1197" s="94"/>
      <c r="F1197" s="94"/>
      <c r="G1197" s="94"/>
      <c r="H1197" s="94"/>
      <c r="I1197" s="94"/>
      <c r="J1197" s="94"/>
      <c r="K1197" s="94"/>
      <c r="L1197" s="94"/>
      <c r="M1197" s="94"/>
      <c r="N1197" s="94"/>
    </row>
    <row r="1198" spans="1:14">
      <c r="B1198" s="96" t="s">
        <v>38</v>
      </c>
      <c r="C1198" s="190"/>
      <c r="D1198" s="63"/>
      <c r="E1198" s="64"/>
      <c r="F1198" s="64"/>
      <c r="G1198" s="64"/>
      <c r="H1198" s="64"/>
      <c r="I1198" s="64"/>
      <c r="J1198" s="64"/>
      <c r="K1198" s="64"/>
      <c r="L1198" s="64"/>
      <c r="M1198" s="64"/>
      <c r="N1198" s="64"/>
    </row>
    <row r="1199" spans="1:14">
      <c r="B1199" s="35" t="s">
        <v>39</v>
      </c>
      <c r="D1199" s="7">
        <f>SUM(D1196:D1198)</f>
        <v>0</v>
      </c>
      <c r="E1199" s="7">
        <f>SUM(E1196:E1198)</f>
        <v>0</v>
      </c>
      <c r="F1199" s="7">
        <f>SUM(F1196:F1198)</f>
        <v>0</v>
      </c>
      <c r="G1199" s="7">
        <f t="shared" ref="G1199" si="747">SUM(G1196:G1198)</f>
        <v>0</v>
      </c>
      <c r="H1199" s="7">
        <f t="shared" ref="H1199" si="748">SUM(H1196:H1198)</f>
        <v>0</v>
      </c>
      <c r="I1199" s="7">
        <f t="shared" ref="I1199:J1199" si="749">SUM(I1196:I1198)</f>
        <v>0</v>
      </c>
      <c r="J1199" s="7">
        <f t="shared" si="749"/>
        <v>0</v>
      </c>
      <c r="K1199" s="7">
        <f t="shared" ref="K1199:N1199" si="750">SUM(K1196:K1198)</f>
        <v>0</v>
      </c>
      <c r="L1199" s="7">
        <f t="shared" si="750"/>
        <v>0</v>
      </c>
      <c r="M1199" s="7">
        <f t="shared" ref="M1199" si="751">SUM(M1196:M1198)</f>
        <v>0</v>
      </c>
      <c r="N1199" s="7">
        <f t="shared" si="750"/>
        <v>0</v>
      </c>
    </row>
    <row r="1200" spans="1:14">
      <c r="B1200" s="6"/>
      <c r="D1200" s="7"/>
      <c r="E1200" s="7"/>
      <c r="F1200" s="7"/>
      <c r="G1200" s="7"/>
      <c r="H1200" s="7"/>
      <c r="I1200" s="7"/>
      <c r="J1200" s="7"/>
      <c r="K1200" s="7"/>
      <c r="L1200" s="7"/>
      <c r="M1200" s="7"/>
      <c r="N1200" s="7"/>
    </row>
    <row r="1201" spans="1:14" ht="18.5">
      <c r="A1201" s="9" t="s">
        <v>40</v>
      </c>
      <c r="D1201" s="2">
        <f>'Facility Detail'!$B$1897</f>
        <v>2011</v>
      </c>
      <c r="E1201" s="2">
        <f>D1201+1</f>
        <v>2012</v>
      </c>
      <c r="F1201" s="2">
        <f>E1201+1</f>
        <v>2013</v>
      </c>
      <c r="G1201" s="2">
        <f t="shared" ref="G1201:K1201" si="752">F1201+1</f>
        <v>2014</v>
      </c>
      <c r="H1201" s="2">
        <f t="shared" si="752"/>
        <v>2015</v>
      </c>
      <c r="I1201" s="2">
        <f t="shared" si="752"/>
        <v>2016</v>
      </c>
      <c r="J1201" s="2">
        <f t="shared" si="752"/>
        <v>2017</v>
      </c>
      <c r="K1201" s="2">
        <f t="shared" si="752"/>
        <v>2018</v>
      </c>
      <c r="L1201" s="2">
        <f t="shared" ref="L1201" si="753">K1201+1</f>
        <v>2019</v>
      </c>
      <c r="M1201" s="2">
        <f t="shared" ref="M1201" si="754">L1201+1</f>
        <v>2020</v>
      </c>
      <c r="N1201" s="2">
        <f t="shared" ref="N1201" si="755">M1201+1</f>
        <v>2021</v>
      </c>
    </row>
    <row r="1202" spans="1:14">
      <c r="B1202" s="86" t="s">
        <v>34</v>
      </c>
      <c r="C1202" s="78"/>
      <c r="D1202" s="3"/>
      <c r="E1202" s="66">
        <f>D1202</f>
        <v>0</v>
      </c>
      <c r="F1202" s="138"/>
      <c r="G1202" s="138"/>
      <c r="H1202" s="138"/>
      <c r="I1202" s="138"/>
      <c r="J1202" s="138"/>
      <c r="K1202" s="138"/>
      <c r="L1202" s="138"/>
      <c r="M1202" s="138"/>
      <c r="N1202" s="138"/>
    </row>
    <row r="1203" spans="1:14">
      <c r="B1203" s="86" t="s">
        <v>35</v>
      </c>
      <c r="C1203" s="78"/>
      <c r="D1203" s="174">
        <f>E1203</f>
        <v>0</v>
      </c>
      <c r="E1203" s="10"/>
      <c r="F1203" s="81"/>
      <c r="G1203" s="81"/>
      <c r="H1203" s="81"/>
      <c r="I1203" s="81"/>
      <c r="J1203" s="81"/>
      <c r="K1203" s="81"/>
      <c r="L1203" s="81"/>
      <c r="M1203" s="81"/>
      <c r="N1203" s="81"/>
    </row>
    <row r="1204" spans="1:14">
      <c r="B1204" s="86" t="s">
        <v>36</v>
      </c>
      <c r="C1204" s="78"/>
      <c r="D1204" s="68"/>
      <c r="E1204" s="10">
        <f>E1188</f>
        <v>0</v>
      </c>
      <c r="F1204" s="77">
        <f>E1204</f>
        <v>0</v>
      </c>
      <c r="G1204" s="81"/>
      <c r="H1204" s="81"/>
      <c r="I1204" s="81"/>
      <c r="J1204" s="81"/>
      <c r="K1204" s="81"/>
      <c r="L1204" s="81"/>
      <c r="M1204" s="81"/>
      <c r="N1204" s="81"/>
    </row>
    <row r="1205" spans="1:14">
      <c r="B1205" s="86" t="s">
        <v>37</v>
      </c>
      <c r="C1205" s="78"/>
      <c r="D1205" s="68"/>
      <c r="E1205" s="77">
        <f>F1205</f>
        <v>0</v>
      </c>
      <c r="F1205" s="173"/>
      <c r="G1205" s="81"/>
      <c r="H1205" s="81"/>
      <c r="I1205" s="81"/>
      <c r="J1205" s="81"/>
      <c r="K1205" s="81"/>
      <c r="L1205" s="81"/>
      <c r="M1205" s="81"/>
      <c r="N1205" s="81"/>
    </row>
    <row r="1206" spans="1:14">
      <c r="B1206" s="86" t="s">
        <v>122</v>
      </c>
      <c r="C1206" s="32"/>
      <c r="D1206" s="68"/>
      <c r="E1206" s="157"/>
      <c r="F1206" s="10">
        <f>F1188</f>
        <v>0</v>
      </c>
      <c r="G1206" s="158">
        <f>F1206</f>
        <v>0</v>
      </c>
      <c r="H1206" s="81"/>
      <c r="I1206" s="81"/>
      <c r="J1206" s="81"/>
      <c r="K1206" s="81"/>
      <c r="L1206" s="81"/>
      <c r="M1206" s="81"/>
      <c r="N1206" s="81"/>
    </row>
    <row r="1207" spans="1:14">
      <c r="B1207" s="86" t="s">
        <v>123</v>
      </c>
      <c r="C1207" s="32"/>
      <c r="D1207" s="68"/>
      <c r="E1207" s="157"/>
      <c r="F1207" s="77">
        <f>G1207</f>
        <v>0</v>
      </c>
      <c r="G1207" s="10"/>
      <c r="H1207" s="81"/>
      <c r="I1207" s="81"/>
      <c r="J1207" s="81"/>
      <c r="K1207" s="81"/>
      <c r="L1207" s="81"/>
      <c r="M1207" s="81"/>
      <c r="N1207" s="81"/>
    </row>
    <row r="1208" spans="1:14">
      <c r="B1208" s="86" t="s">
        <v>124</v>
      </c>
      <c r="C1208" s="32"/>
      <c r="D1208" s="68"/>
      <c r="E1208" s="157"/>
      <c r="F1208" s="157"/>
      <c r="G1208" s="10">
        <f>G1188</f>
        <v>0</v>
      </c>
      <c r="H1208" s="158">
        <f>G1208</f>
        <v>0</v>
      </c>
      <c r="I1208" s="157">
        <f>H1208</f>
        <v>0</v>
      </c>
      <c r="J1208" s="157"/>
      <c r="K1208" s="157"/>
      <c r="L1208" s="157"/>
      <c r="M1208" s="157"/>
      <c r="N1208" s="157"/>
    </row>
    <row r="1209" spans="1:14">
      <c r="B1209" s="86" t="s">
        <v>125</v>
      </c>
      <c r="C1209" s="32"/>
      <c r="D1209" s="68"/>
      <c r="E1209" s="157"/>
      <c r="F1209" s="157"/>
      <c r="G1209" s="159"/>
      <c r="H1209" s="160"/>
      <c r="I1209" s="157"/>
      <c r="J1209" s="157"/>
      <c r="K1209" s="157"/>
      <c r="L1209" s="157"/>
      <c r="M1209" s="157"/>
      <c r="N1209" s="157"/>
    </row>
    <row r="1210" spans="1:14">
      <c r="B1210" s="86" t="s">
        <v>126</v>
      </c>
      <c r="C1210" s="32"/>
      <c r="D1210" s="68"/>
      <c r="E1210" s="157"/>
      <c r="F1210" s="157"/>
      <c r="G1210" s="157"/>
      <c r="H1210" s="160">
        <v>0</v>
      </c>
      <c r="I1210" s="158">
        <f>H1210</f>
        <v>0</v>
      </c>
      <c r="J1210" s="158"/>
      <c r="K1210" s="158"/>
      <c r="L1210" s="158"/>
      <c r="M1210" s="158"/>
      <c r="N1210" s="158"/>
    </row>
    <row r="1211" spans="1:14">
      <c r="B1211" s="86" t="s">
        <v>127</v>
      </c>
      <c r="C1211" s="32"/>
      <c r="D1211" s="68"/>
      <c r="E1211" s="157"/>
      <c r="F1211" s="157"/>
      <c r="G1211" s="157"/>
      <c r="H1211" s="77"/>
      <c r="I1211" s="160"/>
      <c r="J1211" s="160"/>
      <c r="K1211" s="160"/>
      <c r="L1211" s="160"/>
      <c r="M1211" s="160"/>
      <c r="N1211" s="160"/>
    </row>
    <row r="1212" spans="1:14">
      <c r="B1212" s="86" t="s">
        <v>128</v>
      </c>
      <c r="C1212" s="32"/>
      <c r="D1212" s="68"/>
      <c r="E1212" s="157"/>
      <c r="F1212" s="157"/>
      <c r="G1212" s="157"/>
      <c r="H1212" s="157"/>
      <c r="I1212" s="160">
        <f>I1188</f>
        <v>8286</v>
      </c>
      <c r="J1212" s="160">
        <f>I1212</f>
        <v>8286</v>
      </c>
      <c r="K1212" s="160"/>
      <c r="L1212" s="160"/>
      <c r="M1212" s="160"/>
      <c r="N1212" s="160"/>
    </row>
    <row r="1213" spans="1:14">
      <c r="B1213" s="86" t="s">
        <v>119</v>
      </c>
      <c r="C1213" s="32"/>
      <c r="D1213" s="68"/>
      <c r="E1213" s="157"/>
      <c r="F1213" s="157"/>
      <c r="G1213" s="157"/>
      <c r="H1213" s="157"/>
      <c r="I1213" s="249"/>
      <c r="J1213" s="249"/>
      <c r="K1213" s="249"/>
      <c r="L1213" s="249"/>
      <c r="M1213" s="249"/>
      <c r="N1213" s="249"/>
    </row>
    <row r="1214" spans="1:14">
      <c r="B1214" s="86" t="s">
        <v>120</v>
      </c>
      <c r="C1214" s="32"/>
      <c r="D1214" s="69"/>
      <c r="E1214" s="140"/>
      <c r="F1214" s="140"/>
      <c r="G1214" s="140"/>
      <c r="H1214" s="140"/>
      <c r="I1214" s="140"/>
      <c r="J1214" s="140"/>
      <c r="K1214" s="140"/>
      <c r="L1214" s="140"/>
      <c r="M1214" s="140"/>
      <c r="N1214" s="140"/>
    </row>
    <row r="1215" spans="1:14">
      <c r="B1215" s="35" t="s">
        <v>17</v>
      </c>
      <c r="D1215" s="198">
        <f xml:space="preserve"> D1208 - D1207</f>
        <v>0</v>
      </c>
      <c r="E1215" s="198">
        <f xml:space="preserve"> E1207 + E1210 - E1209 - E1208</f>
        <v>0</v>
      </c>
      <c r="F1215" s="198">
        <f>F1209 - F1210</f>
        <v>0</v>
      </c>
      <c r="G1215" s="198">
        <f t="shared" ref="G1215" si="756">G1209 - G1210</f>
        <v>0</v>
      </c>
      <c r="H1215" s="30">
        <f>H1208-H1209-H1210</f>
        <v>0</v>
      </c>
      <c r="I1215" s="30">
        <f>I1210-I1211-I1212</f>
        <v>-8286</v>
      </c>
      <c r="J1215" s="30">
        <f>J1212-J1213-J1214</f>
        <v>8286</v>
      </c>
      <c r="K1215" s="30">
        <f>K1214</f>
        <v>0</v>
      </c>
      <c r="L1215" s="30">
        <f t="shared" ref="L1215:N1215" si="757">L1214</f>
        <v>0</v>
      </c>
      <c r="M1215" s="30">
        <f t="shared" ref="M1215" si="758">M1214</f>
        <v>0</v>
      </c>
      <c r="N1215" s="30">
        <f t="shared" si="757"/>
        <v>0</v>
      </c>
    </row>
    <row r="1216" spans="1:14">
      <c r="B1216" s="6"/>
      <c r="D1216" s="7"/>
      <c r="E1216" s="7"/>
      <c r="F1216" s="7"/>
      <c r="G1216" s="7"/>
      <c r="H1216" s="7"/>
      <c r="I1216" s="7"/>
      <c r="J1216" s="7"/>
      <c r="K1216" s="7"/>
      <c r="L1216" s="7"/>
      <c r="M1216" s="7"/>
      <c r="N1216" s="7"/>
    </row>
    <row r="1217" spans="1:14">
      <c r="B1217" s="83" t="s">
        <v>12</v>
      </c>
      <c r="C1217" s="78"/>
      <c r="D1217" s="101"/>
      <c r="E1217" s="102"/>
      <c r="F1217" s="102"/>
      <c r="G1217" s="102"/>
      <c r="H1217" s="102"/>
      <c r="I1217" s="102"/>
      <c r="J1217" s="102"/>
      <c r="K1217" s="102"/>
      <c r="L1217" s="102"/>
      <c r="M1217" s="102"/>
      <c r="N1217" s="102"/>
    </row>
    <row r="1218" spans="1:14">
      <c r="B1218" s="6"/>
      <c r="D1218" s="7"/>
      <c r="E1218" s="7"/>
      <c r="F1218" s="7"/>
      <c r="G1218" s="7"/>
      <c r="H1218" s="7"/>
      <c r="I1218" s="7"/>
      <c r="J1218" s="7"/>
      <c r="K1218" s="7"/>
      <c r="L1218" s="7"/>
      <c r="M1218" s="7"/>
      <c r="N1218" s="7"/>
    </row>
    <row r="1219" spans="1:14" ht="18.5">
      <c r="A1219" s="43" t="s">
        <v>26</v>
      </c>
      <c r="C1219" s="78"/>
      <c r="D1219" s="47">
        <f xml:space="preserve"> D1188 + D1193 - D1199 + D1215 + D1217</f>
        <v>0</v>
      </c>
      <c r="E1219" s="48">
        <f xml:space="preserve"> E1188 + E1193 - E1199 + E1215 + E1217</f>
        <v>0</v>
      </c>
      <c r="F1219" s="48">
        <f xml:space="preserve"> F1188 + F1193 - F1199 + F1215 + F1217</f>
        <v>0</v>
      </c>
      <c r="G1219" s="48">
        <f t="shared" ref="G1219:J1219" si="759" xml:space="preserve"> G1188 + G1193 - G1199 + G1215 + G1217</f>
        <v>0</v>
      </c>
      <c r="H1219" s="48">
        <f t="shared" si="759"/>
        <v>0</v>
      </c>
      <c r="I1219" s="48">
        <f t="shared" si="759"/>
        <v>0</v>
      </c>
      <c r="J1219" s="48">
        <f t="shared" si="759"/>
        <v>8286</v>
      </c>
      <c r="K1219" s="48">
        <f t="shared" ref="K1219:N1219" si="760" xml:space="preserve"> K1188 + K1193 - K1199 + K1215 + K1217</f>
        <v>0</v>
      </c>
      <c r="L1219" s="48">
        <f t="shared" si="760"/>
        <v>0</v>
      </c>
      <c r="M1219" s="48">
        <f t="shared" ref="M1219" si="761" xml:space="preserve"> M1188 + M1193 - M1199 + M1215 + M1217</f>
        <v>0</v>
      </c>
      <c r="N1219" s="48">
        <f t="shared" si="760"/>
        <v>0</v>
      </c>
    </row>
    <row r="1220" spans="1:14">
      <c r="B1220" s="6"/>
      <c r="D1220" s="7"/>
      <c r="E1220" s="7"/>
      <c r="F1220" s="7"/>
      <c r="G1220" s="30"/>
      <c r="H1220" s="30"/>
      <c r="I1220" s="30"/>
      <c r="J1220" s="30"/>
      <c r="K1220" s="30"/>
      <c r="L1220" s="30"/>
      <c r="M1220" s="30"/>
      <c r="N1220" s="30"/>
    </row>
    <row r="1221" spans="1:14" ht="15" thickBot="1"/>
    <row r="1222" spans="1:14">
      <c r="A1222" s="8"/>
      <c r="B1222" s="8"/>
      <c r="C1222" s="8"/>
      <c r="D1222" s="8"/>
      <c r="E1222" s="8"/>
      <c r="F1222" s="8"/>
      <c r="G1222" s="8"/>
      <c r="H1222" s="8"/>
      <c r="I1222" s="8"/>
      <c r="J1222" s="8"/>
      <c r="K1222" s="8"/>
      <c r="L1222" s="8"/>
      <c r="M1222" s="8"/>
      <c r="N1222" s="8"/>
    </row>
    <row r="1223" spans="1:14">
      <c r="B1223" s="32"/>
      <c r="C1223" s="32"/>
      <c r="D1223" s="32"/>
      <c r="E1223" s="32"/>
      <c r="F1223" s="32"/>
      <c r="G1223" s="32"/>
      <c r="H1223" s="32"/>
      <c r="I1223" s="32"/>
      <c r="J1223" s="32"/>
      <c r="K1223" s="32"/>
      <c r="L1223" s="32"/>
      <c r="M1223" s="32"/>
      <c r="N1223" s="32"/>
    </row>
    <row r="1224" spans="1:14" ht="21">
      <c r="A1224" s="14" t="s">
        <v>4</v>
      </c>
      <c r="B1224" s="14"/>
      <c r="C1224" s="44" t="str">
        <f>B29</f>
        <v>Meadow Creek Wind Farm - Five Pine Project - REC Only</v>
      </c>
      <c r="D1224" s="45"/>
      <c r="E1224" s="24"/>
      <c r="F1224" s="24"/>
    </row>
    <row r="1226" spans="1:14" ht="18.5">
      <c r="A1226" s="9" t="s">
        <v>21</v>
      </c>
      <c r="B1226" s="9"/>
      <c r="D1226" s="2">
        <f>'Facility Detail'!$B$1897</f>
        <v>2011</v>
      </c>
      <c r="E1226" s="2">
        <f>D1226+1</f>
        <v>2012</v>
      </c>
      <c r="F1226" s="2">
        <f>E1226+1</f>
        <v>2013</v>
      </c>
      <c r="G1226" s="2">
        <f t="shared" ref="G1226:K1226" si="762">F1226+1</f>
        <v>2014</v>
      </c>
      <c r="H1226" s="2">
        <f t="shared" si="762"/>
        <v>2015</v>
      </c>
      <c r="I1226" s="2">
        <f t="shared" si="762"/>
        <v>2016</v>
      </c>
      <c r="J1226" s="2">
        <f t="shared" si="762"/>
        <v>2017</v>
      </c>
      <c r="K1226" s="2">
        <f t="shared" si="762"/>
        <v>2018</v>
      </c>
      <c r="L1226" s="2">
        <f t="shared" ref="L1226" si="763">K1226+1</f>
        <v>2019</v>
      </c>
      <c r="M1226" s="2">
        <f t="shared" ref="M1226" si="764">L1226+1</f>
        <v>2020</v>
      </c>
      <c r="N1226" s="2">
        <f t="shared" ref="N1226" si="765">M1226+1</f>
        <v>2021</v>
      </c>
    </row>
    <row r="1227" spans="1:14">
      <c r="B1227" s="86" t="str">
        <f>"Total MWh Produced / Purchased from " &amp; C1224</f>
        <v>Total MWh Produced / Purchased from Meadow Creek Wind Farm - Five Pine Project - REC Only</v>
      </c>
      <c r="C1227" s="78"/>
      <c r="D1227" s="3"/>
      <c r="E1227" s="4"/>
      <c r="F1227" s="4"/>
      <c r="G1227" s="4"/>
      <c r="H1227" s="307"/>
      <c r="I1227" s="307">
        <f>2260+27459</f>
        <v>29719</v>
      </c>
      <c r="J1227" s="307"/>
      <c r="K1227" s="307"/>
      <c r="L1227" s="307"/>
      <c r="M1227" s="307"/>
      <c r="N1227" s="307"/>
    </row>
    <row r="1228" spans="1:14">
      <c r="B1228" s="86" t="s">
        <v>25</v>
      </c>
      <c r="C1228" s="78"/>
      <c r="D1228" s="60"/>
      <c r="E1228" s="61"/>
      <c r="F1228" s="61"/>
      <c r="G1228" s="61"/>
      <c r="H1228" s="312"/>
      <c r="I1228" s="312">
        <v>1</v>
      </c>
      <c r="J1228" s="312"/>
      <c r="K1228" s="312"/>
      <c r="L1228" s="312"/>
      <c r="M1228" s="312"/>
      <c r="N1228" s="312"/>
    </row>
    <row r="1229" spans="1:14">
      <c r="B1229" s="86" t="s">
        <v>20</v>
      </c>
      <c r="C1229" s="78"/>
      <c r="D1229" s="52"/>
      <c r="E1229" s="53"/>
      <c r="F1229" s="53"/>
      <c r="G1229" s="53"/>
      <c r="H1229" s="324"/>
      <c r="I1229" s="324">
        <v>1</v>
      </c>
      <c r="J1229" s="324"/>
      <c r="K1229" s="324"/>
      <c r="L1229" s="324"/>
      <c r="M1229" s="324"/>
      <c r="N1229" s="324"/>
    </row>
    <row r="1230" spans="1:14">
      <c r="B1230" s="83" t="s">
        <v>22</v>
      </c>
      <c r="C1230" s="84"/>
      <c r="D1230" s="39">
        <f xml:space="preserve"> D1227 * D1228 * D1229</f>
        <v>0</v>
      </c>
      <c r="E1230" s="39">
        <f xml:space="preserve"> E1227 * E1228 * E1229</f>
        <v>0</v>
      </c>
      <c r="F1230" s="39">
        <f xml:space="preserve"> F1227 * F1228 * F1229</f>
        <v>0</v>
      </c>
      <c r="G1230" s="39">
        <f t="shared" ref="G1230" si="766" xml:space="preserve"> G1227 * G1228 * G1229</f>
        <v>0</v>
      </c>
      <c r="H1230" s="306">
        <f t="shared" ref="H1230" si="767" xml:space="preserve"> H1227 * H1228 * H1229</f>
        <v>0</v>
      </c>
      <c r="I1230" s="306">
        <v>29719</v>
      </c>
      <c r="J1230" s="306">
        <f t="shared" ref="J1230:K1230" si="768" xml:space="preserve"> J1227 * J1228 * J1229</f>
        <v>0</v>
      </c>
      <c r="K1230" s="306">
        <f t="shared" si="768"/>
        <v>0</v>
      </c>
      <c r="L1230" s="306">
        <f t="shared" ref="L1230:N1230" si="769" xml:space="preserve"> L1227 * L1228 * L1229</f>
        <v>0</v>
      </c>
      <c r="M1230" s="306">
        <f t="shared" ref="M1230" si="770" xml:space="preserve"> M1227 * M1228 * M1229</f>
        <v>0</v>
      </c>
      <c r="N1230" s="306">
        <f t="shared" si="769"/>
        <v>0</v>
      </c>
    </row>
    <row r="1231" spans="1:14">
      <c r="B1231" s="24"/>
      <c r="C1231" s="32"/>
      <c r="D1231" s="38"/>
      <c r="E1231" s="38"/>
      <c r="F1231" s="38"/>
      <c r="G1231" s="38"/>
      <c r="H1231" s="38"/>
      <c r="I1231" s="38"/>
      <c r="J1231" s="38"/>
      <c r="K1231" s="38"/>
      <c r="L1231" s="38"/>
      <c r="M1231" s="38"/>
      <c r="N1231" s="38"/>
    </row>
    <row r="1232" spans="1:14" ht="18.5">
      <c r="A1232" s="46" t="s">
        <v>52</v>
      </c>
      <c r="C1232" s="32"/>
      <c r="D1232" s="2">
        <f>'Facility Detail'!$B$1897</f>
        <v>2011</v>
      </c>
      <c r="E1232" s="2">
        <f>D1232+1</f>
        <v>2012</v>
      </c>
      <c r="F1232" s="2">
        <f>E1232+1</f>
        <v>2013</v>
      </c>
      <c r="G1232" s="2">
        <f t="shared" ref="G1232:K1232" si="771">F1232+1</f>
        <v>2014</v>
      </c>
      <c r="H1232" s="2">
        <f t="shared" si="771"/>
        <v>2015</v>
      </c>
      <c r="I1232" s="2">
        <f t="shared" si="771"/>
        <v>2016</v>
      </c>
      <c r="J1232" s="2">
        <f t="shared" si="771"/>
        <v>2017</v>
      </c>
      <c r="K1232" s="2">
        <f t="shared" si="771"/>
        <v>2018</v>
      </c>
      <c r="L1232" s="2">
        <f t="shared" ref="L1232" si="772">K1232+1</f>
        <v>2019</v>
      </c>
      <c r="M1232" s="2">
        <f t="shared" ref="M1232" si="773">L1232+1</f>
        <v>2020</v>
      </c>
      <c r="N1232" s="2">
        <f t="shared" ref="N1232" si="774">M1232+1</f>
        <v>2021</v>
      </c>
    </row>
    <row r="1233" spans="1:14">
      <c r="B1233" s="86" t="s">
        <v>10</v>
      </c>
      <c r="C1233" s="78"/>
      <c r="D1233" s="55">
        <f>IF( $E227 = "Eligible", D1230 * 'Facility Detail'!$B$1894, 0 )</f>
        <v>0</v>
      </c>
      <c r="E1233" s="11">
        <f>IF( $E227 = "Eligible", E1230 * 'Facility Detail'!$B$1894, 0 )</f>
        <v>0</v>
      </c>
      <c r="F1233" s="11">
        <f>IF( $E227 = "Eligible", F1230 * 'Facility Detail'!$B$1894, 0 )</f>
        <v>0</v>
      </c>
      <c r="G1233" s="11">
        <f>IF( $E227 = "Eligible", G1230 * 'Facility Detail'!$B$1894, 0 )</f>
        <v>0</v>
      </c>
      <c r="H1233" s="11">
        <f>IF( $E227 = "Eligible", H1230 * 'Facility Detail'!$B$1894, 0 )</f>
        <v>0</v>
      </c>
      <c r="I1233" s="11">
        <f>IF( $E227 = "Eligible", I1230 * 'Facility Detail'!$B$1894, 0 )</f>
        <v>0</v>
      </c>
      <c r="J1233" s="11">
        <f>IF( $E227 = "Eligible", J1230 * 'Facility Detail'!$B$1894, 0 )</f>
        <v>0</v>
      </c>
      <c r="K1233" s="11">
        <f>IF( $E227 = "Eligible", K1230 * 'Facility Detail'!$B$1894, 0 )</f>
        <v>0</v>
      </c>
      <c r="L1233" s="11">
        <f>IF( $E227 = "Eligible", L1230 * 'Facility Detail'!$B$1894, 0 )</f>
        <v>0</v>
      </c>
      <c r="M1233" s="11">
        <f>IF( $E227 = "Eligible", M1230 * 'Facility Detail'!$B$1894, 0 )</f>
        <v>0</v>
      </c>
      <c r="N1233" s="11">
        <f>IF( $E227 = "Eligible", N1230 * 'Facility Detail'!$B$1894, 0 )</f>
        <v>0</v>
      </c>
    </row>
    <row r="1234" spans="1:14">
      <c r="B1234" s="86" t="s">
        <v>6</v>
      </c>
      <c r="C1234" s="78"/>
      <c r="D1234" s="56">
        <f t="shared" ref="D1234:K1234" si="775">IF( $F227 = "Eligible", D1230, 0 )</f>
        <v>0</v>
      </c>
      <c r="E1234" s="57">
        <f t="shared" si="775"/>
        <v>0</v>
      </c>
      <c r="F1234" s="57">
        <f t="shared" si="775"/>
        <v>0</v>
      </c>
      <c r="G1234" s="57">
        <f t="shared" si="775"/>
        <v>0</v>
      </c>
      <c r="H1234" s="57">
        <f t="shared" si="775"/>
        <v>0</v>
      </c>
      <c r="I1234" s="57">
        <f t="shared" si="775"/>
        <v>0</v>
      </c>
      <c r="J1234" s="57">
        <f t="shared" si="775"/>
        <v>0</v>
      </c>
      <c r="K1234" s="57">
        <f t="shared" si="775"/>
        <v>0</v>
      </c>
      <c r="L1234" s="57">
        <f t="shared" ref="L1234:N1234" si="776">IF( $F227 = "Eligible", L1230, 0 )</f>
        <v>0</v>
      </c>
      <c r="M1234" s="57">
        <f t="shared" ref="M1234" si="777">IF( $F227 = "Eligible", M1230, 0 )</f>
        <v>0</v>
      </c>
      <c r="N1234" s="57">
        <f t="shared" si="776"/>
        <v>0</v>
      </c>
    </row>
    <row r="1235" spans="1:14">
      <c r="B1235" s="85" t="s">
        <v>54</v>
      </c>
      <c r="C1235" s="84"/>
      <c r="D1235" s="41">
        <f>SUM(D1233:D1234)</f>
        <v>0</v>
      </c>
      <c r="E1235" s="42">
        <f>SUM(E1233:E1234)</f>
        <v>0</v>
      </c>
      <c r="F1235" s="42">
        <f>SUM(F1233:F1234)</f>
        <v>0</v>
      </c>
      <c r="G1235" s="42">
        <f t="shared" ref="G1235" si="778">SUM(G1233:G1234)</f>
        <v>0</v>
      </c>
      <c r="H1235" s="42">
        <f t="shared" ref="H1235" si="779">SUM(H1233:H1234)</f>
        <v>0</v>
      </c>
      <c r="I1235" s="42">
        <f t="shared" ref="I1235:J1235" si="780">SUM(I1233:I1234)</f>
        <v>0</v>
      </c>
      <c r="J1235" s="42">
        <f t="shared" si="780"/>
        <v>0</v>
      </c>
      <c r="K1235" s="42">
        <f t="shared" ref="K1235:N1235" si="781">SUM(K1233:K1234)</f>
        <v>0</v>
      </c>
      <c r="L1235" s="42">
        <f t="shared" si="781"/>
        <v>0</v>
      </c>
      <c r="M1235" s="42">
        <f t="shared" ref="M1235" si="782">SUM(M1233:M1234)</f>
        <v>0</v>
      </c>
      <c r="N1235" s="42">
        <f t="shared" si="781"/>
        <v>0</v>
      </c>
    </row>
    <row r="1236" spans="1:14">
      <c r="B1236" s="32"/>
      <c r="C1236" s="32"/>
      <c r="D1236" s="40"/>
      <c r="E1236" s="33"/>
      <c r="F1236" s="33"/>
      <c r="G1236" s="33"/>
      <c r="H1236" s="33"/>
      <c r="I1236" s="33"/>
      <c r="J1236" s="33"/>
      <c r="K1236" s="33"/>
      <c r="L1236" s="33"/>
      <c r="M1236" s="33"/>
      <c r="N1236" s="33"/>
    </row>
    <row r="1237" spans="1:14" ht="18.5">
      <c r="A1237" s="43" t="s">
        <v>30</v>
      </c>
      <c r="C1237" s="32"/>
      <c r="D1237" s="2">
        <f>'Facility Detail'!$B$1897</f>
        <v>2011</v>
      </c>
      <c r="E1237" s="2">
        <f>D1237+1</f>
        <v>2012</v>
      </c>
      <c r="F1237" s="2">
        <f>E1237+1</f>
        <v>2013</v>
      </c>
      <c r="G1237" s="2">
        <f t="shared" ref="G1237:K1237" si="783">F1237+1</f>
        <v>2014</v>
      </c>
      <c r="H1237" s="2">
        <f t="shared" si="783"/>
        <v>2015</v>
      </c>
      <c r="I1237" s="2">
        <f t="shared" si="783"/>
        <v>2016</v>
      </c>
      <c r="J1237" s="2">
        <f t="shared" si="783"/>
        <v>2017</v>
      </c>
      <c r="K1237" s="2">
        <f t="shared" si="783"/>
        <v>2018</v>
      </c>
      <c r="L1237" s="2">
        <f t="shared" ref="L1237" si="784">K1237+1</f>
        <v>2019</v>
      </c>
      <c r="M1237" s="2">
        <f t="shared" ref="M1237" si="785">L1237+1</f>
        <v>2020</v>
      </c>
      <c r="N1237" s="2">
        <f t="shared" ref="N1237" si="786">M1237+1</f>
        <v>2021</v>
      </c>
    </row>
    <row r="1238" spans="1:14">
      <c r="B1238" s="86" t="s">
        <v>32</v>
      </c>
      <c r="C1238" s="78"/>
      <c r="D1238" s="90"/>
      <c r="E1238" s="91"/>
      <c r="F1238" s="91"/>
      <c r="G1238" s="91"/>
      <c r="H1238" s="91"/>
      <c r="I1238" s="91"/>
      <c r="J1238" s="91"/>
      <c r="K1238" s="91"/>
      <c r="L1238" s="91"/>
      <c r="M1238" s="91"/>
      <c r="N1238" s="91"/>
    </row>
    <row r="1239" spans="1:14">
      <c r="B1239" s="87" t="s">
        <v>23</v>
      </c>
      <c r="C1239" s="192"/>
      <c r="D1239" s="93"/>
      <c r="E1239" s="94"/>
      <c r="F1239" s="94"/>
      <c r="G1239" s="94"/>
      <c r="H1239" s="94"/>
      <c r="I1239" s="94"/>
      <c r="J1239" s="94"/>
      <c r="K1239" s="94"/>
      <c r="L1239" s="94"/>
      <c r="M1239" s="94"/>
      <c r="N1239" s="94"/>
    </row>
    <row r="1240" spans="1:14">
      <c r="B1240" s="96" t="s">
        <v>38</v>
      </c>
      <c r="C1240" s="190"/>
      <c r="D1240" s="63"/>
      <c r="E1240" s="64"/>
      <c r="F1240" s="64"/>
      <c r="G1240" s="64"/>
      <c r="H1240" s="64"/>
      <c r="I1240" s="64"/>
      <c r="J1240" s="64"/>
      <c r="K1240" s="64"/>
      <c r="L1240" s="64"/>
      <c r="M1240" s="64"/>
      <c r="N1240" s="64"/>
    </row>
    <row r="1241" spans="1:14">
      <c r="B1241" s="35" t="s">
        <v>39</v>
      </c>
      <c r="D1241" s="7">
        <f>SUM(D1238:D1240)</f>
        <v>0</v>
      </c>
      <c r="E1241" s="7">
        <f>SUM(E1238:E1240)</f>
        <v>0</v>
      </c>
      <c r="F1241" s="7">
        <f>SUM(F1238:F1240)</f>
        <v>0</v>
      </c>
      <c r="G1241" s="7">
        <f t="shared" ref="G1241" si="787">SUM(G1238:G1240)</f>
        <v>0</v>
      </c>
      <c r="H1241" s="7">
        <f t="shared" ref="H1241" si="788">SUM(H1238:H1240)</f>
        <v>0</v>
      </c>
      <c r="I1241" s="7">
        <f t="shared" ref="I1241:J1241" si="789">SUM(I1238:I1240)</f>
        <v>0</v>
      </c>
      <c r="J1241" s="7">
        <f t="shared" si="789"/>
        <v>0</v>
      </c>
      <c r="K1241" s="7">
        <f t="shared" ref="K1241" si="790">SUM(K1238:K1240)</f>
        <v>0</v>
      </c>
      <c r="L1241" s="7">
        <f t="shared" ref="L1241:N1241" si="791">SUM(L1238:L1240)</f>
        <v>0</v>
      </c>
      <c r="M1241" s="7">
        <f t="shared" ref="M1241" si="792">SUM(M1238:M1240)</f>
        <v>0</v>
      </c>
      <c r="N1241" s="7">
        <f t="shared" si="791"/>
        <v>0</v>
      </c>
    </row>
    <row r="1242" spans="1:14">
      <c r="B1242" s="6"/>
      <c r="D1242" s="7"/>
      <c r="E1242" s="7"/>
      <c r="F1242" s="7"/>
      <c r="G1242" s="7"/>
      <c r="H1242" s="7"/>
      <c r="I1242" s="7"/>
      <c r="J1242" s="7"/>
      <c r="K1242" s="7"/>
      <c r="L1242" s="7"/>
      <c r="M1242" s="7"/>
      <c r="N1242" s="7"/>
    </row>
    <row r="1243" spans="1:14" ht="18.5">
      <c r="A1243" s="9" t="s">
        <v>40</v>
      </c>
      <c r="D1243" s="2">
        <f>'Facility Detail'!$B$1897</f>
        <v>2011</v>
      </c>
      <c r="E1243" s="2">
        <f>D1243+1</f>
        <v>2012</v>
      </c>
      <c r="F1243" s="2">
        <f>E1243+1</f>
        <v>2013</v>
      </c>
      <c r="G1243" s="2">
        <f t="shared" ref="G1243:K1243" si="793">F1243+1</f>
        <v>2014</v>
      </c>
      <c r="H1243" s="2">
        <f t="shared" si="793"/>
        <v>2015</v>
      </c>
      <c r="I1243" s="2">
        <f t="shared" si="793"/>
        <v>2016</v>
      </c>
      <c r="J1243" s="2">
        <f t="shared" si="793"/>
        <v>2017</v>
      </c>
      <c r="K1243" s="2">
        <f t="shared" si="793"/>
        <v>2018</v>
      </c>
      <c r="L1243" s="2">
        <f t="shared" ref="L1243" si="794">K1243+1</f>
        <v>2019</v>
      </c>
      <c r="M1243" s="2">
        <f t="shared" ref="M1243" si="795">L1243+1</f>
        <v>2020</v>
      </c>
      <c r="N1243" s="2">
        <f t="shared" ref="N1243" si="796">M1243+1</f>
        <v>2021</v>
      </c>
    </row>
    <row r="1244" spans="1:14">
      <c r="B1244" s="86" t="s">
        <v>34</v>
      </c>
      <c r="C1244" s="78"/>
      <c r="D1244" s="3"/>
      <c r="E1244" s="66">
        <f>D1244</f>
        <v>0</v>
      </c>
      <c r="F1244" s="138"/>
      <c r="G1244" s="138"/>
      <c r="H1244" s="138"/>
      <c r="I1244" s="138"/>
      <c r="J1244" s="138"/>
      <c r="K1244" s="138"/>
      <c r="L1244" s="138"/>
      <c r="M1244" s="138"/>
      <c r="N1244" s="138"/>
    </row>
    <row r="1245" spans="1:14">
      <c r="B1245" s="86" t="s">
        <v>35</v>
      </c>
      <c r="C1245" s="78"/>
      <c r="D1245" s="174">
        <f>E1245</f>
        <v>0</v>
      </c>
      <c r="E1245" s="10"/>
      <c r="F1245" s="81"/>
      <c r="G1245" s="81"/>
      <c r="H1245" s="81"/>
      <c r="I1245" s="81"/>
      <c r="J1245" s="81"/>
      <c r="K1245" s="81"/>
      <c r="L1245" s="81"/>
      <c r="M1245" s="81"/>
      <c r="N1245" s="81"/>
    </row>
    <row r="1246" spans="1:14">
      <c r="B1246" s="86" t="s">
        <v>36</v>
      </c>
      <c r="C1246" s="78"/>
      <c r="D1246" s="68"/>
      <c r="E1246" s="10">
        <f>E1230</f>
        <v>0</v>
      </c>
      <c r="F1246" s="77">
        <f>E1246</f>
        <v>0</v>
      </c>
      <c r="G1246" s="81"/>
      <c r="H1246" s="81"/>
      <c r="I1246" s="81"/>
      <c r="J1246" s="81"/>
      <c r="K1246" s="81"/>
      <c r="L1246" s="81"/>
      <c r="M1246" s="81"/>
      <c r="N1246" s="81"/>
    </row>
    <row r="1247" spans="1:14">
      <c r="B1247" s="86" t="s">
        <v>37</v>
      </c>
      <c r="C1247" s="78"/>
      <c r="D1247" s="68"/>
      <c r="E1247" s="77">
        <f>F1247</f>
        <v>0</v>
      </c>
      <c r="F1247" s="173"/>
      <c r="G1247" s="81"/>
      <c r="H1247" s="81"/>
      <c r="I1247" s="81"/>
      <c r="J1247" s="81"/>
      <c r="K1247" s="81"/>
      <c r="L1247" s="81"/>
      <c r="M1247" s="81"/>
      <c r="N1247" s="81"/>
    </row>
    <row r="1248" spans="1:14">
      <c r="B1248" s="86" t="s">
        <v>122</v>
      </c>
      <c r="C1248" s="32"/>
      <c r="D1248" s="68"/>
      <c r="E1248" s="157"/>
      <c r="F1248" s="10">
        <f>F1230</f>
        <v>0</v>
      </c>
      <c r="G1248" s="158">
        <f>F1248</f>
        <v>0</v>
      </c>
      <c r="H1248" s="81"/>
      <c r="I1248" s="81"/>
      <c r="J1248" s="81"/>
      <c r="K1248" s="81"/>
      <c r="L1248" s="81"/>
      <c r="M1248" s="81"/>
      <c r="N1248" s="81"/>
    </row>
    <row r="1249" spans="1:14">
      <c r="B1249" s="86" t="s">
        <v>123</v>
      </c>
      <c r="C1249" s="32"/>
      <c r="D1249" s="68"/>
      <c r="E1249" s="157"/>
      <c r="F1249" s="77">
        <f>G1249</f>
        <v>0</v>
      </c>
      <c r="G1249" s="10"/>
      <c r="H1249" s="81"/>
      <c r="I1249" s="81"/>
      <c r="J1249" s="81"/>
      <c r="K1249" s="81"/>
      <c r="L1249" s="81"/>
      <c r="M1249" s="81"/>
      <c r="N1249" s="81"/>
    </row>
    <row r="1250" spans="1:14">
      <c r="B1250" s="86" t="s">
        <v>124</v>
      </c>
      <c r="C1250" s="32"/>
      <c r="D1250" s="68"/>
      <c r="E1250" s="157"/>
      <c r="F1250" s="157"/>
      <c r="G1250" s="10">
        <f>G1230</f>
        <v>0</v>
      </c>
      <c r="H1250" s="158">
        <f>G1250</f>
        <v>0</v>
      </c>
      <c r="I1250" s="157">
        <f>H1250</f>
        <v>0</v>
      </c>
      <c r="J1250" s="157"/>
      <c r="K1250" s="157"/>
      <c r="L1250" s="157"/>
      <c r="M1250" s="157"/>
      <c r="N1250" s="157"/>
    </row>
    <row r="1251" spans="1:14">
      <c r="B1251" s="86" t="s">
        <v>125</v>
      </c>
      <c r="C1251" s="32"/>
      <c r="D1251" s="68"/>
      <c r="E1251" s="157"/>
      <c r="F1251" s="157"/>
      <c r="G1251" s="159"/>
      <c r="H1251" s="160"/>
      <c r="I1251" s="157"/>
      <c r="J1251" s="157"/>
      <c r="K1251" s="157"/>
      <c r="L1251" s="157"/>
      <c r="M1251" s="157"/>
      <c r="N1251" s="157"/>
    </row>
    <row r="1252" spans="1:14">
      <c r="B1252" s="86" t="s">
        <v>126</v>
      </c>
      <c r="C1252" s="32"/>
      <c r="D1252" s="68"/>
      <c r="E1252" s="157"/>
      <c r="F1252" s="157"/>
      <c r="G1252" s="157"/>
      <c r="H1252" s="160">
        <v>0</v>
      </c>
      <c r="I1252" s="158">
        <f>H1252</f>
        <v>0</v>
      </c>
      <c r="J1252" s="158"/>
      <c r="K1252" s="158"/>
      <c r="L1252" s="158"/>
      <c r="M1252" s="158"/>
      <c r="N1252" s="158"/>
    </row>
    <row r="1253" spans="1:14">
      <c r="B1253" s="86" t="s">
        <v>127</v>
      </c>
      <c r="C1253" s="32"/>
      <c r="D1253" s="68"/>
      <c r="E1253" s="157"/>
      <c r="F1253" s="157"/>
      <c r="G1253" s="157"/>
      <c r="H1253" s="77"/>
      <c r="I1253" s="160"/>
      <c r="J1253" s="160"/>
      <c r="K1253" s="160"/>
      <c r="L1253" s="160"/>
      <c r="M1253" s="160"/>
      <c r="N1253" s="160"/>
    </row>
    <row r="1254" spans="1:14">
      <c r="B1254" s="86" t="s">
        <v>128</v>
      </c>
      <c r="C1254" s="32"/>
      <c r="D1254" s="68"/>
      <c r="E1254" s="157"/>
      <c r="F1254" s="157"/>
      <c r="G1254" s="157"/>
      <c r="H1254" s="157"/>
      <c r="I1254" s="160">
        <f>I1230</f>
        <v>29719</v>
      </c>
      <c r="J1254" s="160">
        <f>I1254</f>
        <v>29719</v>
      </c>
      <c r="K1254" s="160"/>
      <c r="L1254" s="160"/>
      <c r="M1254" s="160"/>
      <c r="N1254" s="160"/>
    </row>
    <row r="1255" spans="1:14">
      <c r="B1255" s="86" t="s">
        <v>119</v>
      </c>
      <c r="C1255" s="32"/>
      <c r="D1255" s="68"/>
      <c r="E1255" s="157"/>
      <c r="F1255" s="157"/>
      <c r="G1255" s="157"/>
      <c r="H1255" s="157"/>
      <c r="I1255" s="158"/>
      <c r="J1255" s="158"/>
      <c r="K1255" s="158"/>
      <c r="L1255" s="158"/>
      <c r="M1255" s="158"/>
      <c r="N1255" s="158"/>
    </row>
    <row r="1256" spans="1:14">
      <c r="B1256" s="86" t="s">
        <v>120</v>
      </c>
      <c r="C1256" s="32"/>
      <c r="D1256" s="69"/>
      <c r="E1256" s="140"/>
      <c r="F1256" s="140"/>
      <c r="G1256" s="140"/>
      <c r="H1256" s="140"/>
      <c r="I1256" s="140"/>
      <c r="J1256" s="140"/>
      <c r="K1256" s="140"/>
      <c r="L1256" s="140"/>
      <c r="M1256" s="140"/>
      <c r="N1256" s="140"/>
    </row>
    <row r="1257" spans="1:14">
      <c r="B1257" s="35" t="s">
        <v>17</v>
      </c>
      <c r="D1257" s="198">
        <f xml:space="preserve"> D1250 - D1249</f>
        <v>0</v>
      </c>
      <c r="E1257" s="198">
        <f xml:space="preserve"> E1249 + E1252 - E1251 - E1250</f>
        <v>0</v>
      </c>
      <c r="F1257" s="198">
        <f>F1251 - F1252</f>
        <v>0</v>
      </c>
      <c r="G1257" s="198">
        <f t="shared" ref="G1257" si="797">G1251 - G1252</f>
        <v>0</v>
      </c>
      <c r="H1257" s="30">
        <f>H1250-H1251-H1252</f>
        <v>0</v>
      </c>
      <c r="I1257" s="30">
        <f>I1252-I1253-I1254</f>
        <v>-29719</v>
      </c>
      <c r="J1257" s="30">
        <f>J1254-J1255-J1256</f>
        <v>29719</v>
      </c>
      <c r="K1257" s="30">
        <f>K1256</f>
        <v>0</v>
      </c>
      <c r="L1257" s="30">
        <f t="shared" ref="L1257:N1257" si="798">L1256</f>
        <v>0</v>
      </c>
      <c r="M1257" s="30">
        <f t="shared" ref="M1257" si="799">M1256</f>
        <v>0</v>
      </c>
      <c r="N1257" s="30">
        <f t="shared" si="798"/>
        <v>0</v>
      </c>
    </row>
    <row r="1258" spans="1:14">
      <c r="B1258" s="6"/>
      <c r="D1258" s="7"/>
      <c r="E1258" s="7"/>
      <c r="F1258" s="7"/>
      <c r="G1258" s="7"/>
      <c r="H1258" s="308"/>
      <c r="I1258" s="308"/>
      <c r="J1258" s="308"/>
      <c r="K1258" s="308"/>
      <c r="L1258" s="308"/>
      <c r="M1258" s="308"/>
      <c r="N1258" s="308"/>
    </row>
    <row r="1259" spans="1:14">
      <c r="B1259" s="83" t="s">
        <v>12</v>
      </c>
      <c r="C1259" s="78"/>
      <c r="D1259" s="101"/>
      <c r="E1259" s="102"/>
      <c r="F1259" s="102"/>
      <c r="G1259" s="102"/>
      <c r="H1259" s="102"/>
      <c r="I1259" s="102"/>
      <c r="J1259" s="102"/>
      <c r="K1259" s="102"/>
      <c r="L1259" s="102"/>
      <c r="M1259" s="102"/>
      <c r="N1259" s="102"/>
    </row>
    <row r="1260" spans="1:14">
      <c r="B1260" s="6"/>
      <c r="D1260" s="7"/>
      <c r="E1260" s="7"/>
      <c r="F1260" s="7"/>
      <c r="G1260" s="7"/>
      <c r="H1260" s="7"/>
      <c r="I1260" s="7"/>
      <c r="J1260" s="7"/>
      <c r="K1260" s="7"/>
      <c r="L1260" s="7"/>
      <c r="M1260" s="7"/>
      <c r="N1260" s="7"/>
    </row>
    <row r="1261" spans="1:14" ht="18.5">
      <c r="A1261" s="43" t="s">
        <v>26</v>
      </c>
      <c r="C1261" s="78"/>
      <c r="D1261" s="47">
        <f xml:space="preserve"> D1230 + D1235 - D1241 + D1257 + D1259</f>
        <v>0</v>
      </c>
      <c r="E1261" s="48">
        <f xml:space="preserve"> E1230 + E1235 - E1241 + E1257 + E1259</f>
        <v>0</v>
      </c>
      <c r="F1261" s="48">
        <f xml:space="preserve"> F1230 + F1235 - F1241 + F1257 + F1259</f>
        <v>0</v>
      </c>
      <c r="G1261" s="48">
        <f t="shared" ref="G1261:J1261" si="800" xml:space="preserve"> G1230 + G1235 - G1241 + G1257 + G1259</f>
        <v>0</v>
      </c>
      <c r="H1261" s="48">
        <f t="shared" si="800"/>
        <v>0</v>
      </c>
      <c r="I1261" s="48">
        <f t="shared" si="800"/>
        <v>0</v>
      </c>
      <c r="J1261" s="48">
        <f t="shared" si="800"/>
        <v>29719</v>
      </c>
      <c r="K1261" s="48">
        <f t="shared" ref="K1261:N1261" si="801" xml:space="preserve"> K1230 + K1235 - K1241 + K1257 + K1259</f>
        <v>0</v>
      </c>
      <c r="L1261" s="48">
        <f t="shared" si="801"/>
        <v>0</v>
      </c>
      <c r="M1261" s="48">
        <f t="shared" ref="M1261" si="802" xml:space="preserve"> M1230 + M1235 - M1241 + M1257 + M1259</f>
        <v>0</v>
      </c>
      <c r="N1261" s="48">
        <f t="shared" si="801"/>
        <v>0</v>
      </c>
    </row>
    <row r="1262" spans="1:14">
      <c r="B1262" s="6"/>
      <c r="D1262" s="7"/>
      <c r="E1262" s="7"/>
      <c r="F1262" s="7"/>
      <c r="G1262" s="30"/>
      <c r="H1262" s="30"/>
      <c r="I1262" s="30"/>
      <c r="J1262" s="30"/>
      <c r="K1262" s="30"/>
      <c r="L1262" s="30"/>
      <c r="M1262" s="30"/>
      <c r="N1262" s="30"/>
    </row>
    <row r="1263" spans="1:14" ht="15" thickBot="1"/>
    <row r="1264" spans="1:14">
      <c r="A1264" s="8"/>
      <c r="B1264" s="8"/>
      <c r="C1264" s="8"/>
      <c r="D1264" s="8"/>
      <c r="E1264" s="8"/>
      <c r="F1264" s="8"/>
      <c r="G1264" s="8"/>
      <c r="H1264" s="8"/>
      <c r="I1264" s="8"/>
      <c r="J1264" s="8"/>
      <c r="K1264" s="8"/>
      <c r="L1264" s="8"/>
      <c r="M1264" s="8"/>
      <c r="N1264" s="8"/>
    </row>
    <row r="1265" spans="1:14">
      <c r="B1265" s="32"/>
      <c r="C1265" s="32"/>
      <c r="D1265" s="32"/>
      <c r="E1265" s="32"/>
      <c r="F1265" s="32"/>
      <c r="G1265" s="32"/>
      <c r="H1265" s="32"/>
      <c r="I1265" s="32"/>
      <c r="J1265" s="32"/>
      <c r="K1265" s="32"/>
      <c r="L1265" s="32"/>
      <c r="M1265" s="32"/>
      <c r="N1265" s="32"/>
    </row>
    <row r="1266" spans="1:14" ht="21">
      <c r="A1266" s="14" t="s">
        <v>4</v>
      </c>
      <c r="B1266" s="14"/>
      <c r="C1266" s="44" t="str">
        <f>B28</f>
        <v>Klondike I - Klondike Wind Power LLC - REC Only</v>
      </c>
      <c r="D1266" s="45"/>
      <c r="E1266" s="24"/>
      <c r="F1266" s="24"/>
    </row>
    <row r="1268" spans="1:14" ht="18.5">
      <c r="A1268" s="9" t="s">
        <v>21</v>
      </c>
      <c r="B1268" s="9"/>
      <c r="D1268" s="2">
        <f>'Facility Detail'!$B$1897</f>
        <v>2011</v>
      </c>
      <c r="E1268" s="2">
        <f>D1268+1</f>
        <v>2012</v>
      </c>
      <c r="F1268" s="2">
        <f>E1268+1</f>
        <v>2013</v>
      </c>
      <c r="G1268" s="2">
        <f t="shared" ref="G1268:K1268" si="803">F1268+1</f>
        <v>2014</v>
      </c>
      <c r="H1268" s="2">
        <f t="shared" si="803"/>
        <v>2015</v>
      </c>
      <c r="I1268" s="2">
        <f t="shared" si="803"/>
        <v>2016</v>
      </c>
      <c r="J1268" s="2">
        <f t="shared" si="803"/>
        <v>2017</v>
      </c>
      <c r="K1268" s="2">
        <f t="shared" si="803"/>
        <v>2018</v>
      </c>
      <c r="L1268" s="2">
        <f t="shared" ref="L1268" si="804">K1268+1</f>
        <v>2019</v>
      </c>
      <c r="M1268" s="2">
        <f t="shared" ref="M1268" si="805">L1268+1</f>
        <v>2020</v>
      </c>
      <c r="N1268" s="2">
        <f t="shared" ref="N1268" si="806">M1268+1</f>
        <v>2021</v>
      </c>
    </row>
    <row r="1269" spans="1:14">
      <c r="B1269" s="86" t="str">
        <f>"Total MWh Produced / Purchased from " &amp; C1266</f>
        <v>Total MWh Produced / Purchased from Klondike I - Klondike Wind Power LLC - REC Only</v>
      </c>
      <c r="C1269" s="78"/>
      <c r="D1269" s="3"/>
      <c r="E1269" s="4"/>
      <c r="F1269" s="4"/>
      <c r="G1269" s="4"/>
      <c r="H1269" s="307"/>
      <c r="I1269" s="307">
        <v>8543</v>
      </c>
      <c r="J1269" s="307"/>
      <c r="K1269" s="307"/>
      <c r="L1269" s="307"/>
      <c r="M1269" s="307"/>
      <c r="N1269" s="307"/>
    </row>
    <row r="1270" spans="1:14">
      <c r="B1270" s="86" t="s">
        <v>25</v>
      </c>
      <c r="C1270" s="78"/>
      <c r="D1270" s="60"/>
      <c r="E1270" s="61"/>
      <c r="F1270" s="61"/>
      <c r="G1270" s="61"/>
      <c r="H1270" s="61"/>
      <c r="I1270" s="61">
        <v>1</v>
      </c>
      <c r="J1270" s="61"/>
      <c r="K1270" s="61"/>
      <c r="L1270" s="61"/>
      <c r="M1270" s="61"/>
      <c r="N1270" s="61"/>
    </row>
    <row r="1271" spans="1:14">
      <c r="B1271" s="86" t="s">
        <v>20</v>
      </c>
      <c r="C1271" s="78"/>
      <c r="D1271" s="52"/>
      <c r="E1271" s="53"/>
      <c r="F1271" s="53"/>
      <c r="G1271" s="53"/>
      <c r="H1271" s="53"/>
      <c r="I1271" s="53">
        <v>1</v>
      </c>
      <c r="J1271" s="53"/>
      <c r="K1271" s="53"/>
      <c r="L1271" s="53"/>
      <c r="M1271" s="53"/>
      <c r="N1271" s="53"/>
    </row>
    <row r="1272" spans="1:14">
      <c r="B1272" s="83" t="s">
        <v>22</v>
      </c>
      <c r="C1272" s="84"/>
      <c r="D1272" s="39">
        <f xml:space="preserve"> D1269 * D1270 * D1271</f>
        <v>0</v>
      </c>
      <c r="E1272" s="39">
        <f xml:space="preserve"> E1269 * E1270 * E1271</f>
        <v>0</v>
      </c>
      <c r="F1272" s="39">
        <f xml:space="preserve"> F1269 * F1270 * F1271</f>
        <v>0</v>
      </c>
      <c r="G1272" s="39">
        <f t="shared" ref="G1272:K1272" si="807" xml:space="preserve"> G1269 * G1270 * G1271</f>
        <v>0</v>
      </c>
      <c r="H1272" s="306">
        <f t="shared" si="807"/>
        <v>0</v>
      </c>
      <c r="I1272" s="306">
        <v>8543</v>
      </c>
      <c r="J1272" s="306">
        <f t="shared" si="807"/>
        <v>0</v>
      </c>
      <c r="K1272" s="306">
        <f t="shared" si="807"/>
        <v>0</v>
      </c>
      <c r="L1272" s="306">
        <f t="shared" ref="L1272:N1272" si="808" xml:space="preserve"> L1269 * L1270 * L1271</f>
        <v>0</v>
      </c>
      <c r="M1272" s="306">
        <f t="shared" ref="M1272" si="809" xml:space="preserve"> M1269 * M1270 * M1271</f>
        <v>0</v>
      </c>
      <c r="N1272" s="306">
        <f t="shared" si="808"/>
        <v>0</v>
      </c>
    </row>
    <row r="1273" spans="1:14">
      <c r="B1273" s="24"/>
      <c r="C1273" s="32"/>
      <c r="D1273" s="38"/>
      <c r="E1273" s="38"/>
      <c r="F1273" s="38"/>
      <c r="G1273" s="38"/>
      <c r="H1273" s="25"/>
      <c r="I1273" s="25"/>
      <c r="J1273" s="25"/>
      <c r="K1273" s="25"/>
      <c r="L1273" s="25"/>
      <c r="M1273" s="25"/>
      <c r="N1273" s="25"/>
    </row>
    <row r="1274" spans="1:14" ht="18.5">
      <c r="A1274" s="46" t="s">
        <v>52</v>
      </c>
      <c r="C1274" s="32"/>
      <c r="D1274" s="2">
        <f>'Facility Detail'!$B$1897</f>
        <v>2011</v>
      </c>
      <c r="E1274" s="2">
        <f>D1274+1</f>
        <v>2012</v>
      </c>
      <c r="F1274" s="2">
        <f>E1274+1</f>
        <v>2013</v>
      </c>
      <c r="G1274" s="2">
        <f t="shared" ref="G1274:K1274" si="810">F1274+1</f>
        <v>2014</v>
      </c>
      <c r="H1274" s="318">
        <f t="shared" si="810"/>
        <v>2015</v>
      </c>
      <c r="I1274" s="318">
        <f t="shared" si="810"/>
        <v>2016</v>
      </c>
      <c r="J1274" s="318">
        <f t="shared" si="810"/>
        <v>2017</v>
      </c>
      <c r="K1274" s="318">
        <f t="shared" si="810"/>
        <v>2018</v>
      </c>
      <c r="L1274" s="318">
        <f t="shared" ref="L1274" si="811">K1274+1</f>
        <v>2019</v>
      </c>
      <c r="M1274" s="318">
        <f t="shared" ref="M1274" si="812">L1274+1</f>
        <v>2020</v>
      </c>
      <c r="N1274" s="318">
        <f t="shared" ref="N1274" si="813">M1274+1</f>
        <v>2021</v>
      </c>
    </row>
    <row r="1275" spans="1:14">
      <c r="B1275" s="86" t="s">
        <v>10</v>
      </c>
      <c r="C1275" s="78"/>
      <c r="D1275" s="55">
        <f>IF( $E38 = "Eligible", D1272 * 'Facility Detail'!$B$1894, 0 )</f>
        <v>0</v>
      </c>
      <c r="E1275" s="11">
        <f>IF( $E38 = "Eligible", E1272 * 'Facility Detail'!$B$1894, 0 )</f>
        <v>0</v>
      </c>
      <c r="F1275" s="11">
        <f>IF( $E38 = "Eligible", F1272 * 'Facility Detail'!$B$1894, 0 )</f>
        <v>0</v>
      </c>
      <c r="G1275" s="11">
        <f>IF( $E38 = "Eligible", G1272 * 'Facility Detail'!$B$1894, 0 )</f>
        <v>0</v>
      </c>
      <c r="H1275" s="11">
        <f>IF( $E38 = "Eligible", H1272 * 'Facility Detail'!$B$1894, 0 )</f>
        <v>0</v>
      </c>
      <c r="I1275" s="11">
        <f>IF( $E38 = "Eligible", I1272 * 'Facility Detail'!$B$1894, 0 )</f>
        <v>0</v>
      </c>
      <c r="J1275" s="11">
        <f>IF( $E38 = "Eligible", J1272 * 'Facility Detail'!$B$1894, 0 )</f>
        <v>0</v>
      </c>
      <c r="K1275" s="11">
        <f>IF( $E38 = "Eligible", K1272 * 'Facility Detail'!$B$1894, 0 )</f>
        <v>0</v>
      </c>
      <c r="L1275" s="11">
        <f>IF( $E38 = "Eligible", L1272 * 'Facility Detail'!$B$1894, 0 )</f>
        <v>0</v>
      </c>
      <c r="M1275" s="11">
        <f>IF( $E38 = "Eligible", M1272 * 'Facility Detail'!$B$1894, 0 )</f>
        <v>0</v>
      </c>
      <c r="N1275" s="11">
        <f>IF( $E38 = "Eligible", N1272 * 'Facility Detail'!$B$1894, 0 )</f>
        <v>0</v>
      </c>
    </row>
    <row r="1276" spans="1:14">
      <c r="B1276" s="86" t="s">
        <v>6</v>
      </c>
      <c r="C1276" s="78"/>
      <c r="D1276" s="56">
        <f t="shared" ref="D1276:K1276" si="814">IF( $F38 = "Eligible", D1272, 0 )</f>
        <v>0</v>
      </c>
      <c r="E1276" s="57">
        <f t="shared" si="814"/>
        <v>0</v>
      </c>
      <c r="F1276" s="57">
        <f t="shared" si="814"/>
        <v>0</v>
      </c>
      <c r="G1276" s="57">
        <f t="shared" si="814"/>
        <v>0</v>
      </c>
      <c r="H1276" s="57">
        <f t="shared" si="814"/>
        <v>0</v>
      </c>
      <c r="I1276" s="57">
        <f t="shared" si="814"/>
        <v>0</v>
      </c>
      <c r="J1276" s="57">
        <f t="shared" si="814"/>
        <v>0</v>
      </c>
      <c r="K1276" s="57">
        <f t="shared" si="814"/>
        <v>0</v>
      </c>
      <c r="L1276" s="57">
        <f t="shared" ref="L1276:N1276" si="815">IF( $F38 = "Eligible", L1272, 0 )</f>
        <v>0</v>
      </c>
      <c r="M1276" s="57">
        <f t="shared" ref="M1276" si="816">IF( $F38 = "Eligible", M1272, 0 )</f>
        <v>0</v>
      </c>
      <c r="N1276" s="57">
        <f t="shared" si="815"/>
        <v>0</v>
      </c>
    </row>
    <row r="1277" spans="1:14">
      <c r="B1277" s="85" t="s">
        <v>54</v>
      </c>
      <c r="C1277" s="84"/>
      <c r="D1277" s="41">
        <f>SUM(D1275:D1276)</f>
        <v>0</v>
      </c>
      <c r="E1277" s="42">
        <f>SUM(E1275:E1276)</f>
        <v>0</v>
      </c>
      <c r="F1277" s="42">
        <f>SUM(F1275:F1276)</f>
        <v>0</v>
      </c>
      <c r="G1277" s="42">
        <f t="shared" ref="G1277:K1277" si="817">SUM(G1275:G1276)</f>
        <v>0</v>
      </c>
      <c r="H1277" s="42">
        <f t="shared" si="817"/>
        <v>0</v>
      </c>
      <c r="I1277" s="42">
        <f t="shared" si="817"/>
        <v>0</v>
      </c>
      <c r="J1277" s="42">
        <f t="shared" si="817"/>
        <v>0</v>
      </c>
      <c r="K1277" s="42">
        <f t="shared" si="817"/>
        <v>0</v>
      </c>
      <c r="L1277" s="42">
        <f t="shared" ref="L1277:N1277" si="818">SUM(L1275:L1276)</f>
        <v>0</v>
      </c>
      <c r="M1277" s="42">
        <f t="shared" ref="M1277" si="819">SUM(M1275:M1276)</f>
        <v>0</v>
      </c>
      <c r="N1277" s="42">
        <f t="shared" si="818"/>
        <v>0</v>
      </c>
    </row>
    <row r="1278" spans="1:14">
      <c r="B1278" s="32"/>
      <c r="C1278" s="32"/>
      <c r="D1278" s="40"/>
      <c r="E1278" s="33"/>
      <c r="F1278" s="33"/>
      <c r="G1278" s="33"/>
      <c r="H1278" s="33"/>
      <c r="I1278" s="33"/>
      <c r="J1278" s="33"/>
      <c r="K1278" s="33"/>
      <c r="L1278" s="33"/>
      <c r="M1278" s="33"/>
      <c r="N1278" s="33"/>
    </row>
    <row r="1279" spans="1:14" ht="18.5">
      <c r="A1279" s="43" t="s">
        <v>30</v>
      </c>
      <c r="C1279" s="32"/>
      <c r="D1279" s="2">
        <f>'Facility Detail'!$B$1897</f>
        <v>2011</v>
      </c>
      <c r="E1279" s="2">
        <f>D1279+1</f>
        <v>2012</v>
      </c>
      <c r="F1279" s="2">
        <f>E1279+1</f>
        <v>2013</v>
      </c>
      <c r="G1279" s="2">
        <f t="shared" ref="G1279:K1279" si="820">F1279+1</f>
        <v>2014</v>
      </c>
      <c r="H1279" s="2">
        <f t="shared" si="820"/>
        <v>2015</v>
      </c>
      <c r="I1279" s="2">
        <f t="shared" si="820"/>
        <v>2016</v>
      </c>
      <c r="J1279" s="2">
        <f t="shared" si="820"/>
        <v>2017</v>
      </c>
      <c r="K1279" s="2">
        <f t="shared" si="820"/>
        <v>2018</v>
      </c>
      <c r="L1279" s="2">
        <f t="shared" ref="L1279" si="821">K1279+1</f>
        <v>2019</v>
      </c>
      <c r="M1279" s="2">
        <f t="shared" ref="M1279" si="822">L1279+1</f>
        <v>2020</v>
      </c>
      <c r="N1279" s="2">
        <f t="shared" ref="N1279" si="823">M1279+1</f>
        <v>2021</v>
      </c>
    </row>
    <row r="1280" spans="1:14">
      <c r="B1280" s="86" t="s">
        <v>32</v>
      </c>
      <c r="C1280" s="78"/>
      <c r="D1280" s="90"/>
      <c r="E1280" s="91"/>
      <c r="F1280" s="91"/>
      <c r="G1280" s="91"/>
      <c r="H1280" s="91"/>
      <c r="I1280" s="91"/>
      <c r="J1280" s="91"/>
      <c r="K1280" s="91"/>
      <c r="L1280" s="91"/>
      <c r="M1280" s="91"/>
      <c r="N1280" s="91"/>
    </row>
    <row r="1281" spans="1:14">
      <c r="B1281" s="87" t="s">
        <v>23</v>
      </c>
      <c r="C1281" s="192"/>
      <c r="D1281" s="93"/>
      <c r="E1281" s="94"/>
      <c r="F1281" s="94"/>
      <c r="G1281" s="94"/>
      <c r="H1281" s="94"/>
      <c r="I1281" s="94"/>
      <c r="J1281" s="94"/>
      <c r="K1281" s="94"/>
      <c r="L1281" s="94"/>
      <c r="M1281" s="94"/>
      <c r="N1281" s="94"/>
    </row>
    <row r="1282" spans="1:14">
      <c r="B1282" s="96" t="s">
        <v>38</v>
      </c>
      <c r="C1282" s="190"/>
      <c r="D1282" s="63"/>
      <c r="E1282" s="64"/>
      <c r="F1282" s="64"/>
      <c r="G1282" s="64"/>
      <c r="H1282" s="64"/>
      <c r="I1282" s="64"/>
      <c r="J1282" s="64"/>
      <c r="K1282" s="64"/>
      <c r="L1282" s="64"/>
      <c r="M1282" s="64"/>
      <c r="N1282" s="64"/>
    </row>
    <row r="1283" spans="1:14">
      <c r="B1283" s="35" t="s">
        <v>39</v>
      </c>
      <c r="D1283" s="7">
        <f>SUM(D1280:D1282)</f>
        <v>0</v>
      </c>
      <c r="E1283" s="7">
        <f>SUM(E1280:E1282)</f>
        <v>0</v>
      </c>
      <c r="F1283" s="7">
        <f>SUM(F1280:F1282)</f>
        <v>0</v>
      </c>
      <c r="G1283" s="7">
        <f t="shared" ref="G1283:K1283" si="824">SUM(G1280:G1282)</f>
        <v>0</v>
      </c>
      <c r="H1283" s="7">
        <f t="shared" si="824"/>
        <v>0</v>
      </c>
      <c r="I1283" s="7">
        <f t="shared" si="824"/>
        <v>0</v>
      </c>
      <c r="J1283" s="7">
        <f t="shared" si="824"/>
        <v>0</v>
      </c>
      <c r="K1283" s="7">
        <f t="shared" si="824"/>
        <v>0</v>
      </c>
      <c r="L1283" s="7">
        <f t="shared" ref="L1283:N1283" si="825">SUM(L1280:L1282)</f>
        <v>0</v>
      </c>
      <c r="M1283" s="7">
        <f t="shared" ref="M1283" si="826">SUM(M1280:M1282)</f>
        <v>0</v>
      </c>
      <c r="N1283" s="7">
        <f t="shared" si="825"/>
        <v>0</v>
      </c>
    </row>
    <row r="1284" spans="1:14">
      <c r="B1284" s="6"/>
      <c r="D1284" s="7"/>
      <c r="E1284" s="7"/>
      <c r="F1284" s="7"/>
      <c r="G1284" s="30"/>
      <c r="H1284" s="30"/>
      <c r="I1284" s="30"/>
      <c r="J1284" s="30"/>
      <c r="K1284" s="30"/>
      <c r="L1284" s="30"/>
      <c r="M1284" s="30"/>
      <c r="N1284" s="30"/>
    </row>
    <row r="1285" spans="1:14" ht="18.5">
      <c r="A1285" s="9" t="s">
        <v>40</v>
      </c>
      <c r="D1285" s="2">
        <f>'Facility Detail'!$B$1897</f>
        <v>2011</v>
      </c>
      <c r="E1285" s="2">
        <f>D1285+1</f>
        <v>2012</v>
      </c>
      <c r="F1285" s="2">
        <f>E1285+1</f>
        <v>2013</v>
      </c>
      <c r="G1285" s="2">
        <f t="shared" ref="G1285" si="827">F1285+1</f>
        <v>2014</v>
      </c>
      <c r="H1285" s="2">
        <f t="shared" ref="H1285" si="828">G1285+1</f>
        <v>2015</v>
      </c>
      <c r="I1285" s="2">
        <f t="shared" ref="I1285" si="829">H1285+1</f>
        <v>2016</v>
      </c>
      <c r="J1285" s="2">
        <f t="shared" ref="J1285" si="830">I1285+1</f>
        <v>2017</v>
      </c>
      <c r="K1285" s="2">
        <f t="shared" ref="K1285" si="831">J1285+1</f>
        <v>2018</v>
      </c>
      <c r="L1285" s="2">
        <f t="shared" ref="L1285" si="832">K1285+1</f>
        <v>2019</v>
      </c>
      <c r="M1285" s="2">
        <f t="shared" ref="M1285" si="833">L1285+1</f>
        <v>2020</v>
      </c>
      <c r="N1285" s="2">
        <f t="shared" ref="N1285" si="834">M1285+1</f>
        <v>2021</v>
      </c>
    </row>
    <row r="1286" spans="1:14">
      <c r="B1286" s="86" t="s">
        <v>34</v>
      </c>
      <c r="C1286" s="78"/>
      <c r="D1286" s="3"/>
      <c r="E1286" s="66">
        <f>D1286</f>
        <v>0</v>
      </c>
      <c r="F1286" s="138"/>
      <c r="G1286" s="138"/>
      <c r="H1286" s="138"/>
      <c r="I1286" s="138"/>
      <c r="J1286" s="138"/>
      <c r="K1286" s="138"/>
      <c r="L1286" s="138"/>
      <c r="M1286" s="138"/>
      <c r="N1286" s="138"/>
    </row>
    <row r="1287" spans="1:14">
      <c r="B1287" s="86" t="s">
        <v>35</v>
      </c>
      <c r="C1287" s="78"/>
      <c r="D1287" s="174">
        <f>E1287</f>
        <v>0</v>
      </c>
      <c r="E1287" s="10"/>
      <c r="F1287" s="81"/>
      <c r="G1287" s="81"/>
      <c r="H1287" s="81"/>
      <c r="I1287" s="81"/>
      <c r="J1287" s="81"/>
      <c r="K1287" s="81"/>
      <c r="L1287" s="81"/>
      <c r="M1287" s="81"/>
      <c r="N1287" s="81"/>
    </row>
    <row r="1288" spans="1:14">
      <c r="B1288" s="86" t="s">
        <v>36</v>
      </c>
      <c r="C1288" s="78"/>
      <c r="D1288" s="68"/>
      <c r="E1288" s="10">
        <f>E1272</f>
        <v>0</v>
      </c>
      <c r="F1288" s="77">
        <f>E1288</f>
        <v>0</v>
      </c>
      <c r="G1288" s="81"/>
      <c r="H1288" s="81"/>
      <c r="I1288" s="81"/>
      <c r="J1288" s="81"/>
      <c r="K1288" s="81"/>
      <c r="L1288" s="81"/>
      <c r="M1288" s="81"/>
      <c r="N1288" s="81"/>
    </row>
    <row r="1289" spans="1:14">
      <c r="B1289" s="86" t="s">
        <v>37</v>
      </c>
      <c r="C1289" s="78"/>
      <c r="D1289" s="68"/>
      <c r="E1289" s="77">
        <f>F1289</f>
        <v>0</v>
      </c>
      <c r="F1289" s="173"/>
      <c r="G1289" s="81"/>
      <c r="H1289" s="81"/>
      <c r="I1289" s="81"/>
      <c r="J1289" s="81"/>
      <c r="K1289" s="81"/>
      <c r="L1289" s="81"/>
      <c r="M1289" s="81"/>
      <c r="N1289" s="81"/>
    </row>
    <row r="1290" spans="1:14">
      <c r="B1290" s="86" t="s">
        <v>122</v>
      </c>
      <c r="C1290" s="32"/>
      <c r="D1290" s="68"/>
      <c r="E1290" s="157"/>
      <c r="F1290" s="10">
        <f>F1272</f>
        <v>0</v>
      </c>
      <c r="G1290" s="158">
        <f>F1290</f>
        <v>0</v>
      </c>
      <c r="H1290" s="81"/>
      <c r="I1290" s="81"/>
      <c r="J1290" s="81"/>
      <c r="K1290" s="81"/>
      <c r="L1290" s="81"/>
      <c r="M1290" s="81"/>
      <c r="N1290" s="81"/>
    </row>
    <row r="1291" spans="1:14">
      <c r="B1291" s="86" t="s">
        <v>123</v>
      </c>
      <c r="C1291" s="32"/>
      <c r="D1291" s="68"/>
      <c r="E1291" s="157"/>
      <c r="F1291" s="77">
        <f>G1291</f>
        <v>0</v>
      </c>
      <c r="G1291" s="10"/>
      <c r="H1291" s="81"/>
      <c r="I1291" s="81"/>
      <c r="J1291" s="81"/>
      <c r="K1291" s="81"/>
      <c r="L1291" s="81"/>
      <c r="M1291" s="81"/>
      <c r="N1291" s="81"/>
    </row>
    <row r="1292" spans="1:14">
      <c r="B1292" s="86" t="s">
        <v>124</v>
      </c>
      <c r="C1292" s="32"/>
      <c r="D1292" s="68"/>
      <c r="E1292" s="157"/>
      <c r="F1292" s="157"/>
      <c r="G1292" s="10">
        <f>G1272</f>
        <v>0</v>
      </c>
      <c r="H1292" s="158">
        <f>G1292</f>
        <v>0</v>
      </c>
      <c r="I1292" s="157">
        <f>H1292</f>
        <v>0</v>
      </c>
      <c r="J1292" s="157"/>
      <c r="K1292" s="157"/>
      <c r="L1292" s="157"/>
      <c r="M1292" s="157"/>
      <c r="N1292" s="157"/>
    </row>
    <row r="1293" spans="1:14">
      <c r="B1293" s="86" t="s">
        <v>125</v>
      </c>
      <c r="C1293" s="32"/>
      <c r="D1293" s="68"/>
      <c r="E1293" s="157"/>
      <c r="F1293" s="157"/>
      <c r="G1293" s="159"/>
      <c r="H1293" s="160"/>
      <c r="I1293" s="157"/>
      <c r="J1293" s="157"/>
      <c r="K1293" s="157"/>
      <c r="L1293" s="157"/>
      <c r="M1293" s="157"/>
      <c r="N1293" s="157"/>
    </row>
    <row r="1294" spans="1:14">
      <c r="B1294" s="86" t="s">
        <v>126</v>
      </c>
      <c r="C1294" s="32"/>
      <c r="D1294" s="68"/>
      <c r="E1294" s="157"/>
      <c r="F1294" s="157"/>
      <c r="G1294" s="157"/>
      <c r="H1294" s="160">
        <v>0</v>
      </c>
      <c r="I1294" s="158">
        <f>H1294</f>
        <v>0</v>
      </c>
      <c r="J1294" s="158"/>
      <c r="K1294" s="158"/>
      <c r="L1294" s="158"/>
      <c r="M1294" s="158"/>
      <c r="N1294" s="158"/>
    </row>
    <row r="1295" spans="1:14">
      <c r="B1295" s="86" t="s">
        <v>127</v>
      </c>
      <c r="C1295" s="32"/>
      <c r="D1295" s="68"/>
      <c r="E1295" s="157"/>
      <c r="F1295" s="157"/>
      <c r="G1295" s="157"/>
      <c r="H1295" s="77"/>
      <c r="I1295" s="160"/>
      <c r="J1295" s="160"/>
      <c r="K1295" s="160"/>
      <c r="L1295" s="160"/>
      <c r="M1295" s="160"/>
      <c r="N1295" s="160"/>
    </row>
    <row r="1296" spans="1:14">
      <c r="B1296" s="86" t="s">
        <v>128</v>
      </c>
      <c r="C1296" s="32"/>
      <c r="D1296" s="68"/>
      <c r="E1296" s="157"/>
      <c r="F1296" s="157"/>
      <c r="G1296" s="157"/>
      <c r="H1296" s="157"/>
      <c r="I1296" s="160">
        <f>I1272</f>
        <v>8543</v>
      </c>
      <c r="J1296" s="160">
        <f>I1296</f>
        <v>8543</v>
      </c>
      <c r="K1296" s="160"/>
      <c r="L1296" s="160"/>
      <c r="M1296" s="160"/>
      <c r="N1296" s="160"/>
    </row>
    <row r="1297" spans="1:14">
      <c r="B1297" s="86" t="s">
        <v>119</v>
      </c>
      <c r="C1297" s="32"/>
      <c r="D1297" s="68"/>
      <c r="E1297" s="157"/>
      <c r="F1297" s="157"/>
      <c r="G1297" s="157"/>
      <c r="H1297" s="157"/>
      <c r="I1297" s="249"/>
      <c r="J1297" s="158"/>
      <c r="K1297" s="158"/>
      <c r="L1297" s="158"/>
      <c r="M1297" s="158"/>
      <c r="N1297" s="158"/>
    </row>
    <row r="1298" spans="1:14">
      <c r="B1298" s="86" t="s">
        <v>120</v>
      </c>
      <c r="C1298" s="32"/>
      <c r="D1298" s="69"/>
      <c r="E1298" s="140"/>
      <c r="F1298" s="140"/>
      <c r="G1298" s="140"/>
      <c r="H1298" s="140"/>
      <c r="I1298" s="140"/>
      <c r="J1298" s="140"/>
      <c r="K1298" s="140"/>
      <c r="L1298" s="140"/>
      <c r="M1298" s="140"/>
      <c r="N1298" s="140"/>
    </row>
    <row r="1299" spans="1:14">
      <c r="B1299" s="35" t="s">
        <v>17</v>
      </c>
      <c r="D1299" s="198">
        <f xml:space="preserve"> D1292 - D1291</f>
        <v>0</v>
      </c>
      <c r="E1299" s="198">
        <f xml:space="preserve"> E1291 + E1294 - E1293 - E1292</f>
        <v>0</v>
      </c>
      <c r="F1299" s="198">
        <f>F1293 - F1294</f>
        <v>0</v>
      </c>
      <c r="G1299" s="198">
        <f t="shared" ref="G1299" si="835">G1293 - G1294</f>
        <v>0</v>
      </c>
      <c r="H1299" s="30">
        <f>H1292-H1293-H1294</f>
        <v>0</v>
      </c>
      <c r="I1299" s="30">
        <f>I1294-I1295-I1296</f>
        <v>-8543</v>
      </c>
      <c r="J1299" s="30">
        <f>J1296-J1297-J1298</f>
        <v>8543</v>
      </c>
      <c r="K1299" s="30">
        <f>K1298</f>
        <v>0</v>
      </c>
      <c r="L1299" s="30">
        <f t="shared" ref="L1299:N1299" si="836">L1298</f>
        <v>0</v>
      </c>
      <c r="M1299" s="30">
        <f t="shared" ref="M1299" si="837">M1298</f>
        <v>0</v>
      </c>
      <c r="N1299" s="30">
        <f t="shared" si="836"/>
        <v>0</v>
      </c>
    </row>
    <row r="1300" spans="1:14">
      <c r="B1300" s="6"/>
      <c r="D1300" s="7"/>
      <c r="E1300" s="7"/>
      <c r="F1300" s="7"/>
      <c r="G1300" s="7"/>
      <c r="H1300" s="7"/>
      <c r="I1300" s="7"/>
      <c r="J1300" s="7"/>
      <c r="K1300" s="7"/>
      <c r="L1300" s="7"/>
      <c r="M1300" s="7"/>
      <c r="N1300" s="7"/>
    </row>
    <row r="1301" spans="1:14">
      <c r="B1301" s="83" t="s">
        <v>12</v>
      </c>
      <c r="C1301" s="78"/>
      <c r="D1301" s="101"/>
      <c r="E1301" s="102"/>
      <c r="F1301" s="102"/>
      <c r="G1301" s="102"/>
      <c r="H1301" s="102"/>
      <c r="I1301" s="102"/>
      <c r="J1301" s="102"/>
      <c r="K1301" s="102"/>
      <c r="L1301" s="102"/>
      <c r="M1301" s="102"/>
      <c r="N1301" s="102"/>
    </row>
    <row r="1302" spans="1:14">
      <c r="B1302" s="6"/>
      <c r="D1302" s="7"/>
      <c r="E1302" s="7"/>
      <c r="F1302" s="7"/>
      <c r="G1302" s="7"/>
      <c r="H1302" s="7"/>
      <c r="I1302" s="7"/>
      <c r="J1302" s="7"/>
      <c r="K1302" s="7"/>
      <c r="L1302" s="7"/>
      <c r="M1302" s="7"/>
      <c r="N1302" s="7"/>
    </row>
    <row r="1303" spans="1:14" ht="18.5">
      <c r="A1303" s="43" t="s">
        <v>26</v>
      </c>
      <c r="C1303" s="78"/>
      <c r="D1303" s="47">
        <f xml:space="preserve"> D1272 + D1277 - D1283 + D1299 + D1301</f>
        <v>0</v>
      </c>
      <c r="E1303" s="48">
        <f xml:space="preserve"> E1272 + E1277 - E1283 + E1299 + E1301</f>
        <v>0</v>
      </c>
      <c r="F1303" s="48">
        <f xml:space="preserve"> F1272 + F1277 - F1283 + F1299 + F1301</f>
        <v>0</v>
      </c>
      <c r="G1303" s="48">
        <f t="shared" ref="G1303:K1303" si="838" xml:space="preserve"> G1272 + G1277 - G1283 + G1299 + G1301</f>
        <v>0</v>
      </c>
      <c r="H1303" s="48">
        <f t="shared" si="838"/>
        <v>0</v>
      </c>
      <c r="I1303" s="48">
        <f t="shared" si="838"/>
        <v>0</v>
      </c>
      <c r="J1303" s="48">
        <f t="shared" si="838"/>
        <v>8543</v>
      </c>
      <c r="K1303" s="48">
        <f t="shared" si="838"/>
        <v>0</v>
      </c>
      <c r="L1303" s="48">
        <f t="shared" ref="L1303:N1303" si="839" xml:space="preserve"> L1272 + L1277 - L1283 + L1299 + L1301</f>
        <v>0</v>
      </c>
      <c r="M1303" s="48">
        <f t="shared" ref="M1303" si="840" xml:space="preserve"> M1272 + M1277 - M1283 + M1299 + M1301</f>
        <v>0</v>
      </c>
      <c r="N1303" s="48">
        <f t="shared" si="839"/>
        <v>0</v>
      </c>
    </row>
    <row r="1304" spans="1:14">
      <c r="B1304" s="6"/>
      <c r="D1304" s="7"/>
      <c r="E1304" s="7"/>
      <c r="F1304" s="7"/>
      <c r="G1304" s="30"/>
      <c r="H1304" s="30"/>
      <c r="I1304" s="30"/>
      <c r="J1304" s="30"/>
      <c r="K1304" s="30"/>
      <c r="L1304" s="30"/>
      <c r="M1304" s="30"/>
      <c r="N1304" s="30"/>
    </row>
    <row r="1305" spans="1:14" ht="15" thickBot="1"/>
    <row r="1306" spans="1:14" ht="15" hidden="1" thickBot="1">
      <c r="A1306" s="8"/>
      <c r="B1306" s="8"/>
      <c r="C1306" s="8"/>
      <c r="D1306" s="8"/>
      <c r="E1306" s="8"/>
      <c r="F1306" s="8"/>
      <c r="G1306" s="8"/>
      <c r="H1306" s="8"/>
      <c r="I1306" s="8"/>
      <c r="J1306" s="8"/>
      <c r="K1306" s="8"/>
      <c r="L1306" s="8"/>
      <c r="M1306" s="8"/>
      <c r="N1306" s="8"/>
    </row>
    <row r="1307" spans="1:14" ht="15" hidden="1" thickBot="1">
      <c r="B1307" s="32"/>
      <c r="C1307" s="32"/>
      <c r="D1307" s="32"/>
      <c r="E1307" s="32"/>
      <c r="F1307" s="32"/>
      <c r="G1307" s="32"/>
      <c r="H1307" s="32"/>
      <c r="I1307" s="32"/>
      <c r="J1307" s="32"/>
      <c r="K1307" s="32"/>
      <c r="L1307" s="32"/>
      <c r="M1307" s="32"/>
      <c r="N1307" s="32"/>
    </row>
    <row r="1308" spans="1:14" ht="21.5" hidden="1" thickBot="1">
      <c r="A1308" s="14" t="s">
        <v>4</v>
      </c>
      <c r="B1308" s="14"/>
      <c r="C1308" s="44"/>
      <c r="D1308" s="45"/>
      <c r="E1308" s="24"/>
      <c r="F1308" s="24"/>
    </row>
    <row r="1309" spans="1:14" ht="15" hidden="1" thickBot="1"/>
    <row r="1310" spans="1:14" ht="19" hidden="1" thickBot="1">
      <c r="A1310" s="9" t="s">
        <v>21</v>
      </c>
      <c r="B1310" s="9"/>
      <c r="D1310" s="2">
        <v>2011</v>
      </c>
      <c r="E1310" s="2">
        <v>2012</v>
      </c>
      <c r="F1310" s="2">
        <v>2013</v>
      </c>
      <c r="G1310" s="2">
        <v>2014</v>
      </c>
      <c r="H1310" s="2">
        <v>2015</v>
      </c>
      <c r="I1310" s="2">
        <v>2016</v>
      </c>
      <c r="J1310" s="2">
        <v>2017</v>
      </c>
      <c r="K1310" s="2">
        <v>2018</v>
      </c>
      <c r="L1310" s="2">
        <v>2018</v>
      </c>
      <c r="M1310" s="2">
        <v>2018</v>
      </c>
      <c r="N1310" s="2">
        <v>2018</v>
      </c>
    </row>
    <row r="1311" spans="1:14" ht="15" hidden="1" thickBot="1">
      <c r="B1311" s="86" t="str">
        <f>"Total MWh Produced / Purchased from " &amp; C1308</f>
        <v xml:space="preserve">Total MWh Produced / Purchased from </v>
      </c>
      <c r="C1311" s="78"/>
      <c r="D1311" s="3"/>
      <c r="E1311" s="4"/>
      <c r="F1311" s="4"/>
      <c r="G1311" s="4"/>
      <c r="H1311" s="4"/>
      <c r="I1311" s="4"/>
      <c r="J1311" s="4"/>
      <c r="K1311" s="4"/>
      <c r="L1311" s="4"/>
      <c r="M1311" s="4"/>
      <c r="N1311" s="4"/>
    </row>
    <row r="1312" spans="1:14" ht="15" hidden="1" thickBot="1">
      <c r="B1312" s="86" t="s">
        <v>25</v>
      </c>
      <c r="C1312" s="78"/>
      <c r="D1312" s="60"/>
      <c r="E1312" s="61"/>
      <c r="F1312" s="61"/>
      <c r="G1312" s="61"/>
      <c r="H1312" s="61"/>
      <c r="I1312" s="61"/>
      <c r="J1312" s="61"/>
      <c r="K1312" s="61"/>
      <c r="L1312" s="61"/>
      <c r="M1312" s="61"/>
      <c r="N1312" s="61"/>
    </row>
    <row r="1313" spans="1:14" ht="15" hidden="1" thickBot="1">
      <c r="B1313" s="86" t="s">
        <v>20</v>
      </c>
      <c r="C1313" s="78"/>
      <c r="D1313" s="52"/>
      <c r="E1313" s="53"/>
      <c r="F1313" s="53"/>
      <c r="G1313" s="53"/>
      <c r="H1313" s="53"/>
      <c r="I1313" s="53"/>
      <c r="J1313" s="53"/>
      <c r="K1313" s="53"/>
      <c r="L1313" s="53"/>
      <c r="M1313" s="53"/>
      <c r="N1313" s="53"/>
    </row>
    <row r="1314" spans="1:14" ht="15" hidden="1" thickBot="1">
      <c r="B1314" s="83" t="s">
        <v>22</v>
      </c>
      <c r="C1314" s="84"/>
      <c r="D1314" s="39">
        <v>0</v>
      </c>
      <c r="E1314" s="39">
        <v>0</v>
      </c>
      <c r="F1314" s="39">
        <v>0</v>
      </c>
      <c r="G1314" s="39">
        <v>0</v>
      </c>
      <c r="H1314" s="39">
        <v>0</v>
      </c>
      <c r="I1314" s="39">
        <v>0</v>
      </c>
      <c r="J1314" s="39">
        <v>0</v>
      </c>
      <c r="K1314" s="39">
        <v>0</v>
      </c>
      <c r="L1314" s="39">
        <v>0</v>
      </c>
      <c r="M1314" s="39">
        <v>0</v>
      </c>
      <c r="N1314" s="39">
        <v>0</v>
      </c>
    </row>
    <row r="1315" spans="1:14" ht="15" hidden="1" thickBot="1">
      <c r="B1315" s="24"/>
      <c r="C1315" s="32"/>
      <c r="D1315" s="38"/>
      <c r="E1315" s="38"/>
      <c r="F1315" s="38"/>
      <c r="G1315" s="38"/>
      <c r="H1315" s="38"/>
      <c r="I1315" s="38"/>
      <c r="J1315" s="38"/>
      <c r="K1315" s="38"/>
      <c r="L1315" s="38"/>
      <c r="M1315" s="38"/>
      <c r="N1315" s="38"/>
    </row>
    <row r="1316" spans="1:14" ht="19" hidden="1" thickBot="1">
      <c r="A1316" s="46" t="s">
        <v>52</v>
      </c>
      <c r="C1316" s="32"/>
      <c r="D1316" s="2">
        <v>2011</v>
      </c>
      <c r="E1316" s="2">
        <v>2012</v>
      </c>
      <c r="F1316" s="2">
        <v>2013</v>
      </c>
      <c r="G1316" s="2">
        <v>2014</v>
      </c>
      <c r="H1316" s="2">
        <v>2015</v>
      </c>
      <c r="I1316" s="2">
        <v>2016</v>
      </c>
      <c r="J1316" s="2">
        <v>2017</v>
      </c>
      <c r="K1316" s="2">
        <v>2018</v>
      </c>
      <c r="L1316" s="2">
        <v>2018</v>
      </c>
      <c r="M1316" s="2">
        <v>2018</v>
      </c>
      <c r="N1316" s="2">
        <v>2018</v>
      </c>
    </row>
    <row r="1317" spans="1:14" ht="15" hidden="1" thickBot="1">
      <c r="B1317" s="86" t="s">
        <v>10</v>
      </c>
      <c r="C1317" s="78"/>
      <c r="D1317" s="55">
        <v>0</v>
      </c>
      <c r="E1317" s="11">
        <v>0</v>
      </c>
      <c r="F1317" s="11">
        <v>0</v>
      </c>
      <c r="G1317" s="11">
        <v>0</v>
      </c>
      <c r="H1317" s="11">
        <v>0</v>
      </c>
      <c r="I1317" s="11">
        <v>0</v>
      </c>
      <c r="J1317" s="11">
        <v>0</v>
      </c>
      <c r="K1317" s="11">
        <v>0</v>
      </c>
      <c r="L1317" s="11">
        <v>0</v>
      </c>
      <c r="M1317" s="11">
        <v>0</v>
      </c>
      <c r="N1317" s="11">
        <v>0</v>
      </c>
    </row>
    <row r="1318" spans="1:14" ht="15" hidden="1" thickBot="1">
      <c r="B1318" s="86" t="s">
        <v>6</v>
      </c>
      <c r="C1318" s="78"/>
      <c r="D1318" s="56">
        <v>0</v>
      </c>
      <c r="E1318" s="57">
        <v>0</v>
      </c>
      <c r="F1318" s="57">
        <v>0</v>
      </c>
      <c r="G1318" s="57">
        <v>0</v>
      </c>
      <c r="H1318" s="57">
        <v>0</v>
      </c>
      <c r="I1318" s="57">
        <v>0</v>
      </c>
      <c r="J1318" s="57">
        <v>0</v>
      </c>
      <c r="K1318" s="57">
        <v>0</v>
      </c>
      <c r="L1318" s="57">
        <v>0</v>
      </c>
      <c r="M1318" s="57">
        <v>0</v>
      </c>
      <c r="N1318" s="57">
        <v>0</v>
      </c>
    </row>
    <row r="1319" spans="1:14" ht="15" hidden="1" thickBot="1">
      <c r="B1319" s="85" t="s">
        <v>54</v>
      </c>
      <c r="C1319" s="84"/>
      <c r="D1319" s="41">
        <v>0</v>
      </c>
      <c r="E1319" s="42">
        <v>0</v>
      </c>
      <c r="F1319" s="42">
        <v>0</v>
      </c>
      <c r="G1319" s="42">
        <v>0</v>
      </c>
      <c r="H1319" s="42">
        <v>0</v>
      </c>
      <c r="I1319" s="42">
        <v>0</v>
      </c>
      <c r="J1319" s="42">
        <v>0</v>
      </c>
      <c r="K1319" s="42">
        <v>0</v>
      </c>
      <c r="L1319" s="42">
        <v>0</v>
      </c>
      <c r="M1319" s="42">
        <v>0</v>
      </c>
      <c r="N1319" s="42">
        <v>0</v>
      </c>
    </row>
    <row r="1320" spans="1:14" ht="15" hidden="1" thickBot="1">
      <c r="B1320" s="32"/>
      <c r="C1320" s="32"/>
      <c r="D1320" s="40"/>
      <c r="E1320" s="33"/>
      <c r="F1320" s="33"/>
      <c r="G1320" s="33"/>
      <c r="H1320" s="33"/>
      <c r="I1320" s="33"/>
      <c r="J1320" s="33"/>
      <c r="K1320" s="33"/>
      <c r="L1320" s="33"/>
      <c r="M1320" s="33"/>
      <c r="N1320" s="33"/>
    </row>
    <row r="1321" spans="1:14" ht="19" hidden="1" thickBot="1">
      <c r="A1321" s="43" t="s">
        <v>30</v>
      </c>
      <c r="C1321" s="32"/>
      <c r="D1321" s="2">
        <v>2011</v>
      </c>
      <c r="E1321" s="2">
        <v>2012</v>
      </c>
      <c r="F1321" s="2">
        <v>2013</v>
      </c>
      <c r="G1321" s="2">
        <v>2014</v>
      </c>
      <c r="H1321" s="2">
        <v>2015</v>
      </c>
      <c r="I1321" s="2">
        <v>2016</v>
      </c>
      <c r="J1321" s="2">
        <v>2017</v>
      </c>
      <c r="K1321" s="2">
        <v>2018</v>
      </c>
      <c r="L1321" s="2">
        <v>2018</v>
      </c>
      <c r="M1321" s="2">
        <v>2018</v>
      </c>
      <c r="N1321" s="2">
        <v>2018</v>
      </c>
    </row>
    <row r="1322" spans="1:14" ht="15" hidden="1" thickBot="1">
      <c r="B1322" s="86" t="s">
        <v>32</v>
      </c>
      <c r="C1322" s="78"/>
      <c r="D1322" s="90"/>
      <c r="E1322" s="91"/>
      <c r="F1322" s="91"/>
      <c r="G1322" s="91"/>
      <c r="H1322" s="91"/>
      <c r="I1322" s="91"/>
      <c r="J1322" s="91"/>
      <c r="K1322" s="91"/>
      <c r="L1322" s="91"/>
      <c r="M1322" s="91"/>
      <c r="N1322" s="91"/>
    </row>
    <row r="1323" spans="1:14" ht="15" hidden="1" thickBot="1">
      <c r="B1323" s="87" t="s">
        <v>23</v>
      </c>
      <c r="C1323" s="192"/>
      <c r="D1323" s="93"/>
      <c r="E1323" s="94"/>
      <c r="F1323" s="94"/>
      <c r="G1323" s="94"/>
      <c r="H1323" s="94"/>
      <c r="I1323" s="94"/>
      <c r="J1323" s="94"/>
      <c r="K1323" s="94"/>
      <c r="L1323" s="94"/>
      <c r="M1323" s="94"/>
      <c r="N1323" s="94"/>
    </row>
    <row r="1324" spans="1:14" ht="15" hidden="1" thickBot="1">
      <c r="B1324" s="96" t="s">
        <v>38</v>
      </c>
      <c r="C1324" s="190"/>
      <c r="D1324" s="63"/>
      <c r="E1324" s="64"/>
      <c r="F1324" s="64"/>
      <c r="G1324" s="64"/>
      <c r="H1324" s="64"/>
      <c r="I1324" s="64"/>
      <c r="J1324" s="64"/>
      <c r="K1324" s="64"/>
      <c r="L1324" s="64"/>
      <c r="M1324" s="64"/>
      <c r="N1324" s="64"/>
    </row>
    <row r="1325" spans="1:14" ht="15" hidden="1" thickBot="1">
      <c r="B1325" s="35" t="s">
        <v>39</v>
      </c>
      <c r="D1325" s="7">
        <v>0</v>
      </c>
      <c r="E1325" s="7">
        <v>0</v>
      </c>
      <c r="F1325" s="7">
        <v>0</v>
      </c>
      <c r="G1325" s="7">
        <v>0</v>
      </c>
      <c r="H1325" s="7">
        <v>0</v>
      </c>
      <c r="I1325" s="7">
        <v>0</v>
      </c>
      <c r="J1325" s="7">
        <v>0</v>
      </c>
      <c r="K1325" s="7">
        <v>0</v>
      </c>
      <c r="L1325" s="7">
        <v>0</v>
      </c>
      <c r="M1325" s="7">
        <v>0</v>
      </c>
      <c r="N1325" s="7">
        <v>0</v>
      </c>
    </row>
    <row r="1326" spans="1:14" ht="15" hidden="1" thickBot="1">
      <c r="B1326" s="6"/>
      <c r="D1326" s="7"/>
      <c r="E1326" s="7"/>
      <c r="F1326" s="7"/>
      <c r="G1326" s="30"/>
      <c r="H1326" s="30"/>
      <c r="I1326" s="30"/>
      <c r="J1326" s="30"/>
      <c r="K1326" s="30"/>
      <c r="L1326" s="30"/>
      <c r="M1326" s="30"/>
      <c r="N1326" s="30"/>
    </row>
    <row r="1327" spans="1:14" ht="19" hidden="1" thickBot="1">
      <c r="A1327" s="9" t="s">
        <v>40</v>
      </c>
      <c r="D1327" s="2">
        <f>'Facility Detail'!$B$1897</f>
        <v>2011</v>
      </c>
      <c r="E1327" s="2">
        <f>D1327+1</f>
        <v>2012</v>
      </c>
      <c r="F1327" s="2">
        <f>E1327+1</f>
        <v>2013</v>
      </c>
      <c r="G1327" s="260">
        <f t="shared" ref="G1327" si="841">F1327+1</f>
        <v>2014</v>
      </c>
      <c r="H1327" s="260">
        <f t="shared" ref="H1327" si="842">G1327+1</f>
        <v>2015</v>
      </c>
      <c r="I1327" s="260">
        <f t="shared" ref="I1327" si="843">H1327+1</f>
        <v>2016</v>
      </c>
      <c r="J1327" s="260">
        <f t="shared" ref="J1327" si="844">I1327+1</f>
        <v>2017</v>
      </c>
      <c r="K1327" s="260">
        <f t="shared" ref="K1327" si="845">J1327+1</f>
        <v>2018</v>
      </c>
      <c r="L1327" s="260">
        <f t="shared" ref="L1327" si="846">K1327+1</f>
        <v>2019</v>
      </c>
      <c r="M1327" s="260">
        <f>K1327+1</f>
        <v>2019</v>
      </c>
      <c r="N1327" s="260">
        <f>L1327+1</f>
        <v>2020</v>
      </c>
    </row>
    <row r="1328" spans="1:14" ht="15" hidden="1" thickBot="1">
      <c r="B1328" s="86" t="s">
        <v>34</v>
      </c>
      <c r="C1328" s="78"/>
      <c r="D1328" s="3"/>
      <c r="E1328" s="66">
        <f>D1328</f>
        <v>0</v>
      </c>
      <c r="F1328" s="138"/>
      <c r="G1328" s="138"/>
      <c r="H1328" s="138"/>
      <c r="I1328" s="138"/>
      <c r="J1328" s="138"/>
      <c r="K1328" s="138"/>
      <c r="L1328" s="138"/>
      <c r="M1328" s="138"/>
      <c r="N1328" s="138"/>
    </row>
    <row r="1329" spans="2:14" ht="15" hidden="1" thickBot="1">
      <c r="B1329" s="86" t="s">
        <v>35</v>
      </c>
      <c r="C1329" s="78"/>
      <c r="D1329" s="174">
        <f>E1329</f>
        <v>0</v>
      </c>
      <c r="E1329" s="10"/>
      <c r="F1329" s="81"/>
      <c r="G1329" s="81"/>
      <c r="H1329" s="81"/>
      <c r="I1329" s="81"/>
      <c r="J1329" s="81"/>
      <c r="K1329" s="81"/>
      <c r="L1329" s="81"/>
      <c r="M1329" s="81"/>
      <c r="N1329" s="81"/>
    </row>
    <row r="1330" spans="2:14" ht="15" hidden="1" thickBot="1">
      <c r="B1330" s="86" t="s">
        <v>36</v>
      </c>
      <c r="C1330" s="78"/>
      <c r="D1330" s="68"/>
      <c r="E1330" s="10">
        <f>E1314</f>
        <v>0</v>
      </c>
      <c r="F1330" s="77">
        <f>E1330</f>
        <v>0</v>
      </c>
      <c r="G1330" s="81"/>
      <c r="H1330" s="81"/>
      <c r="I1330" s="81"/>
      <c r="J1330" s="81"/>
      <c r="K1330" s="81"/>
      <c r="L1330" s="81"/>
      <c r="M1330" s="81"/>
      <c r="N1330" s="81"/>
    </row>
    <row r="1331" spans="2:14" ht="15" hidden="1" thickBot="1">
      <c r="B1331" s="86" t="s">
        <v>37</v>
      </c>
      <c r="C1331" s="78"/>
      <c r="D1331" s="68"/>
      <c r="E1331" s="77">
        <f>F1331</f>
        <v>0</v>
      </c>
      <c r="F1331" s="173"/>
      <c r="G1331" s="81"/>
      <c r="H1331" s="81"/>
      <c r="I1331" s="81"/>
      <c r="J1331" s="81"/>
      <c r="K1331" s="81"/>
      <c r="L1331" s="81"/>
      <c r="M1331" s="81"/>
      <c r="N1331" s="81"/>
    </row>
    <row r="1332" spans="2:14" ht="15" hidden="1" thickBot="1">
      <c r="B1332" s="86" t="s">
        <v>122</v>
      </c>
      <c r="C1332" s="32"/>
      <c r="D1332" s="68"/>
      <c r="E1332" s="157"/>
      <c r="F1332" s="10">
        <f>F1314</f>
        <v>0</v>
      </c>
      <c r="G1332" s="158">
        <f>F1332</f>
        <v>0</v>
      </c>
      <c r="H1332" s="81"/>
      <c r="I1332" s="81"/>
      <c r="J1332" s="81"/>
      <c r="K1332" s="81"/>
      <c r="L1332" s="81"/>
      <c r="M1332" s="81"/>
      <c r="N1332" s="81"/>
    </row>
    <row r="1333" spans="2:14" ht="15" hidden="1" thickBot="1">
      <c r="B1333" s="86" t="s">
        <v>123</v>
      </c>
      <c r="C1333" s="32"/>
      <c r="D1333" s="68"/>
      <c r="E1333" s="157"/>
      <c r="F1333" s="77">
        <f>G1333</f>
        <v>0</v>
      </c>
      <c r="G1333" s="10"/>
      <c r="H1333" s="81"/>
      <c r="I1333" s="81"/>
      <c r="J1333" s="81"/>
      <c r="K1333" s="81"/>
      <c r="L1333" s="81"/>
      <c r="M1333" s="81"/>
      <c r="N1333" s="81"/>
    </row>
    <row r="1334" spans="2:14" ht="15" hidden="1" thickBot="1">
      <c r="B1334" s="86" t="s">
        <v>124</v>
      </c>
      <c r="C1334" s="32"/>
      <c r="D1334" s="68"/>
      <c r="E1334" s="157"/>
      <c r="F1334" s="157"/>
      <c r="G1334" s="10">
        <f>G1314</f>
        <v>0</v>
      </c>
      <c r="H1334" s="158">
        <f>G1334</f>
        <v>0</v>
      </c>
      <c r="I1334" s="157">
        <f>H1334</f>
        <v>0</v>
      </c>
      <c r="J1334" s="157"/>
      <c r="K1334" s="157"/>
      <c r="L1334" s="157"/>
      <c r="M1334" s="157"/>
      <c r="N1334" s="157"/>
    </row>
    <row r="1335" spans="2:14" ht="15" hidden="1" thickBot="1">
      <c r="B1335" s="86" t="s">
        <v>125</v>
      </c>
      <c r="C1335" s="32"/>
      <c r="D1335" s="68"/>
      <c r="E1335" s="157"/>
      <c r="F1335" s="157"/>
      <c r="G1335" s="159"/>
      <c r="H1335" s="160"/>
      <c r="I1335" s="157"/>
      <c r="J1335" s="157"/>
      <c r="K1335" s="157"/>
      <c r="L1335" s="157"/>
      <c r="M1335" s="157"/>
      <c r="N1335" s="157"/>
    </row>
    <row r="1336" spans="2:14" ht="15" hidden="1" thickBot="1">
      <c r="B1336" s="86" t="s">
        <v>126</v>
      </c>
      <c r="C1336" s="32"/>
      <c r="D1336" s="68"/>
      <c r="E1336" s="157"/>
      <c r="F1336" s="157"/>
      <c r="G1336" s="157"/>
      <c r="H1336" s="160">
        <v>0</v>
      </c>
      <c r="I1336" s="158">
        <f>H1336</f>
        <v>0</v>
      </c>
      <c r="J1336" s="158"/>
      <c r="K1336" s="158"/>
      <c r="L1336" s="158"/>
      <c r="M1336" s="158"/>
      <c r="N1336" s="158"/>
    </row>
    <row r="1337" spans="2:14" ht="15" hidden="1" thickBot="1">
      <c r="B1337" s="86" t="s">
        <v>127</v>
      </c>
      <c r="C1337" s="32"/>
      <c r="D1337" s="68"/>
      <c r="E1337" s="157"/>
      <c r="F1337" s="157"/>
      <c r="G1337" s="157"/>
      <c r="H1337" s="77"/>
      <c r="I1337" s="160"/>
      <c r="J1337" s="160"/>
      <c r="K1337" s="160"/>
      <c r="L1337" s="160"/>
      <c r="M1337" s="160"/>
      <c r="N1337" s="160"/>
    </row>
    <row r="1338" spans="2:14" ht="15" hidden="1" thickBot="1">
      <c r="B1338" s="86" t="s">
        <v>128</v>
      </c>
      <c r="C1338" s="32"/>
      <c r="D1338" s="68"/>
      <c r="E1338" s="157"/>
      <c r="F1338" s="157"/>
      <c r="G1338" s="157"/>
      <c r="H1338" s="157"/>
      <c r="I1338" s="160">
        <f>I1314</f>
        <v>0</v>
      </c>
      <c r="J1338" s="160">
        <f>I1338</f>
        <v>0</v>
      </c>
      <c r="K1338" s="160"/>
      <c r="L1338" s="160"/>
      <c r="M1338" s="160"/>
      <c r="N1338" s="160"/>
    </row>
    <row r="1339" spans="2:14" ht="15" hidden="1" thickBot="1">
      <c r="B1339" s="86" t="s">
        <v>119</v>
      </c>
      <c r="C1339" s="32"/>
      <c r="D1339" s="68"/>
      <c r="E1339" s="157"/>
      <c r="F1339" s="157"/>
      <c r="G1339" s="157"/>
      <c r="H1339" s="157"/>
      <c r="I1339" s="249"/>
      <c r="J1339" s="158"/>
      <c r="K1339" s="158"/>
      <c r="L1339" s="158"/>
      <c r="M1339" s="158"/>
      <c r="N1339" s="158"/>
    </row>
    <row r="1340" spans="2:14" ht="15" hidden="1" thickBot="1">
      <c r="B1340" s="86" t="s">
        <v>120</v>
      </c>
      <c r="D1340" s="69"/>
      <c r="E1340" s="140"/>
      <c r="F1340" s="140"/>
      <c r="G1340" s="140"/>
      <c r="H1340" s="140"/>
      <c r="I1340" s="140"/>
      <c r="J1340" s="140"/>
      <c r="K1340" s="140"/>
      <c r="L1340" s="140"/>
      <c r="M1340" s="140"/>
      <c r="N1340" s="140"/>
    </row>
    <row r="1341" spans="2:14" ht="15" hidden="1" thickBot="1">
      <c r="B1341" s="6" t="s">
        <v>17</v>
      </c>
      <c r="D1341" s="7">
        <f xml:space="preserve"> D1334 - D1333</f>
        <v>0</v>
      </c>
      <c r="E1341" s="7">
        <f xml:space="preserve"> E1333 + E1336 - E1335 - E1334</f>
        <v>0</v>
      </c>
      <c r="F1341" s="7">
        <f>F1335 - F1336</f>
        <v>0</v>
      </c>
      <c r="G1341" s="7">
        <f t="shared" ref="G1341" si="847">G1335 - G1336</f>
        <v>0</v>
      </c>
      <c r="H1341" s="7">
        <f>H1334-H1335-H1336</f>
        <v>0</v>
      </c>
      <c r="I1341" s="7">
        <f>I1336-I1337-I1338</f>
        <v>0</v>
      </c>
      <c r="J1341" s="7">
        <f>J1338</f>
        <v>0</v>
      </c>
      <c r="K1341" s="7">
        <f>K1338</f>
        <v>0</v>
      </c>
      <c r="L1341" s="7">
        <f t="shared" ref="L1341:N1341" si="848">L1338</f>
        <v>0</v>
      </c>
      <c r="M1341" s="7">
        <f t="shared" ref="M1341" si="849">M1338</f>
        <v>0</v>
      </c>
      <c r="N1341" s="7">
        <f t="shared" si="848"/>
        <v>0</v>
      </c>
    </row>
    <row r="1342" spans="2:14" ht="15" hidden="1" thickBot="1">
      <c r="C1342" s="32"/>
      <c r="D1342" s="7"/>
      <c r="E1342" s="7"/>
      <c r="F1342" s="7"/>
      <c r="G1342" s="7"/>
      <c r="H1342" s="7"/>
      <c r="I1342" s="7"/>
      <c r="J1342" s="7"/>
      <c r="K1342" s="7"/>
      <c r="L1342" s="7"/>
      <c r="M1342" s="7"/>
      <c r="N1342" s="7"/>
    </row>
    <row r="1343" spans="2:14" ht="15" hidden="1" thickBot="1">
      <c r="B1343" s="83" t="s">
        <v>12</v>
      </c>
      <c r="D1343" s="101"/>
      <c r="E1343" s="102"/>
      <c r="F1343" s="102"/>
      <c r="G1343" s="102"/>
      <c r="H1343" s="102"/>
      <c r="I1343" s="102"/>
      <c r="J1343" s="102"/>
      <c r="K1343" s="102"/>
      <c r="L1343" s="102"/>
      <c r="M1343" s="102"/>
      <c r="N1343" s="102"/>
    </row>
    <row r="1344" spans="2:14" ht="15" hidden="1" thickBot="1">
      <c r="C1344" s="32"/>
      <c r="D1344" s="198"/>
      <c r="E1344" s="7"/>
      <c r="F1344" s="7"/>
      <c r="G1344" s="7"/>
      <c r="H1344" s="7"/>
      <c r="I1344" s="7"/>
      <c r="J1344" s="7"/>
      <c r="K1344" s="7"/>
      <c r="L1344" s="7"/>
      <c r="M1344" s="7"/>
      <c r="N1344" s="7"/>
    </row>
    <row r="1345" spans="1:14" ht="19" hidden="1" thickBot="1">
      <c r="B1345" s="43" t="s">
        <v>26</v>
      </c>
      <c r="D1345" s="47">
        <f xml:space="preserve"> D1314 + D1319 - D1325 + D1341 + D1343</f>
        <v>0</v>
      </c>
      <c r="E1345" s="48">
        <f xml:space="preserve"> E1314 + E1319 - E1325 + E1341 + E1343</f>
        <v>0</v>
      </c>
      <c r="F1345" s="48">
        <f xml:space="preserve"> F1314 + F1319 - F1325 + F1341 + F1343</f>
        <v>0</v>
      </c>
      <c r="G1345" s="48">
        <f t="shared" ref="G1345:K1345" si="850" xml:space="preserve"> G1314 + G1319 - G1325 + G1341 + G1343</f>
        <v>0</v>
      </c>
      <c r="H1345" s="48">
        <f t="shared" si="850"/>
        <v>0</v>
      </c>
      <c r="I1345" s="48">
        <f t="shared" si="850"/>
        <v>0</v>
      </c>
      <c r="J1345" s="48">
        <f t="shared" si="850"/>
        <v>0</v>
      </c>
      <c r="K1345" s="48">
        <f t="shared" si="850"/>
        <v>0</v>
      </c>
      <c r="L1345" s="48">
        <f t="shared" ref="L1345:N1345" si="851" xml:space="preserve"> L1314 + L1319 - L1325 + L1341 + L1343</f>
        <v>0</v>
      </c>
      <c r="M1345" s="48">
        <f t="shared" ref="M1345" si="852" xml:space="preserve"> M1314 + M1319 - M1325 + M1341 + M1343</f>
        <v>0</v>
      </c>
      <c r="N1345" s="48">
        <f t="shared" si="851"/>
        <v>0</v>
      </c>
    </row>
    <row r="1346" spans="1:14" ht="15" hidden="1" thickBot="1"/>
    <row r="1347" spans="1:14">
      <c r="A1347" s="8"/>
      <c r="B1347" s="8"/>
      <c r="C1347" s="8"/>
      <c r="D1347" s="8"/>
      <c r="E1347" s="8"/>
      <c r="F1347" s="8"/>
      <c r="G1347" s="8"/>
      <c r="H1347" s="8"/>
      <c r="I1347" s="8"/>
      <c r="J1347" s="8"/>
      <c r="K1347" s="8"/>
      <c r="L1347" s="8"/>
      <c r="M1347" s="8"/>
      <c r="N1347" s="8"/>
    </row>
    <row r="1348" spans="1:14">
      <c r="B1348" s="32"/>
      <c r="C1348" s="32"/>
      <c r="D1348" s="32"/>
      <c r="E1348" s="32"/>
      <c r="F1348" s="32"/>
      <c r="G1348" s="32"/>
      <c r="H1348" s="32"/>
      <c r="I1348" s="32"/>
      <c r="J1348" s="32"/>
      <c r="K1348" s="32"/>
      <c r="L1348" s="32"/>
      <c r="M1348" s="32"/>
      <c r="N1348" s="32"/>
    </row>
    <row r="1349" spans="1:14" ht="21">
      <c r="A1349" s="14" t="s">
        <v>4</v>
      </c>
      <c r="B1349" s="14"/>
      <c r="C1349" s="342" t="str">
        <f>B30</f>
        <v>Meadow Creek Wind Farm - North Point Wind Farm - REC Only</v>
      </c>
      <c r="D1349" s="45"/>
      <c r="E1349" s="24"/>
      <c r="F1349" s="24"/>
    </row>
    <row r="1351" spans="1:14" ht="18.5">
      <c r="A1351" s="9" t="s">
        <v>21</v>
      </c>
      <c r="B1351" s="9"/>
      <c r="D1351" s="2">
        <v>2011</v>
      </c>
      <c r="E1351" s="2">
        <v>2012</v>
      </c>
      <c r="F1351" s="2">
        <v>2013</v>
      </c>
      <c r="G1351" s="2">
        <v>2014</v>
      </c>
      <c r="H1351" s="2">
        <v>2015</v>
      </c>
      <c r="I1351" s="2">
        <v>2016</v>
      </c>
      <c r="J1351" s="2">
        <v>2017</v>
      </c>
      <c r="K1351" s="2">
        <v>2018</v>
      </c>
      <c r="L1351" s="2">
        <v>2018</v>
      </c>
      <c r="M1351" s="2">
        <v>2018</v>
      </c>
      <c r="N1351" s="2">
        <v>2018</v>
      </c>
    </row>
    <row r="1352" spans="1:14">
      <c r="B1352" s="86" t="str">
        <f>"Total MWh Produced / Purchased from " &amp; C1349</f>
        <v>Total MWh Produced / Purchased from Meadow Creek Wind Farm - North Point Wind Farm - REC Only</v>
      </c>
      <c r="C1352" s="78"/>
      <c r="D1352" s="3"/>
      <c r="E1352" s="4"/>
      <c r="F1352" s="4"/>
      <c r="G1352" s="4"/>
      <c r="H1352" s="307"/>
      <c r="I1352" s="307">
        <v>2644</v>
      </c>
      <c r="J1352" s="307"/>
      <c r="K1352" s="307"/>
      <c r="L1352" s="307"/>
      <c r="M1352" s="307"/>
      <c r="N1352" s="307"/>
    </row>
    <row r="1353" spans="1:14">
      <c r="B1353" s="86" t="s">
        <v>25</v>
      </c>
      <c r="C1353" s="78"/>
      <c r="D1353" s="60"/>
      <c r="E1353" s="61"/>
      <c r="F1353" s="61"/>
      <c r="G1353" s="61"/>
      <c r="H1353" s="312"/>
      <c r="I1353" s="312">
        <v>1</v>
      </c>
      <c r="J1353" s="312"/>
      <c r="K1353" s="312"/>
      <c r="L1353" s="312"/>
      <c r="M1353" s="312"/>
      <c r="N1353" s="312"/>
    </row>
    <row r="1354" spans="1:14">
      <c r="B1354" s="86" t="s">
        <v>20</v>
      </c>
      <c r="C1354" s="78"/>
      <c r="D1354" s="52"/>
      <c r="E1354" s="53"/>
      <c r="F1354" s="53"/>
      <c r="G1354" s="53"/>
      <c r="H1354" s="324"/>
      <c r="I1354" s="324">
        <v>1</v>
      </c>
      <c r="J1354" s="324"/>
      <c r="K1354" s="324"/>
      <c r="L1354" s="324"/>
      <c r="M1354" s="324"/>
      <c r="N1354" s="324"/>
    </row>
    <row r="1355" spans="1:14">
      <c r="B1355" s="83" t="s">
        <v>22</v>
      </c>
      <c r="C1355" s="84"/>
      <c r="D1355" s="39">
        <v>0</v>
      </c>
      <c r="E1355" s="39">
        <v>0</v>
      </c>
      <c r="F1355" s="39">
        <v>0</v>
      </c>
      <c r="G1355" s="39">
        <v>0</v>
      </c>
      <c r="H1355" s="306">
        <v>0</v>
      </c>
      <c r="I1355" s="306">
        <v>2644</v>
      </c>
      <c r="J1355" s="306">
        <v>0</v>
      </c>
      <c r="K1355" s="306">
        <v>0</v>
      </c>
      <c r="L1355" s="306">
        <v>0</v>
      </c>
      <c r="M1355" s="306">
        <v>0</v>
      </c>
      <c r="N1355" s="306">
        <v>0</v>
      </c>
    </row>
    <row r="1356" spans="1:14">
      <c r="B1356" s="24"/>
      <c r="C1356" s="32"/>
      <c r="D1356" s="38"/>
      <c r="E1356" s="38"/>
      <c r="F1356" s="38"/>
      <c r="G1356" s="38"/>
      <c r="H1356" s="25"/>
      <c r="I1356" s="25"/>
      <c r="J1356" s="25"/>
      <c r="K1356" s="25"/>
      <c r="L1356" s="25"/>
      <c r="M1356" s="25"/>
      <c r="N1356" s="25"/>
    </row>
    <row r="1357" spans="1:14" ht="18.5">
      <c r="A1357" s="46" t="s">
        <v>52</v>
      </c>
      <c r="C1357" s="32"/>
      <c r="D1357" s="2">
        <v>2011</v>
      </c>
      <c r="E1357" s="2">
        <v>2012</v>
      </c>
      <c r="F1357" s="2">
        <v>2013</v>
      </c>
      <c r="G1357" s="2">
        <v>2014</v>
      </c>
      <c r="H1357" s="2">
        <v>2015</v>
      </c>
      <c r="I1357" s="2">
        <v>2016</v>
      </c>
      <c r="J1357" s="2">
        <v>2017</v>
      </c>
      <c r="K1357" s="2">
        <v>2018</v>
      </c>
      <c r="L1357" s="2">
        <v>2018</v>
      </c>
      <c r="M1357" s="2">
        <v>2018</v>
      </c>
      <c r="N1357" s="2">
        <v>2018</v>
      </c>
    </row>
    <row r="1358" spans="1:14">
      <c r="B1358" s="86" t="s">
        <v>10</v>
      </c>
      <c r="C1358" s="78"/>
      <c r="D1358" s="55">
        <v>0</v>
      </c>
      <c r="E1358" s="11">
        <v>0</v>
      </c>
      <c r="F1358" s="11">
        <v>0</v>
      </c>
      <c r="G1358" s="11">
        <v>0</v>
      </c>
      <c r="H1358" s="11">
        <v>0</v>
      </c>
      <c r="I1358" s="11">
        <v>0</v>
      </c>
      <c r="J1358" s="11">
        <v>0</v>
      </c>
      <c r="K1358" s="11">
        <v>0</v>
      </c>
      <c r="L1358" s="11">
        <v>0</v>
      </c>
      <c r="M1358" s="11">
        <v>0</v>
      </c>
      <c r="N1358" s="11">
        <v>0</v>
      </c>
    </row>
    <row r="1359" spans="1:14">
      <c r="B1359" s="86" t="s">
        <v>6</v>
      </c>
      <c r="C1359" s="78"/>
      <c r="D1359" s="56">
        <v>0</v>
      </c>
      <c r="E1359" s="57">
        <v>0</v>
      </c>
      <c r="F1359" s="57">
        <v>0</v>
      </c>
      <c r="G1359" s="57">
        <v>0</v>
      </c>
      <c r="H1359" s="57">
        <v>0</v>
      </c>
      <c r="I1359" s="57">
        <v>0</v>
      </c>
      <c r="J1359" s="57">
        <v>0</v>
      </c>
      <c r="K1359" s="57">
        <v>0</v>
      </c>
      <c r="L1359" s="57">
        <v>0</v>
      </c>
      <c r="M1359" s="57">
        <v>0</v>
      </c>
      <c r="N1359" s="57">
        <v>0</v>
      </c>
    </row>
    <row r="1360" spans="1:14">
      <c r="B1360" s="85" t="s">
        <v>54</v>
      </c>
      <c r="C1360" s="84"/>
      <c r="D1360" s="41">
        <v>0</v>
      </c>
      <c r="E1360" s="42">
        <v>0</v>
      </c>
      <c r="F1360" s="42">
        <v>0</v>
      </c>
      <c r="G1360" s="42">
        <v>0</v>
      </c>
      <c r="H1360" s="42">
        <v>0</v>
      </c>
      <c r="I1360" s="42">
        <v>0</v>
      </c>
      <c r="J1360" s="42">
        <v>0</v>
      </c>
      <c r="K1360" s="42">
        <v>0</v>
      </c>
      <c r="L1360" s="42">
        <v>0</v>
      </c>
      <c r="M1360" s="42">
        <v>0</v>
      </c>
      <c r="N1360" s="42">
        <v>0</v>
      </c>
    </row>
    <row r="1361" spans="1:14">
      <c r="B1361" s="32"/>
      <c r="C1361" s="32"/>
      <c r="D1361" s="40"/>
      <c r="E1361" s="33"/>
      <c r="F1361" s="33"/>
      <c r="G1361" s="33"/>
      <c r="H1361" s="33"/>
      <c r="I1361" s="33"/>
      <c r="J1361" s="33"/>
      <c r="K1361" s="33"/>
      <c r="L1361" s="33"/>
      <c r="M1361" s="33"/>
      <c r="N1361" s="33"/>
    </row>
    <row r="1362" spans="1:14" ht="18.5">
      <c r="A1362" s="43" t="s">
        <v>30</v>
      </c>
      <c r="C1362" s="32"/>
      <c r="D1362" s="2">
        <v>2011</v>
      </c>
      <c r="E1362" s="2">
        <v>2012</v>
      </c>
      <c r="F1362" s="2">
        <v>2013</v>
      </c>
      <c r="G1362" s="2">
        <v>2014</v>
      </c>
      <c r="H1362" s="2">
        <v>2015</v>
      </c>
      <c r="I1362" s="2">
        <v>2016</v>
      </c>
      <c r="J1362" s="2">
        <v>2017</v>
      </c>
      <c r="K1362" s="2">
        <v>2018</v>
      </c>
      <c r="L1362" s="2">
        <v>2018</v>
      </c>
      <c r="M1362" s="2">
        <v>2018</v>
      </c>
      <c r="N1362" s="2">
        <v>2018</v>
      </c>
    </row>
    <row r="1363" spans="1:14">
      <c r="B1363" s="86" t="s">
        <v>32</v>
      </c>
      <c r="C1363" s="78"/>
      <c r="D1363" s="90"/>
      <c r="E1363" s="91"/>
      <c r="F1363" s="91"/>
      <c r="G1363" s="91"/>
      <c r="H1363" s="91"/>
      <c r="I1363" s="91"/>
      <c r="J1363" s="91"/>
      <c r="K1363" s="91"/>
      <c r="L1363" s="91"/>
      <c r="M1363" s="91"/>
      <c r="N1363" s="91"/>
    </row>
    <row r="1364" spans="1:14">
      <c r="B1364" s="87" t="s">
        <v>23</v>
      </c>
      <c r="C1364" s="192"/>
      <c r="D1364" s="93"/>
      <c r="E1364" s="94"/>
      <c r="F1364" s="94"/>
      <c r="G1364" s="94"/>
      <c r="H1364" s="94"/>
      <c r="I1364" s="94"/>
      <c r="J1364" s="94"/>
      <c r="K1364" s="94"/>
      <c r="L1364" s="94"/>
      <c r="M1364" s="94"/>
      <c r="N1364" s="94"/>
    </row>
    <row r="1365" spans="1:14">
      <c r="B1365" s="96" t="s">
        <v>38</v>
      </c>
      <c r="C1365" s="190"/>
      <c r="D1365" s="63"/>
      <c r="E1365" s="64"/>
      <c r="F1365" s="64"/>
      <c r="G1365" s="64"/>
      <c r="H1365" s="64"/>
      <c r="I1365" s="64"/>
      <c r="J1365" s="64"/>
      <c r="K1365" s="64"/>
      <c r="L1365" s="64"/>
      <c r="M1365" s="64"/>
      <c r="N1365" s="64"/>
    </row>
    <row r="1366" spans="1:14">
      <c r="B1366" s="35" t="s">
        <v>39</v>
      </c>
      <c r="D1366" s="7">
        <v>0</v>
      </c>
      <c r="E1366" s="7">
        <v>0</v>
      </c>
      <c r="F1366" s="7">
        <v>0</v>
      </c>
      <c r="G1366" s="7">
        <v>0</v>
      </c>
      <c r="H1366" s="7">
        <v>0</v>
      </c>
      <c r="I1366" s="7">
        <v>0</v>
      </c>
      <c r="J1366" s="7">
        <v>0</v>
      </c>
      <c r="K1366" s="7">
        <v>0</v>
      </c>
      <c r="L1366" s="7">
        <v>0</v>
      </c>
      <c r="M1366" s="7">
        <v>0</v>
      </c>
      <c r="N1366" s="7">
        <v>0</v>
      </c>
    </row>
    <row r="1367" spans="1:14">
      <c r="B1367" s="6"/>
      <c r="D1367" s="7"/>
      <c r="E1367" s="7"/>
      <c r="F1367" s="7"/>
      <c r="G1367" s="30"/>
      <c r="H1367" s="30"/>
      <c r="I1367" s="30"/>
      <c r="J1367" s="30"/>
      <c r="K1367" s="30"/>
      <c r="L1367" s="30"/>
      <c r="M1367" s="30"/>
      <c r="N1367" s="30"/>
    </row>
    <row r="1368" spans="1:14" ht="18.5">
      <c r="A1368" s="9" t="s">
        <v>40</v>
      </c>
      <c r="D1368" s="2">
        <f>'Facility Detail'!$B$1897</f>
        <v>2011</v>
      </c>
      <c r="E1368" s="2">
        <f>D1368+1</f>
        <v>2012</v>
      </c>
      <c r="F1368" s="2">
        <f>E1368+1</f>
        <v>2013</v>
      </c>
      <c r="G1368" s="260">
        <f t="shared" ref="G1368" si="853">F1368+1</f>
        <v>2014</v>
      </c>
      <c r="H1368" s="260">
        <f t="shared" ref="H1368" si="854">G1368+1</f>
        <v>2015</v>
      </c>
      <c r="I1368" s="260">
        <f t="shared" ref="I1368" si="855">H1368+1</f>
        <v>2016</v>
      </c>
      <c r="J1368" s="260">
        <f t="shared" ref="J1368" si="856">I1368+1</f>
        <v>2017</v>
      </c>
      <c r="K1368" s="260">
        <f t="shared" ref="K1368" si="857">J1368+1</f>
        <v>2018</v>
      </c>
      <c r="L1368" s="260">
        <f t="shared" ref="L1368" si="858">K1368+1</f>
        <v>2019</v>
      </c>
      <c r="M1368" s="260">
        <f t="shared" ref="M1368" si="859">L1368+1</f>
        <v>2020</v>
      </c>
      <c r="N1368" s="260">
        <f t="shared" ref="N1368" si="860">M1368+1</f>
        <v>2021</v>
      </c>
    </row>
    <row r="1369" spans="1:14">
      <c r="B1369" s="86" t="s">
        <v>34</v>
      </c>
      <c r="C1369" s="78"/>
      <c r="D1369" s="261"/>
      <c r="E1369" s="75">
        <f>D1369</f>
        <v>0</v>
      </c>
      <c r="F1369" s="262"/>
      <c r="G1369" s="262"/>
      <c r="H1369" s="262"/>
      <c r="I1369" s="262"/>
      <c r="J1369" s="262"/>
      <c r="K1369" s="262"/>
      <c r="L1369" s="262"/>
      <c r="M1369" s="262"/>
      <c r="N1369" s="262"/>
    </row>
    <row r="1370" spans="1:14">
      <c r="B1370" s="86" t="s">
        <v>35</v>
      </c>
      <c r="C1370" s="78"/>
      <c r="D1370" s="264">
        <f>E1370</f>
        <v>0</v>
      </c>
      <c r="E1370" s="265"/>
      <c r="F1370" s="266"/>
      <c r="G1370" s="266"/>
      <c r="H1370" s="266"/>
      <c r="I1370" s="266"/>
      <c r="J1370" s="266"/>
      <c r="K1370" s="266"/>
      <c r="L1370" s="266"/>
      <c r="M1370" s="266"/>
      <c r="N1370" s="266"/>
    </row>
    <row r="1371" spans="1:14">
      <c r="B1371" s="86" t="s">
        <v>36</v>
      </c>
      <c r="C1371" s="78"/>
      <c r="D1371" s="268"/>
      <c r="E1371" s="265">
        <f>E1355</f>
        <v>0</v>
      </c>
      <c r="F1371" s="269">
        <f>E1371</f>
        <v>0</v>
      </c>
      <c r="G1371" s="266"/>
      <c r="H1371" s="266"/>
      <c r="I1371" s="266"/>
      <c r="J1371" s="266"/>
      <c r="K1371" s="266"/>
      <c r="L1371" s="266"/>
      <c r="M1371" s="266"/>
      <c r="N1371" s="266"/>
    </row>
    <row r="1372" spans="1:14">
      <c r="B1372" s="86" t="s">
        <v>37</v>
      </c>
      <c r="C1372" s="78"/>
      <c r="D1372" s="268"/>
      <c r="E1372" s="269">
        <f>F1372</f>
        <v>0</v>
      </c>
      <c r="F1372" s="270"/>
      <c r="G1372" s="266"/>
      <c r="H1372" s="266"/>
      <c r="I1372" s="266"/>
      <c r="J1372" s="266"/>
      <c r="K1372" s="266"/>
      <c r="L1372" s="266"/>
      <c r="M1372" s="266"/>
      <c r="N1372" s="266"/>
    </row>
    <row r="1373" spans="1:14">
      <c r="B1373" s="86" t="s">
        <v>122</v>
      </c>
      <c r="C1373" s="32"/>
      <c r="D1373" s="268"/>
      <c r="E1373" s="271"/>
      <c r="F1373" s="265">
        <f>F1355</f>
        <v>0</v>
      </c>
      <c r="G1373" s="272">
        <f>F1373</f>
        <v>0</v>
      </c>
      <c r="H1373" s="266"/>
      <c r="I1373" s="266"/>
      <c r="J1373" s="266"/>
      <c r="K1373" s="266"/>
      <c r="L1373" s="266"/>
      <c r="M1373" s="266"/>
      <c r="N1373" s="266"/>
    </row>
    <row r="1374" spans="1:14">
      <c r="B1374" s="86" t="s">
        <v>123</v>
      </c>
      <c r="C1374" s="32"/>
      <c r="D1374" s="268"/>
      <c r="E1374" s="271"/>
      <c r="F1374" s="269">
        <f>G1374</f>
        <v>0</v>
      </c>
      <c r="G1374" s="265"/>
      <c r="H1374" s="266"/>
      <c r="I1374" s="266"/>
      <c r="J1374" s="266"/>
      <c r="K1374" s="266"/>
      <c r="L1374" s="266"/>
      <c r="M1374" s="266"/>
      <c r="N1374" s="266"/>
    </row>
    <row r="1375" spans="1:14">
      <c r="B1375" s="86" t="s">
        <v>124</v>
      </c>
      <c r="C1375" s="32"/>
      <c r="D1375" s="268"/>
      <c r="E1375" s="271"/>
      <c r="F1375" s="271"/>
      <c r="G1375" s="265">
        <f>G1355</f>
        <v>0</v>
      </c>
      <c r="H1375" s="272">
        <f>G1375</f>
        <v>0</v>
      </c>
      <c r="I1375" s="271">
        <f>H1375</f>
        <v>0</v>
      </c>
      <c r="J1375" s="271"/>
      <c r="K1375" s="271"/>
      <c r="L1375" s="271"/>
      <c r="M1375" s="271"/>
      <c r="N1375" s="271"/>
    </row>
    <row r="1376" spans="1:14">
      <c r="B1376" s="86" t="s">
        <v>125</v>
      </c>
      <c r="C1376" s="32"/>
      <c r="D1376" s="268"/>
      <c r="E1376" s="271"/>
      <c r="F1376" s="271"/>
      <c r="G1376" s="274"/>
      <c r="H1376" s="275"/>
      <c r="I1376" s="271"/>
      <c r="J1376" s="271"/>
      <c r="K1376" s="271"/>
      <c r="L1376" s="271"/>
      <c r="M1376" s="271"/>
      <c r="N1376" s="271"/>
    </row>
    <row r="1377" spans="1:14">
      <c r="B1377" s="86" t="s">
        <v>126</v>
      </c>
      <c r="C1377" s="32"/>
      <c r="D1377" s="268"/>
      <c r="E1377" s="271"/>
      <c r="F1377" s="271"/>
      <c r="G1377" s="271"/>
      <c r="H1377" s="275">
        <v>0</v>
      </c>
      <c r="I1377" s="272">
        <f>H1377</f>
        <v>0</v>
      </c>
      <c r="J1377" s="272"/>
      <c r="K1377" s="272"/>
      <c r="L1377" s="272"/>
      <c r="M1377" s="272"/>
      <c r="N1377" s="272"/>
    </row>
    <row r="1378" spans="1:14">
      <c r="B1378" s="86" t="s">
        <v>127</v>
      </c>
      <c r="C1378" s="32"/>
      <c r="D1378" s="268"/>
      <c r="E1378" s="271"/>
      <c r="F1378" s="271"/>
      <c r="G1378" s="271"/>
      <c r="H1378" s="269"/>
      <c r="I1378" s="275"/>
      <c r="J1378" s="275"/>
      <c r="K1378" s="275"/>
      <c r="L1378" s="275"/>
      <c r="M1378" s="275"/>
      <c r="N1378" s="275"/>
    </row>
    <row r="1379" spans="1:14">
      <c r="B1379" s="86" t="s">
        <v>128</v>
      </c>
      <c r="C1379" s="32"/>
      <c r="D1379" s="268"/>
      <c r="E1379" s="271"/>
      <c r="F1379" s="271"/>
      <c r="G1379" s="271"/>
      <c r="H1379" s="271"/>
      <c r="I1379" s="275">
        <f>I1355</f>
        <v>2644</v>
      </c>
      <c r="J1379" s="275">
        <f>I1379</f>
        <v>2644</v>
      </c>
      <c r="K1379" s="275"/>
      <c r="L1379" s="275"/>
      <c r="M1379" s="275"/>
      <c r="N1379" s="275"/>
    </row>
    <row r="1380" spans="1:14">
      <c r="B1380" s="86" t="s">
        <v>119</v>
      </c>
      <c r="C1380" s="32"/>
      <c r="D1380" s="268"/>
      <c r="E1380" s="271"/>
      <c r="F1380" s="271"/>
      <c r="G1380" s="271"/>
      <c r="H1380" s="271"/>
      <c r="I1380" s="276"/>
      <c r="J1380" s="158"/>
      <c r="K1380" s="158"/>
      <c r="L1380" s="158"/>
      <c r="M1380" s="158"/>
      <c r="N1380" s="158"/>
    </row>
    <row r="1381" spans="1:14">
      <c r="B1381" s="86" t="s">
        <v>120</v>
      </c>
      <c r="C1381" s="32"/>
      <c r="D1381" s="277"/>
      <c r="E1381" s="278"/>
      <c r="F1381" s="278"/>
      <c r="G1381" s="278"/>
      <c r="H1381" s="278"/>
      <c r="I1381" s="278"/>
      <c r="J1381" s="278"/>
      <c r="K1381" s="278"/>
      <c r="L1381" s="278"/>
      <c r="M1381" s="278"/>
      <c r="N1381" s="278"/>
    </row>
    <row r="1382" spans="1:14">
      <c r="B1382" s="35" t="s">
        <v>17</v>
      </c>
      <c r="D1382" s="281">
        <f xml:space="preserve"> D1375 - D1374</f>
        <v>0</v>
      </c>
      <c r="E1382" s="281">
        <f xml:space="preserve"> E1374 + E1377 - E1376 - E1375</f>
        <v>0</v>
      </c>
      <c r="F1382" s="281">
        <f>F1376 - F1377</f>
        <v>0</v>
      </c>
      <c r="G1382" s="281">
        <f t="shared" ref="G1382" si="861">G1376 - G1377</f>
        <v>0</v>
      </c>
      <c r="H1382" s="281">
        <f>H1375-H1376-H1377</f>
        <v>0</v>
      </c>
      <c r="I1382" s="315">
        <f>I1377-I1378-I1379</f>
        <v>-2644</v>
      </c>
      <c r="J1382" s="315">
        <f>J1379-J1380-J1381</f>
        <v>2644</v>
      </c>
      <c r="K1382" s="315">
        <f>K1381</f>
        <v>0</v>
      </c>
      <c r="L1382" s="315">
        <f t="shared" ref="L1382:N1382" si="862">L1381</f>
        <v>0</v>
      </c>
      <c r="M1382" s="315">
        <f t="shared" ref="M1382" si="863">M1381</f>
        <v>0</v>
      </c>
      <c r="N1382" s="315">
        <f t="shared" si="862"/>
        <v>0</v>
      </c>
    </row>
    <row r="1383" spans="1:14">
      <c r="B1383" s="6"/>
      <c r="D1383" s="281"/>
      <c r="E1383" s="281"/>
      <c r="F1383" s="281"/>
      <c r="G1383" s="281"/>
      <c r="H1383" s="281"/>
      <c r="I1383" s="281"/>
      <c r="J1383" s="281"/>
      <c r="K1383" s="281"/>
      <c r="L1383" s="281"/>
      <c r="M1383" s="281"/>
      <c r="N1383" s="281"/>
    </row>
    <row r="1384" spans="1:14">
      <c r="B1384" s="83" t="s">
        <v>12</v>
      </c>
      <c r="C1384" s="78"/>
      <c r="D1384" s="282"/>
      <c r="E1384" s="283"/>
      <c r="F1384" s="283"/>
      <c r="G1384" s="283"/>
      <c r="H1384" s="283"/>
      <c r="I1384" s="283"/>
      <c r="J1384" s="283"/>
      <c r="K1384" s="283"/>
      <c r="L1384" s="283"/>
      <c r="M1384" s="283"/>
      <c r="N1384" s="283"/>
    </row>
    <row r="1385" spans="1:14">
      <c r="B1385" s="6"/>
      <c r="D1385" s="281"/>
      <c r="E1385" s="281"/>
      <c r="F1385" s="281"/>
      <c r="G1385" s="281"/>
      <c r="H1385" s="281"/>
      <c r="I1385" s="281"/>
      <c r="J1385" s="281"/>
      <c r="K1385" s="281"/>
      <c r="L1385" s="281"/>
      <c r="M1385" s="281"/>
      <c r="N1385" s="281"/>
    </row>
    <row r="1386" spans="1:14" ht="18.5">
      <c r="A1386" s="43" t="s">
        <v>26</v>
      </c>
      <c r="C1386" s="78"/>
      <c r="D1386" s="285">
        <f xml:space="preserve"> D1355 + D1360 - D1366 + D1382 + D1384</f>
        <v>0</v>
      </c>
      <c r="E1386" s="286">
        <f xml:space="preserve"> E1355 + E1360 - E1366 + E1382 + E1384</f>
        <v>0</v>
      </c>
      <c r="F1386" s="286">
        <f xml:space="preserve"> F1355 + F1360 - F1366 + F1382 + F1384</f>
        <v>0</v>
      </c>
      <c r="G1386" s="286">
        <f t="shared" ref="G1386:K1386" si="864" xml:space="preserve"> G1355 + G1360 - G1366 + G1382 + G1384</f>
        <v>0</v>
      </c>
      <c r="H1386" s="286">
        <f t="shared" si="864"/>
        <v>0</v>
      </c>
      <c r="I1386" s="286">
        <f t="shared" si="864"/>
        <v>0</v>
      </c>
      <c r="J1386" s="286">
        <f t="shared" si="864"/>
        <v>2644</v>
      </c>
      <c r="K1386" s="286">
        <f t="shared" si="864"/>
        <v>0</v>
      </c>
      <c r="L1386" s="286">
        <f t="shared" ref="L1386:N1386" si="865" xml:space="preserve"> L1355 + L1360 - L1366 + L1382 + L1384</f>
        <v>0</v>
      </c>
      <c r="M1386" s="286">
        <f t="shared" ref="M1386" si="866" xml:space="preserve"> M1355 + M1360 - M1366 + M1382 + M1384</f>
        <v>0</v>
      </c>
      <c r="N1386" s="286">
        <f t="shared" si="865"/>
        <v>0</v>
      </c>
    </row>
    <row r="1387" spans="1:14">
      <c r="B1387" s="6"/>
      <c r="D1387" s="7"/>
      <c r="E1387" s="7"/>
      <c r="F1387" s="7"/>
      <c r="G1387" s="30"/>
      <c r="H1387" s="30"/>
      <c r="I1387" s="30"/>
      <c r="J1387" s="30"/>
      <c r="K1387" s="30"/>
      <c r="L1387" s="30"/>
      <c r="M1387" s="30"/>
      <c r="N1387" s="30"/>
    </row>
    <row r="1388" spans="1:14" ht="15" thickBot="1"/>
    <row r="1389" spans="1:14">
      <c r="A1389" s="8"/>
      <c r="B1389" s="8"/>
      <c r="C1389" s="8"/>
      <c r="D1389" s="8"/>
      <c r="E1389" s="8"/>
      <c r="F1389" s="8"/>
      <c r="G1389" s="8"/>
      <c r="H1389" s="8"/>
      <c r="I1389" s="8"/>
      <c r="J1389" s="8"/>
      <c r="K1389" s="8"/>
      <c r="L1389" s="8"/>
      <c r="M1389" s="8"/>
      <c r="N1389" s="8"/>
    </row>
    <row r="1390" spans="1:14" ht="21">
      <c r="A1390" s="14" t="s">
        <v>4</v>
      </c>
      <c r="B1390" s="14"/>
      <c r="C1390" s="342" t="str">
        <f>B31</f>
        <v>Nine Canyon Wind Project - Nine Canyon Phase 3 - REC Only</v>
      </c>
      <c r="D1390" s="45"/>
      <c r="E1390" s="24"/>
      <c r="F1390" s="24"/>
    </row>
    <row r="1392" spans="1:14" ht="18.5">
      <c r="A1392" s="9" t="s">
        <v>21</v>
      </c>
      <c r="B1392" s="9"/>
      <c r="D1392" s="2">
        <v>2011</v>
      </c>
      <c r="E1392" s="2">
        <v>2012</v>
      </c>
      <c r="F1392" s="2">
        <v>2013</v>
      </c>
      <c r="G1392" s="2">
        <v>2014</v>
      </c>
      <c r="H1392" s="2">
        <v>2015</v>
      </c>
      <c r="I1392" s="2">
        <v>2016</v>
      </c>
      <c r="J1392" s="2">
        <v>2017</v>
      </c>
      <c r="K1392" s="2">
        <v>2018</v>
      </c>
      <c r="L1392" s="2">
        <v>2018</v>
      </c>
      <c r="M1392" s="2">
        <v>2018</v>
      </c>
      <c r="N1392" s="2">
        <v>2018</v>
      </c>
    </row>
    <row r="1393" spans="1:14">
      <c r="B1393" s="86" t="str">
        <f>"Total MWh Produced / Purchased from " &amp; C1390</f>
        <v>Total MWh Produced / Purchased from Nine Canyon Wind Project - Nine Canyon Phase 3 - REC Only</v>
      </c>
      <c r="C1393" s="78"/>
      <c r="D1393" s="3"/>
      <c r="E1393" s="4"/>
      <c r="F1393" s="4"/>
      <c r="G1393" s="4"/>
      <c r="H1393" s="4"/>
      <c r="I1393" s="307">
        <v>4668</v>
      </c>
      <c r="J1393" s="307"/>
      <c r="K1393" s="307"/>
      <c r="L1393" s="307"/>
      <c r="M1393" s="307"/>
      <c r="N1393" s="307"/>
    </row>
    <row r="1394" spans="1:14">
      <c r="B1394" s="86" t="s">
        <v>25</v>
      </c>
      <c r="C1394" s="78"/>
      <c r="D1394" s="60"/>
      <c r="E1394" s="61"/>
      <c r="F1394" s="61"/>
      <c r="G1394" s="61"/>
      <c r="H1394" s="61"/>
      <c r="I1394" s="61">
        <v>1</v>
      </c>
      <c r="J1394" s="61"/>
      <c r="K1394" s="61"/>
      <c r="L1394" s="61"/>
      <c r="M1394" s="61"/>
      <c r="N1394" s="61"/>
    </row>
    <row r="1395" spans="1:14">
      <c r="B1395" s="86" t="s">
        <v>20</v>
      </c>
      <c r="C1395" s="78"/>
      <c r="D1395" s="52"/>
      <c r="E1395" s="53"/>
      <c r="F1395" s="53"/>
      <c r="G1395" s="53"/>
      <c r="H1395" s="53"/>
      <c r="I1395" s="53">
        <v>1</v>
      </c>
      <c r="J1395" s="53"/>
      <c r="K1395" s="53"/>
      <c r="L1395" s="53"/>
      <c r="M1395" s="53"/>
      <c r="N1395" s="53"/>
    </row>
    <row r="1396" spans="1:14">
      <c r="B1396" s="83" t="s">
        <v>22</v>
      </c>
      <c r="C1396" s="84"/>
      <c r="D1396" s="39">
        <v>0</v>
      </c>
      <c r="E1396" s="39">
        <v>0</v>
      </c>
      <c r="F1396" s="39">
        <v>0</v>
      </c>
      <c r="G1396" s="39">
        <v>0</v>
      </c>
      <c r="H1396" s="306">
        <v>0</v>
      </c>
      <c r="I1396" s="306">
        <v>4668</v>
      </c>
      <c r="J1396" s="306">
        <v>0</v>
      </c>
      <c r="K1396" s="306">
        <v>0</v>
      </c>
      <c r="L1396" s="306">
        <v>0</v>
      </c>
      <c r="M1396" s="306">
        <v>0</v>
      </c>
      <c r="N1396" s="306">
        <v>0</v>
      </c>
    </row>
    <row r="1397" spans="1:14">
      <c r="B1397" s="24"/>
      <c r="C1397" s="32"/>
      <c r="D1397" s="38"/>
      <c r="E1397" s="38"/>
      <c r="F1397" s="38"/>
      <c r="G1397" s="38"/>
      <c r="H1397" s="38"/>
      <c r="I1397" s="38"/>
      <c r="J1397" s="38"/>
      <c r="K1397" s="38"/>
      <c r="L1397" s="38"/>
      <c r="M1397" s="38"/>
      <c r="N1397" s="38"/>
    </row>
    <row r="1398" spans="1:14" ht="18.5">
      <c r="A1398" s="46" t="s">
        <v>52</v>
      </c>
      <c r="C1398" s="32"/>
      <c r="D1398" s="2">
        <v>2011</v>
      </c>
      <c r="E1398" s="2">
        <v>2012</v>
      </c>
      <c r="F1398" s="2">
        <v>2013</v>
      </c>
      <c r="G1398" s="2">
        <v>2014</v>
      </c>
      <c r="H1398" s="2">
        <v>2015</v>
      </c>
      <c r="I1398" s="2">
        <v>2016</v>
      </c>
      <c r="J1398" s="2">
        <v>2017</v>
      </c>
      <c r="K1398" s="2">
        <v>2018</v>
      </c>
      <c r="L1398" s="2">
        <v>2018</v>
      </c>
      <c r="M1398" s="2">
        <v>2018</v>
      </c>
      <c r="N1398" s="2">
        <v>2018</v>
      </c>
    </row>
    <row r="1399" spans="1:14">
      <c r="B1399" s="86" t="s">
        <v>10</v>
      </c>
      <c r="C1399" s="78"/>
      <c r="D1399" s="55">
        <v>0</v>
      </c>
      <c r="E1399" s="11">
        <v>0</v>
      </c>
      <c r="F1399" s="11">
        <v>0</v>
      </c>
      <c r="G1399" s="11">
        <v>0</v>
      </c>
      <c r="H1399" s="11">
        <v>0</v>
      </c>
      <c r="I1399" s="11">
        <v>0</v>
      </c>
      <c r="J1399" s="11">
        <v>0</v>
      </c>
      <c r="K1399" s="11">
        <v>0</v>
      </c>
      <c r="L1399" s="11">
        <v>0</v>
      </c>
      <c r="M1399" s="11">
        <v>0</v>
      </c>
      <c r="N1399" s="11">
        <v>0</v>
      </c>
    </row>
    <row r="1400" spans="1:14">
      <c r="B1400" s="86" t="s">
        <v>6</v>
      </c>
      <c r="C1400" s="78"/>
      <c r="D1400" s="56">
        <v>0</v>
      </c>
      <c r="E1400" s="57">
        <v>0</v>
      </c>
      <c r="F1400" s="57">
        <v>0</v>
      </c>
      <c r="G1400" s="57">
        <v>0</v>
      </c>
      <c r="H1400" s="57">
        <v>0</v>
      </c>
      <c r="I1400" s="57">
        <v>0</v>
      </c>
      <c r="J1400" s="57">
        <v>0</v>
      </c>
      <c r="K1400" s="57">
        <v>0</v>
      </c>
      <c r="L1400" s="57">
        <v>0</v>
      </c>
      <c r="M1400" s="57">
        <v>0</v>
      </c>
      <c r="N1400" s="57">
        <v>0</v>
      </c>
    </row>
    <row r="1401" spans="1:14">
      <c r="B1401" s="85" t="s">
        <v>54</v>
      </c>
      <c r="C1401" s="84"/>
      <c r="D1401" s="41">
        <v>0</v>
      </c>
      <c r="E1401" s="42">
        <v>0</v>
      </c>
      <c r="F1401" s="42">
        <v>0</v>
      </c>
      <c r="G1401" s="42">
        <v>0</v>
      </c>
      <c r="H1401" s="42">
        <v>0</v>
      </c>
      <c r="I1401" s="42">
        <v>0</v>
      </c>
      <c r="J1401" s="42">
        <v>0</v>
      </c>
      <c r="K1401" s="42">
        <v>0</v>
      </c>
      <c r="L1401" s="42">
        <v>0</v>
      </c>
      <c r="M1401" s="42">
        <v>0</v>
      </c>
      <c r="N1401" s="42">
        <v>0</v>
      </c>
    </row>
    <row r="1402" spans="1:14">
      <c r="B1402" s="32"/>
      <c r="C1402" s="32"/>
      <c r="D1402" s="40"/>
      <c r="E1402" s="33"/>
      <c r="F1402" s="33"/>
      <c r="G1402" s="33"/>
      <c r="H1402" s="33"/>
      <c r="I1402" s="33"/>
      <c r="J1402" s="33"/>
      <c r="K1402" s="33"/>
      <c r="L1402" s="33"/>
      <c r="M1402" s="33"/>
      <c r="N1402" s="33"/>
    </row>
    <row r="1403" spans="1:14" ht="18.5">
      <c r="A1403" s="43" t="s">
        <v>30</v>
      </c>
      <c r="C1403" s="32"/>
      <c r="D1403" s="2">
        <v>2011</v>
      </c>
      <c r="E1403" s="2">
        <v>2012</v>
      </c>
      <c r="F1403" s="2">
        <v>2013</v>
      </c>
      <c r="G1403" s="2">
        <v>2014</v>
      </c>
      <c r="H1403" s="2">
        <v>2015</v>
      </c>
      <c r="I1403" s="2">
        <v>2016</v>
      </c>
      <c r="J1403" s="2">
        <v>2017</v>
      </c>
      <c r="K1403" s="2">
        <v>2018</v>
      </c>
      <c r="L1403" s="2">
        <v>2018</v>
      </c>
      <c r="M1403" s="2">
        <v>2018</v>
      </c>
      <c r="N1403" s="2">
        <v>2018</v>
      </c>
    </row>
    <row r="1404" spans="1:14">
      <c r="B1404" s="86" t="s">
        <v>32</v>
      </c>
      <c r="C1404" s="78"/>
      <c r="D1404" s="90"/>
      <c r="E1404" s="91"/>
      <c r="F1404" s="91"/>
      <c r="G1404" s="91"/>
      <c r="H1404" s="91"/>
      <c r="I1404" s="91"/>
      <c r="J1404" s="91"/>
      <c r="K1404" s="91"/>
      <c r="L1404" s="91"/>
      <c r="M1404" s="91"/>
      <c r="N1404" s="91"/>
    </row>
    <row r="1405" spans="1:14">
      <c r="B1405" s="87" t="s">
        <v>23</v>
      </c>
      <c r="C1405" s="192"/>
      <c r="D1405" s="93"/>
      <c r="E1405" s="94"/>
      <c r="F1405" s="94"/>
      <c r="G1405" s="94"/>
      <c r="H1405" s="94"/>
      <c r="I1405" s="94"/>
      <c r="J1405" s="94"/>
      <c r="K1405" s="94"/>
      <c r="L1405" s="94"/>
      <c r="M1405" s="94"/>
      <c r="N1405" s="94"/>
    </row>
    <row r="1406" spans="1:14">
      <c r="B1406" s="96" t="s">
        <v>38</v>
      </c>
      <c r="C1406" s="190"/>
      <c r="D1406" s="63"/>
      <c r="E1406" s="64"/>
      <c r="F1406" s="64"/>
      <c r="G1406" s="64"/>
      <c r="H1406" s="64"/>
      <c r="I1406" s="64"/>
      <c r="J1406" s="64"/>
      <c r="K1406" s="64"/>
      <c r="L1406" s="64"/>
      <c r="M1406" s="64"/>
      <c r="N1406" s="64"/>
    </row>
    <row r="1407" spans="1:14">
      <c r="B1407" s="35" t="s">
        <v>39</v>
      </c>
      <c r="D1407" s="7">
        <v>0</v>
      </c>
      <c r="E1407" s="7">
        <v>0</v>
      </c>
      <c r="F1407" s="7">
        <v>0</v>
      </c>
      <c r="G1407" s="7">
        <v>0</v>
      </c>
      <c r="H1407" s="7">
        <v>0</v>
      </c>
      <c r="I1407" s="7">
        <v>0</v>
      </c>
      <c r="J1407" s="7">
        <v>0</v>
      </c>
      <c r="K1407" s="7">
        <v>0</v>
      </c>
      <c r="L1407" s="7">
        <v>0</v>
      </c>
      <c r="M1407" s="7">
        <v>0</v>
      </c>
      <c r="N1407" s="7">
        <v>0</v>
      </c>
    </row>
    <row r="1408" spans="1:14">
      <c r="B1408" s="6"/>
      <c r="D1408" s="7"/>
      <c r="E1408" s="7"/>
      <c r="F1408" s="7"/>
      <c r="G1408" s="30"/>
      <c r="H1408" s="30"/>
      <c r="I1408" s="30"/>
      <c r="J1408" s="30"/>
      <c r="K1408" s="30"/>
      <c r="L1408" s="30"/>
      <c r="M1408" s="30"/>
      <c r="N1408" s="30"/>
    </row>
    <row r="1409" spans="1:14" ht="18.5">
      <c r="A1409" s="9" t="s">
        <v>40</v>
      </c>
      <c r="D1409" s="2">
        <f>'Facility Detail'!$B$1897</f>
        <v>2011</v>
      </c>
      <c r="E1409" s="2">
        <f>D1409+1</f>
        <v>2012</v>
      </c>
      <c r="F1409" s="2">
        <f>E1409+1</f>
        <v>2013</v>
      </c>
      <c r="G1409" s="260">
        <f t="shared" ref="G1409" si="867">F1409+1</f>
        <v>2014</v>
      </c>
      <c r="H1409" s="260">
        <f t="shared" ref="H1409" si="868">G1409+1</f>
        <v>2015</v>
      </c>
      <c r="I1409" s="260">
        <f t="shared" ref="I1409" si="869">H1409+1</f>
        <v>2016</v>
      </c>
      <c r="J1409" s="260">
        <f t="shared" ref="J1409" si="870">I1409+1</f>
        <v>2017</v>
      </c>
      <c r="K1409" s="260">
        <f t="shared" ref="K1409" si="871">J1409+1</f>
        <v>2018</v>
      </c>
      <c r="L1409" s="260">
        <f t="shared" ref="L1409" si="872">K1409+1</f>
        <v>2019</v>
      </c>
      <c r="M1409" s="260">
        <f t="shared" ref="M1409" si="873">L1409+1</f>
        <v>2020</v>
      </c>
      <c r="N1409" s="260">
        <f t="shared" ref="N1409" si="874">M1409+1</f>
        <v>2021</v>
      </c>
    </row>
    <row r="1410" spans="1:14">
      <c r="B1410" s="86" t="s">
        <v>34</v>
      </c>
      <c r="C1410" s="78"/>
      <c r="D1410" s="261"/>
      <c r="E1410" s="75">
        <f>D1410</f>
        <v>0</v>
      </c>
      <c r="F1410" s="262"/>
      <c r="G1410" s="262"/>
      <c r="H1410" s="262"/>
      <c r="I1410" s="262"/>
      <c r="J1410" s="262"/>
      <c r="K1410" s="262"/>
      <c r="L1410" s="262"/>
      <c r="M1410" s="262"/>
      <c r="N1410" s="262"/>
    </row>
    <row r="1411" spans="1:14">
      <c r="B1411" s="86" t="s">
        <v>35</v>
      </c>
      <c r="C1411" s="78"/>
      <c r="D1411" s="264">
        <f>E1411</f>
        <v>0</v>
      </c>
      <c r="E1411" s="265"/>
      <c r="F1411" s="266"/>
      <c r="G1411" s="266"/>
      <c r="H1411" s="266"/>
      <c r="I1411" s="266"/>
      <c r="J1411" s="266"/>
      <c r="K1411" s="266"/>
      <c r="L1411" s="266"/>
      <c r="M1411" s="266"/>
      <c r="N1411" s="266"/>
    </row>
    <row r="1412" spans="1:14">
      <c r="B1412" s="86" t="s">
        <v>36</v>
      </c>
      <c r="C1412" s="78"/>
      <c r="D1412" s="268"/>
      <c r="E1412" s="265">
        <f>E1396</f>
        <v>0</v>
      </c>
      <c r="F1412" s="269">
        <f>E1412</f>
        <v>0</v>
      </c>
      <c r="G1412" s="266"/>
      <c r="H1412" s="266"/>
      <c r="I1412" s="266"/>
      <c r="J1412" s="266"/>
      <c r="K1412" s="266"/>
      <c r="L1412" s="266"/>
      <c r="M1412" s="266"/>
      <c r="N1412" s="266"/>
    </row>
    <row r="1413" spans="1:14">
      <c r="B1413" s="86" t="s">
        <v>37</v>
      </c>
      <c r="C1413" s="78"/>
      <c r="D1413" s="268"/>
      <c r="E1413" s="269">
        <f>F1413</f>
        <v>0</v>
      </c>
      <c r="F1413" s="270"/>
      <c r="G1413" s="266"/>
      <c r="H1413" s="266"/>
      <c r="I1413" s="266"/>
      <c r="J1413" s="266"/>
      <c r="K1413" s="266"/>
      <c r="L1413" s="266"/>
      <c r="M1413" s="266"/>
      <c r="N1413" s="266"/>
    </row>
    <row r="1414" spans="1:14">
      <c r="B1414" s="86" t="s">
        <v>122</v>
      </c>
      <c r="C1414" s="32"/>
      <c r="D1414" s="268"/>
      <c r="E1414" s="271"/>
      <c r="F1414" s="265">
        <f>F1396</f>
        <v>0</v>
      </c>
      <c r="G1414" s="272">
        <f>F1414</f>
        <v>0</v>
      </c>
      <c r="H1414" s="266"/>
      <c r="I1414" s="266"/>
      <c r="J1414" s="266"/>
      <c r="K1414" s="266"/>
      <c r="L1414" s="266"/>
      <c r="M1414" s="266"/>
      <c r="N1414" s="266"/>
    </row>
    <row r="1415" spans="1:14">
      <c r="B1415" s="86" t="s">
        <v>123</v>
      </c>
      <c r="C1415" s="32"/>
      <c r="D1415" s="268"/>
      <c r="E1415" s="271"/>
      <c r="F1415" s="269">
        <f>G1415</f>
        <v>0</v>
      </c>
      <c r="G1415" s="265"/>
      <c r="H1415" s="266"/>
      <c r="I1415" s="266"/>
      <c r="J1415" s="266"/>
      <c r="K1415" s="266"/>
      <c r="L1415" s="266"/>
      <c r="M1415" s="266"/>
      <c r="N1415" s="266"/>
    </row>
    <row r="1416" spans="1:14">
      <c r="B1416" s="86" t="s">
        <v>124</v>
      </c>
      <c r="C1416" s="32"/>
      <c r="D1416" s="268"/>
      <c r="E1416" s="271"/>
      <c r="F1416" s="271"/>
      <c r="G1416" s="265">
        <f>G1396</f>
        <v>0</v>
      </c>
      <c r="H1416" s="272">
        <f>G1416</f>
        <v>0</v>
      </c>
      <c r="I1416" s="271">
        <f>H1416</f>
        <v>0</v>
      </c>
      <c r="J1416" s="271"/>
      <c r="K1416" s="271"/>
      <c r="L1416" s="271"/>
      <c r="M1416" s="271"/>
      <c r="N1416" s="271"/>
    </row>
    <row r="1417" spans="1:14">
      <c r="B1417" s="86" t="s">
        <v>125</v>
      </c>
      <c r="C1417" s="32"/>
      <c r="D1417" s="268"/>
      <c r="E1417" s="271"/>
      <c r="F1417" s="271"/>
      <c r="G1417" s="274"/>
      <c r="H1417" s="275"/>
      <c r="I1417" s="271"/>
      <c r="J1417" s="271"/>
      <c r="K1417" s="271"/>
      <c r="L1417" s="271"/>
      <c r="M1417" s="271"/>
      <c r="N1417" s="271"/>
    </row>
    <row r="1418" spans="1:14">
      <c r="B1418" s="86" t="s">
        <v>126</v>
      </c>
      <c r="C1418" s="32"/>
      <c r="D1418" s="268"/>
      <c r="E1418" s="271"/>
      <c r="F1418" s="271"/>
      <c r="G1418" s="271"/>
      <c r="H1418" s="275">
        <v>0</v>
      </c>
      <c r="I1418" s="272">
        <f>H1418</f>
        <v>0</v>
      </c>
      <c r="J1418" s="272"/>
      <c r="K1418" s="272"/>
      <c r="L1418" s="272"/>
      <c r="M1418" s="272"/>
      <c r="N1418" s="272"/>
    </row>
    <row r="1419" spans="1:14">
      <c r="B1419" s="86" t="s">
        <v>127</v>
      </c>
      <c r="C1419" s="32"/>
      <c r="D1419" s="268"/>
      <c r="E1419" s="271"/>
      <c r="F1419" s="271"/>
      <c r="G1419" s="271"/>
      <c r="H1419" s="269"/>
      <c r="I1419" s="275"/>
      <c r="J1419" s="275"/>
      <c r="K1419" s="275"/>
      <c r="L1419" s="275"/>
      <c r="M1419" s="275"/>
      <c r="N1419" s="275"/>
    </row>
    <row r="1420" spans="1:14">
      <c r="B1420" s="86" t="s">
        <v>128</v>
      </c>
      <c r="C1420" s="32"/>
      <c r="D1420" s="268"/>
      <c r="E1420" s="271"/>
      <c r="F1420" s="271"/>
      <c r="G1420" s="271"/>
      <c r="H1420" s="271"/>
      <c r="I1420" s="275">
        <f>I1396</f>
        <v>4668</v>
      </c>
      <c r="J1420" s="275">
        <f>I1420</f>
        <v>4668</v>
      </c>
      <c r="K1420" s="275"/>
      <c r="L1420" s="275"/>
      <c r="M1420" s="275"/>
      <c r="N1420" s="275"/>
    </row>
    <row r="1421" spans="1:14">
      <c r="B1421" s="86" t="s">
        <v>119</v>
      </c>
      <c r="C1421" s="32"/>
      <c r="D1421" s="268"/>
      <c r="E1421" s="271"/>
      <c r="F1421" s="271"/>
      <c r="G1421" s="271"/>
      <c r="H1421" s="271"/>
      <c r="I1421" s="276"/>
      <c r="J1421" s="158"/>
      <c r="K1421" s="158"/>
      <c r="L1421" s="158"/>
      <c r="M1421" s="158"/>
      <c r="N1421" s="158"/>
    </row>
    <row r="1422" spans="1:14">
      <c r="B1422" s="86" t="s">
        <v>120</v>
      </c>
      <c r="C1422" s="32"/>
      <c r="D1422" s="277"/>
      <c r="E1422" s="278"/>
      <c r="F1422" s="278"/>
      <c r="G1422" s="278"/>
      <c r="H1422" s="278"/>
      <c r="I1422" s="278"/>
      <c r="J1422" s="278"/>
      <c r="K1422" s="278"/>
      <c r="L1422" s="278"/>
      <c r="M1422" s="278"/>
      <c r="N1422" s="278"/>
    </row>
    <row r="1423" spans="1:14">
      <c r="B1423" s="35" t="s">
        <v>17</v>
      </c>
      <c r="D1423" s="281">
        <f xml:space="preserve"> D1416 - D1415</f>
        <v>0</v>
      </c>
      <c r="E1423" s="281">
        <f xml:space="preserve"> E1415 + E1418 - E1417 - E1416</f>
        <v>0</v>
      </c>
      <c r="F1423" s="281">
        <f>F1417 - F1418</f>
        <v>0</v>
      </c>
      <c r="G1423" s="281">
        <f t="shared" ref="G1423" si="875">G1417 - G1418</f>
        <v>0</v>
      </c>
      <c r="H1423" s="315">
        <f>H1416-H1417-H1418</f>
        <v>0</v>
      </c>
      <c r="I1423" s="315">
        <f>I1418-I1419-I1420</f>
        <v>-4668</v>
      </c>
      <c r="J1423" s="315">
        <f>J1420-J1421-J1422</f>
        <v>4668</v>
      </c>
      <c r="K1423" s="315">
        <f>K1422</f>
        <v>0</v>
      </c>
      <c r="L1423" s="315">
        <f t="shared" ref="L1423:N1423" si="876">L1422</f>
        <v>0</v>
      </c>
      <c r="M1423" s="315">
        <f t="shared" ref="M1423" si="877">M1422</f>
        <v>0</v>
      </c>
      <c r="N1423" s="315">
        <f t="shared" si="876"/>
        <v>0</v>
      </c>
    </row>
    <row r="1424" spans="1:14">
      <c r="B1424" s="6"/>
      <c r="D1424" s="281"/>
      <c r="E1424" s="281"/>
      <c r="F1424" s="281"/>
      <c r="G1424" s="281"/>
      <c r="H1424" s="315"/>
      <c r="I1424" s="315"/>
      <c r="J1424" s="315"/>
      <c r="K1424" s="315"/>
      <c r="L1424" s="315"/>
      <c r="M1424" s="315"/>
      <c r="N1424" s="315"/>
    </row>
    <row r="1425" spans="1:14">
      <c r="B1425" s="83" t="s">
        <v>12</v>
      </c>
      <c r="C1425" s="78"/>
      <c r="D1425" s="282"/>
      <c r="E1425" s="283"/>
      <c r="F1425" s="283"/>
      <c r="G1425" s="283"/>
      <c r="H1425" s="283"/>
      <c r="I1425" s="283"/>
      <c r="J1425" s="283"/>
      <c r="K1425" s="283"/>
      <c r="L1425" s="283"/>
      <c r="M1425" s="283"/>
      <c r="N1425" s="283"/>
    </row>
    <row r="1426" spans="1:14">
      <c r="B1426" s="6"/>
      <c r="D1426" s="281"/>
      <c r="E1426" s="281"/>
      <c r="F1426" s="281"/>
      <c r="G1426" s="281"/>
      <c r="H1426" s="281"/>
      <c r="I1426" s="281"/>
      <c r="J1426" s="281"/>
      <c r="K1426" s="281"/>
      <c r="L1426" s="281"/>
      <c r="M1426" s="281"/>
      <c r="N1426" s="281"/>
    </row>
    <row r="1427" spans="1:14" ht="18.5">
      <c r="A1427" s="43" t="s">
        <v>26</v>
      </c>
      <c r="C1427" s="78"/>
      <c r="D1427" s="285">
        <f xml:space="preserve"> D1396 + D1401 - D1407 + D1423 + D1425</f>
        <v>0</v>
      </c>
      <c r="E1427" s="286">
        <f xml:space="preserve"> E1396 + E1401 - E1407 + E1423 + E1425</f>
        <v>0</v>
      </c>
      <c r="F1427" s="286">
        <f xml:space="preserve"> F1396 + F1401 - F1407 + F1423 + F1425</f>
        <v>0</v>
      </c>
      <c r="G1427" s="286">
        <f t="shared" ref="G1427:K1427" si="878" xml:space="preserve"> G1396 + G1401 - G1407 + G1423 + G1425</f>
        <v>0</v>
      </c>
      <c r="H1427" s="286">
        <f t="shared" si="878"/>
        <v>0</v>
      </c>
      <c r="I1427" s="286">
        <f t="shared" si="878"/>
        <v>0</v>
      </c>
      <c r="J1427" s="286">
        <f t="shared" si="878"/>
        <v>4668</v>
      </c>
      <c r="K1427" s="286">
        <f t="shared" si="878"/>
        <v>0</v>
      </c>
      <c r="L1427" s="286">
        <f t="shared" ref="L1427:N1427" si="879" xml:space="preserve"> L1396 + L1401 - L1407 + L1423 + L1425</f>
        <v>0</v>
      </c>
      <c r="M1427" s="286">
        <f t="shared" ref="M1427" si="880" xml:space="preserve"> M1396 + M1401 - M1407 + M1423 + M1425</f>
        <v>0</v>
      </c>
      <c r="N1427" s="286">
        <f t="shared" si="879"/>
        <v>0</v>
      </c>
    </row>
    <row r="1428" spans="1:14">
      <c r="B1428" s="6"/>
      <c r="D1428" s="7"/>
      <c r="E1428" s="7"/>
      <c r="F1428" s="7"/>
      <c r="G1428" s="30"/>
      <c r="H1428" s="30"/>
      <c r="I1428" s="30"/>
      <c r="J1428" s="30"/>
      <c r="K1428" s="30"/>
      <c r="L1428" s="30"/>
      <c r="M1428" s="30"/>
      <c r="N1428" s="30"/>
    </row>
    <row r="1429" spans="1:14" ht="15" thickBot="1"/>
    <row r="1430" spans="1:14">
      <c r="A1430" s="8"/>
      <c r="B1430" s="8"/>
      <c r="C1430" s="8"/>
      <c r="D1430" s="8"/>
      <c r="E1430" s="8"/>
      <c r="F1430" s="8"/>
      <c r="G1430" s="8"/>
      <c r="H1430" s="8"/>
      <c r="I1430" s="8"/>
      <c r="J1430" s="8"/>
      <c r="K1430" s="8"/>
      <c r="L1430" s="8"/>
      <c r="M1430" s="8"/>
      <c r="N1430" s="8"/>
    </row>
    <row r="1431" spans="1:14" ht="21">
      <c r="A1431" s="14" t="s">
        <v>4</v>
      </c>
      <c r="B1431" s="14"/>
      <c r="C1431" s="342" t="str">
        <f>B32</f>
        <v>Stateline (WA) - FPL Energy Vansycle LLC - REC Only</v>
      </c>
      <c r="D1431" s="45"/>
      <c r="E1431" s="24"/>
      <c r="F1431" s="24"/>
    </row>
    <row r="1433" spans="1:14" ht="18.5">
      <c r="A1433" s="9" t="s">
        <v>21</v>
      </c>
      <c r="B1433" s="9"/>
      <c r="D1433" s="2">
        <v>2011</v>
      </c>
      <c r="E1433" s="2">
        <v>2012</v>
      </c>
      <c r="F1433" s="2">
        <v>2013</v>
      </c>
      <c r="G1433" s="2">
        <v>2014</v>
      </c>
      <c r="H1433" s="2">
        <v>2015</v>
      </c>
      <c r="I1433" s="2">
        <v>2016</v>
      </c>
      <c r="J1433" s="2">
        <v>2017</v>
      </c>
      <c r="K1433" s="2">
        <v>2018</v>
      </c>
      <c r="L1433" s="2">
        <v>2018</v>
      </c>
      <c r="M1433" s="2">
        <v>2018</v>
      </c>
      <c r="N1433" s="2">
        <v>2018</v>
      </c>
    </row>
    <row r="1434" spans="1:14">
      <c r="B1434" s="86" t="str">
        <f>"Total MWh Produced / Purchased from " &amp; C1431</f>
        <v>Total MWh Produced / Purchased from Stateline (WA) - FPL Energy Vansycle LLC - REC Only</v>
      </c>
      <c r="C1434" s="78"/>
      <c r="D1434" s="3"/>
      <c r="E1434" s="4"/>
      <c r="F1434" s="4"/>
      <c r="G1434" s="4"/>
      <c r="H1434" s="307"/>
      <c r="I1434" s="307">
        <v>12946</v>
      </c>
      <c r="J1434" s="307"/>
      <c r="K1434" s="307"/>
      <c r="L1434" s="307"/>
      <c r="M1434" s="307"/>
      <c r="N1434" s="307"/>
    </row>
    <row r="1435" spans="1:14">
      <c r="B1435" s="86" t="s">
        <v>25</v>
      </c>
      <c r="C1435" s="78"/>
      <c r="D1435" s="60"/>
      <c r="E1435" s="61"/>
      <c r="F1435" s="61"/>
      <c r="G1435" s="61"/>
      <c r="H1435" s="312"/>
      <c r="I1435" s="312">
        <v>1</v>
      </c>
      <c r="J1435" s="312"/>
      <c r="K1435" s="312"/>
      <c r="L1435" s="312"/>
      <c r="M1435" s="312"/>
      <c r="N1435" s="312"/>
    </row>
    <row r="1436" spans="1:14">
      <c r="B1436" s="86" t="s">
        <v>20</v>
      </c>
      <c r="C1436" s="78"/>
      <c r="D1436" s="52"/>
      <c r="E1436" s="53"/>
      <c r="F1436" s="53"/>
      <c r="G1436" s="53"/>
      <c r="H1436" s="53"/>
      <c r="I1436" s="53">
        <v>1</v>
      </c>
      <c r="J1436" s="53"/>
      <c r="K1436" s="53"/>
      <c r="L1436" s="53"/>
      <c r="M1436" s="53"/>
      <c r="N1436" s="53"/>
    </row>
    <row r="1437" spans="1:14">
      <c r="B1437" s="83" t="s">
        <v>22</v>
      </c>
      <c r="C1437" s="84"/>
      <c r="D1437" s="39">
        <v>0</v>
      </c>
      <c r="E1437" s="39">
        <v>0</v>
      </c>
      <c r="F1437" s="39">
        <v>0</v>
      </c>
      <c r="G1437" s="39">
        <v>0</v>
      </c>
      <c r="H1437" s="39">
        <v>0</v>
      </c>
      <c r="I1437" s="306">
        <v>12946</v>
      </c>
      <c r="J1437" s="306">
        <v>0</v>
      </c>
      <c r="K1437" s="306">
        <v>0</v>
      </c>
      <c r="L1437" s="306">
        <v>0</v>
      </c>
      <c r="M1437" s="306">
        <v>0</v>
      </c>
      <c r="N1437" s="306">
        <v>0</v>
      </c>
    </row>
    <row r="1438" spans="1:14">
      <c r="B1438" s="24"/>
      <c r="C1438" s="32"/>
      <c r="D1438" s="38"/>
      <c r="E1438" s="38"/>
      <c r="F1438" s="38"/>
      <c r="G1438" s="38"/>
      <c r="H1438" s="38"/>
      <c r="I1438" s="25"/>
      <c r="J1438" s="25"/>
      <c r="K1438" s="25"/>
      <c r="L1438" s="25"/>
      <c r="M1438" s="25"/>
      <c r="N1438" s="25"/>
    </row>
    <row r="1439" spans="1:14" ht="18.5">
      <c r="A1439" s="46" t="s">
        <v>52</v>
      </c>
      <c r="C1439" s="32"/>
      <c r="D1439" s="2">
        <v>2011</v>
      </c>
      <c r="E1439" s="2">
        <v>2012</v>
      </c>
      <c r="F1439" s="2">
        <v>2013</v>
      </c>
      <c r="G1439" s="2">
        <v>2014</v>
      </c>
      <c r="H1439" s="2">
        <v>2015</v>
      </c>
      <c r="I1439" s="2">
        <v>2016</v>
      </c>
      <c r="J1439" s="2">
        <v>2017</v>
      </c>
      <c r="K1439" s="2">
        <v>2018</v>
      </c>
      <c r="L1439" s="2">
        <v>2018</v>
      </c>
      <c r="M1439" s="2">
        <v>2018</v>
      </c>
      <c r="N1439" s="2">
        <v>2018</v>
      </c>
    </row>
    <row r="1440" spans="1:14">
      <c r="B1440" s="86" t="s">
        <v>10</v>
      </c>
      <c r="C1440" s="78"/>
      <c r="D1440" s="55">
        <v>0</v>
      </c>
      <c r="E1440" s="11">
        <v>0</v>
      </c>
      <c r="F1440" s="11">
        <v>0</v>
      </c>
      <c r="G1440" s="11">
        <v>0</v>
      </c>
      <c r="H1440" s="11">
        <v>0</v>
      </c>
      <c r="I1440" s="11">
        <v>0</v>
      </c>
      <c r="J1440" s="11">
        <v>0</v>
      </c>
      <c r="K1440" s="11">
        <v>0</v>
      </c>
      <c r="L1440" s="11">
        <v>0</v>
      </c>
      <c r="M1440" s="11">
        <v>0</v>
      </c>
      <c r="N1440" s="11">
        <v>0</v>
      </c>
    </row>
    <row r="1441" spans="1:14">
      <c r="B1441" s="86" t="s">
        <v>6</v>
      </c>
      <c r="C1441" s="78"/>
      <c r="D1441" s="56">
        <v>0</v>
      </c>
      <c r="E1441" s="57">
        <v>0</v>
      </c>
      <c r="F1441" s="57">
        <v>0</v>
      </c>
      <c r="G1441" s="57">
        <v>0</v>
      </c>
      <c r="H1441" s="57">
        <v>0</v>
      </c>
      <c r="I1441" s="57">
        <v>0</v>
      </c>
      <c r="J1441" s="57">
        <v>0</v>
      </c>
      <c r="K1441" s="57">
        <v>0</v>
      </c>
      <c r="L1441" s="57">
        <v>0</v>
      </c>
      <c r="M1441" s="57">
        <v>0</v>
      </c>
      <c r="N1441" s="57">
        <v>0</v>
      </c>
    </row>
    <row r="1442" spans="1:14">
      <c r="B1442" s="85" t="s">
        <v>54</v>
      </c>
      <c r="C1442" s="84"/>
      <c r="D1442" s="41">
        <v>0</v>
      </c>
      <c r="E1442" s="42">
        <v>0</v>
      </c>
      <c r="F1442" s="42">
        <v>0</v>
      </c>
      <c r="G1442" s="42">
        <v>0</v>
      </c>
      <c r="H1442" s="42">
        <v>0</v>
      </c>
      <c r="I1442" s="42">
        <v>0</v>
      </c>
      <c r="J1442" s="42">
        <v>0</v>
      </c>
      <c r="K1442" s="42">
        <v>0</v>
      </c>
      <c r="L1442" s="42">
        <v>0</v>
      </c>
      <c r="M1442" s="42">
        <v>0</v>
      </c>
      <c r="N1442" s="42">
        <v>0</v>
      </c>
    </row>
    <row r="1443" spans="1:14">
      <c r="B1443" s="32"/>
      <c r="C1443" s="32"/>
      <c r="D1443" s="40"/>
      <c r="E1443" s="33"/>
      <c r="F1443" s="33"/>
      <c r="G1443" s="33"/>
      <c r="H1443" s="33"/>
      <c r="I1443" s="33"/>
      <c r="J1443" s="33"/>
      <c r="K1443" s="33"/>
      <c r="L1443" s="33"/>
      <c r="M1443" s="33"/>
      <c r="N1443" s="33"/>
    </row>
    <row r="1444" spans="1:14" ht="18.5">
      <c r="A1444" s="43" t="s">
        <v>30</v>
      </c>
      <c r="C1444" s="32"/>
      <c r="D1444" s="2">
        <v>2011</v>
      </c>
      <c r="E1444" s="2">
        <v>2012</v>
      </c>
      <c r="F1444" s="2">
        <v>2013</v>
      </c>
      <c r="G1444" s="2">
        <v>2014</v>
      </c>
      <c r="H1444" s="2">
        <v>2015</v>
      </c>
      <c r="I1444" s="2">
        <v>2016</v>
      </c>
      <c r="J1444" s="2">
        <v>2017</v>
      </c>
      <c r="K1444" s="2">
        <v>2018</v>
      </c>
      <c r="L1444" s="2">
        <v>2018</v>
      </c>
      <c r="M1444" s="2">
        <v>2018</v>
      </c>
      <c r="N1444" s="2">
        <v>2018</v>
      </c>
    </row>
    <row r="1445" spans="1:14">
      <c r="B1445" s="86" t="s">
        <v>32</v>
      </c>
      <c r="C1445" s="78"/>
      <c r="D1445" s="90"/>
      <c r="E1445" s="91"/>
      <c r="F1445" s="91"/>
      <c r="G1445" s="91"/>
      <c r="H1445" s="91"/>
      <c r="I1445" s="91"/>
      <c r="J1445" s="91"/>
      <c r="K1445" s="91"/>
      <c r="L1445" s="91"/>
      <c r="M1445" s="91"/>
      <c r="N1445" s="91"/>
    </row>
    <row r="1446" spans="1:14">
      <c r="B1446" s="87" t="s">
        <v>23</v>
      </c>
      <c r="C1446" s="192"/>
      <c r="D1446" s="93"/>
      <c r="E1446" s="94"/>
      <c r="F1446" s="94"/>
      <c r="G1446" s="94"/>
      <c r="H1446" s="94"/>
      <c r="I1446" s="94"/>
      <c r="J1446" s="94"/>
      <c r="K1446" s="94"/>
      <c r="L1446" s="94"/>
      <c r="M1446" s="94"/>
      <c r="N1446" s="94"/>
    </row>
    <row r="1447" spans="1:14">
      <c r="B1447" s="96" t="s">
        <v>38</v>
      </c>
      <c r="C1447" s="190"/>
      <c r="D1447" s="63"/>
      <c r="E1447" s="64"/>
      <c r="F1447" s="64"/>
      <c r="G1447" s="64"/>
      <c r="H1447" s="64"/>
      <c r="I1447" s="64"/>
      <c r="J1447" s="64"/>
      <c r="K1447" s="64"/>
      <c r="L1447" s="64"/>
      <c r="M1447" s="64"/>
      <c r="N1447" s="64"/>
    </row>
    <row r="1448" spans="1:14">
      <c r="B1448" s="35" t="s">
        <v>39</v>
      </c>
      <c r="D1448" s="7">
        <v>0</v>
      </c>
      <c r="E1448" s="7">
        <v>0</v>
      </c>
      <c r="F1448" s="7">
        <v>0</v>
      </c>
      <c r="G1448" s="7">
        <v>0</v>
      </c>
      <c r="H1448" s="7">
        <v>0</v>
      </c>
      <c r="I1448" s="7">
        <v>0</v>
      </c>
      <c r="J1448" s="7">
        <v>0</v>
      </c>
      <c r="K1448" s="7">
        <v>0</v>
      </c>
      <c r="L1448" s="7">
        <v>0</v>
      </c>
      <c r="M1448" s="7">
        <v>0</v>
      </c>
      <c r="N1448" s="7">
        <v>0</v>
      </c>
    </row>
    <row r="1449" spans="1:14">
      <c r="B1449" s="6"/>
      <c r="D1449" s="7"/>
      <c r="E1449" s="7"/>
      <c r="F1449" s="7"/>
      <c r="G1449" s="30"/>
      <c r="H1449" s="30"/>
      <c r="I1449" s="30"/>
      <c r="J1449" s="30"/>
      <c r="K1449" s="30"/>
      <c r="L1449" s="30"/>
      <c r="M1449" s="30"/>
      <c r="N1449" s="30"/>
    </row>
    <row r="1450" spans="1:14" ht="18.5">
      <c r="A1450" s="9" t="s">
        <v>40</v>
      </c>
      <c r="D1450" s="2">
        <f>'Facility Detail'!$B$1897</f>
        <v>2011</v>
      </c>
      <c r="E1450" s="2">
        <f>D1450+1</f>
        <v>2012</v>
      </c>
      <c r="F1450" s="2">
        <f>E1450+1</f>
        <v>2013</v>
      </c>
      <c r="G1450" s="260">
        <f t="shared" ref="G1450" si="881">F1450+1</f>
        <v>2014</v>
      </c>
      <c r="H1450" s="260">
        <f t="shared" ref="H1450" si="882">G1450+1</f>
        <v>2015</v>
      </c>
      <c r="I1450" s="260">
        <f t="shared" ref="I1450" si="883">H1450+1</f>
        <v>2016</v>
      </c>
      <c r="J1450" s="260">
        <f t="shared" ref="J1450" si="884">I1450+1</f>
        <v>2017</v>
      </c>
      <c r="K1450" s="260">
        <f t="shared" ref="K1450" si="885">J1450+1</f>
        <v>2018</v>
      </c>
      <c r="L1450" s="260">
        <f t="shared" ref="L1450" si="886">K1450+1</f>
        <v>2019</v>
      </c>
      <c r="M1450" s="260">
        <f t="shared" ref="M1450" si="887">L1450+1</f>
        <v>2020</v>
      </c>
      <c r="N1450" s="260">
        <f t="shared" ref="N1450" si="888">M1450+1</f>
        <v>2021</v>
      </c>
    </row>
    <row r="1451" spans="1:14">
      <c r="B1451" s="86" t="s">
        <v>34</v>
      </c>
      <c r="C1451" s="78"/>
      <c r="D1451" s="261"/>
      <c r="E1451" s="75">
        <f>D1451</f>
        <v>0</v>
      </c>
      <c r="F1451" s="262"/>
      <c r="G1451" s="262"/>
      <c r="H1451" s="262"/>
      <c r="I1451" s="262"/>
      <c r="J1451" s="262"/>
      <c r="K1451" s="262"/>
      <c r="L1451" s="262"/>
      <c r="M1451" s="262"/>
      <c r="N1451" s="262"/>
    </row>
    <row r="1452" spans="1:14">
      <c r="B1452" s="86" t="s">
        <v>35</v>
      </c>
      <c r="C1452" s="78"/>
      <c r="D1452" s="264">
        <f>E1452</f>
        <v>0</v>
      </c>
      <c r="E1452" s="265"/>
      <c r="F1452" s="266"/>
      <c r="G1452" s="266"/>
      <c r="H1452" s="266"/>
      <c r="I1452" s="266"/>
      <c r="J1452" s="266"/>
      <c r="K1452" s="266"/>
      <c r="L1452" s="266"/>
      <c r="M1452" s="266"/>
      <c r="N1452" s="266"/>
    </row>
    <row r="1453" spans="1:14">
      <c r="B1453" s="86" t="s">
        <v>36</v>
      </c>
      <c r="C1453" s="78"/>
      <c r="D1453" s="268"/>
      <c r="E1453" s="265">
        <f>E1437</f>
        <v>0</v>
      </c>
      <c r="F1453" s="269">
        <f>E1453</f>
        <v>0</v>
      </c>
      <c r="G1453" s="266"/>
      <c r="H1453" s="266"/>
      <c r="I1453" s="266"/>
      <c r="J1453" s="266"/>
      <c r="K1453" s="266"/>
      <c r="L1453" s="266"/>
      <c r="M1453" s="266"/>
      <c r="N1453" s="266"/>
    </row>
    <row r="1454" spans="1:14">
      <c r="B1454" s="86" t="s">
        <v>37</v>
      </c>
      <c r="C1454" s="78"/>
      <c r="D1454" s="268"/>
      <c r="E1454" s="269">
        <f>F1454</f>
        <v>0</v>
      </c>
      <c r="F1454" s="270"/>
      <c r="G1454" s="266"/>
      <c r="H1454" s="266"/>
      <c r="I1454" s="266"/>
      <c r="J1454" s="266"/>
      <c r="K1454" s="266"/>
      <c r="L1454" s="266"/>
      <c r="M1454" s="266"/>
      <c r="N1454" s="266"/>
    </row>
    <row r="1455" spans="1:14">
      <c r="B1455" s="86" t="s">
        <v>122</v>
      </c>
      <c r="C1455" s="32"/>
      <c r="D1455" s="268"/>
      <c r="E1455" s="271"/>
      <c r="F1455" s="265">
        <f>F1437</f>
        <v>0</v>
      </c>
      <c r="G1455" s="272">
        <f>F1455</f>
        <v>0</v>
      </c>
      <c r="H1455" s="266"/>
      <c r="I1455" s="266"/>
      <c r="J1455" s="266"/>
      <c r="K1455" s="266"/>
      <c r="L1455" s="266"/>
      <c r="M1455" s="266"/>
      <c r="N1455" s="266"/>
    </row>
    <row r="1456" spans="1:14">
      <c r="B1456" s="86" t="s">
        <v>123</v>
      </c>
      <c r="C1456" s="32"/>
      <c r="D1456" s="268"/>
      <c r="E1456" s="271"/>
      <c r="F1456" s="269">
        <f>G1456</f>
        <v>0</v>
      </c>
      <c r="G1456" s="265"/>
      <c r="H1456" s="266"/>
      <c r="I1456" s="266"/>
      <c r="J1456" s="266"/>
      <c r="K1456" s="266"/>
      <c r="L1456" s="266"/>
      <c r="M1456" s="266"/>
      <c r="N1456" s="266"/>
    </row>
    <row r="1457" spans="1:14">
      <c r="B1457" s="86" t="s">
        <v>124</v>
      </c>
      <c r="C1457" s="32"/>
      <c r="D1457" s="268"/>
      <c r="E1457" s="271"/>
      <c r="F1457" s="271"/>
      <c r="G1457" s="265">
        <f>G1437</f>
        <v>0</v>
      </c>
      <c r="H1457" s="272">
        <f>G1457</f>
        <v>0</v>
      </c>
      <c r="I1457" s="271"/>
      <c r="J1457" s="271"/>
      <c r="K1457" s="271"/>
      <c r="L1457" s="271"/>
      <c r="M1457" s="271"/>
      <c r="N1457" s="271"/>
    </row>
    <row r="1458" spans="1:14">
      <c r="B1458" s="86" t="s">
        <v>125</v>
      </c>
      <c r="C1458" s="32"/>
      <c r="D1458" s="268"/>
      <c r="E1458" s="271"/>
      <c r="F1458" s="271"/>
      <c r="G1458" s="274"/>
      <c r="H1458" s="275"/>
      <c r="I1458" s="271"/>
      <c r="J1458" s="271"/>
      <c r="K1458" s="271"/>
      <c r="L1458" s="271"/>
      <c r="M1458" s="271"/>
      <c r="N1458" s="271"/>
    </row>
    <row r="1459" spans="1:14">
      <c r="B1459" s="86" t="s">
        <v>126</v>
      </c>
      <c r="C1459" s="32"/>
      <c r="D1459" s="268"/>
      <c r="E1459" s="271"/>
      <c r="F1459" s="271"/>
      <c r="G1459" s="271"/>
      <c r="H1459" s="275">
        <v>0</v>
      </c>
      <c r="I1459" s="272">
        <f>H1459</f>
        <v>0</v>
      </c>
      <c r="J1459" s="272"/>
      <c r="K1459" s="272"/>
      <c r="L1459" s="272"/>
      <c r="M1459" s="272"/>
      <c r="N1459" s="272"/>
    </row>
    <row r="1460" spans="1:14">
      <c r="B1460" s="86" t="s">
        <v>127</v>
      </c>
      <c r="C1460" s="32"/>
      <c r="D1460" s="268"/>
      <c r="E1460" s="271"/>
      <c r="F1460" s="271"/>
      <c r="G1460" s="271"/>
      <c r="H1460" s="269"/>
      <c r="I1460" s="275"/>
      <c r="J1460" s="275"/>
      <c r="K1460" s="275"/>
      <c r="L1460" s="275"/>
      <c r="M1460" s="275"/>
      <c r="N1460" s="275"/>
    </row>
    <row r="1461" spans="1:14">
      <c r="B1461" s="86" t="s">
        <v>128</v>
      </c>
      <c r="C1461" s="32"/>
      <c r="D1461" s="268"/>
      <c r="E1461" s="271"/>
      <c r="F1461" s="271"/>
      <c r="G1461" s="271"/>
      <c r="H1461" s="271"/>
      <c r="I1461" s="275">
        <f>I1437</f>
        <v>12946</v>
      </c>
      <c r="J1461" s="275">
        <f>I1461</f>
        <v>12946</v>
      </c>
      <c r="K1461" s="275"/>
      <c r="L1461" s="275"/>
      <c r="M1461" s="275"/>
      <c r="N1461" s="275"/>
    </row>
    <row r="1462" spans="1:14">
      <c r="B1462" s="86" t="s">
        <v>119</v>
      </c>
      <c r="C1462" s="32"/>
      <c r="D1462" s="268"/>
      <c r="E1462" s="271"/>
      <c r="F1462" s="271"/>
      <c r="G1462" s="271"/>
      <c r="H1462" s="271"/>
      <c r="I1462" s="276"/>
      <c r="J1462" s="158"/>
      <c r="K1462" s="158"/>
      <c r="L1462" s="158"/>
      <c r="M1462" s="158"/>
      <c r="N1462" s="158"/>
    </row>
    <row r="1463" spans="1:14">
      <c r="B1463" s="86" t="s">
        <v>120</v>
      </c>
      <c r="C1463" s="32"/>
      <c r="D1463" s="277"/>
      <c r="E1463" s="278"/>
      <c r="F1463" s="278"/>
      <c r="G1463" s="278"/>
      <c r="H1463" s="278"/>
      <c r="I1463" s="278"/>
      <c r="J1463" s="278"/>
      <c r="K1463" s="278"/>
      <c r="L1463" s="278"/>
      <c r="M1463" s="278"/>
      <c r="N1463" s="278"/>
    </row>
    <row r="1464" spans="1:14">
      <c r="B1464" s="35" t="s">
        <v>17</v>
      </c>
      <c r="D1464" s="281">
        <f xml:space="preserve"> D1457 - D1456</f>
        <v>0</v>
      </c>
      <c r="E1464" s="281">
        <f xml:space="preserve"> E1456 + E1459 - E1458 - E1457</f>
        <v>0</v>
      </c>
      <c r="F1464" s="281">
        <f>F1458 - F1459</f>
        <v>0</v>
      </c>
      <c r="G1464" s="281">
        <f t="shared" ref="G1464" si="889">G1458 - G1459</f>
        <v>0</v>
      </c>
      <c r="H1464" s="281">
        <f>H1457-H1458-H1459</f>
        <v>0</v>
      </c>
      <c r="I1464" s="315">
        <f>I1459-I1460-I1461</f>
        <v>-12946</v>
      </c>
      <c r="J1464" s="315">
        <f>J1461-J1462-J1463</f>
        <v>12946</v>
      </c>
      <c r="K1464" s="315">
        <f>K1463</f>
        <v>0</v>
      </c>
      <c r="L1464" s="315">
        <f t="shared" ref="L1464:N1464" si="890">L1463</f>
        <v>0</v>
      </c>
      <c r="M1464" s="315">
        <f t="shared" ref="M1464" si="891">M1463</f>
        <v>0</v>
      </c>
      <c r="N1464" s="315">
        <f t="shared" si="890"/>
        <v>0</v>
      </c>
    </row>
    <row r="1465" spans="1:14">
      <c r="B1465" s="6"/>
      <c r="D1465" s="281"/>
      <c r="E1465" s="281"/>
      <c r="F1465" s="281"/>
      <c r="G1465" s="281"/>
      <c r="H1465" s="281"/>
      <c r="I1465" s="281"/>
      <c r="J1465" s="281"/>
      <c r="K1465" s="281"/>
      <c r="L1465" s="281"/>
      <c r="M1465" s="281"/>
      <c r="N1465" s="281"/>
    </row>
    <row r="1466" spans="1:14">
      <c r="B1466" s="83" t="s">
        <v>12</v>
      </c>
      <c r="C1466" s="78"/>
      <c r="D1466" s="282"/>
      <c r="E1466" s="283"/>
      <c r="F1466" s="283"/>
      <c r="G1466" s="283"/>
      <c r="H1466" s="283"/>
      <c r="I1466" s="283"/>
      <c r="J1466" s="283"/>
      <c r="K1466" s="283"/>
      <c r="L1466" s="283"/>
      <c r="M1466" s="283"/>
      <c r="N1466" s="283"/>
    </row>
    <row r="1467" spans="1:14">
      <c r="B1467" s="6"/>
      <c r="D1467" s="281"/>
      <c r="E1467" s="281"/>
      <c r="F1467" s="281"/>
      <c r="G1467" s="281"/>
      <c r="H1467" s="281"/>
      <c r="I1467" s="281"/>
      <c r="J1467" s="281"/>
      <c r="K1467" s="281"/>
      <c r="L1467" s="281"/>
      <c r="M1467" s="281"/>
      <c r="N1467" s="281"/>
    </row>
    <row r="1468" spans="1:14" ht="18.5">
      <c r="A1468" s="43" t="s">
        <v>26</v>
      </c>
      <c r="C1468" s="78"/>
      <c r="D1468" s="285">
        <f xml:space="preserve"> D1437 + D1442 - D1448 + D1464 + D1466</f>
        <v>0</v>
      </c>
      <c r="E1468" s="286">
        <f xml:space="preserve"> E1437 + E1442 - E1448 + E1464 + E1466</f>
        <v>0</v>
      </c>
      <c r="F1468" s="286">
        <f xml:space="preserve"> F1437 + F1442 - F1448 + F1464 + F1466</f>
        <v>0</v>
      </c>
      <c r="G1468" s="286">
        <f t="shared" ref="G1468:K1468" si="892" xml:space="preserve"> G1437 + G1442 - G1448 + G1464 + G1466</f>
        <v>0</v>
      </c>
      <c r="H1468" s="286">
        <f t="shared" si="892"/>
        <v>0</v>
      </c>
      <c r="I1468" s="286">
        <f t="shared" si="892"/>
        <v>0</v>
      </c>
      <c r="J1468" s="286">
        <f t="shared" si="892"/>
        <v>12946</v>
      </c>
      <c r="K1468" s="286">
        <f t="shared" si="892"/>
        <v>0</v>
      </c>
      <c r="L1468" s="286">
        <f t="shared" ref="L1468:N1468" si="893" xml:space="preserve"> L1437 + L1442 - L1448 + L1464 + L1466</f>
        <v>0</v>
      </c>
      <c r="M1468" s="286">
        <f t="shared" ref="M1468" si="894" xml:space="preserve"> M1437 + M1442 - M1448 + M1464 + M1466</f>
        <v>0</v>
      </c>
      <c r="N1468" s="286">
        <f t="shared" si="893"/>
        <v>0</v>
      </c>
    </row>
    <row r="1469" spans="1:14">
      <c r="B1469" s="6"/>
      <c r="D1469" s="7"/>
      <c r="E1469" s="7"/>
      <c r="F1469" s="7"/>
      <c r="G1469" s="30"/>
      <c r="H1469" s="30"/>
      <c r="I1469" s="30"/>
      <c r="J1469" s="30"/>
      <c r="K1469" s="30"/>
      <c r="L1469" s="30"/>
      <c r="M1469" s="30"/>
      <c r="N1469" s="30"/>
    </row>
    <row r="1470" spans="1:14" ht="15" thickBot="1"/>
    <row r="1471" spans="1:14">
      <c r="A1471" s="8"/>
      <c r="B1471" s="8"/>
      <c r="C1471" s="8"/>
      <c r="D1471" s="8"/>
      <c r="E1471" s="8"/>
      <c r="F1471" s="8"/>
      <c r="G1471" s="8"/>
      <c r="H1471" s="8"/>
      <c r="I1471" s="8"/>
      <c r="J1471" s="8"/>
      <c r="K1471" s="8"/>
      <c r="L1471" s="8"/>
      <c r="M1471" s="8"/>
      <c r="N1471" s="8"/>
    </row>
    <row r="1472" spans="1:14" ht="21">
      <c r="A1472" s="14" t="s">
        <v>4</v>
      </c>
      <c r="B1472" s="14"/>
      <c r="C1472" s="44" t="str">
        <f>B33</f>
        <v>Adams Solar</v>
      </c>
      <c r="D1472" s="45"/>
      <c r="E1472" s="24"/>
      <c r="F1472" s="24"/>
    </row>
    <row r="1474" spans="1:14" ht="18.5">
      <c r="A1474" s="9" t="s">
        <v>21</v>
      </c>
      <c r="B1474" s="9"/>
      <c r="D1474" s="2">
        <v>2011</v>
      </c>
      <c r="E1474" s="2">
        <f>D1474+1</f>
        <v>2012</v>
      </c>
      <c r="F1474" s="2">
        <f t="shared" ref="F1474:N1474" si="895">E1474+1</f>
        <v>2013</v>
      </c>
      <c r="G1474" s="2">
        <f t="shared" si="895"/>
        <v>2014</v>
      </c>
      <c r="H1474" s="2">
        <f t="shared" si="895"/>
        <v>2015</v>
      </c>
      <c r="I1474" s="2">
        <f t="shared" si="895"/>
        <v>2016</v>
      </c>
      <c r="J1474" s="2">
        <f t="shared" si="895"/>
        <v>2017</v>
      </c>
      <c r="K1474" s="2">
        <f t="shared" si="895"/>
        <v>2018</v>
      </c>
      <c r="L1474" s="2">
        <f t="shared" si="895"/>
        <v>2019</v>
      </c>
      <c r="M1474" s="2">
        <f t="shared" si="895"/>
        <v>2020</v>
      </c>
      <c r="N1474" s="2">
        <f t="shared" si="895"/>
        <v>2021</v>
      </c>
    </row>
    <row r="1475" spans="1:14">
      <c r="B1475" s="86" t="str">
        <f>"Total MWh Produced / Purchased from " &amp; C1472</f>
        <v>Total MWh Produced / Purchased from Adams Solar</v>
      </c>
      <c r="C1475" s="78"/>
      <c r="D1475" s="3"/>
      <c r="E1475" s="4"/>
      <c r="F1475" s="4"/>
      <c r="G1475" s="4"/>
      <c r="H1475" s="4"/>
      <c r="I1475" s="4"/>
      <c r="J1475" s="4"/>
      <c r="K1475" s="4">
        <v>12016.505000000001</v>
      </c>
      <c r="L1475" s="4">
        <v>20765</v>
      </c>
      <c r="M1475" s="4">
        <v>20496</v>
      </c>
      <c r="N1475" s="4">
        <v>0</v>
      </c>
    </row>
    <row r="1476" spans="1:14">
      <c r="B1476" s="86" t="s">
        <v>25</v>
      </c>
      <c r="C1476" s="78"/>
      <c r="D1476" s="60"/>
      <c r="E1476" s="61"/>
      <c r="F1476" s="61"/>
      <c r="G1476" s="61"/>
      <c r="H1476" s="61"/>
      <c r="I1476" s="61"/>
      <c r="J1476" s="61"/>
      <c r="K1476" s="61">
        <v>1</v>
      </c>
      <c r="L1476" s="61">
        <v>1</v>
      </c>
      <c r="M1476" s="61">
        <v>1</v>
      </c>
      <c r="N1476" s="61">
        <v>1</v>
      </c>
    </row>
    <row r="1477" spans="1:14">
      <c r="B1477" s="86" t="s">
        <v>20</v>
      </c>
      <c r="C1477" s="78"/>
      <c r="D1477" s="52"/>
      <c r="E1477" s="53"/>
      <c r="F1477" s="53"/>
      <c r="G1477" s="53"/>
      <c r="H1477" s="53"/>
      <c r="I1477" s="53"/>
      <c r="J1477" s="53"/>
      <c r="K1477" s="53">
        <v>0.22007817037432531</v>
      </c>
      <c r="L1477" s="53">
        <v>0.2223660721260575</v>
      </c>
      <c r="M1477" s="53">
        <v>0.22404890355218221</v>
      </c>
      <c r="N1477" s="53"/>
    </row>
    <row r="1478" spans="1:14">
      <c r="B1478" s="83" t="s">
        <v>22</v>
      </c>
      <c r="C1478" s="84"/>
      <c r="D1478" s="39">
        <v>0</v>
      </c>
      <c r="E1478" s="39">
        <v>0</v>
      </c>
      <c r="F1478" s="39">
        <v>0</v>
      </c>
      <c r="G1478" s="39">
        <v>0</v>
      </c>
      <c r="H1478" s="39">
        <v>0</v>
      </c>
      <c r="I1478" s="306">
        <v>0</v>
      </c>
      <c r="J1478" s="306">
        <f>J1475*J1477</f>
        <v>0</v>
      </c>
      <c r="K1478" s="306">
        <v>588</v>
      </c>
      <c r="L1478" s="306">
        <f>L1475*L1477</f>
        <v>4617.4314876975841</v>
      </c>
      <c r="M1478" s="306">
        <f>M1475*M1477</f>
        <v>4592.1063272055262</v>
      </c>
      <c r="N1478" s="306">
        <f>N1475*N1477</f>
        <v>0</v>
      </c>
    </row>
    <row r="1479" spans="1:14">
      <c r="B1479" s="24"/>
      <c r="C1479" s="32"/>
      <c r="D1479" s="38"/>
      <c r="E1479" s="38"/>
      <c r="F1479" s="38"/>
      <c r="G1479" s="38"/>
      <c r="H1479" s="38"/>
      <c r="I1479" s="25"/>
      <c r="J1479" s="25"/>
      <c r="K1479" s="25"/>
      <c r="L1479" s="25"/>
      <c r="M1479" s="25"/>
      <c r="N1479" s="25"/>
    </row>
    <row r="1480" spans="1:14" ht="18.5">
      <c r="A1480" s="46" t="s">
        <v>52</v>
      </c>
      <c r="C1480" s="32"/>
      <c r="D1480" s="2">
        <v>2011</v>
      </c>
      <c r="E1480" s="2">
        <f>D1480+1</f>
        <v>2012</v>
      </c>
      <c r="F1480" s="2">
        <f t="shared" ref="F1480:N1480" si="896">E1480+1</f>
        <v>2013</v>
      </c>
      <c r="G1480" s="2">
        <f t="shared" si="896"/>
        <v>2014</v>
      </c>
      <c r="H1480" s="2">
        <f t="shared" si="896"/>
        <v>2015</v>
      </c>
      <c r="I1480" s="2">
        <f t="shared" si="896"/>
        <v>2016</v>
      </c>
      <c r="J1480" s="2">
        <f t="shared" si="896"/>
        <v>2017</v>
      </c>
      <c r="K1480" s="2">
        <f t="shared" si="896"/>
        <v>2018</v>
      </c>
      <c r="L1480" s="2">
        <f t="shared" si="896"/>
        <v>2019</v>
      </c>
      <c r="M1480" s="2">
        <f t="shared" si="896"/>
        <v>2020</v>
      </c>
      <c r="N1480" s="2">
        <f t="shared" si="896"/>
        <v>2021</v>
      </c>
    </row>
    <row r="1481" spans="1:14">
      <c r="B1481" s="86" t="s">
        <v>10</v>
      </c>
      <c r="C1481" s="78"/>
      <c r="D1481" s="55">
        <v>0</v>
      </c>
      <c r="E1481" s="11">
        <v>0</v>
      </c>
      <c r="F1481" s="11">
        <v>0</v>
      </c>
      <c r="G1481" s="11">
        <v>0</v>
      </c>
      <c r="H1481" s="11">
        <v>0</v>
      </c>
      <c r="I1481" s="11">
        <v>0</v>
      </c>
      <c r="J1481" s="11">
        <v>0</v>
      </c>
      <c r="K1481" s="11">
        <v>0</v>
      </c>
      <c r="L1481" s="11">
        <v>0</v>
      </c>
      <c r="M1481" s="11">
        <v>0</v>
      </c>
      <c r="N1481" s="11">
        <v>0</v>
      </c>
    </row>
    <row r="1482" spans="1:14">
      <c r="B1482" s="86" t="s">
        <v>6</v>
      </c>
      <c r="C1482" s="78"/>
      <c r="D1482" s="56">
        <v>0</v>
      </c>
      <c r="E1482" s="57">
        <v>0</v>
      </c>
      <c r="F1482" s="57">
        <v>0</v>
      </c>
      <c r="G1482" s="57">
        <v>0</v>
      </c>
      <c r="H1482" s="57">
        <v>0</v>
      </c>
      <c r="I1482" s="57">
        <v>0</v>
      </c>
      <c r="J1482" s="57">
        <v>0</v>
      </c>
      <c r="K1482" s="57">
        <v>0</v>
      </c>
      <c r="L1482" s="57">
        <v>0</v>
      </c>
      <c r="M1482" s="57">
        <v>0</v>
      </c>
      <c r="N1482" s="57">
        <v>0</v>
      </c>
    </row>
    <row r="1483" spans="1:14">
      <c r="B1483" s="85" t="s">
        <v>54</v>
      </c>
      <c r="C1483" s="84"/>
      <c r="D1483" s="41">
        <v>0</v>
      </c>
      <c r="E1483" s="42">
        <v>0</v>
      </c>
      <c r="F1483" s="42">
        <v>0</v>
      </c>
      <c r="G1483" s="42">
        <v>0</v>
      </c>
      <c r="H1483" s="42">
        <v>0</v>
      </c>
      <c r="I1483" s="42">
        <v>0</v>
      </c>
      <c r="J1483" s="42">
        <v>0</v>
      </c>
      <c r="K1483" s="42">
        <v>0</v>
      </c>
      <c r="L1483" s="42">
        <v>0</v>
      </c>
      <c r="M1483" s="42">
        <v>0</v>
      </c>
      <c r="N1483" s="42">
        <v>0</v>
      </c>
    </row>
    <row r="1484" spans="1:14">
      <c r="B1484" s="32"/>
      <c r="C1484" s="32"/>
      <c r="D1484" s="40"/>
      <c r="E1484" s="33"/>
      <c r="F1484" s="33"/>
      <c r="G1484" s="33"/>
      <c r="H1484" s="33"/>
      <c r="I1484" s="33"/>
      <c r="J1484" s="33"/>
      <c r="K1484" s="33"/>
      <c r="L1484" s="33"/>
      <c r="M1484" s="33"/>
      <c r="N1484" s="33"/>
    </row>
    <row r="1485" spans="1:14" ht="18.5">
      <c r="A1485" s="43" t="s">
        <v>30</v>
      </c>
      <c r="C1485" s="32"/>
      <c r="D1485" s="2">
        <v>2011</v>
      </c>
      <c r="E1485" s="2">
        <f>D1485+1</f>
        <v>2012</v>
      </c>
      <c r="F1485" s="2">
        <f t="shared" ref="F1485:N1485" si="897">E1485+1</f>
        <v>2013</v>
      </c>
      <c r="G1485" s="2">
        <f t="shared" si="897"/>
        <v>2014</v>
      </c>
      <c r="H1485" s="2">
        <f t="shared" si="897"/>
        <v>2015</v>
      </c>
      <c r="I1485" s="2">
        <f t="shared" si="897"/>
        <v>2016</v>
      </c>
      <c r="J1485" s="2">
        <f t="shared" si="897"/>
        <v>2017</v>
      </c>
      <c r="K1485" s="2">
        <f t="shared" si="897"/>
        <v>2018</v>
      </c>
      <c r="L1485" s="2">
        <f t="shared" si="897"/>
        <v>2019</v>
      </c>
      <c r="M1485" s="2">
        <f t="shared" si="897"/>
        <v>2020</v>
      </c>
      <c r="N1485" s="2">
        <f t="shared" si="897"/>
        <v>2021</v>
      </c>
    </row>
    <row r="1486" spans="1:14">
      <c r="B1486" s="86" t="s">
        <v>32</v>
      </c>
      <c r="C1486" s="78"/>
      <c r="D1486" s="90"/>
      <c r="E1486" s="91"/>
      <c r="F1486" s="91"/>
      <c r="G1486" s="91"/>
      <c r="H1486" s="91"/>
      <c r="I1486" s="91"/>
      <c r="J1486" s="91"/>
      <c r="K1486" s="91"/>
      <c r="L1486" s="91"/>
      <c r="M1486" s="91"/>
      <c r="N1486" s="91"/>
    </row>
    <row r="1487" spans="1:14">
      <c r="B1487" s="87" t="s">
        <v>23</v>
      </c>
      <c r="C1487" s="192"/>
      <c r="D1487" s="93"/>
      <c r="E1487" s="94"/>
      <c r="F1487" s="94"/>
      <c r="G1487" s="94"/>
      <c r="H1487" s="94"/>
      <c r="I1487" s="94"/>
      <c r="J1487" s="94"/>
      <c r="K1487" s="94"/>
      <c r="L1487" s="94"/>
      <c r="M1487" s="94"/>
      <c r="N1487" s="94"/>
    </row>
    <row r="1488" spans="1:14">
      <c r="B1488" s="96" t="s">
        <v>38</v>
      </c>
      <c r="C1488" s="190"/>
      <c r="D1488" s="63"/>
      <c r="E1488" s="64"/>
      <c r="F1488" s="64"/>
      <c r="G1488" s="64"/>
      <c r="H1488" s="64"/>
      <c r="I1488" s="64"/>
      <c r="J1488" s="64"/>
      <c r="K1488" s="64"/>
      <c r="L1488" s="64"/>
      <c r="M1488" s="64"/>
      <c r="N1488" s="64"/>
    </row>
    <row r="1489" spans="1:14">
      <c r="B1489" s="35" t="s">
        <v>39</v>
      </c>
      <c r="D1489" s="7">
        <v>0</v>
      </c>
      <c r="E1489" s="7">
        <v>0</v>
      </c>
      <c r="F1489" s="7">
        <v>0</v>
      </c>
      <c r="G1489" s="7">
        <v>0</v>
      </c>
      <c r="H1489" s="7">
        <v>0</v>
      </c>
      <c r="I1489" s="7">
        <v>0</v>
      </c>
      <c r="J1489" s="7">
        <v>0</v>
      </c>
      <c r="K1489" s="7">
        <v>0</v>
      </c>
      <c r="L1489" s="7">
        <v>0</v>
      </c>
      <c r="M1489" s="7">
        <v>0</v>
      </c>
      <c r="N1489" s="7">
        <v>0</v>
      </c>
    </row>
    <row r="1490" spans="1:14">
      <c r="B1490" s="6"/>
      <c r="D1490" s="7"/>
      <c r="E1490" s="7"/>
      <c r="F1490" s="7"/>
      <c r="G1490" s="30"/>
      <c r="H1490" s="30"/>
      <c r="I1490" s="30"/>
      <c r="J1490" s="30"/>
      <c r="K1490" s="30"/>
      <c r="L1490" s="30"/>
      <c r="M1490" s="30"/>
      <c r="N1490" s="30"/>
    </row>
    <row r="1491" spans="1:14" ht="18.5">
      <c r="A1491" s="9" t="s">
        <v>40</v>
      </c>
      <c r="D1491" s="2">
        <f>'Facility Detail'!$B$1897</f>
        <v>2011</v>
      </c>
      <c r="E1491" s="2">
        <f>D1491+1</f>
        <v>2012</v>
      </c>
      <c r="F1491" s="2">
        <f t="shared" ref="F1491:N1491" si="898">E1491+1</f>
        <v>2013</v>
      </c>
      <c r="G1491" s="2">
        <f t="shared" si="898"/>
        <v>2014</v>
      </c>
      <c r="H1491" s="2">
        <f t="shared" si="898"/>
        <v>2015</v>
      </c>
      <c r="I1491" s="2">
        <f t="shared" si="898"/>
        <v>2016</v>
      </c>
      <c r="J1491" s="2">
        <f t="shared" si="898"/>
        <v>2017</v>
      </c>
      <c r="K1491" s="2">
        <f t="shared" si="898"/>
        <v>2018</v>
      </c>
      <c r="L1491" s="2">
        <f t="shared" si="898"/>
        <v>2019</v>
      </c>
      <c r="M1491" s="2">
        <f t="shared" si="898"/>
        <v>2020</v>
      </c>
      <c r="N1491" s="2">
        <f t="shared" si="898"/>
        <v>2021</v>
      </c>
    </row>
    <row r="1492" spans="1:14">
      <c r="B1492" s="86" t="s">
        <v>34</v>
      </c>
      <c r="C1492" s="78"/>
      <c r="D1492" s="3"/>
      <c r="E1492" s="66">
        <f>D1492</f>
        <v>0</v>
      </c>
      <c r="F1492" s="138"/>
      <c r="G1492" s="138"/>
      <c r="H1492" s="138"/>
      <c r="I1492" s="138"/>
      <c r="J1492" s="138"/>
      <c r="K1492" s="138"/>
      <c r="L1492" s="138"/>
      <c r="M1492" s="67"/>
      <c r="N1492" s="67"/>
    </row>
    <row r="1493" spans="1:14">
      <c r="B1493" s="86" t="s">
        <v>35</v>
      </c>
      <c r="C1493" s="78"/>
      <c r="D1493" s="174">
        <f>E1493</f>
        <v>0</v>
      </c>
      <c r="E1493" s="10"/>
      <c r="F1493" s="81"/>
      <c r="G1493" s="81"/>
      <c r="H1493" s="81"/>
      <c r="I1493" s="81"/>
      <c r="J1493" s="81"/>
      <c r="K1493" s="81"/>
      <c r="L1493" s="81"/>
      <c r="M1493" s="175"/>
      <c r="N1493" s="175"/>
    </row>
    <row r="1494" spans="1:14">
      <c r="B1494" s="86" t="s">
        <v>36</v>
      </c>
      <c r="C1494" s="78"/>
      <c r="D1494" s="68"/>
      <c r="E1494" s="10">
        <f>E1478</f>
        <v>0</v>
      </c>
      <c r="F1494" s="77">
        <f>E1494</f>
        <v>0</v>
      </c>
      <c r="G1494" s="81"/>
      <c r="H1494" s="81"/>
      <c r="I1494" s="81"/>
      <c r="J1494" s="81"/>
      <c r="K1494" s="81"/>
      <c r="L1494" s="81"/>
      <c r="M1494" s="175"/>
      <c r="N1494" s="175"/>
    </row>
    <row r="1495" spans="1:14">
      <c r="B1495" s="86" t="s">
        <v>37</v>
      </c>
      <c r="C1495" s="78"/>
      <c r="D1495" s="68"/>
      <c r="E1495" s="77">
        <f>F1495</f>
        <v>0</v>
      </c>
      <c r="F1495" s="173"/>
      <c r="G1495" s="81"/>
      <c r="H1495" s="81"/>
      <c r="I1495" s="81"/>
      <c r="J1495" s="81"/>
      <c r="K1495" s="81"/>
      <c r="L1495" s="81"/>
      <c r="M1495" s="175"/>
      <c r="N1495" s="175"/>
    </row>
    <row r="1496" spans="1:14">
      <c r="B1496" s="86" t="s">
        <v>122</v>
      </c>
      <c r="C1496" s="32"/>
      <c r="D1496" s="68"/>
      <c r="E1496" s="157"/>
      <c r="F1496" s="10">
        <f>F1478</f>
        <v>0</v>
      </c>
      <c r="G1496" s="158">
        <f>F1496</f>
        <v>0</v>
      </c>
      <c r="H1496" s="81"/>
      <c r="I1496" s="81"/>
      <c r="J1496" s="81"/>
      <c r="K1496" s="81"/>
      <c r="L1496" s="81"/>
      <c r="M1496" s="175"/>
      <c r="N1496" s="175"/>
    </row>
    <row r="1497" spans="1:14">
      <c r="B1497" s="86" t="s">
        <v>123</v>
      </c>
      <c r="C1497" s="32"/>
      <c r="D1497" s="68"/>
      <c r="E1497" s="157"/>
      <c r="F1497" s="77">
        <f>G1497</f>
        <v>0</v>
      </c>
      <c r="G1497" s="10"/>
      <c r="H1497" s="81"/>
      <c r="I1497" s="81"/>
      <c r="J1497" s="81"/>
      <c r="K1497" s="81"/>
      <c r="L1497" s="81"/>
      <c r="M1497" s="175"/>
      <c r="N1497" s="175"/>
    </row>
    <row r="1498" spans="1:14">
      <c r="B1498" s="86" t="s">
        <v>124</v>
      </c>
      <c r="C1498" s="32"/>
      <c r="D1498" s="68"/>
      <c r="E1498" s="157"/>
      <c r="F1498" s="157"/>
      <c r="G1498" s="10">
        <f>G1478</f>
        <v>0</v>
      </c>
      <c r="H1498" s="158">
        <f>G1498</f>
        <v>0</v>
      </c>
      <c r="I1498" s="157">
        <f>H1498</f>
        <v>0</v>
      </c>
      <c r="J1498" s="81"/>
      <c r="K1498" s="81"/>
      <c r="L1498" s="81"/>
      <c r="M1498" s="161"/>
      <c r="N1498" s="161"/>
    </row>
    <row r="1499" spans="1:14">
      <c r="B1499" s="86" t="s">
        <v>125</v>
      </c>
      <c r="C1499" s="32"/>
      <c r="D1499" s="68"/>
      <c r="E1499" s="157"/>
      <c r="F1499" s="157"/>
      <c r="G1499" s="77"/>
      <c r="H1499" s="10"/>
      <c r="I1499" s="157"/>
      <c r="J1499" s="81"/>
      <c r="K1499" s="81"/>
      <c r="L1499" s="81"/>
      <c r="M1499" s="161"/>
      <c r="N1499" s="161"/>
    </row>
    <row r="1500" spans="1:14">
      <c r="B1500" s="86" t="s">
        <v>126</v>
      </c>
      <c r="C1500" s="32"/>
      <c r="D1500" s="68"/>
      <c r="E1500" s="157"/>
      <c r="F1500" s="157"/>
      <c r="G1500" s="157"/>
      <c r="H1500" s="10">
        <v>0</v>
      </c>
      <c r="I1500" s="158">
        <f>H1500</f>
        <v>0</v>
      </c>
      <c r="J1500" s="81"/>
      <c r="K1500" s="81"/>
      <c r="L1500" s="81"/>
      <c r="M1500" s="161"/>
      <c r="N1500" s="161"/>
    </row>
    <row r="1501" spans="1:14">
      <c r="B1501" s="86" t="s">
        <v>127</v>
      </c>
      <c r="C1501" s="32"/>
      <c r="D1501" s="68"/>
      <c r="E1501" s="157"/>
      <c r="F1501" s="157"/>
      <c r="G1501" s="157"/>
      <c r="H1501" s="77"/>
      <c r="I1501" s="10"/>
      <c r="J1501" s="81"/>
      <c r="K1501" s="81"/>
      <c r="L1501" s="81"/>
      <c r="M1501" s="161"/>
      <c r="N1501" s="161"/>
    </row>
    <row r="1502" spans="1:14">
      <c r="B1502" s="86" t="s">
        <v>128</v>
      </c>
      <c r="C1502" s="32"/>
      <c r="D1502" s="68"/>
      <c r="E1502" s="157"/>
      <c r="F1502" s="157"/>
      <c r="G1502" s="157"/>
      <c r="H1502" s="157"/>
      <c r="I1502" s="247">
        <f>I1478</f>
        <v>0</v>
      </c>
      <c r="J1502" s="159">
        <f>I1502</f>
        <v>0</v>
      </c>
      <c r="K1502" s="81"/>
      <c r="L1502" s="81"/>
      <c r="M1502" s="161"/>
      <c r="N1502" s="161"/>
    </row>
    <row r="1503" spans="1:14">
      <c r="B1503" s="86" t="s">
        <v>119</v>
      </c>
      <c r="C1503" s="32"/>
      <c r="D1503" s="68"/>
      <c r="E1503" s="157"/>
      <c r="F1503" s="157"/>
      <c r="G1503" s="157"/>
      <c r="H1503" s="157"/>
      <c r="I1503" s="248"/>
      <c r="J1503" s="160"/>
      <c r="K1503" s="81"/>
      <c r="L1503" s="81"/>
      <c r="M1503" s="161"/>
      <c r="N1503" s="161"/>
    </row>
    <row r="1504" spans="1:14">
      <c r="B1504" s="86" t="s">
        <v>120</v>
      </c>
      <c r="C1504" s="32"/>
      <c r="D1504" s="68"/>
      <c r="E1504" s="157"/>
      <c r="F1504" s="157"/>
      <c r="G1504" s="157"/>
      <c r="H1504" s="157"/>
      <c r="I1504" s="157"/>
      <c r="J1504" s="160">
        <f>J1478</f>
        <v>0</v>
      </c>
      <c r="K1504" s="159">
        <f>J1504</f>
        <v>0</v>
      </c>
      <c r="L1504" s="81"/>
      <c r="M1504" s="161"/>
      <c r="N1504" s="161"/>
    </row>
    <row r="1505" spans="1:14">
      <c r="B1505" s="86" t="s">
        <v>152</v>
      </c>
      <c r="C1505" s="32"/>
      <c r="D1505" s="68"/>
      <c r="E1505" s="157"/>
      <c r="F1505" s="157"/>
      <c r="G1505" s="157"/>
      <c r="H1505" s="157"/>
      <c r="I1505" s="157"/>
      <c r="J1505" s="305"/>
      <c r="K1505" s="160"/>
      <c r="L1505" s="81"/>
      <c r="M1505" s="161"/>
      <c r="N1505" s="161"/>
    </row>
    <row r="1506" spans="1:14">
      <c r="B1506" s="86" t="s">
        <v>153</v>
      </c>
      <c r="C1506" s="32"/>
      <c r="D1506" s="68"/>
      <c r="E1506" s="157"/>
      <c r="F1506" s="157"/>
      <c r="G1506" s="157"/>
      <c r="H1506" s="157"/>
      <c r="I1506" s="157"/>
      <c r="J1506" s="157"/>
      <c r="K1506" s="160">
        <f>K1478</f>
        <v>588</v>
      </c>
      <c r="L1506" s="77">
        <f>K1506</f>
        <v>588</v>
      </c>
      <c r="M1506" s="161"/>
      <c r="N1506" s="161"/>
    </row>
    <row r="1507" spans="1:14">
      <c r="B1507" s="86" t="s">
        <v>154</v>
      </c>
      <c r="C1507" s="32"/>
      <c r="D1507" s="68"/>
      <c r="E1507" s="157"/>
      <c r="F1507" s="157"/>
      <c r="G1507" s="157"/>
      <c r="H1507" s="157"/>
      <c r="I1507" s="157"/>
      <c r="J1507" s="157"/>
      <c r="K1507" s="305"/>
      <c r="L1507" s="333"/>
      <c r="M1507" s="161"/>
      <c r="N1507" s="161"/>
    </row>
    <row r="1508" spans="1:14">
      <c r="B1508" s="86" t="s">
        <v>155</v>
      </c>
      <c r="C1508" s="32"/>
      <c r="D1508" s="69"/>
      <c r="E1508" s="140"/>
      <c r="F1508" s="140"/>
      <c r="G1508" s="140"/>
      <c r="H1508" s="140"/>
      <c r="I1508" s="140"/>
      <c r="J1508" s="140"/>
      <c r="K1508" s="140"/>
      <c r="L1508" s="162"/>
      <c r="M1508" s="319">
        <f>K1508</f>
        <v>0</v>
      </c>
      <c r="N1508" s="319">
        <f>L1508</f>
        <v>0</v>
      </c>
    </row>
    <row r="1509" spans="1:14">
      <c r="B1509" s="35" t="s">
        <v>17</v>
      </c>
      <c r="D1509" s="281"/>
      <c r="E1509" s="281"/>
      <c r="F1509" s="281"/>
      <c r="G1509" s="281"/>
      <c r="H1509" s="281"/>
      <c r="I1509" s="281"/>
      <c r="J1509" s="281"/>
      <c r="K1509" s="281">
        <f>K1504-K1505-K1506</f>
        <v>-588</v>
      </c>
      <c r="L1509" s="281">
        <f>L1506-L1507-L1508</f>
        <v>588</v>
      </c>
      <c r="M1509" s="281">
        <f>M1508</f>
        <v>0</v>
      </c>
      <c r="N1509" s="281">
        <f>N1508</f>
        <v>0</v>
      </c>
    </row>
    <row r="1510" spans="1:14">
      <c r="B1510" s="6"/>
      <c r="D1510" s="281"/>
      <c r="E1510" s="281"/>
      <c r="F1510" s="281"/>
      <c r="G1510" s="281"/>
      <c r="H1510" s="281"/>
      <c r="I1510" s="281"/>
      <c r="J1510" s="281"/>
      <c r="K1510" s="281"/>
      <c r="L1510" s="281"/>
      <c r="M1510" s="281"/>
      <c r="N1510" s="281"/>
    </row>
    <row r="1511" spans="1:14">
      <c r="B1511" s="83" t="s">
        <v>12</v>
      </c>
      <c r="C1511" s="78"/>
      <c r="D1511" s="282"/>
      <c r="E1511" s="283"/>
      <c r="F1511" s="283"/>
      <c r="G1511" s="283"/>
      <c r="H1511" s="283"/>
      <c r="I1511" s="283"/>
      <c r="J1511" s="283"/>
      <c r="K1511" s="283"/>
      <c r="L1511" s="283"/>
      <c r="M1511" s="283"/>
      <c r="N1511" s="283"/>
    </row>
    <row r="1512" spans="1:14">
      <c r="B1512" s="6"/>
      <c r="D1512" s="281"/>
      <c r="E1512" s="281"/>
      <c r="F1512" s="281"/>
      <c r="G1512" s="281"/>
      <c r="H1512" s="281"/>
      <c r="I1512" s="281"/>
      <c r="J1512" s="281"/>
      <c r="K1512" s="281"/>
      <c r="L1512" s="281"/>
      <c r="M1512" s="281"/>
      <c r="N1512" s="281"/>
    </row>
    <row r="1513" spans="1:14" ht="18.5">
      <c r="A1513" s="43" t="s">
        <v>26</v>
      </c>
      <c r="C1513" s="78"/>
      <c r="D1513" s="285">
        <f xml:space="preserve"> D1478 + D1483 - D1489 + D1509 + D1511</f>
        <v>0</v>
      </c>
      <c r="E1513" s="286">
        <f xml:space="preserve"> E1478 + E1483 - E1489 + E1509 + E1511</f>
        <v>0</v>
      </c>
      <c r="F1513" s="286">
        <f xml:space="preserve"> F1478 + F1483 - F1489 + F1509 + F1511</f>
        <v>0</v>
      </c>
      <c r="G1513" s="286">
        <f t="shared" ref="G1513:N1513" si="899" xml:space="preserve"> G1478 + G1483 - G1489 + G1509 + G1511</f>
        <v>0</v>
      </c>
      <c r="H1513" s="286">
        <f t="shared" si="899"/>
        <v>0</v>
      </c>
      <c r="I1513" s="286">
        <f t="shared" si="899"/>
        <v>0</v>
      </c>
      <c r="J1513" s="286">
        <f t="shared" si="899"/>
        <v>0</v>
      </c>
      <c r="K1513" s="286">
        <f t="shared" si="899"/>
        <v>0</v>
      </c>
      <c r="L1513" s="286">
        <f t="shared" si="899"/>
        <v>5205.4314876975841</v>
      </c>
      <c r="M1513" s="286">
        <f t="shared" ref="M1513" si="900" xml:space="preserve"> M1478 + M1483 - M1489 + M1509 + M1511</f>
        <v>4592.1063272055262</v>
      </c>
      <c r="N1513" s="286">
        <f t="shared" si="899"/>
        <v>0</v>
      </c>
    </row>
    <row r="1514" spans="1:14">
      <c r="B1514" s="6"/>
      <c r="D1514" s="7"/>
      <c r="E1514" s="7"/>
      <c r="F1514" s="7"/>
      <c r="G1514" s="30"/>
      <c r="H1514" s="30"/>
      <c r="I1514" s="30"/>
      <c r="J1514" s="30"/>
      <c r="K1514" s="30"/>
      <c r="L1514" s="30"/>
      <c r="M1514" s="30"/>
      <c r="N1514" s="30"/>
    </row>
    <row r="1515" spans="1:14" ht="15" thickBot="1"/>
    <row r="1516" spans="1:14">
      <c r="A1516" s="8"/>
      <c r="B1516" s="8"/>
      <c r="C1516" s="8"/>
      <c r="D1516" s="8"/>
      <c r="E1516" s="8"/>
      <c r="F1516" s="8"/>
      <c r="G1516" s="8"/>
      <c r="H1516" s="8"/>
      <c r="I1516" s="8"/>
      <c r="J1516" s="8"/>
      <c r="K1516" s="8"/>
      <c r="L1516" s="8"/>
      <c r="M1516" s="8"/>
      <c r="N1516" s="8"/>
    </row>
    <row r="1517" spans="1:14" ht="21">
      <c r="A1517" s="14" t="s">
        <v>4</v>
      </c>
      <c r="B1517" s="14"/>
      <c r="C1517" s="44" t="str">
        <f>B34</f>
        <v>Bear Creek Solar</v>
      </c>
      <c r="D1517" s="45"/>
      <c r="E1517" s="24"/>
      <c r="F1517" s="24"/>
    </row>
    <row r="1519" spans="1:14" ht="18.5">
      <c r="A1519" s="9" t="s">
        <v>21</v>
      </c>
      <c r="B1519" s="9"/>
      <c r="D1519" s="2">
        <v>2011</v>
      </c>
      <c r="E1519" s="2">
        <f>D1519+1</f>
        <v>2012</v>
      </c>
      <c r="F1519" s="2">
        <f t="shared" ref="F1519:N1519" si="901">E1519+1</f>
        <v>2013</v>
      </c>
      <c r="G1519" s="2">
        <f t="shared" si="901"/>
        <v>2014</v>
      </c>
      <c r="H1519" s="2">
        <f t="shared" si="901"/>
        <v>2015</v>
      </c>
      <c r="I1519" s="2">
        <f t="shared" si="901"/>
        <v>2016</v>
      </c>
      <c r="J1519" s="2">
        <f t="shared" si="901"/>
        <v>2017</v>
      </c>
      <c r="K1519" s="2">
        <f t="shared" si="901"/>
        <v>2018</v>
      </c>
      <c r="L1519" s="2">
        <f t="shared" si="901"/>
        <v>2019</v>
      </c>
      <c r="M1519" s="2">
        <f t="shared" si="901"/>
        <v>2020</v>
      </c>
      <c r="N1519" s="2">
        <f t="shared" si="901"/>
        <v>2021</v>
      </c>
    </row>
    <row r="1520" spans="1:14">
      <c r="B1520" s="86" t="str">
        <f>"Total MWh Produced / Purchased from " &amp; C1517</f>
        <v>Total MWh Produced / Purchased from Bear Creek Solar</v>
      </c>
      <c r="C1520" s="78"/>
      <c r="D1520" s="3"/>
      <c r="E1520" s="4"/>
      <c r="F1520" s="4"/>
      <c r="G1520" s="4"/>
      <c r="H1520" s="4"/>
      <c r="I1520" s="4"/>
      <c r="J1520" s="4"/>
      <c r="K1520" s="4">
        <v>5709.8010000000004</v>
      </c>
      <c r="L1520" s="4">
        <v>22675</v>
      </c>
      <c r="M1520" s="307">
        <v>19883</v>
      </c>
      <c r="N1520" s="4">
        <v>0</v>
      </c>
    </row>
    <row r="1521" spans="1:14">
      <c r="B1521" s="86" t="s">
        <v>25</v>
      </c>
      <c r="C1521" s="78"/>
      <c r="D1521" s="60"/>
      <c r="E1521" s="61"/>
      <c r="F1521" s="61"/>
      <c r="G1521" s="61"/>
      <c r="H1521" s="61"/>
      <c r="I1521" s="61"/>
      <c r="J1521" s="61"/>
      <c r="K1521" s="61">
        <v>1</v>
      </c>
      <c r="L1521" s="61">
        <v>1</v>
      </c>
      <c r="M1521" s="312">
        <v>1</v>
      </c>
      <c r="N1521" s="61">
        <v>1</v>
      </c>
    </row>
    <row r="1522" spans="1:14">
      <c r="B1522" s="86" t="s">
        <v>20</v>
      </c>
      <c r="C1522" s="78"/>
      <c r="D1522" s="52"/>
      <c r="E1522" s="53"/>
      <c r="F1522" s="53"/>
      <c r="G1522" s="53"/>
      <c r="H1522" s="53"/>
      <c r="I1522" s="53"/>
      <c r="J1522" s="61"/>
      <c r="K1522" s="61">
        <f>K1477</f>
        <v>0.22007817037432531</v>
      </c>
      <c r="L1522" s="61">
        <f>L1477</f>
        <v>0.2223660721260575</v>
      </c>
      <c r="M1522" s="312">
        <f>M1477</f>
        <v>0.22404890355218221</v>
      </c>
      <c r="N1522" s="61"/>
    </row>
    <row r="1523" spans="1:14">
      <c r="B1523" s="83" t="s">
        <v>22</v>
      </c>
      <c r="C1523" s="84"/>
      <c r="D1523" s="39">
        <v>0</v>
      </c>
      <c r="E1523" s="39">
        <v>0</v>
      </c>
      <c r="F1523" s="39">
        <v>0</v>
      </c>
      <c r="G1523" s="39">
        <v>0</v>
      </c>
      <c r="H1523" s="39">
        <v>0</v>
      </c>
      <c r="I1523" s="39">
        <v>0</v>
      </c>
      <c r="J1523" s="39">
        <v>0</v>
      </c>
      <c r="K1523" s="39">
        <v>677</v>
      </c>
      <c r="L1523" s="39">
        <f>L1520*L1522</f>
        <v>5042.150685458354</v>
      </c>
      <c r="M1523" s="39">
        <f>M1520*M1522</f>
        <v>4454.7643493280393</v>
      </c>
      <c r="N1523" s="39">
        <f>N1520*N1522</f>
        <v>0</v>
      </c>
    </row>
    <row r="1524" spans="1:14">
      <c r="B1524" s="24"/>
      <c r="C1524" s="32"/>
      <c r="D1524" s="38"/>
      <c r="E1524" s="38"/>
      <c r="F1524" s="38"/>
      <c r="G1524" s="38"/>
      <c r="H1524" s="38"/>
      <c r="I1524" s="38"/>
      <c r="J1524" s="38"/>
      <c r="K1524" s="38"/>
      <c r="L1524" s="38"/>
      <c r="M1524" s="38"/>
      <c r="N1524" s="38"/>
    </row>
    <row r="1525" spans="1:14" ht="18.5">
      <c r="A1525" s="46" t="s">
        <v>52</v>
      </c>
      <c r="C1525" s="32"/>
      <c r="D1525" s="2">
        <v>2011</v>
      </c>
      <c r="E1525" s="2">
        <f>D1525+1</f>
        <v>2012</v>
      </c>
      <c r="F1525" s="2">
        <f t="shared" ref="F1525:N1525" si="902">E1525+1</f>
        <v>2013</v>
      </c>
      <c r="G1525" s="2">
        <f t="shared" si="902"/>
        <v>2014</v>
      </c>
      <c r="H1525" s="2">
        <f t="shared" si="902"/>
        <v>2015</v>
      </c>
      <c r="I1525" s="2">
        <f t="shared" si="902"/>
        <v>2016</v>
      </c>
      <c r="J1525" s="2">
        <f t="shared" si="902"/>
        <v>2017</v>
      </c>
      <c r="K1525" s="2">
        <f t="shared" si="902"/>
        <v>2018</v>
      </c>
      <c r="L1525" s="2">
        <f t="shared" si="902"/>
        <v>2019</v>
      </c>
      <c r="M1525" s="2">
        <f t="shared" si="902"/>
        <v>2020</v>
      </c>
      <c r="N1525" s="2">
        <f t="shared" si="902"/>
        <v>2021</v>
      </c>
    </row>
    <row r="1526" spans="1:14">
      <c r="B1526" s="86" t="s">
        <v>10</v>
      </c>
      <c r="C1526" s="78"/>
      <c r="D1526" s="55">
        <v>0</v>
      </c>
      <c r="E1526" s="11">
        <v>0</v>
      </c>
      <c r="F1526" s="11">
        <v>0</v>
      </c>
      <c r="G1526" s="11">
        <v>0</v>
      </c>
      <c r="H1526" s="11">
        <v>0</v>
      </c>
      <c r="I1526" s="11">
        <v>0</v>
      </c>
      <c r="J1526" s="11">
        <v>0</v>
      </c>
      <c r="K1526" s="11">
        <v>0</v>
      </c>
      <c r="L1526" s="11">
        <v>0</v>
      </c>
      <c r="M1526" s="11">
        <v>0</v>
      </c>
      <c r="N1526" s="11">
        <v>0</v>
      </c>
    </row>
    <row r="1527" spans="1:14">
      <c r="B1527" s="86" t="s">
        <v>6</v>
      </c>
      <c r="C1527" s="78"/>
      <c r="D1527" s="56">
        <v>0</v>
      </c>
      <c r="E1527" s="57">
        <v>0</v>
      </c>
      <c r="F1527" s="57">
        <v>0</v>
      </c>
      <c r="G1527" s="57">
        <v>0</v>
      </c>
      <c r="H1527" s="57">
        <v>0</v>
      </c>
      <c r="I1527" s="57">
        <v>0</v>
      </c>
      <c r="J1527" s="57">
        <v>0</v>
      </c>
      <c r="K1527" s="57">
        <v>0</v>
      </c>
      <c r="L1527" s="57">
        <v>0</v>
      </c>
      <c r="M1527" s="57">
        <v>0</v>
      </c>
      <c r="N1527" s="57">
        <v>0</v>
      </c>
    </row>
    <row r="1528" spans="1:14">
      <c r="B1528" s="85" t="s">
        <v>54</v>
      </c>
      <c r="C1528" s="84"/>
      <c r="D1528" s="41">
        <v>0</v>
      </c>
      <c r="E1528" s="42">
        <v>0</v>
      </c>
      <c r="F1528" s="42">
        <v>0</v>
      </c>
      <c r="G1528" s="42">
        <v>0</v>
      </c>
      <c r="H1528" s="42">
        <v>0</v>
      </c>
      <c r="I1528" s="42">
        <v>0</v>
      </c>
      <c r="J1528" s="42">
        <v>0</v>
      </c>
      <c r="K1528" s="42">
        <v>0</v>
      </c>
      <c r="L1528" s="42">
        <v>0</v>
      </c>
      <c r="M1528" s="42">
        <v>0</v>
      </c>
      <c r="N1528" s="42">
        <v>0</v>
      </c>
    </row>
    <row r="1529" spans="1:14">
      <c r="B1529" s="32"/>
      <c r="C1529" s="32"/>
      <c r="D1529" s="40"/>
      <c r="E1529" s="33"/>
      <c r="F1529" s="33"/>
      <c r="G1529" s="33"/>
      <c r="H1529" s="33"/>
      <c r="I1529" s="33"/>
      <c r="J1529" s="33"/>
      <c r="K1529" s="33"/>
      <c r="L1529" s="33"/>
      <c r="M1529" s="33"/>
      <c r="N1529" s="33"/>
    </row>
    <row r="1530" spans="1:14" ht="18.5">
      <c r="A1530" s="43" t="s">
        <v>30</v>
      </c>
      <c r="C1530" s="32"/>
      <c r="D1530" s="2">
        <v>2011</v>
      </c>
      <c r="E1530" s="2">
        <f>D1530+1</f>
        <v>2012</v>
      </c>
      <c r="F1530" s="2">
        <f t="shared" ref="F1530:N1530" si="903">E1530+1</f>
        <v>2013</v>
      </c>
      <c r="G1530" s="2">
        <f t="shared" si="903"/>
        <v>2014</v>
      </c>
      <c r="H1530" s="2">
        <f t="shared" si="903"/>
        <v>2015</v>
      </c>
      <c r="I1530" s="2">
        <f t="shared" si="903"/>
        <v>2016</v>
      </c>
      <c r="J1530" s="2">
        <f t="shared" si="903"/>
        <v>2017</v>
      </c>
      <c r="K1530" s="2">
        <f t="shared" si="903"/>
        <v>2018</v>
      </c>
      <c r="L1530" s="2">
        <f t="shared" si="903"/>
        <v>2019</v>
      </c>
      <c r="M1530" s="2">
        <f t="shared" si="903"/>
        <v>2020</v>
      </c>
      <c r="N1530" s="2">
        <f t="shared" si="903"/>
        <v>2021</v>
      </c>
    </row>
    <row r="1531" spans="1:14">
      <c r="B1531" s="86" t="s">
        <v>32</v>
      </c>
      <c r="C1531" s="78"/>
      <c r="D1531" s="90"/>
      <c r="E1531" s="91"/>
      <c r="F1531" s="91"/>
      <c r="G1531" s="91"/>
      <c r="H1531" s="91"/>
      <c r="I1531" s="91"/>
      <c r="J1531" s="91"/>
      <c r="K1531" s="91"/>
      <c r="L1531" s="91"/>
      <c r="M1531" s="91"/>
      <c r="N1531" s="91"/>
    </row>
    <row r="1532" spans="1:14">
      <c r="B1532" s="87" t="s">
        <v>23</v>
      </c>
      <c r="C1532" s="192"/>
      <c r="D1532" s="93"/>
      <c r="E1532" s="94"/>
      <c r="F1532" s="94"/>
      <c r="G1532" s="94"/>
      <c r="H1532" s="94"/>
      <c r="I1532" s="94"/>
      <c r="J1532" s="94"/>
      <c r="K1532" s="94"/>
      <c r="L1532" s="94"/>
      <c r="M1532" s="94"/>
      <c r="N1532" s="94"/>
    </row>
    <row r="1533" spans="1:14">
      <c r="B1533" s="96" t="s">
        <v>38</v>
      </c>
      <c r="C1533" s="190"/>
      <c r="D1533" s="63"/>
      <c r="E1533" s="64"/>
      <c r="F1533" s="64"/>
      <c r="G1533" s="64"/>
      <c r="H1533" s="64"/>
      <c r="I1533" s="64"/>
      <c r="J1533" s="64"/>
      <c r="K1533" s="64"/>
      <c r="L1533" s="64"/>
      <c r="M1533" s="64"/>
      <c r="N1533" s="64"/>
    </row>
    <row r="1534" spans="1:14">
      <c r="B1534" s="35" t="s">
        <v>39</v>
      </c>
      <c r="D1534" s="7">
        <v>0</v>
      </c>
      <c r="E1534" s="7">
        <v>0</v>
      </c>
      <c r="F1534" s="7">
        <v>0</v>
      </c>
      <c r="G1534" s="7">
        <v>0</v>
      </c>
      <c r="H1534" s="7">
        <v>0</v>
      </c>
      <c r="I1534" s="7">
        <v>0</v>
      </c>
      <c r="J1534" s="7">
        <v>0</v>
      </c>
      <c r="K1534" s="7">
        <v>0</v>
      </c>
      <c r="L1534" s="7">
        <v>0</v>
      </c>
      <c r="M1534" s="7">
        <v>0</v>
      </c>
      <c r="N1534" s="7">
        <v>0</v>
      </c>
    </row>
    <row r="1535" spans="1:14">
      <c r="B1535" s="6"/>
      <c r="D1535" s="7"/>
      <c r="E1535" s="7"/>
      <c r="F1535" s="7"/>
      <c r="G1535" s="30"/>
      <c r="H1535" s="30"/>
      <c r="I1535" s="30"/>
      <c r="J1535" s="30"/>
      <c r="K1535" s="30"/>
      <c r="L1535" s="30"/>
      <c r="M1535" s="30"/>
      <c r="N1535" s="30"/>
    </row>
    <row r="1536" spans="1:14" ht="18.5">
      <c r="A1536" s="9" t="s">
        <v>40</v>
      </c>
      <c r="D1536" s="2">
        <f>'Facility Detail'!$B$1897</f>
        <v>2011</v>
      </c>
      <c r="E1536" s="2">
        <f>D1536+1</f>
        <v>2012</v>
      </c>
      <c r="F1536" s="2">
        <f t="shared" ref="F1536:N1536" si="904">E1536+1</f>
        <v>2013</v>
      </c>
      <c r="G1536" s="2">
        <f t="shared" si="904"/>
        <v>2014</v>
      </c>
      <c r="H1536" s="2">
        <f t="shared" si="904"/>
        <v>2015</v>
      </c>
      <c r="I1536" s="2">
        <f t="shared" si="904"/>
        <v>2016</v>
      </c>
      <c r="J1536" s="2">
        <f t="shared" si="904"/>
        <v>2017</v>
      </c>
      <c r="K1536" s="2">
        <f t="shared" si="904"/>
        <v>2018</v>
      </c>
      <c r="L1536" s="2">
        <f t="shared" si="904"/>
        <v>2019</v>
      </c>
      <c r="M1536" s="2">
        <f t="shared" si="904"/>
        <v>2020</v>
      </c>
      <c r="N1536" s="2">
        <f t="shared" si="904"/>
        <v>2021</v>
      </c>
    </row>
    <row r="1537" spans="2:14">
      <c r="B1537" s="86" t="s">
        <v>34</v>
      </c>
      <c r="C1537" s="78"/>
      <c r="D1537" s="3"/>
      <c r="E1537" s="66">
        <f>D1537</f>
        <v>0</v>
      </c>
      <c r="F1537" s="138"/>
      <c r="G1537" s="138"/>
      <c r="H1537" s="138"/>
      <c r="I1537" s="138"/>
      <c r="J1537" s="138"/>
      <c r="K1537" s="138"/>
      <c r="L1537" s="138"/>
      <c r="M1537" s="67"/>
      <c r="N1537" s="67"/>
    </row>
    <row r="1538" spans="2:14">
      <c r="B1538" s="86" t="s">
        <v>35</v>
      </c>
      <c r="C1538" s="78"/>
      <c r="D1538" s="174">
        <f>E1538</f>
        <v>0</v>
      </c>
      <c r="E1538" s="10"/>
      <c r="F1538" s="81"/>
      <c r="G1538" s="81"/>
      <c r="H1538" s="81"/>
      <c r="I1538" s="81"/>
      <c r="J1538" s="81"/>
      <c r="K1538" s="81"/>
      <c r="L1538" s="81"/>
      <c r="M1538" s="175"/>
      <c r="N1538" s="175"/>
    </row>
    <row r="1539" spans="2:14">
      <c r="B1539" s="86" t="s">
        <v>36</v>
      </c>
      <c r="C1539" s="78"/>
      <c r="D1539" s="68"/>
      <c r="E1539" s="10">
        <f>E1523</f>
        <v>0</v>
      </c>
      <c r="F1539" s="77">
        <f>E1539</f>
        <v>0</v>
      </c>
      <c r="G1539" s="81"/>
      <c r="H1539" s="81"/>
      <c r="I1539" s="81"/>
      <c r="J1539" s="81"/>
      <c r="K1539" s="81"/>
      <c r="L1539" s="81"/>
      <c r="M1539" s="175"/>
      <c r="N1539" s="175"/>
    </row>
    <row r="1540" spans="2:14">
      <c r="B1540" s="86" t="s">
        <v>37</v>
      </c>
      <c r="C1540" s="78"/>
      <c r="D1540" s="68"/>
      <c r="E1540" s="77">
        <f>F1540</f>
        <v>0</v>
      </c>
      <c r="F1540" s="173"/>
      <c r="G1540" s="81"/>
      <c r="H1540" s="81"/>
      <c r="I1540" s="81"/>
      <c r="J1540" s="81"/>
      <c r="K1540" s="81"/>
      <c r="L1540" s="81"/>
      <c r="M1540" s="175"/>
      <c r="N1540" s="175"/>
    </row>
    <row r="1541" spans="2:14">
      <c r="B1541" s="86" t="s">
        <v>122</v>
      </c>
      <c r="C1541" s="32"/>
      <c r="D1541" s="68"/>
      <c r="E1541" s="157"/>
      <c r="F1541" s="10">
        <f>F1523</f>
        <v>0</v>
      </c>
      <c r="G1541" s="158">
        <f>F1541</f>
        <v>0</v>
      </c>
      <c r="H1541" s="81"/>
      <c r="I1541" s="81"/>
      <c r="J1541" s="81"/>
      <c r="K1541" s="81"/>
      <c r="L1541" s="81"/>
      <c r="M1541" s="175"/>
      <c r="N1541" s="175"/>
    </row>
    <row r="1542" spans="2:14">
      <c r="B1542" s="86" t="s">
        <v>123</v>
      </c>
      <c r="C1542" s="32"/>
      <c r="D1542" s="68"/>
      <c r="E1542" s="157"/>
      <c r="F1542" s="77">
        <f>G1542</f>
        <v>0</v>
      </c>
      <c r="G1542" s="10"/>
      <c r="H1542" s="81"/>
      <c r="I1542" s="81"/>
      <c r="J1542" s="81"/>
      <c r="K1542" s="81"/>
      <c r="L1542" s="81"/>
      <c r="M1542" s="175"/>
      <c r="N1542" s="175"/>
    </row>
    <row r="1543" spans="2:14">
      <c r="B1543" s="86" t="s">
        <v>124</v>
      </c>
      <c r="C1543" s="32"/>
      <c r="D1543" s="68"/>
      <c r="E1543" s="157"/>
      <c r="F1543" s="157"/>
      <c r="G1543" s="10">
        <f>G1523</f>
        <v>0</v>
      </c>
      <c r="H1543" s="158">
        <f>G1543</f>
        <v>0</v>
      </c>
      <c r="I1543" s="157">
        <f>H1543</f>
        <v>0</v>
      </c>
      <c r="J1543" s="81"/>
      <c r="K1543" s="81"/>
      <c r="L1543" s="81"/>
      <c r="M1543" s="161"/>
      <c r="N1543" s="161"/>
    </row>
    <row r="1544" spans="2:14">
      <c r="B1544" s="86" t="s">
        <v>125</v>
      </c>
      <c r="C1544" s="32"/>
      <c r="D1544" s="68"/>
      <c r="E1544" s="157"/>
      <c r="F1544" s="157"/>
      <c r="G1544" s="77"/>
      <c r="H1544" s="10"/>
      <c r="I1544" s="157"/>
      <c r="J1544" s="81"/>
      <c r="K1544" s="81"/>
      <c r="L1544" s="81"/>
      <c r="M1544" s="161"/>
      <c r="N1544" s="161"/>
    </row>
    <row r="1545" spans="2:14">
      <c r="B1545" s="86" t="s">
        <v>126</v>
      </c>
      <c r="C1545" s="32"/>
      <c r="D1545" s="68"/>
      <c r="E1545" s="157"/>
      <c r="F1545" s="157"/>
      <c r="G1545" s="157"/>
      <c r="H1545" s="10">
        <v>0</v>
      </c>
      <c r="I1545" s="158">
        <f>H1545</f>
        <v>0</v>
      </c>
      <c r="J1545" s="81"/>
      <c r="K1545" s="81"/>
      <c r="L1545" s="81"/>
      <c r="M1545" s="161"/>
      <c r="N1545" s="161"/>
    </row>
    <row r="1546" spans="2:14">
      <c r="B1546" s="86" t="s">
        <v>127</v>
      </c>
      <c r="C1546" s="32"/>
      <c r="D1546" s="68"/>
      <c r="E1546" s="157"/>
      <c r="F1546" s="157"/>
      <c r="G1546" s="157"/>
      <c r="H1546" s="77"/>
      <c r="I1546" s="10"/>
      <c r="J1546" s="81"/>
      <c r="K1546" s="81"/>
      <c r="L1546" s="81"/>
      <c r="M1546" s="161"/>
      <c r="N1546" s="161"/>
    </row>
    <row r="1547" spans="2:14">
      <c r="B1547" s="86" t="s">
        <v>128</v>
      </c>
      <c r="C1547" s="32"/>
      <c r="D1547" s="68"/>
      <c r="E1547" s="157"/>
      <c r="F1547" s="157"/>
      <c r="G1547" s="157"/>
      <c r="H1547" s="157"/>
      <c r="I1547" s="247">
        <f>I1523</f>
        <v>0</v>
      </c>
      <c r="J1547" s="159">
        <f>I1547</f>
        <v>0</v>
      </c>
      <c r="K1547" s="81"/>
      <c r="L1547" s="81"/>
      <c r="M1547" s="161"/>
      <c r="N1547" s="161"/>
    </row>
    <row r="1548" spans="2:14">
      <c r="B1548" s="86" t="s">
        <v>119</v>
      </c>
      <c r="C1548" s="32"/>
      <c r="D1548" s="68"/>
      <c r="E1548" s="157"/>
      <c r="F1548" s="157"/>
      <c r="G1548" s="157"/>
      <c r="H1548" s="157"/>
      <c r="I1548" s="248"/>
      <c r="J1548" s="160"/>
      <c r="K1548" s="81"/>
      <c r="L1548" s="81"/>
      <c r="M1548" s="161"/>
      <c r="N1548" s="161"/>
    </row>
    <row r="1549" spans="2:14">
      <c r="B1549" s="86" t="s">
        <v>120</v>
      </c>
      <c r="C1549" s="32"/>
      <c r="D1549" s="68"/>
      <c r="E1549" s="157"/>
      <c r="F1549" s="157"/>
      <c r="G1549" s="157"/>
      <c r="H1549" s="157"/>
      <c r="I1549" s="157"/>
      <c r="J1549" s="160">
        <f>J1523</f>
        <v>0</v>
      </c>
      <c r="K1549" s="159">
        <f>J1549</f>
        <v>0</v>
      </c>
      <c r="L1549" s="81"/>
      <c r="M1549" s="161"/>
      <c r="N1549" s="161"/>
    </row>
    <row r="1550" spans="2:14">
      <c r="B1550" s="86" t="s">
        <v>152</v>
      </c>
      <c r="C1550" s="32"/>
      <c r="D1550" s="68"/>
      <c r="E1550" s="157"/>
      <c r="F1550" s="157"/>
      <c r="G1550" s="157"/>
      <c r="H1550" s="157"/>
      <c r="I1550" s="157"/>
      <c r="J1550" s="305"/>
      <c r="K1550" s="160"/>
      <c r="L1550" s="81"/>
      <c r="M1550" s="161"/>
      <c r="N1550" s="161"/>
    </row>
    <row r="1551" spans="2:14">
      <c r="B1551" s="86" t="s">
        <v>153</v>
      </c>
      <c r="C1551" s="32"/>
      <c r="D1551" s="68"/>
      <c r="E1551" s="157"/>
      <c r="F1551" s="157"/>
      <c r="G1551" s="157"/>
      <c r="H1551" s="157"/>
      <c r="I1551" s="157"/>
      <c r="J1551" s="157"/>
      <c r="K1551" s="160">
        <f>K1523</f>
        <v>677</v>
      </c>
      <c r="L1551" s="77">
        <f>K1551</f>
        <v>677</v>
      </c>
      <c r="M1551" s="161"/>
      <c r="N1551" s="161"/>
    </row>
    <row r="1552" spans="2:14">
      <c r="B1552" s="86" t="s">
        <v>154</v>
      </c>
      <c r="C1552" s="32"/>
      <c r="D1552" s="68"/>
      <c r="E1552" s="157"/>
      <c r="F1552" s="157"/>
      <c r="G1552" s="157"/>
      <c r="H1552" s="157"/>
      <c r="I1552" s="157"/>
      <c r="J1552" s="157"/>
      <c r="K1552" s="305"/>
      <c r="L1552" s="333"/>
      <c r="M1552" s="161"/>
      <c r="N1552" s="161"/>
    </row>
    <row r="1553" spans="1:14">
      <c r="B1553" s="86" t="s">
        <v>155</v>
      </c>
      <c r="C1553" s="32"/>
      <c r="D1553" s="69"/>
      <c r="E1553" s="140"/>
      <c r="F1553" s="140"/>
      <c r="G1553" s="140"/>
      <c r="H1553" s="140"/>
      <c r="I1553" s="140"/>
      <c r="J1553" s="140"/>
      <c r="K1553" s="140"/>
      <c r="L1553" s="162"/>
      <c r="M1553" s="319"/>
      <c r="N1553" s="319"/>
    </row>
    <row r="1554" spans="1:14">
      <c r="B1554" s="35" t="s">
        <v>17</v>
      </c>
      <c r="D1554" s="281"/>
      <c r="E1554" s="281"/>
      <c r="F1554" s="281"/>
      <c r="G1554" s="281"/>
      <c r="H1554" s="281"/>
      <c r="I1554" s="281"/>
      <c r="J1554" s="281"/>
      <c r="K1554" s="281">
        <f>K1549-K1550-K1551</f>
        <v>-677</v>
      </c>
      <c r="L1554" s="281">
        <f>L1551-L1552-L1553</f>
        <v>677</v>
      </c>
      <c r="M1554" s="281">
        <f>M1553</f>
        <v>0</v>
      </c>
      <c r="N1554" s="281">
        <f>N1553</f>
        <v>0</v>
      </c>
    </row>
    <row r="1555" spans="1:14">
      <c r="B1555" s="6"/>
      <c r="D1555" s="281"/>
      <c r="E1555" s="281"/>
      <c r="F1555" s="281"/>
      <c r="G1555" s="281"/>
      <c r="H1555" s="281"/>
      <c r="I1555" s="281"/>
      <c r="J1555" s="281"/>
      <c r="K1555" s="281"/>
      <c r="L1555" s="281"/>
      <c r="M1555" s="281"/>
      <c r="N1555" s="281"/>
    </row>
    <row r="1556" spans="1:14">
      <c r="B1556" s="83" t="s">
        <v>12</v>
      </c>
      <c r="C1556" s="78"/>
      <c r="D1556" s="282"/>
      <c r="E1556" s="283"/>
      <c r="F1556" s="283"/>
      <c r="G1556" s="283"/>
      <c r="H1556" s="283"/>
      <c r="I1556" s="283"/>
      <c r="J1556" s="283"/>
      <c r="K1556" s="283"/>
      <c r="L1556" s="283"/>
      <c r="M1556" s="283"/>
      <c r="N1556" s="283"/>
    </row>
    <row r="1557" spans="1:14">
      <c r="B1557" s="6"/>
      <c r="D1557" s="281"/>
      <c r="E1557" s="281"/>
      <c r="F1557" s="281"/>
      <c r="G1557" s="281"/>
      <c r="H1557" s="281"/>
      <c r="I1557" s="281"/>
      <c r="J1557" s="281"/>
      <c r="K1557" s="281"/>
      <c r="L1557" s="281"/>
      <c r="M1557" s="281"/>
      <c r="N1557" s="281"/>
    </row>
    <row r="1558" spans="1:14" ht="18.5">
      <c r="A1558" s="43" t="s">
        <v>26</v>
      </c>
      <c r="C1558" s="78"/>
      <c r="D1558" s="285">
        <f xml:space="preserve"> D1523 + D1528 - D1534 + D1554 + D1556</f>
        <v>0</v>
      </c>
      <c r="E1558" s="286">
        <f xml:space="preserve"> E1523 + E1528 - E1534 + E1554 + E1556</f>
        <v>0</v>
      </c>
      <c r="F1558" s="286">
        <f xml:space="preserve"> F1523 + F1528 - F1534 + F1554 + F1556</f>
        <v>0</v>
      </c>
      <c r="G1558" s="286">
        <f t="shared" ref="G1558:L1558" si="905" xml:space="preserve"> G1523 + G1528 - G1534 + G1554 + G1556</f>
        <v>0</v>
      </c>
      <c r="H1558" s="286">
        <f t="shared" si="905"/>
        <v>0</v>
      </c>
      <c r="I1558" s="286">
        <f t="shared" si="905"/>
        <v>0</v>
      </c>
      <c r="J1558" s="286">
        <f t="shared" si="905"/>
        <v>0</v>
      </c>
      <c r="K1558" s="286">
        <f t="shared" si="905"/>
        <v>0</v>
      </c>
      <c r="L1558" s="286">
        <f t="shared" si="905"/>
        <v>5719.150685458354</v>
      </c>
      <c r="M1558" s="286">
        <f t="shared" ref="M1558:N1558" si="906" xml:space="preserve"> M1523 + M1528 - M1534 + M1554 + M1556</f>
        <v>4454.7643493280393</v>
      </c>
      <c r="N1558" s="286">
        <f t="shared" si="906"/>
        <v>0</v>
      </c>
    </row>
    <row r="1559" spans="1:14">
      <c r="B1559" s="6"/>
      <c r="D1559" s="7"/>
      <c r="E1559" s="7"/>
      <c r="F1559" s="7"/>
      <c r="G1559" s="30"/>
      <c r="H1559" s="30"/>
      <c r="I1559" s="30"/>
      <c r="J1559" s="30"/>
      <c r="K1559" s="30"/>
      <c r="L1559" s="30"/>
      <c r="M1559" s="30"/>
      <c r="N1559" s="30"/>
    </row>
    <row r="1560" spans="1:14" ht="15" thickBot="1"/>
    <row r="1561" spans="1:14">
      <c r="A1561" s="8"/>
      <c r="B1561" s="8"/>
      <c r="C1561" s="8"/>
      <c r="D1561" s="8"/>
      <c r="E1561" s="8"/>
      <c r="F1561" s="8"/>
      <c r="G1561" s="8"/>
      <c r="H1561" s="8"/>
      <c r="I1561" s="8"/>
      <c r="J1561" s="8"/>
      <c r="K1561" s="8"/>
      <c r="L1561" s="8"/>
      <c r="M1561" s="8"/>
      <c r="N1561" s="8"/>
    </row>
    <row r="1562" spans="1:14" ht="21">
      <c r="A1562" s="14" t="s">
        <v>4</v>
      </c>
      <c r="B1562" s="14"/>
      <c r="C1562" s="44" t="str">
        <f>B35</f>
        <v>Bly Solar</v>
      </c>
      <c r="D1562" s="45"/>
      <c r="E1562" s="24"/>
      <c r="F1562" s="24"/>
    </row>
    <row r="1564" spans="1:14" ht="18.5">
      <c r="A1564" s="9" t="s">
        <v>21</v>
      </c>
      <c r="B1564" s="9"/>
      <c r="D1564" s="2">
        <v>2011</v>
      </c>
      <c r="E1564" s="2">
        <f>D1564+1</f>
        <v>2012</v>
      </c>
      <c r="F1564" s="2">
        <f t="shared" ref="F1564:N1564" si="907">E1564+1</f>
        <v>2013</v>
      </c>
      <c r="G1564" s="2">
        <f t="shared" si="907"/>
        <v>2014</v>
      </c>
      <c r="H1564" s="2">
        <f t="shared" si="907"/>
        <v>2015</v>
      </c>
      <c r="I1564" s="2">
        <f t="shared" si="907"/>
        <v>2016</v>
      </c>
      <c r="J1564" s="2">
        <f t="shared" si="907"/>
        <v>2017</v>
      </c>
      <c r="K1564" s="2">
        <f t="shared" si="907"/>
        <v>2018</v>
      </c>
      <c r="L1564" s="2">
        <f t="shared" si="907"/>
        <v>2019</v>
      </c>
      <c r="M1564" s="2">
        <f t="shared" si="907"/>
        <v>2020</v>
      </c>
      <c r="N1564" s="2">
        <f t="shared" si="907"/>
        <v>2021</v>
      </c>
    </row>
    <row r="1565" spans="1:14">
      <c r="B1565" s="86" t="str">
        <f>"Total MWh Produced / Purchased from " &amp; C1562</f>
        <v>Total MWh Produced / Purchased from Bly Solar</v>
      </c>
      <c r="C1565" s="78"/>
      <c r="D1565" s="3"/>
      <c r="E1565" s="4"/>
      <c r="F1565" s="4"/>
      <c r="G1565" s="4"/>
      <c r="H1565" s="4"/>
      <c r="I1565" s="4"/>
      <c r="J1565" s="4">
        <v>0</v>
      </c>
      <c r="K1565" s="4">
        <v>586.55600000000004</v>
      </c>
      <c r="L1565" s="4">
        <v>18041</v>
      </c>
      <c r="M1565" s="307">
        <v>19124</v>
      </c>
      <c r="N1565" s="4"/>
    </row>
    <row r="1566" spans="1:14">
      <c r="B1566" s="86" t="s">
        <v>25</v>
      </c>
      <c r="C1566" s="78"/>
      <c r="D1566" s="60"/>
      <c r="E1566" s="61"/>
      <c r="F1566" s="61"/>
      <c r="G1566" s="61"/>
      <c r="H1566" s="61"/>
      <c r="I1566" s="61"/>
      <c r="J1566" s="61"/>
      <c r="K1566" s="61">
        <v>1</v>
      </c>
      <c r="L1566" s="61">
        <v>1</v>
      </c>
      <c r="M1566" s="312">
        <v>1</v>
      </c>
      <c r="N1566" s="61">
        <v>1</v>
      </c>
    </row>
    <row r="1567" spans="1:14">
      <c r="B1567" s="86" t="s">
        <v>20</v>
      </c>
      <c r="C1567" s="78"/>
      <c r="D1567" s="52"/>
      <c r="E1567" s="53"/>
      <c r="F1567" s="53"/>
      <c r="G1567" s="53"/>
      <c r="H1567" s="53"/>
      <c r="I1567" s="53"/>
      <c r="J1567" s="53"/>
      <c r="K1567" s="53">
        <f>K1477</f>
        <v>0.22007817037432531</v>
      </c>
      <c r="L1567" s="53">
        <f>L1477</f>
        <v>0.2223660721260575</v>
      </c>
      <c r="M1567" s="324">
        <f>M1477</f>
        <v>0.22404890355218221</v>
      </c>
      <c r="N1567" s="53"/>
    </row>
    <row r="1568" spans="1:14">
      <c r="B1568" s="83" t="s">
        <v>22</v>
      </c>
      <c r="C1568" s="84"/>
      <c r="D1568" s="39">
        <v>0</v>
      </c>
      <c r="E1568" s="39">
        <v>0</v>
      </c>
      <c r="F1568" s="39">
        <v>0</v>
      </c>
      <c r="G1568" s="39">
        <v>0</v>
      </c>
      <c r="H1568" s="39">
        <v>0</v>
      </c>
      <c r="I1568" s="39">
        <v>0</v>
      </c>
      <c r="J1568" s="39">
        <f>J1565*J1567</f>
        <v>0</v>
      </c>
      <c r="K1568" s="39">
        <v>129</v>
      </c>
      <c r="L1568" s="39">
        <f>L1565*L1567</f>
        <v>4011.7063072262031</v>
      </c>
      <c r="M1568" s="39">
        <f>M1565*M1567</f>
        <v>4284.7112315319328</v>
      </c>
      <c r="N1568" s="39">
        <f>N1565*N1567</f>
        <v>0</v>
      </c>
    </row>
    <row r="1569" spans="1:14">
      <c r="B1569" s="24"/>
      <c r="C1569" s="32"/>
      <c r="D1569" s="38"/>
      <c r="E1569" s="38"/>
      <c r="F1569" s="38"/>
      <c r="G1569" s="38"/>
      <c r="H1569" s="38"/>
      <c r="I1569" s="38"/>
      <c r="J1569" s="38"/>
      <c r="K1569" s="38"/>
      <c r="L1569" s="38"/>
      <c r="M1569" s="38"/>
      <c r="N1569" s="38"/>
    </row>
    <row r="1570" spans="1:14" ht="18.5">
      <c r="A1570" s="46" t="s">
        <v>52</v>
      </c>
      <c r="C1570" s="32"/>
      <c r="D1570" s="2">
        <v>2011</v>
      </c>
      <c r="E1570" s="2">
        <f>D1570+1</f>
        <v>2012</v>
      </c>
      <c r="F1570" s="2">
        <f t="shared" ref="F1570:N1570" si="908">E1570+1</f>
        <v>2013</v>
      </c>
      <c r="G1570" s="2">
        <f t="shared" si="908"/>
        <v>2014</v>
      </c>
      <c r="H1570" s="2">
        <f t="shared" si="908"/>
        <v>2015</v>
      </c>
      <c r="I1570" s="2">
        <f t="shared" si="908"/>
        <v>2016</v>
      </c>
      <c r="J1570" s="2">
        <f t="shared" si="908"/>
        <v>2017</v>
      </c>
      <c r="K1570" s="2">
        <f t="shared" si="908"/>
        <v>2018</v>
      </c>
      <c r="L1570" s="2">
        <f t="shared" si="908"/>
        <v>2019</v>
      </c>
      <c r="M1570" s="2">
        <f t="shared" si="908"/>
        <v>2020</v>
      </c>
      <c r="N1570" s="2">
        <f t="shared" si="908"/>
        <v>2021</v>
      </c>
    </row>
    <row r="1571" spans="1:14">
      <c r="B1571" s="86" t="s">
        <v>10</v>
      </c>
      <c r="C1571" s="78"/>
      <c r="D1571" s="55">
        <v>0</v>
      </c>
      <c r="E1571" s="11">
        <v>0</v>
      </c>
      <c r="F1571" s="11">
        <v>0</v>
      </c>
      <c r="G1571" s="11">
        <v>0</v>
      </c>
      <c r="H1571" s="11">
        <v>0</v>
      </c>
      <c r="I1571" s="11">
        <v>0</v>
      </c>
      <c r="J1571" s="11">
        <v>0</v>
      </c>
      <c r="K1571" s="11">
        <v>0</v>
      </c>
      <c r="L1571" s="11">
        <v>0</v>
      </c>
      <c r="M1571" s="11">
        <v>0</v>
      </c>
      <c r="N1571" s="11">
        <v>0</v>
      </c>
    </row>
    <row r="1572" spans="1:14">
      <c r="B1572" s="86" t="s">
        <v>6</v>
      </c>
      <c r="C1572" s="78"/>
      <c r="D1572" s="56">
        <v>0</v>
      </c>
      <c r="E1572" s="57">
        <v>0</v>
      </c>
      <c r="F1572" s="57">
        <v>0</v>
      </c>
      <c r="G1572" s="57">
        <v>0</v>
      </c>
      <c r="H1572" s="57">
        <v>0</v>
      </c>
      <c r="I1572" s="57">
        <v>0</v>
      </c>
      <c r="J1572" s="57">
        <v>0</v>
      </c>
      <c r="K1572" s="57">
        <v>0</v>
      </c>
      <c r="L1572" s="57">
        <v>0</v>
      </c>
      <c r="M1572" s="57">
        <v>0</v>
      </c>
      <c r="N1572" s="57">
        <v>0</v>
      </c>
    </row>
    <row r="1573" spans="1:14">
      <c r="B1573" s="85" t="s">
        <v>54</v>
      </c>
      <c r="C1573" s="84"/>
      <c r="D1573" s="41">
        <v>0</v>
      </c>
      <c r="E1573" s="42">
        <v>0</v>
      </c>
      <c r="F1573" s="42">
        <v>0</v>
      </c>
      <c r="G1573" s="42">
        <v>0</v>
      </c>
      <c r="H1573" s="42">
        <v>0</v>
      </c>
      <c r="I1573" s="42">
        <v>0</v>
      </c>
      <c r="J1573" s="42">
        <v>0</v>
      </c>
      <c r="K1573" s="42">
        <v>0</v>
      </c>
      <c r="L1573" s="42">
        <v>0</v>
      </c>
      <c r="M1573" s="42">
        <v>0</v>
      </c>
      <c r="N1573" s="42">
        <v>0</v>
      </c>
    </row>
    <row r="1574" spans="1:14">
      <c r="B1574" s="32"/>
      <c r="C1574" s="32"/>
      <c r="D1574" s="40"/>
      <c r="E1574" s="33"/>
      <c r="F1574" s="33"/>
      <c r="G1574" s="33"/>
      <c r="H1574" s="33"/>
      <c r="I1574" s="33"/>
      <c r="J1574" s="33"/>
      <c r="K1574" s="33"/>
      <c r="L1574" s="33"/>
      <c r="M1574" s="33"/>
      <c r="N1574" s="33"/>
    </row>
    <row r="1575" spans="1:14" ht="18.5">
      <c r="A1575" s="43" t="s">
        <v>30</v>
      </c>
      <c r="C1575" s="32"/>
      <c r="D1575" s="2">
        <v>2011</v>
      </c>
      <c r="E1575" s="2">
        <f>D1575+1</f>
        <v>2012</v>
      </c>
      <c r="F1575" s="2">
        <f t="shared" ref="F1575:N1575" si="909">E1575+1</f>
        <v>2013</v>
      </c>
      <c r="G1575" s="2">
        <f t="shared" si="909"/>
        <v>2014</v>
      </c>
      <c r="H1575" s="2">
        <f t="shared" si="909"/>
        <v>2015</v>
      </c>
      <c r="I1575" s="2">
        <f t="shared" si="909"/>
        <v>2016</v>
      </c>
      <c r="J1575" s="2">
        <f t="shared" si="909"/>
        <v>2017</v>
      </c>
      <c r="K1575" s="2">
        <f t="shared" si="909"/>
        <v>2018</v>
      </c>
      <c r="L1575" s="2">
        <f t="shared" si="909"/>
        <v>2019</v>
      </c>
      <c r="M1575" s="2">
        <f t="shared" si="909"/>
        <v>2020</v>
      </c>
      <c r="N1575" s="2">
        <f t="shared" si="909"/>
        <v>2021</v>
      </c>
    </row>
    <row r="1576" spans="1:14">
      <c r="B1576" s="86" t="s">
        <v>32</v>
      </c>
      <c r="C1576" s="78"/>
      <c r="D1576" s="90"/>
      <c r="E1576" s="91"/>
      <c r="F1576" s="91"/>
      <c r="G1576" s="91"/>
      <c r="H1576" s="91"/>
      <c r="I1576" s="91"/>
      <c r="J1576" s="91"/>
      <c r="K1576" s="91"/>
      <c r="L1576" s="91"/>
      <c r="M1576" s="91"/>
      <c r="N1576" s="91"/>
    </row>
    <row r="1577" spans="1:14">
      <c r="B1577" s="87" t="s">
        <v>23</v>
      </c>
      <c r="C1577" s="192"/>
      <c r="D1577" s="93"/>
      <c r="E1577" s="94"/>
      <c r="F1577" s="94"/>
      <c r="G1577" s="94"/>
      <c r="H1577" s="94"/>
      <c r="I1577" s="94"/>
      <c r="J1577" s="94"/>
      <c r="K1577" s="94"/>
      <c r="L1577" s="94"/>
      <c r="M1577" s="94"/>
      <c r="N1577" s="94"/>
    </row>
    <row r="1578" spans="1:14">
      <c r="B1578" s="96" t="s">
        <v>38</v>
      </c>
      <c r="C1578" s="190"/>
      <c r="D1578" s="63"/>
      <c r="E1578" s="64"/>
      <c r="F1578" s="64"/>
      <c r="G1578" s="64"/>
      <c r="H1578" s="64"/>
      <c r="I1578" s="64"/>
      <c r="J1578" s="64"/>
      <c r="K1578" s="64"/>
      <c r="L1578" s="64"/>
      <c r="M1578" s="64"/>
      <c r="N1578" s="64"/>
    </row>
    <row r="1579" spans="1:14">
      <c r="B1579" s="35" t="s">
        <v>39</v>
      </c>
      <c r="D1579" s="7">
        <v>0</v>
      </c>
      <c r="E1579" s="7">
        <v>0</v>
      </c>
      <c r="F1579" s="7">
        <v>0</v>
      </c>
      <c r="G1579" s="7">
        <v>0</v>
      </c>
      <c r="H1579" s="7">
        <v>0</v>
      </c>
      <c r="I1579" s="7">
        <v>0</v>
      </c>
      <c r="J1579" s="7">
        <v>0</v>
      </c>
      <c r="K1579" s="7">
        <v>0</v>
      </c>
      <c r="L1579" s="7">
        <v>0</v>
      </c>
      <c r="M1579" s="7">
        <v>0</v>
      </c>
      <c r="N1579" s="7">
        <v>0</v>
      </c>
    </row>
    <row r="1580" spans="1:14">
      <c r="B1580" s="6"/>
      <c r="D1580" s="7"/>
      <c r="E1580" s="7"/>
      <c r="F1580" s="7"/>
      <c r="G1580" s="30"/>
      <c r="H1580" s="30"/>
      <c r="I1580" s="30"/>
      <c r="J1580" s="30"/>
      <c r="K1580" s="30"/>
      <c r="L1580" s="30"/>
      <c r="M1580" s="30"/>
      <c r="N1580" s="30"/>
    </row>
    <row r="1581" spans="1:14" ht="18.5">
      <c r="A1581" s="9" t="s">
        <v>40</v>
      </c>
      <c r="D1581" s="2">
        <f>'Facility Detail'!$B$1897</f>
        <v>2011</v>
      </c>
      <c r="E1581" s="2">
        <f>D1581+1</f>
        <v>2012</v>
      </c>
      <c r="F1581" s="2">
        <f t="shared" ref="F1581:N1581" si="910">E1581+1</f>
        <v>2013</v>
      </c>
      <c r="G1581" s="2">
        <f t="shared" si="910"/>
        <v>2014</v>
      </c>
      <c r="H1581" s="2">
        <f t="shared" si="910"/>
        <v>2015</v>
      </c>
      <c r="I1581" s="2">
        <f t="shared" si="910"/>
        <v>2016</v>
      </c>
      <c r="J1581" s="2">
        <f t="shared" si="910"/>
        <v>2017</v>
      </c>
      <c r="K1581" s="2">
        <f t="shared" si="910"/>
        <v>2018</v>
      </c>
      <c r="L1581" s="2">
        <f t="shared" si="910"/>
        <v>2019</v>
      </c>
      <c r="M1581" s="2">
        <f t="shared" si="910"/>
        <v>2020</v>
      </c>
      <c r="N1581" s="2">
        <f t="shared" si="910"/>
        <v>2021</v>
      </c>
    </row>
    <row r="1582" spans="1:14">
      <c r="B1582" s="86" t="s">
        <v>34</v>
      </c>
      <c r="C1582" s="78"/>
      <c r="D1582" s="3"/>
      <c r="E1582" s="66">
        <f>D1582</f>
        <v>0</v>
      </c>
      <c r="F1582" s="138"/>
      <c r="G1582" s="138"/>
      <c r="H1582" s="138"/>
      <c r="I1582" s="138"/>
      <c r="J1582" s="138"/>
      <c r="K1582" s="138"/>
      <c r="L1582" s="138"/>
      <c r="M1582" s="67"/>
      <c r="N1582" s="67"/>
    </row>
    <row r="1583" spans="1:14">
      <c r="B1583" s="86" t="s">
        <v>35</v>
      </c>
      <c r="C1583" s="78"/>
      <c r="D1583" s="174">
        <f>E1583</f>
        <v>0</v>
      </c>
      <c r="E1583" s="10"/>
      <c r="F1583" s="81"/>
      <c r="G1583" s="81"/>
      <c r="H1583" s="81"/>
      <c r="I1583" s="81"/>
      <c r="J1583" s="81"/>
      <c r="K1583" s="81"/>
      <c r="L1583" s="81"/>
      <c r="M1583" s="175"/>
      <c r="N1583" s="175"/>
    </row>
    <row r="1584" spans="1:14">
      <c r="B1584" s="86" t="s">
        <v>36</v>
      </c>
      <c r="C1584" s="78"/>
      <c r="D1584" s="68"/>
      <c r="E1584" s="10">
        <f>E1568</f>
        <v>0</v>
      </c>
      <c r="F1584" s="77">
        <f>E1584</f>
        <v>0</v>
      </c>
      <c r="G1584" s="81"/>
      <c r="H1584" s="81"/>
      <c r="I1584" s="81"/>
      <c r="J1584" s="81"/>
      <c r="K1584" s="81"/>
      <c r="L1584" s="81"/>
      <c r="M1584" s="175"/>
      <c r="N1584" s="175"/>
    </row>
    <row r="1585" spans="2:14">
      <c r="B1585" s="86" t="s">
        <v>37</v>
      </c>
      <c r="C1585" s="78"/>
      <c r="D1585" s="68"/>
      <c r="E1585" s="77">
        <f>F1585</f>
        <v>0</v>
      </c>
      <c r="F1585" s="173"/>
      <c r="G1585" s="81"/>
      <c r="H1585" s="81"/>
      <c r="I1585" s="81"/>
      <c r="J1585" s="81"/>
      <c r="K1585" s="81"/>
      <c r="L1585" s="81"/>
      <c r="M1585" s="175"/>
      <c r="N1585" s="175"/>
    </row>
    <row r="1586" spans="2:14">
      <c r="B1586" s="86" t="s">
        <v>122</v>
      </c>
      <c r="C1586" s="32"/>
      <c r="D1586" s="68"/>
      <c r="E1586" s="157"/>
      <c r="F1586" s="10">
        <f>F1568</f>
        <v>0</v>
      </c>
      <c r="G1586" s="158">
        <f>F1586</f>
        <v>0</v>
      </c>
      <c r="H1586" s="81"/>
      <c r="I1586" s="81"/>
      <c r="J1586" s="81"/>
      <c r="K1586" s="81"/>
      <c r="L1586" s="81"/>
      <c r="M1586" s="175"/>
      <c r="N1586" s="175"/>
    </row>
    <row r="1587" spans="2:14">
      <c r="B1587" s="86" t="s">
        <v>123</v>
      </c>
      <c r="C1587" s="32"/>
      <c r="D1587" s="68"/>
      <c r="E1587" s="157"/>
      <c r="F1587" s="77">
        <f>G1587</f>
        <v>0</v>
      </c>
      <c r="G1587" s="10"/>
      <c r="H1587" s="81"/>
      <c r="I1587" s="81"/>
      <c r="J1587" s="81"/>
      <c r="K1587" s="81"/>
      <c r="L1587" s="81"/>
      <c r="M1587" s="175"/>
      <c r="N1587" s="175"/>
    </row>
    <row r="1588" spans="2:14">
      <c r="B1588" s="86" t="s">
        <v>124</v>
      </c>
      <c r="C1588" s="32"/>
      <c r="D1588" s="68"/>
      <c r="E1588" s="157"/>
      <c r="F1588" s="157"/>
      <c r="G1588" s="10">
        <f>G1568</f>
        <v>0</v>
      </c>
      <c r="H1588" s="158">
        <f>G1588</f>
        <v>0</v>
      </c>
      <c r="I1588" s="157">
        <f>H1588</f>
        <v>0</v>
      </c>
      <c r="J1588" s="81"/>
      <c r="K1588" s="81"/>
      <c r="L1588" s="81"/>
      <c r="M1588" s="161"/>
      <c r="N1588" s="161"/>
    </row>
    <row r="1589" spans="2:14">
      <c r="B1589" s="86" t="s">
        <v>125</v>
      </c>
      <c r="C1589" s="32"/>
      <c r="D1589" s="68"/>
      <c r="E1589" s="157"/>
      <c r="F1589" s="157"/>
      <c r="G1589" s="77"/>
      <c r="H1589" s="10"/>
      <c r="I1589" s="157"/>
      <c r="J1589" s="81"/>
      <c r="K1589" s="81"/>
      <c r="L1589" s="81"/>
      <c r="M1589" s="161"/>
      <c r="N1589" s="161"/>
    </row>
    <row r="1590" spans="2:14">
      <c r="B1590" s="86" t="s">
        <v>126</v>
      </c>
      <c r="C1590" s="32"/>
      <c r="D1590" s="68"/>
      <c r="E1590" s="157"/>
      <c r="F1590" s="157"/>
      <c r="G1590" s="157"/>
      <c r="H1590" s="10">
        <v>0</v>
      </c>
      <c r="I1590" s="158">
        <f>H1590</f>
        <v>0</v>
      </c>
      <c r="J1590" s="81"/>
      <c r="K1590" s="81"/>
      <c r="L1590" s="81"/>
      <c r="M1590" s="161"/>
      <c r="N1590" s="161"/>
    </row>
    <row r="1591" spans="2:14">
      <c r="B1591" s="86" t="s">
        <v>127</v>
      </c>
      <c r="C1591" s="32"/>
      <c r="D1591" s="68"/>
      <c r="E1591" s="157"/>
      <c r="F1591" s="157"/>
      <c r="G1591" s="157"/>
      <c r="H1591" s="77"/>
      <c r="I1591" s="10"/>
      <c r="J1591" s="81"/>
      <c r="K1591" s="81"/>
      <c r="L1591" s="81"/>
      <c r="M1591" s="161"/>
      <c r="N1591" s="161"/>
    </row>
    <row r="1592" spans="2:14">
      <c r="B1592" s="86" t="s">
        <v>128</v>
      </c>
      <c r="C1592" s="32"/>
      <c r="D1592" s="68"/>
      <c r="E1592" s="157"/>
      <c r="F1592" s="157"/>
      <c r="G1592" s="157"/>
      <c r="H1592" s="157"/>
      <c r="I1592" s="247">
        <f>I1568</f>
        <v>0</v>
      </c>
      <c r="J1592" s="159">
        <f>I1592</f>
        <v>0</v>
      </c>
      <c r="K1592" s="81"/>
      <c r="L1592" s="81"/>
      <c r="M1592" s="161"/>
      <c r="N1592" s="161"/>
    </row>
    <row r="1593" spans="2:14">
      <c r="B1593" s="86" t="s">
        <v>119</v>
      </c>
      <c r="C1593" s="32"/>
      <c r="D1593" s="68"/>
      <c r="E1593" s="157"/>
      <c r="F1593" s="157"/>
      <c r="G1593" s="157"/>
      <c r="H1593" s="157"/>
      <c r="I1593" s="248"/>
      <c r="J1593" s="160"/>
      <c r="K1593" s="81"/>
      <c r="L1593" s="81"/>
      <c r="M1593" s="161"/>
      <c r="N1593" s="161"/>
    </row>
    <row r="1594" spans="2:14">
      <c r="B1594" s="86" t="s">
        <v>120</v>
      </c>
      <c r="C1594" s="32"/>
      <c r="D1594" s="68"/>
      <c r="E1594" s="157"/>
      <c r="F1594" s="157"/>
      <c r="G1594" s="157"/>
      <c r="H1594" s="157"/>
      <c r="I1594" s="157"/>
      <c r="J1594" s="160">
        <f>J1568</f>
        <v>0</v>
      </c>
      <c r="K1594" s="159">
        <f>J1594</f>
        <v>0</v>
      </c>
      <c r="L1594" s="81"/>
      <c r="M1594" s="161"/>
      <c r="N1594" s="161"/>
    </row>
    <row r="1595" spans="2:14">
      <c r="B1595" s="86" t="s">
        <v>152</v>
      </c>
      <c r="C1595" s="32"/>
      <c r="D1595" s="68"/>
      <c r="E1595" s="157"/>
      <c r="F1595" s="157"/>
      <c r="G1595" s="157"/>
      <c r="H1595" s="157"/>
      <c r="I1595" s="157"/>
      <c r="J1595" s="305"/>
      <c r="K1595" s="160"/>
      <c r="L1595" s="81"/>
      <c r="M1595" s="161"/>
      <c r="N1595" s="161"/>
    </row>
    <row r="1596" spans="2:14">
      <c r="B1596" s="86" t="s">
        <v>153</v>
      </c>
      <c r="C1596" s="32"/>
      <c r="D1596" s="68"/>
      <c r="E1596" s="157"/>
      <c r="F1596" s="157"/>
      <c r="G1596" s="157"/>
      <c r="H1596" s="157"/>
      <c r="I1596" s="157"/>
      <c r="J1596" s="157"/>
      <c r="K1596" s="160">
        <f>K1568</f>
        <v>129</v>
      </c>
      <c r="L1596" s="77">
        <f>K1596</f>
        <v>129</v>
      </c>
      <c r="M1596" s="161"/>
      <c r="N1596" s="161"/>
    </row>
    <row r="1597" spans="2:14">
      <c r="B1597" s="86" t="s">
        <v>154</v>
      </c>
      <c r="C1597" s="32"/>
      <c r="D1597" s="68"/>
      <c r="E1597" s="157"/>
      <c r="F1597" s="157"/>
      <c r="G1597" s="157"/>
      <c r="H1597" s="157"/>
      <c r="I1597" s="157"/>
      <c r="J1597" s="157"/>
      <c r="K1597" s="305"/>
      <c r="L1597" s="333"/>
      <c r="M1597" s="161"/>
      <c r="N1597" s="161"/>
    </row>
    <row r="1598" spans="2:14">
      <c r="B1598" s="86" t="s">
        <v>155</v>
      </c>
      <c r="C1598" s="32"/>
      <c r="D1598" s="69"/>
      <c r="E1598" s="140"/>
      <c r="F1598" s="140"/>
      <c r="G1598" s="140"/>
      <c r="H1598" s="140"/>
      <c r="I1598" s="140"/>
      <c r="J1598" s="140"/>
      <c r="K1598" s="140"/>
      <c r="L1598" s="162"/>
      <c r="M1598" s="319">
        <f>K1598</f>
        <v>0</v>
      </c>
      <c r="N1598" s="319">
        <f>L1598</f>
        <v>0</v>
      </c>
    </row>
    <row r="1599" spans="2:14">
      <c r="B1599" s="35" t="s">
        <v>17</v>
      </c>
      <c r="D1599" s="281"/>
      <c r="E1599" s="281"/>
      <c r="F1599" s="281"/>
      <c r="G1599" s="281"/>
      <c r="H1599" s="281"/>
      <c r="I1599" s="281"/>
      <c r="J1599" s="281">
        <f>J1592-J1593-J1594</f>
        <v>0</v>
      </c>
      <c r="K1599" s="281">
        <f>K1594-K1595-K1596</f>
        <v>-129</v>
      </c>
      <c r="L1599" s="281">
        <f>L1596-L1597-L1598</f>
        <v>129</v>
      </c>
      <c r="M1599" s="281">
        <f>M1598</f>
        <v>0</v>
      </c>
      <c r="N1599" s="281">
        <f>N1598</f>
        <v>0</v>
      </c>
    </row>
    <row r="1600" spans="2:14">
      <c r="B1600" s="6"/>
      <c r="D1600" s="281"/>
      <c r="E1600" s="281"/>
      <c r="F1600" s="281"/>
      <c r="G1600" s="281"/>
      <c r="H1600" s="281"/>
      <c r="I1600" s="281"/>
      <c r="J1600" s="281"/>
      <c r="K1600" s="281"/>
      <c r="L1600" s="281"/>
      <c r="M1600" s="281"/>
      <c r="N1600" s="281"/>
    </row>
    <row r="1601" spans="1:14">
      <c r="B1601" s="83" t="s">
        <v>12</v>
      </c>
      <c r="C1601" s="78"/>
      <c r="D1601" s="282"/>
      <c r="E1601" s="283"/>
      <c r="F1601" s="283"/>
      <c r="G1601" s="283"/>
      <c r="H1601" s="283"/>
      <c r="I1601" s="283"/>
      <c r="J1601" s="283"/>
      <c r="K1601" s="283"/>
      <c r="L1601" s="283"/>
      <c r="M1601" s="283"/>
      <c r="N1601" s="283"/>
    </row>
    <row r="1602" spans="1:14">
      <c r="B1602" s="6"/>
      <c r="D1602" s="317"/>
      <c r="E1602" s="316"/>
      <c r="F1602" s="316"/>
      <c r="G1602" s="316"/>
      <c r="H1602" s="316"/>
      <c r="I1602" s="316"/>
      <c r="J1602" s="316"/>
      <c r="K1602" s="316"/>
      <c r="L1602" s="316"/>
      <c r="M1602" s="316"/>
      <c r="N1602" s="316"/>
    </row>
    <row r="1603" spans="1:14" ht="18.5">
      <c r="A1603" s="43" t="s">
        <v>26</v>
      </c>
      <c r="C1603" s="32"/>
      <c r="D1603" s="285">
        <f xml:space="preserve"> D1568 + D1573 - D1579 + D1599 + D1601</f>
        <v>0</v>
      </c>
      <c r="E1603" s="286">
        <f xml:space="preserve"> E1568 + E1573 - E1579 + E1599 + E1601</f>
        <v>0</v>
      </c>
      <c r="F1603" s="286">
        <f xml:space="preserve"> F1568 + F1573 - F1579 + F1599 + F1601</f>
        <v>0</v>
      </c>
      <c r="G1603" s="286">
        <f t="shared" ref="G1603:J1603" si="911" xml:space="preserve"> G1568 + G1573 - G1579 + G1599 + G1601</f>
        <v>0</v>
      </c>
      <c r="H1603" s="286">
        <f t="shared" si="911"/>
        <v>0</v>
      </c>
      <c r="I1603" s="286">
        <f t="shared" si="911"/>
        <v>0</v>
      </c>
      <c r="J1603" s="286">
        <f t="shared" si="911"/>
        <v>0</v>
      </c>
      <c r="K1603" s="286">
        <f t="shared" ref="K1603:N1603" si="912" xml:space="preserve"> K1568 + K1573 - K1579 + K1599 + K1601</f>
        <v>0</v>
      </c>
      <c r="L1603" s="286">
        <f t="shared" si="912"/>
        <v>4140.7063072262026</v>
      </c>
      <c r="M1603" s="286">
        <f t="shared" ref="M1603" si="913" xml:space="preserve"> M1568 + M1573 - M1579 + M1599 + M1601</f>
        <v>4284.7112315319328</v>
      </c>
      <c r="N1603" s="286">
        <f t="shared" si="912"/>
        <v>0</v>
      </c>
    </row>
    <row r="1604" spans="1:14" ht="15" thickBot="1"/>
    <row r="1605" spans="1:14">
      <c r="A1605" s="8"/>
      <c r="B1605" s="8"/>
      <c r="C1605" s="8"/>
      <c r="D1605" s="8"/>
      <c r="E1605" s="8"/>
      <c r="F1605" s="8"/>
      <c r="G1605" s="8"/>
      <c r="H1605" s="8"/>
      <c r="I1605" s="8"/>
      <c r="J1605" s="8"/>
      <c r="K1605" s="8"/>
      <c r="L1605" s="8"/>
      <c r="M1605" s="8"/>
      <c r="N1605" s="8"/>
    </row>
    <row r="1606" spans="1:14" ht="21">
      <c r="A1606" s="14" t="s">
        <v>4</v>
      </c>
      <c r="B1606" s="14"/>
      <c r="C1606" s="44" t="str">
        <f>B36</f>
        <v>Elbe Solar</v>
      </c>
      <c r="D1606" s="45"/>
      <c r="E1606" s="24"/>
      <c r="F1606" s="24"/>
    </row>
    <row r="1608" spans="1:14" ht="18.5">
      <c r="A1608" s="9" t="s">
        <v>21</v>
      </c>
      <c r="B1608" s="9"/>
      <c r="D1608" s="2">
        <v>2011</v>
      </c>
      <c r="E1608" s="2">
        <f>D1608+1</f>
        <v>2012</v>
      </c>
      <c r="F1608" s="2">
        <f t="shared" ref="F1608:N1608" si="914">E1608+1</f>
        <v>2013</v>
      </c>
      <c r="G1608" s="2">
        <f t="shared" si="914"/>
        <v>2014</v>
      </c>
      <c r="H1608" s="2">
        <f t="shared" si="914"/>
        <v>2015</v>
      </c>
      <c r="I1608" s="2">
        <f t="shared" si="914"/>
        <v>2016</v>
      </c>
      <c r="J1608" s="2">
        <f t="shared" si="914"/>
        <v>2017</v>
      </c>
      <c r="K1608" s="2">
        <f t="shared" si="914"/>
        <v>2018</v>
      </c>
      <c r="L1608" s="2">
        <f t="shared" si="914"/>
        <v>2019</v>
      </c>
      <c r="M1608" s="2">
        <f t="shared" si="914"/>
        <v>2020</v>
      </c>
      <c r="N1608" s="2">
        <f t="shared" si="914"/>
        <v>2021</v>
      </c>
    </row>
    <row r="1609" spans="1:14">
      <c r="B1609" s="86" t="str">
        <f>"Total MWh Produced / Purchased from " &amp; C1606</f>
        <v>Total MWh Produced / Purchased from Elbe Solar</v>
      </c>
      <c r="C1609" s="78"/>
      <c r="D1609" s="3"/>
      <c r="E1609" s="4"/>
      <c r="F1609" s="4"/>
      <c r="G1609" s="4"/>
      <c r="H1609" s="4"/>
      <c r="I1609" s="4">
        <v>0</v>
      </c>
      <c r="J1609" s="4">
        <v>0</v>
      </c>
      <c r="K1609" s="4">
        <v>10627.973</v>
      </c>
      <c r="L1609" s="4">
        <v>20746</v>
      </c>
      <c r="M1609" s="307">
        <v>19867</v>
      </c>
      <c r="N1609" s="4"/>
    </row>
    <row r="1610" spans="1:14">
      <c r="B1610" s="86" t="s">
        <v>25</v>
      </c>
      <c r="C1610" s="78"/>
      <c r="D1610" s="60"/>
      <c r="E1610" s="61"/>
      <c r="F1610" s="61"/>
      <c r="G1610" s="61"/>
      <c r="H1610" s="61"/>
      <c r="I1610" s="61"/>
      <c r="J1610" s="61"/>
      <c r="K1610" s="61">
        <v>1</v>
      </c>
      <c r="L1610" s="61">
        <v>1</v>
      </c>
      <c r="M1610" s="312">
        <v>1</v>
      </c>
      <c r="N1610" s="61">
        <v>1</v>
      </c>
    </row>
    <row r="1611" spans="1:14">
      <c r="B1611" s="86" t="s">
        <v>20</v>
      </c>
      <c r="C1611" s="78"/>
      <c r="D1611" s="52"/>
      <c r="E1611" s="53"/>
      <c r="F1611" s="53"/>
      <c r="G1611" s="53"/>
      <c r="H1611" s="53"/>
      <c r="I1611" s="53">
        <v>0</v>
      </c>
      <c r="J1611" s="53">
        <v>0</v>
      </c>
      <c r="K1611" s="53">
        <f>K1477</f>
        <v>0.22007817037432531</v>
      </c>
      <c r="L1611" s="53">
        <f>L1477</f>
        <v>0.2223660721260575</v>
      </c>
      <c r="M1611" s="324">
        <f>M1477</f>
        <v>0.22404890355218221</v>
      </c>
      <c r="N1611" s="53"/>
    </row>
    <row r="1612" spans="1:14">
      <c r="B1612" s="83" t="s">
        <v>22</v>
      </c>
      <c r="C1612" s="84"/>
      <c r="D1612" s="39">
        <v>0</v>
      </c>
      <c r="E1612" s="39">
        <v>0</v>
      </c>
      <c r="F1612" s="39">
        <v>0</v>
      </c>
      <c r="G1612" s="39">
        <v>0</v>
      </c>
      <c r="H1612" s="39">
        <v>0</v>
      </c>
      <c r="I1612" s="39">
        <v>0</v>
      </c>
      <c r="J1612" s="39">
        <v>0</v>
      </c>
      <c r="K1612" s="39">
        <v>648</v>
      </c>
      <c r="L1612" s="39">
        <f>L1609*L1611</f>
        <v>4613.2065323271891</v>
      </c>
      <c r="M1612" s="39">
        <f>M1609*M1611</f>
        <v>4451.1795668712039</v>
      </c>
      <c r="N1612" s="39">
        <f>N1609*N1611</f>
        <v>0</v>
      </c>
    </row>
    <row r="1613" spans="1:14">
      <c r="B1613" s="24"/>
      <c r="C1613" s="32"/>
      <c r="D1613" s="38"/>
      <c r="E1613" s="38"/>
      <c r="F1613" s="38"/>
      <c r="G1613" s="38"/>
      <c r="H1613" s="38"/>
      <c r="I1613" s="38"/>
      <c r="J1613" s="38"/>
      <c r="K1613" s="38"/>
      <c r="L1613" s="38"/>
      <c r="M1613" s="38"/>
      <c r="N1613" s="38"/>
    </row>
    <row r="1614" spans="1:14" ht="18.5">
      <c r="A1614" s="46" t="s">
        <v>52</v>
      </c>
      <c r="C1614" s="32"/>
      <c r="D1614" s="2">
        <v>2011</v>
      </c>
      <c r="E1614" s="2">
        <f>D1614+1</f>
        <v>2012</v>
      </c>
      <c r="F1614" s="2">
        <f t="shared" ref="F1614:N1614" si="915">E1614+1</f>
        <v>2013</v>
      </c>
      <c r="G1614" s="2">
        <f t="shared" si="915"/>
        <v>2014</v>
      </c>
      <c r="H1614" s="2">
        <f t="shared" si="915"/>
        <v>2015</v>
      </c>
      <c r="I1614" s="2">
        <f t="shared" si="915"/>
        <v>2016</v>
      </c>
      <c r="J1614" s="2">
        <f t="shared" si="915"/>
        <v>2017</v>
      </c>
      <c r="K1614" s="2">
        <f t="shared" si="915"/>
        <v>2018</v>
      </c>
      <c r="L1614" s="2">
        <f t="shared" si="915"/>
        <v>2019</v>
      </c>
      <c r="M1614" s="2">
        <f t="shared" si="915"/>
        <v>2020</v>
      </c>
      <c r="N1614" s="2">
        <f t="shared" si="915"/>
        <v>2021</v>
      </c>
    </row>
    <row r="1615" spans="1:14">
      <c r="B1615" s="86" t="s">
        <v>10</v>
      </c>
      <c r="C1615" s="78"/>
      <c r="D1615" s="55">
        <v>0</v>
      </c>
      <c r="E1615" s="11">
        <v>0</v>
      </c>
      <c r="F1615" s="11">
        <v>0</v>
      </c>
      <c r="G1615" s="11">
        <v>0</v>
      </c>
      <c r="H1615" s="11">
        <v>0</v>
      </c>
      <c r="I1615" s="11">
        <v>0</v>
      </c>
      <c r="J1615" s="11">
        <v>0</v>
      </c>
      <c r="K1615" s="11">
        <v>0</v>
      </c>
      <c r="L1615" s="11">
        <v>0</v>
      </c>
      <c r="M1615" s="11">
        <v>0</v>
      </c>
      <c r="N1615" s="11">
        <v>0</v>
      </c>
    </row>
    <row r="1616" spans="1:14">
      <c r="B1616" s="86" t="s">
        <v>6</v>
      </c>
      <c r="C1616" s="78"/>
      <c r="D1616" s="56">
        <v>0</v>
      </c>
      <c r="E1616" s="57">
        <v>0</v>
      </c>
      <c r="F1616" s="57">
        <v>0</v>
      </c>
      <c r="G1616" s="57">
        <v>0</v>
      </c>
      <c r="H1616" s="57">
        <v>0</v>
      </c>
      <c r="I1616" s="57">
        <v>0</v>
      </c>
      <c r="J1616" s="57">
        <v>0</v>
      </c>
      <c r="K1616" s="57">
        <v>0</v>
      </c>
      <c r="L1616" s="57">
        <v>0</v>
      </c>
      <c r="M1616" s="57">
        <v>0</v>
      </c>
      <c r="N1616" s="57">
        <v>0</v>
      </c>
    </row>
    <row r="1617" spans="1:14">
      <c r="B1617" s="85" t="s">
        <v>54</v>
      </c>
      <c r="C1617" s="84"/>
      <c r="D1617" s="41">
        <v>0</v>
      </c>
      <c r="E1617" s="42">
        <v>0</v>
      </c>
      <c r="F1617" s="42">
        <v>0</v>
      </c>
      <c r="G1617" s="42">
        <v>0</v>
      </c>
      <c r="H1617" s="42">
        <v>0</v>
      </c>
      <c r="I1617" s="42">
        <v>0</v>
      </c>
      <c r="J1617" s="42">
        <v>0</v>
      </c>
      <c r="K1617" s="42">
        <v>0</v>
      </c>
      <c r="L1617" s="42">
        <v>0</v>
      </c>
      <c r="M1617" s="42">
        <v>0</v>
      </c>
      <c r="N1617" s="42">
        <v>0</v>
      </c>
    </row>
    <row r="1618" spans="1:14">
      <c r="B1618" s="32"/>
      <c r="C1618" s="32"/>
      <c r="D1618" s="40"/>
      <c r="E1618" s="33"/>
      <c r="F1618" s="33"/>
      <c r="G1618" s="33"/>
      <c r="H1618" s="33"/>
      <c r="I1618" s="33"/>
      <c r="J1618" s="33"/>
      <c r="K1618" s="33"/>
      <c r="L1618" s="33"/>
      <c r="M1618" s="33"/>
      <c r="N1618" s="33"/>
    </row>
    <row r="1619" spans="1:14" ht="18.5">
      <c r="A1619" s="43" t="s">
        <v>30</v>
      </c>
      <c r="C1619" s="32"/>
      <c r="D1619" s="2">
        <v>2011</v>
      </c>
      <c r="E1619" s="2">
        <f>D1619+1</f>
        <v>2012</v>
      </c>
      <c r="F1619" s="2">
        <f t="shared" ref="F1619:N1619" si="916">E1619+1</f>
        <v>2013</v>
      </c>
      <c r="G1619" s="2">
        <f t="shared" si="916"/>
        <v>2014</v>
      </c>
      <c r="H1619" s="2">
        <f t="shared" si="916"/>
        <v>2015</v>
      </c>
      <c r="I1619" s="2">
        <f t="shared" si="916"/>
        <v>2016</v>
      </c>
      <c r="J1619" s="2">
        <f t="shared" si="916"/>
        <v>2017</v>
      </c>
      <c r="K1619" s="2">
        <f t="shared" si="916"/>
        <v>2018</v>
      </c>
      <c r="L1619" s="2">
        <f t="shared" si="916"/>
        <v>2019</v>
      </c>
      <c r="M1619" s="2">
        <f t="shared" si="916"/>
        <v>2020</v>
      </c>
      <c r="N1619" s="2">
        <f t="shared" si="916"/>
        <v>2021</v>
      </c>
    </row>
    <row r="1620" spans="1:14">
      <c r="B1620" s="86" t="s">
        <v>32</v>
      </c>
      <c r="C1620" s="78"/>
      <c r="D1620" s="90"/>
      <c r="E1620" s="91"/>
      <c r="F1620" s="91"/>
      <c r="G1620" s="91"/>
      <c r="H1620" s="91"/>
      <c r="I1620" s="91"/>
      <c r="J1620" s="91"/>
      <c r="K1620" s="91"/>
      <c r="L1620" s="91"/>
      <c r="M1620" s="91"/>
      <c r="N1620" s="91"/>
    </row>
    <row r="1621" spans="1:14">
      <c r="B1621" s="87" t="s">
        <v>23</v>
      </c>
      <c r="C1621" s="192"/>
      <c r="D1621" s="93"/>
      <c r="E1621" s="94"/>
      <c r="F1621" s="94"/>
      <c r="G1621" s="94"/>
      <c r="H1621" s="94"/>
      <c r="I1621" s="94"/>
      <c r="J1621" s="94"/>
      <c r="K1621" s="94"/>
      <c r="L1621" s="94"/>
      <c r="M1621" s="94"/>
      <c r="N1621" s="94"/>
    </row>
    <row r="1622" spans="1:14">
      <c r="B1622" s="96" t="s">
        <v>38</v>
      </c>
      <c r="C1622" s="190"/>
      <c r="D1622" s="63"/>
      <c r="E1622" s="64"/>
      <c r="F1622" s="64"/>
      <c r="G1622" s="64"/>
      <c r="H1622" s="64"/>
      <c r="I1622" s="64"/>
      <c r="J1622" s="64"/>
      <c r="K1622" s="64"/>
      <c r="L1622" s="64"/>
      <c r="M1622" s="64"/>
      <c r="N1622" s="64"/>
    </row>
    <row r="1623" spans="1:14">
      <c r="B1623" s="35" t="s">
        <v>39</v>
      </c>
      <c r="D1623" s="7">
        <v>0</v>
      </c>
      <c r="E1623" s="7">
        <v>0</v>
      </c>
      <c r="F1623" s="7">
        <v>0</v>
      </c>
      <c r="G1623" s="7">
        <v>0</v>
      </c>
      <c r="H1623" s="7">
        <v>0</v>
      </c>
      <c r="I1623" s="7">
        <v>0</v>
      </c>
      <c r="J1623" s="7">
        <v>0</v>
      </c>
      <c r="K1623" s="7">
        <v>0</v>
      </c>
      <c r="L1623" s="7">
        <v>0</v>
      </c>
      <c r="M1623" s="7">
        <v>0</v>
      </c>
      <c r="N1623" s="7">
        <v>0</v>
      </c>
    </row>
    <row r="1624" spans="1:14">
      <c r="B1624" s="6"/>
      <c r="D1624" s="7"/>
      <c r="E1624" s="7"/>
      <c r="F1624" s="7"/>
      <c r="G1624" s="30"/>
      <c r="H1624" s="30"/>
      <c r="I1624" s="30"/>
      <c r="J1624" s="30"/>
      <c r="K1624" s="30"/>
      <c r="L1624" s="30"/>
      <c r="M1624" s="30"/>
      <c r="N1624" s="30"/>
    </row>
    <row r="1625" spans="1:14" ht="18.5">
      <c r="A1625" s="9" t="s">
        <v>40</v>
      </c>
      <c r="D1625" s="2">
        <f>'Facility Detail'!$B$1897</f>
        <v>2011</v>
      </c>
      <c r="E1625" s="2">
        <f>D1625+1</f>
        <v>2012</v>
      </c>
      <c r="F1625" s="2">
        <f t="shared" ref="F1625:N1625" si="917">E1625+1</f>
        <v>2013</v>
      </c>
      <c r="G1625" s="2">
        <f t="shared" si="917"/>
        <v>2014</v>
      </c>
      <c r="H1625" s="2">
        <f t="shared" si="917"/>
        <v>2015</v>
      </c>
      <c r="I1625" s="2">
        <f t="shared" si="917"/>
        <v>2016</v>
      </c>
      <c r="J1625" s="2">
        <f t="shared" si="917"/>
        <v>2017</v>
      </c>
      <c r="K1625" s="2">
        <f t="shared" si="917"/>
        <v>2018</v>
      </c>
      <c r="L1625" s="2">
        <f t="shared" si="917"/>
        <v>2019</v>
      </c>
      <c r="M1625" s="2">
        <f t="shared" si="917"/>
        <v>2020</v>
      </c>
      <c r="N1625" s="2">
        <f t="shared" si="917"/>
        <v>2021</v>
      </c>
    </row>
    <row r="1626" spans="1:14">
      <c r="B1626" s="86" t="s">
        <v>34</v>
      </c>
      <c r="C1626" s="78"/>
      <c r="D1626" s="3"/>
      <c r="E1626" s="66">
        <f>D1626</f>
        <v>0</v>
      </c>
      <c r="F1626" s="138"/>
      <c r="G1626" s="138"/>
      <c r="H1626" s="138"/>
      <c r="I1626" s="138"/>
      <c r="J1626" s="138"/>
      <c r="K1626" s="138"/>
      <c r="L1626" s="138"/>
      <c r="M1626" s="67"/>
      <c r="N1626" s="67"/>
    </row>
    <row r="1627" spans="1:14">
      <c r="B1627" s="86" t="s">
        <v>35</v>
      </c>
      <c r="C1627" s="78"/>
      <c r="D1627" s="174">
        <f>E1627</f>
        <v>0</v>
      </c>
      <c r="E1627" s="10"/>
      <c r="F1627" s="81"/>
      <c r="G1627" s="81"/>
      <c r="H1627" s="81"/>
      <c r="I1627" s="81"/>
      <c r="J1627" s="81"/>
      <c r="K1627" s="81"/>
      <c r="L1627" s="81"/>
      <c r="M1627" s="175"/>
      <c r="N1627" s="175"/>
    </row>
    <row r="1628" spans="1:14">
      <c r="B1628" s="86" t="s">
        <v>36</v>
      </c>
      <c r="C1628" s="78"/>
      <c r="D1628" s="68"/>
      <c r="E1628" s="10">
        <f>E1612</f>
        <v>0</v>
      </c>
      <c r="F1628" s="77">
        <f>E1628</f>
        <v>0</v>
      </c>
      <c r="G1628" s="81"/>
      <c r="H1628" s="81"/>
      <c r="I1628" s="81"/>
      <c r="J1628" s="81"/>
      <c r="K1628" s="81"/>
      <c r="L1628" s="81"/>
      <c r="M1628" s="175"/>
      <c r="N1628" s="175"/>
    </row>
    <row r="1629" spans="1:14">
      <c r="B1629" s="86" t="s">
        <v>37</v>
      </c>
      <c r="C1629" s="78"/>
      <c r="D1629" s="68"/>
      <c r="E1629" s="77">
        <f>F1629</f>
        <v>0</v>
      </c>
      <c r="F1629" s="173"/>
      <c r="G1629" s="81"/>
      <c r="H1629" s="81"/>
      <c r="I1629" s="81"/>
      <c r="J1629" s="81"/>
      <c r="K1629" s="81"/>
      <c r="L1629" s="81"/>
      <c r="M1629" s="175"/>
      <c r="N1629" s="175"/>
    </row>
    <row r="1630" spans="1:14">
      <c r="B1630" s="86" t="s">
        <v>122</v>
      </c>
      <c r="C1630" s="32"/>
      <c r="D1630" s="68"/>
      <c r="E1630" s="157"/>
      <c r="F1630" s="10">
        <f>F1612</f>
        <v>0</v>
      </c>
      <c r="G1630" s="158">
        <f>F1630</f>
        <v>0</v>
      </c>
      <c r="H1630" s="81"/>
      <c r="I1630" s="81"/>
      <c r="J1630" s="81"/>
      <c r="K1630" s="81"/>
      <c r="L1630" s="81"/>
      <c r="M1630" s="175"/>
      <c r="N1630" s="175"/>
    </row>
    <row r="1631" spans="1:14">
      <c r="B1631" s="86" t="s">
        <v>123</v>
      </c>
      <c r="C1631" s="32"/>
      <c r="D1631" s="68"/>
      <c r="E1631" s="157"/>
      <c r="F1631" s="77">
        <f>G1631</f>
        <v>0</v>
      </c>
      <c r="G1631" s="10"/>
      <c r="H1631" s="81"/>
      <c r="I1631" s="81"/>
      <c r="J1631" s="81"/>
      <c r="K1631" s="81"/>
      <c r="L1631" s="81"/>
      <c r="M1631" s="175"/>
      <c r="N1631" s="175"/>
    </row>
    <row r="1632" spans="1:14">
      <c r="B1632" s="86" t="s">
        <v>124</v>
      </c>
      <c r="C1632" s="32"/>
      <c r="D1632" s="68"/>
      <c r="E1632" s="157"/>
      <c r="F1632" s="157"/>
      <c r="G1632" s="10">
        <f>G1612</f>
        <v>0</v>
      </c>
      <c r="H1632" s="158">
        <f>G1632</f>
        <v>0</v>
      </c>
      <c r="I1632" s="157"/>
      <c r="J1632" s="81"/>
      <c r="K1632" s="81"/>
      <c r="L1632" s="81"/>
      <c r="M1632" s="161"/>
      <c r="N1632" s="161"/>
    </row>
    <row r="1633" spans="1:14">
      <c r="B1633" s="86" t="s">
        <v>125</v>
      </c>
      <c r="C1633" s="32"/>
      <c r="D1633" s="68"/>
      <c r="E1633" s="157"/>
      <c r="F1633" s="157"/>
      <c r="G1633" s="77"/>
      <c r="H1633" s="10"/>
      <c r="I1633" s="157"/>
      <c r="J1633" s="81"/>
      <c r="K1633" s="81"/>
      <c r="L1633" s="81"/>
      <c r="M1633" s="161"/>
      <c r="N1633" s="161"/>
    </row>
    <row r="1634" spans="1:14">
      <c r="B1634" s="86" t="s">
        <v>126</v>
      </c>
      <c r="C1634" s="32"/>
      <c r="D1634" s="68"/>
      <c r="E1634" s="157"/>
      <c r="F1634" s="157"/>
      <c r="G1634" s="157"/>
      <c r="H1634" s="10">
        <v>0</v>
      </c>
      <c r="I1634" s="158">
        <f>H1634</f>
        <v>0</v>
      </c>
      <c r="J1634" s="81"/>
      <c r="K1634" s="81"/>
      <c r="L1634" s="81"/>
      <c r="M1634" s="161"/>
      <c r="N1634" s="161"/>
    </row>
    <row r="1635" spans="1:14">
      <c r="B1635" s="86" t="s">
        <v>127</v>
      </c>
      <c r="C1635" s="32"/>
      <c r="D1635" s="68"/>
      <c r="E1635" s="157"/>
      <c r="F1635" s="157"/>
      <c r="G1635" s="157"/>
      <c r="H1635" s="77"/>
      <c r="I1635" s="10"/>
      <c r="J1635" s="81"/>
      <c r="K1635" s="81"/>
      <c r="L1635" s="81"/>
      <c r="M1635" s="161"/>
      <c r="N1635" s="161"/>
    </row>
    <row r="1636" spans="1:14">
      <c r="B1636" s="86" t="s">
        <v>128</v>
      </c>
      <c r="C1636" s="32"/>
      <c r="D1636" s="68"/>
      <c r="E1636" s="157"/>
      <c r="F1636" s="157"/>
      <c r="G1636" s="157"/>
      <c r="H1636" s="157"/>
      <c r="I1636" s="247">
        <f>I1612</f>
        <v>0</v>
      </c>
      <c r="J1636" s="159">
        <f>I1636</f>
        <v>0</v>
      </c>
      <c r="K1636" s="81"/>
      <c r="L1636" s="81"/>
      <c r="M1636" s="161"/>
      <c r="N1636" s="161"/>
    </row>
    <row r="1637" spans="1:14">
      <c r="B1637" s="86" t="s">
        <v>119</v>
      </c>
      <c r="C1637" s="32"/>
      <c r="D1637" s="68"/>
      <c r="E1637" s="157"/>
      <c r="F1637" s="157"/>
      <c r="G1637" s="157"/>
      <c r="H1637" s="157"/>
      <c r="I1637" s="248"/>
      <c r="J1637" s="160"/>
      <c r="K1637" s="81"/>
      <c r="L1637" s="81"/>
      <c r="M1637" s="161"/>
      <c r="N1637" s="161"/>
    </row>
    <row r="1638" spans="1:14">
      <c r="B1638" s="86" t="s">
        <v>120</v>
      </c>
      <c r="C1638" s="32"/>
      <c r="D1638" s="68"/>
      <c r="E1638" s="157"/>
      <c r="F1638" s="157"/>
      <c r="G1638" s="157"/>
      <c r="H1638" s="157"/>
      <c r="I1638" s="157"/>
      <c r="J1638" s="160">
        <f>J1612</f>
        <v>0</v>
      </c>
      <c r="K1638" s="159">
        <f>J1638</f>
        <v>0</v>
      </c>
      <c r="L1638" s="81"/>
      <c r="M1638" s="161"/>
      <c r="N1638" s="161"/>
    </row>
    <row r="1639" spans="1:14">
      <c r="B1639" s="86" t="s">
        <v>152</v>
      </c>
      <c r="C1639" s="32"/>
      <c r="D1639" s="68"/>
      <c r="E1639" s="157"/>
      <c r="F1639" s="157"/>
      <c r="G1639" s="157"/>
      <c r="H1639" s="157"/>
      <c r="I1639" s="157"/>
      <c r="J1639" s="305"/>
      <c r="K1639" s="160"/>
      <c r="L1639" s="81"/>
      <c r="M1639" s="161"/>
      <c r="N1639" s="161"/>
    </row>
    <row r="1640" spans="1:14">
      <c r="B1640" s="86" t="s">
        <v>153</v>
      </c>
      <c r="C1640" s="32"/>
      <c r="D1640" s="68"/>
      <c r="E1640" s="157"/>
      <c r="F1640" s="157"/>
      <c r="G1640" s="157"/>
      <c r="H1640" s="157"/>
      <c r="I1640" s="157"/>
      <c r="J1640" s="157"/>
      <c r="K1640" s="160">
        <f>K1612</f>
        <v>648</v>
      </c>
      <c r="L1640" s="77">
        <f>K1640</f>
        <v>648</v>
      </c>
      <c r="M1640" s="161"/>
      <c r="N1640" s="161"/>
    </row>
    <row r="1641" spans="1:14">
      <c r="B1641" s="86" t="s">
        <v>154</v>
      </c>
      <c r="C1641" s="32"/>
      <c r="D1641" s="68"/>
      <c r="E1641" s="157"/>
      <c r="F1641" s="157"/>
      <c r="G1641" s="157"/>
      <c r="H1641" s="157"/>
      <c r="I1641" s="157"/>
      <c r="J1641" s="157"/>
      <c r="K1641" s="305"/>
      <c r="L1641" s="333"/>
      <c r="M1641" s="161"/>
      <c r="N1641" s="161"/>
    </row>
    <row r="1642" spans="1:14">
      <c r="B1642" s="86" t="s">
        <v>155</v>
      </c>
      <c r="C1642" s="32"/>
      <c r="D1642" s="69"/>
      <c r="E1642" s="140"/>
      <c r="F1642" s="140"/>
      <c r="G1642" s="140"/>
      <c r="H1642" s="140"/>
      <c r="I1642" s="140"/>
      <c r="J1642" s="140"/>
      <c r="K1642" s="140"/>
      <c r="L1642" s="162"/>
      <c r="M1642" s="319">
        <f>K1642</f>
        <v>0</v>
      </c>
      <c r="N1642" s="319">
        <f>L1642</f>
        <v>0</v>
      </c>
    </row>
    <row r="1643" spans="1:14">
      <c r="B1643" s="35" t="s">
        <v>17</v>
      </c>
      <c r="D1643" s="281"/>
      <c r="E1643" s="281"/>
      <c r="F1643" s="281"/>
      <c r="G1643" s="281"/>
      <c r="H1643" s="281"/>
      <c r="I1643" s="281"/>
      <c r="J1643" s="281"/>
      <c r="K1643" s="281">
        <f>K1638-K1639-K1640</f>
        <v>-648</v>
      </c>
      <c r="L1643" s="281">
        <f>L1640-L1641-L1642</f>
        <v>648</v>
      </c>
      <c r="M1643" s="281">
        <f>M1642</f>
        <v>0</v>
      </c>
      <c r="N1643" s="281">
        <f>N1642</f>
        <v>0</v>
      </c>
    </row>
    <row r="1644" spans="1:14">
      <c r="B1644" s="6"/>
      <c r="D1644" s="281"/>
      <c r="E1644" s="281"/>
      <c r="F1644" s="281"/>
      <c r="G1644" s="281"/>
      <c r="H1644" s="281"/>
      <c r="I1644" s="281"/>
      <c r="J1644" s="281"/>
      <c r="K1644" s="281"/>
      <c r="L1644" s="281"/>
      <c r="M1644" s="281"/>
      <c r="N1644" s="281"/>
    </row>
    <row r="1645" spans="1:14">
      <c r="B1645" s="83" t="s">
        <v>12</v>
      </c>
      <c r="C1645" s="78"/>
      <c r="D1645" s="282"/>
      <c r="E1645" s="283"/>
      <c r="F1645" s="283"/>
      <c r="G1645" s="283"/>
      <c r="H1645" s="283"/>
      <c r="I1645" s="283"/>
      <c r="J1645" s="283"/>
      <c r="K1645" s="283"/>
      <c r="L1645" s="283"/>
      <c r="M1645" s="283"/>
      <c r="N1645" s="283"/>
    </row>
    <row r="1646" spans="1:14">
      <c r="B1646" s="6"/>
      <c r="D1646" s="281"/>
      <c r="E1646" s="281"/>
      <c r="F1646" s="281"/>
      <c r="G1646" s="281"/>
      <c r="H1646" s="281"/>
      <c r="I1646" s="281"/>
      <c r="J1646" s="281"/>
      <c r="K1646" s="281"/>
      <c r="L1646" s="281"/>
      <c r="M1646" s="281"/>
      <c r="N1646" s="281"/>
    </row>
    <row r="1647" spans="1:14" ht="18.5">
      <c r="A1647" s="43" t="s">
        <v>26</v>
      </c>
      <c r="C1647" s="78"/>
      <c r="D1647" s="285">
        <f xml:space="preserve"> D1612 + D1617 - D1623 + D1643 + D1645</f>
        <v>0</v>
      </c>
      <c r="E1647" s="286">
        <f xml:space="preserve"> E1612 + E1617 - E1623 + E1643 + E1645</f>
        <v>0</v>
      </c>
      <c r="F1647" s="286">
        <f xml:space="preserve"> F1612 + F1617 - F1623 + F1643 + F1645</f>
        <v>0</v>
      </c>
      <c r="G1647" s="286">
        <f t="shared" ref="G1647:N1647" si="918" xml:space="preserve"> G1612 + G1617 - G1623 + G1643 + G1645</f>
        <v>0</v>
      </c>
      <c r="H1647" s="286">
        <f t="shared" si="918"/>
        <v>0</v>
      </c>
      <c r="I1647" s="286">
        <f t="shared" si="918"/>
        <v>0</v>
      </c>
      <c r="J1647" s="286">
        <f t="shared" si="918"/>
        <v>0</v>
      </c>
      <c r="K1647" s="286">
        <f t="shared" si="918"/>
        <v>0</v>
      </c>
      <c r="L1647" s="286">
        <f t="shared" si="918"/>
        <v>5261.2065323271891</v>
      </c>
      <c r="M1647" s="286">
        <f t="shared" ref="M1647" si="919" xml:space="preserve"> M1612 + M1617 - M1623 + M1643 + M1645</f>
        <v>4451.1795668712039</v>
      </c>
      <c r="N1647" s="286">
        <f t="shared" si="918"/>
        <v>0</v>
      </c>
    </row>
    <row r="1648" spans="1:14" ht="15" thickBot="1"/>
    <row r="1649" spans="1:14">
      <c r="A1649" s="8"/>
      <c r="B1649" s="8"/>
      <c r="C1649" s="8"/>
      <c r="D1649" s="8"/>
      <c r="E1649" s="8"/>
      <c r="F1649" s="8"/>
      <c r="G1649" s="8"/>
      <c r="H1649" s="8"/>
      <c r="I1649" s="8"/>
      <c r="J1649" s="8"/>
      <c r="K1649" s="8"/>
      <c r="L1649" s="8"/>
      <c r="M1649" s="8"/>
      <c r="N1649" s="8"/>
    </row>
    <row r="1650" spans="1:14" ht="21">
      <c r="A1650" s="14" t="s">
        <v>4</v>
      </c>
      <c r="B1650" s="14"/>
      <c r="C1650" s="44" t="str">
        <f>B37</f>
        <v>Enterprise Solar</v>
      </c>
      <c r="D1650" s="45"/>
      <c r="E1650" s="24"/>
      <c r="F1650" s="24"/>
    </row>
    <row r="1652" spans="1:14" ht="18.5">
      <c r="A1652" s="9" t="s">
        <v>21</v>
      </c>
      <c r="B1652" s="9"/>
      <c r="D1652" s="2">
        <v>2011</v>
      </c>
      <c r="E1652" s="2">
        <f>D1652+1</f>
        <v>2012</v>
      </c>
      <c r="F1652" s="2">
        <f t="shared" ref="F1652:N1652" si="920">E1652+1</f>
        <v>2013</v>
      </c>
      <c r="G1652" s="2">
        <f t="shared" si="920"/>
        <v>2014</v>
      </c>
      <c r="H1652" s="2">
        <f t="shared" si="920"/>
        <v>2015</v>
      </c>
      <c r="I1652" s="2">
        <f t="shared" si="920"/>
        <v>2016</v>
      </c>
      <c r="J1652" s="2">
        <f t="shared" si="920"/>
        <v>2017</v>
      </c>
      <c r="K1652" s="2">
        <f t="shared" si="920"/>
        <v>2018</v>
      </c>
      <c r="L1652" s="2">
        <f t="shared" si="920"/>
        <v>2019</v>
      </c>
      <c r="M1652" s="2">
        <f t="shared" si="920"/>
        <v>2020</v>
      </c>
      <c r="N1652" s="2">
        <f t="shared" si="920"/>
        <v>2021</v>
      </c>
    </row>
    <row r="1653" spans="1:14">
      <c r="B1653" s="86" t="str">
        <f>"Total MWh Produced / Purchased from " &amp; C1650</f>
        <v>Total MWh Produced / Purchased from Enterprise Solar</v>
      </c>
      <c r="C1653" s="78"/>
      <c r="D1653" s="3"/>
      <c r="E1653" s="4"/>
      <c r="F1653" s="4"/>
      <c r="G1653" s="4"/>
      <c r="H1653" s="4"/>
      <c r="I1653" s="4">
        <v>84577</v>
      </c>
      <c r="J1653" s="4">
        <v>224267</v>
      </c>
      <c r="K1653" s="4">
        <v>225336</v>
      </c>
      <c r="L1653" s="4">
        <v>220046</v>
      </c>
      <c r="M1653" s="307">
        <v>213195</v>
      </c>
      <c r="N1653" s="307">
        <v>211733.86</v>
      </c>
    </row>
    <row r="1654" spans="1:14">
      <c r="B1654" s="86" t="s">
        <v>25</v>
      </c>
      <c r="C1654" s="78"/>
      <c r="D1654" s="60"/>
      <c r="E1654" s="61"/>
      <c r="F1654" s="61"/>
      <c r="G1654" s="61"/>
      <c r="H1654" s="61"/>
      <c r="I1654" s="61">
        <v>1</v>
      </c>
      <c r="J1654" s="61">
        <v>1</v>
      </c>
      <c r="K1654" s="61">
        <v>1</v>
      </c>
      <c r="L1654" s="61">
        <v>1</v>
      </c>
      <c r="M1654" s="312">
        <v>1</v>
      </c>
      <c r="N1654" s="312">
        <v>1</v>
      </c>
    </row>
    <row r="1655" spans="1:14">
      <c r="B1655" s="86" t="s">
        <v>20</v>
      </c>
      <c r="C1655" s="78"/>
      <c r="D1655" s="52"/>
      <c r="E1655" s="53"/>
      <c r="F1655" s="53"/>
      <c r="G1655" s="53"/>
      <c r="H1655" s="53"/>
      <c r="I1655" s="53">
        <v>0.22741888098063476</v>
      </c>
      <c r="J1655" s="53">
        <v>0.22498369104255439</v>
      </c>
      <c r="K1655" s="53">
        <f>K1477</f>
        <v>0.22007817037432531</v>
      </c>
      <c r="L1655" s="53">
        <f>L1477</f>
        <v>0.2223660721260575</v>
      </c>
      <c r="M1655" s="324">
        <f>M1477</f>
        <v>0.22404890355218221</v>
      </c>
      <c r="N1655" s="324">
        <v>0.22259051758811743</v>
      </c>
    </row>
    <row r="1656" spans="1:14">
      <c r="B1656" s="83" t="s">
        <v>22</v>
      </c>
      <c r="C1656" s="84"/>
      <c r="D1656" s="39">
        <v>0</v>
      </c>
      <c r="E1656" s="39">
        <v>0</v>
      </c>
      <c r="F1656" s="39">
        <v>0</v>
      </c>
      <c r="G1656" s="39">
        <v>0</v>
      </c>
      <c r="H1656" s="39">
        <v>0</v>
      </c>
      <c r="I1656" s="39">
        <v>19234.406696699145</v>
      </c>
      <c r="J1656" s="39">
        <v>50456</v>
      </c>
      <c r="K1656" s="39">
        <v>49593</v>
      </c>
      <c r="L1656" s="39">
        <f>L1653*L1655</f>
        <v>48930.764707050446</v>
      </c>
      <c r="M1656" s="39">
        <f>M1653*M1655</f>
        <v>47766.105992807483</v>
      </c>
      <c r="N1656" s="39">
        <f>N1653*N1655</f>
        <v>47129.949488329992</v>
      </c>
    </row>
    <row r="1657" spans="1:14">
      <c r="B1657" s="24"/>
      <c r="C1657" s="32"/>
      <c r="D1657" s="38"/>
      <c r="E1657" s="38"/>
      <c r="F1657" s="38"/>
      <c r="G1657" s="38"/>
      <c r="H1657" s="38"/>
      <c r="I1657" s="38"/>
      <c r="J1657" s="38"/>
      <c r="K1657" s="38"/>
      <c r="L1657" s="38"/>
      <c r="M1657" s="38"/>
      <c r="N1657" s="38"/>
    </row>
    <row r="1658" spans="1:14" ht="18.5">
      <c r="A1658" s="46" t="s">
        <v>52</v>
      </c>
      <c r="C1658" s="32"/>
      <c r="D1658" s="2">
        <v>2011</v>
      </c>
      <c r="E1658" s="2">
        <f>D1658+1</f>
        <v>2012</v>
      </c>
      <c r="F1658" s="2">
        <f t="shared" ref="F1658:N1658" si="921">E1658+1</f>
        <v>2013</v>
      </c>
      <c r="G1658" s="2">
        <f t="shared" si="921"/>
        <v>2014</v>
      </c>
      <c r="H1658" s="2">
        <f t="shared" si="921"/>
        <v>2015</v>
      </c>
      <c r="I1658" s="2">
        <f t="shared" si="921"/>
        <v>2016</v>
      </c>
      <c r="J1658" s="2">
        <f t="shared" si="921"/>
        <v>2017</v>
      </c>
      <c r="K1658" s="2">
        <f t="shared" si="921"/>
        <v>2018</v>
      </c>
      <c r="L1658" s="2">
        <f t="shared" si="921"/>
        <v>2019</v>
      </c>
      <c r="M1658" s="2">
        <f t="shared" si="921"/>
        <v>2020</v>
      </c>
      <c r="N1658" s="2">
        <f t="shared" si="921"/>
        <v>2021</v>
      </c>
    </row>
    <row r="1659" spans="1:14">
      <c r="B1659" s="86" t="s">
        <v>10</v>
      </c>
      <c r="C1659" s="78"/>
      <c r="D1659" s="55">
        <v>0</v>
      </c>
      <c r="E1659" s="11">
        <v>0</v>
      </c>
      <c r="F1659" s="11">
        <v>0</v>
      </c>
      <c r="G1659" s="11">
        <v>0</v>
      </c>
      <c r="H1659" s="11">
        <v>0</v>
      </c>
      <c r="I1659" s="11">
        <v>0</v>
      </c>
      <c r="J1659" s="11">
        <v>0</v>
      </c>
      <c r="K1659" s="11">
        <v>0</v>
      </c>
      <c r="L1659" s="11">
        <v>0</v>
      </c>
      <c r="M1659" s="11">
        <v>0</v>
      </c>
      <c r="N1659" s="11">
        <v>0</v>
      </c>
    </row>
    <row r="1660" spans="1:14">
      <c r="B1660" s="86" t="s">
        <v>6</v>
      </c>
      <c r="C1660" s="78"/>
      <c r="D1660" s="56">
        <v>0</v>
      </c>
      <c r="E1660" s="57">
        <v>0</v>
      </c>
      <c r="F1660" s="57">
        <v>0</v>
      </c>
      <c r="G1660" s="57">
        <v>0</v>
      </c>
      <c r="H1660" s="57">
        <v>0</v>
      </c>
      <c r="I1660" s="57">
        <v>0</v>
      </c>
      <c r="J1660" s="57">
        <v>0</v>
      </c>
      <c r="K1660" s="57">
        <v>0</v>
      </c>
      <c r="L1660" s="57">
        <v>0</v>
      </c>
      <c r="M1660" s="57">
        <v>0</v>
      </c>
      <c r="N1660" s="57">
        <v>0</v>
      </c>
    </row>
    <row r="1661" spans="1:14">
      <c r="B1661" s="85" t="s">
        <v>54</v>
      </c>
      <c r="C1661" s="84"/>
      <c r="D1661" s="41">
        <v>0</v>
      </c>
      <c r="E1661" s="42">
        <v>0</v>
      </c>
      <c r="F1661" s="42">
        <v>0</v>
      </c>
      <c r="G1661" s="42">
        <v>0</v>
      </c>
      <c r="H1661" s="42">
        <v>0</v>
      </c>
      <c r="I1661" s="42">
        <v>0</v>
      </c>
      <c r="J1661" s="42">
        <v>0</v>
      </c>
      <c r="K1661" s="42">
        <v>0</v>
      </c>
      <c r="L1661" s="42">
        <v>0</v>
      </c>
      <c r="M1661" s="42">
        <v>0</v>
      </c>
      <c r="N1661" s="42">
        <v>0</v>
      </c>
    </row>
    <row r="1662" spans="1:14">
      <c r="B1662" s="32"/>
      <c r="C1662" s="32"/>
      <c r="D1662" s="40"/>
      <c r="E1662" s="33"/>
      <c r="F1662" s="33"/>
      <c r="G1662" s="33"/>
      <c r="H1662" s="33"/>
      <c r="I1662" s="33"/>
      <c r="J1662" s="33"/>
      <c r="K1662" s="33"/>
      <c r="L1662" s="33"/>
      <c r="M1662" s="33"/>
      <c r="N1662" s="33"/>
    </row>
    <row r="1663" spans="1:14" ht="18.5">
      <c r="A1663" s="43" t="s">
        <v>30</v>
      </c>
      <c r="C1663" s="32"/>
      <c r="D1663" s="2">
        <v>2011</v>
      </c>
      <c r="E1663" s="2">
        <f>D1663+1</f>
        <v>2012</v>
      </c>
      <c r="F1663" s="2">
        <f t="shared" ref="F1663:N1663" si="922">E1663+1</f>
        <v>2013</v>
      </c>
      <c r="G1663" s="2">
        <f t="shared" si="922"/>
        <v>2014</v>
      </c>
      <c r="H1663" s="2">
        <f t="shared" si="922"/>
        <v>2015</v>
      </c>
      <c r="I1663" s="2">
        <f t="shared" si="922"/>
        <v>2016</v>
      </c>
      <c r="J1663" s="2">
        <f t="shared" si="922"/>
        <v>2017</v>
      </c>
      <c r="K1663" s="2">
        <f t="shared" si="922"/>
        <v>2018</v>
      </c>
      <c r="L1663" s="2">
        <f t="shared" si="922"/>
        <v>2019</v>
      </c>
      <c r="M1663" s="2">
        <f t="shared" si="922"/>
        <v>2020</v>
      </c>
      <c r="N1663" s="2">
        <f t="shared" si="922"/>
        <v>2021</v>
      </c>
    </row>
    <row r="1664" spans="1:14">
      <c r="B1664" s="86" t="s">
        <v>32</v>
      </c>
      <c r="C1664" s="78"/>
      <c r="D1664" s="90"/>
      <c r="E1664" s="91"/>
      <c r="F1664" s="91"/>
      <c r="G1664" s="91"/>
      <c r="H1664" s="91"/>
      <c r="I1664" s="91"/>
      <c r="J1664" s="91"/>
      <c r="K1664" s="91"/>
      <c r="L1664" s="91"/>
      <c r="M1664" s="91"/>
      <c r="N1664" s="91"/>
    </row>
    <row r="1665" spans="1:14">
      <c r="B1665" s="87" t="s">
        <v>23</v>
      </c>
      <c r="C1665" s="192"/>
      <c r="D1665" s="93"/>
      <c r="E1665" s="94"/>
      <c r="F1665" s="94"/>
      <c r="G1665" s="94"/>
      <c r="H1665" s="94"/>
      <c r="I1665" s="94"/>
      <c r="J1665" s="94"/>
      <c r="K1665" s="94"/>
      <c r="L1665" s="94"/>
      <c r="M1665" s="94"/>
      <c r="N1665" s="94"/>
    </row>
    <row r="1666" spans="1:14">
      <c r="B1666" s="96" t="s">
        <v>38</v>
      </c>
      <c r="C1666" s="190"/>
      <c r="D1666" s="63"/>
      <c r="E1666" s="64"/>
      <c r="F1666" s="64"/>
      <c r="G1666" s="64"/>
      <c r="H1666" s="64"/>
      <c r="I1666" s="64"/>
      <c r="J1666" s="64"/>
      <c r="K1666" s="64"/>
      <c r="L1666" s="64"/>
      <c r="M1666" s="64"/>
      <c r="N1666" s="64"/>
    </row>
    <row r="1667" spans="1:14">
      <c r="B1667" s="35" t="s">
        <v>39</v>
      </c>
      <c r="D1667" s="7">
        <v>0</v>
      </c>
      <c r="E1667" s="7">
        <v>0</v>
      </c>
      <c r="F1667" s="7">
        <v>0</v>
      </c>
      <c r="G1667" s="7">
        <v>0</v>
      </c>
      <c r="H1667" s="7">
        <v>0</v>
      </c>
      <c r="I1667" s="7">
        <v>0</v>
      </c>
      <c r="J1667" s="7">
        <v>0</v>
      </c>
      <c r="K1667" s="7">
        <v>0</v>
      </c>
      <c r="L1667" s="7">
        <v>0</v>
      </c>
      <c r="M1667" s="7">
        <v>0</v>
      </c>
      <c r="N1667" s="7">
        <v>0</v>
      </c>
    </row>
    <row r="1668" spans="1:14">
      <c r="B1668" s="6"/>
      <c r="D1668" s="7"/>
      <c r="E1668" s="7"/>
      <c r="F1668" s="7"/>
      <c r="G1668" s="30"/>
      <c r="H1668" s="30"/>
      <c r="I1668" s="30"/>
      <c r="J1668" s="30"/>
      <c r="K1668" s="30"/>
      <c r="L1668" s="30"/>
      <c r="M1668" s="30"/>
      <c r="N1668" s="30"/>
    </row>
    <row r="1669" spans="1:14" ht="18.5">
      <c r="A1669" s="9" t="s">
        <v>40</v>
      </c>
      <c r="D1669" s="2">
        <f>'Facility Detail'!$B$1897</f>
        <v>2011</v>
      </c>
      <c r="E1669" s="2">
        <f>D1669+1</f>
        <v>2012</v>
      </c>
      <c r="F1669" s="2">
        <f t="shared" ref="F1669:N1669" si="923">E1669+1</f>
        <v>2013</v>
      </c>
      <c r="G1669" s="2">
        <f t="shared" si="923"/>
        <v>2014</v>
      </c>
      <c r="H1669" s="2">
        <f t="shared" si="923"/>
        <v>2015</v>
      </c>
      <c r="I1669" s="2">
        <f t="shared" si="923"/>
        <v>2016</v>
      </c>
      <c r="J1669" s="2">
        <f t="shared" si="923"/>
        <v>2017</v>
      </c>
      <c r="K1669" s="2">
        <f t="shared" si="923"/>
        <v>2018</v>
      </c>
      <c r="L1669" s="2">
        <f t="shared" si="923"/>
        <v>2019</v>
      </c>
      <c r="M1669" s="2">
        <f t="shared" si="923"/>
        <v>2020</v>
      </c>
      <c r="N1669" s="2">
        <f t="shared" si="923"/>
        <v>2021</v>
      </c>
    </row>
    <row r="1670" spans="1:14">
      <c r="B1670" s="86" t="s">
        <v>34</v>
      </c>
      <c r="C1670" s="78"/>
      <c r="D1670" s="3"/>
      <c r="E1670" s="66">
        <f>D1670</f>
        <v>0</v>
      </c>
      <c r="F1670" s="138"/>
      <c r="G1670" s="138"/>
      <c r="H1670" s="138"/>
      <c r="I1670" s="138"/>
      <c r="J1670" s="138"/>
      <c r="K1670" s="138"/>
      <c r="L1670" s="138"/>
      <c r="M1670" s="67"/>
      <c r="N1670" s="67"/>
    </row>
    <row r="1671" spans="1:14">
      <c r="B1671" s="86" t="s">
        <v>35</v>
      </c>
      <c r="C1671" s="78"/>
      <c r="D1671" s="174">
        <f>E1671</f>
        <v>0</v>
      </c>
      <c r="E1671" s="10"/>
      <c r="F1671" s="81"/>
      <c r="G1671" s="81"/>
      <c r="H1671" s="81"/>
      <c r="I1671" s="81"/>
      <c r="J1671" s="81"/>
      <c r="K1671" s="81"/>
      <c r="L1671" s="81"/>
      <c r="M1671" s="175"/>
      <c r="N1671" s="175"/>
    </row>
    <row r="1672" spans="1:14">
      <c r="B1672" s="86" t="s">
        <v>36</v>
      </c>
      <c r="C1672" s="78"/>
      <c r="D1672" s="68"/>
      <c r="E1672" s="10">
        <f>E1656</f>
        <v>0</v>
      </c>
      <c r="F1672" s="77">
        <f>E1672</f>
        <v>0</v>
      </c>
      <c r="G1672" s="81"/>
      <c r="H1672" s="81"/>
      <c r="I1672" s="81"/>
      <c r="J1672" s="81"/>
      <c r="K1672" s="81"/>
      <c r="L1672" s="81"/>
      <c r="M1672" s="175"/>
      <c r="N1672" s="175"/>
    </row>
    <row r="1673" spans="1:14">
      <c r="B1673" s="86" t="s">
        <v>37</v>
      </c>
      <c r="C1673" s="78"/>
      <c r="D1673" s="68"/>
      <c r="E1673" s="77">
        <f>F1673</f>
        <v>0</v>
      </c>
      <c r="F1673" s="173"/>
      <c r="G1673" s="81"/>
      <c r="H1673" s="81"/>
      <c r="I1673" s="81"/>
      <c r="J1673" s="81"/>
      <c r="K1673" s="81"/>
      <c r="L1673" s="81"/>
      <c r="M1673" s="175"/>
      <c r="N1673" s="175"/>
    </row>
    <row r="1674" spans="1:14">
      <c r="B1674" s="86" t="s">
        <v>122</v>
      </c>
      <c r="C1674" s="32"/>
      <c r="D1674" s="68"/>
      <c r="E1674" s="157"/>
      <c r="F1674" s="10">
        <f>F1656</f>
        <v>0</v>
      </c>
      <c r="G1674" s="158">
        <f>F1674</f>
        <v>0</v>
      </c>
      <c r="H1674" s="81"/>
      <c r="I1674" s="81"/>
      <c r="J1674" s="81"/>
      <c r="K1674" s="81"/>
      <c r="L1674" s="81"/>
      <c r="M1674" s="175"/>
      <c r="N1674" s="175"/>
    </row>
    <row r="1675" spans="1:14">
      <c r="B1675" s="86" t="s">
        <v>123</v>
      </c>
      <c r="C1675" s="32"/>
      <c r="D1675" s="68"/>
      <c r="E1675" s="157"/>
      <c r="F1675" s="77">
        <f>G1675</f>
        <v>0</v>
      </c>
      <c r="G1675" s="10"/>
      <c r="H1675" s="81"/>
      <c r="I1675" s="81"/>
      <c r="J1675" s="81"/>
      <c r="K1675" s="81"/>
      <c r="L1675" s="81"/>
      <c r="M1675" s="175"/>
      <c r="N1675" s="175"/>
    </row>
    <row r="1676" spans="1:14">
      <c r="B1676" s="86" t="s">
        <v>124</v>
      </c>
      <c r="C1676" s="32"/>
      <c r="D1676" s="68"/>
      <c r="E1676" s="157"/>
      <c r="F1676" s="157"/>
      <c r="G1676" s="10">
        <f>G1656</f>
        <v>0</v>
      </c>
      <c r="H1676" s="158">
        <f>G1676</f>
        <v>0</v>
      </c>
      <c r="I1676" s="157"/>
      <c r="J1676" s="81"/>
      <c r="K1676" s="81"/>
      <c r="L1676" s="81"/>
      <c r="M1676" s="161"/>
      <c r="N1676" s="161"/>
    </row>
    <row r="1677" spans="1:14">
      <c r="B1677" s="86" t="s">
        <v>125</v>
      </c>
      <c r="C1677" s="32"/>
      <c r="D1677" s="68"/>
      <c r="E1677" s="157"/>
      <c r="F1677" s="157"/>
      <c r="G1677" s="77"/>
      <c r="H1677" s="10"/>
      <c r="I1677" s="157"/>
      <c r="J1677" s="81"/>
      <c r="K1677" s="81"/>
      <c r="L1677" s="81"/>
      <c r="M1677" s="161"/>
      <c r="N1677" s="161"/>
    </row>
    <row r="1678" spans="1:14">
      <c r="B1678" s="86" t="s">
        <v>126</v>
      </c>
      <c r="C1678" s="32"/>
      <c r="D1678" s="68"/>
      <c r="E1678" s="157"/>
      <c r="F1678" s="157"/>
      <c r="G1678" s="157"/>
      <c r="H1678" s="10">
        <v>0</v>
      </c>
      <c r="I1678" s="158">
        <f>H1678</f>
        <v>0</v>
      </c>
      <c r="J1678" s="81"/>
      <c r="K1678" s="81"/>
      <c r="L1678" s="81"/>
      <c r="M1678" s="161"/>
      <c r="N1678" s="161"/>
    </row>
    <row r="1679" spans="1:14">
      <c r="B1679" s="86" t="s">
        <v>127</v>
      </c>
      <c r="C1679" s="32"/>
      <c r="D1679" s="68"/>
      <c r="E1679" s="157"/>
      <c r="F1679" s="157"/>
      <c r="G1679" s="157"/>
      <c r="H1679" s="77"/>
      <c r="I1679" s="10"/>
      <c r="J1679" s="81"/>
      <c r="K1679" s="81"/>
      <c r="L1679" s="81"/>
      <c r="M1679" s="161"/>
      <c r="N1679" s="161"/>
    </row>
    <row r="1680" spans="1:14">
      <c r="B1680" s="86" t="s">
        <v>128</v>
      </c>
      <c r="C1680" s="32"/>
      <c r="D1680" s="68"/>
      <c r="E1680" s="157"/>
      <c r="F1680" s="157"/>
      <c r="G1680" s="157"/>
      <c r="H1680" s="157"/>
      <c r="I1680" s="247">
        <f>I1656</f>
        <v>19234.406696699145</v>
      </c>
      <c r="J1680" s="159">
        <f>I1680</f>
        <v>19234.406696699145</v>
      </c>
      <c r="K1680" s="81"/>
      <c r="L1680" s="81"/>
      <c r="M1680" s="161"/>
      <c r="N1680" s="161"/>
    </row>
    <row r="1681" spans="1:15">
      <c r="B1681" s="86" t="s">
        <v>119</v>
      </c>
      <c r="C1681" s="32"/>
      <c r="D1681" s="68"/>
      <c r="E1681" s="157"/>
      <c r="F1681" s="157"/>
      <c r="G1681" s="157"/>
      <c r="H1681" s="157"/>
      <c r="I1681" s="248"/>
      <c r="J1681" s="160"/>
      <c r="K1681" s="81"/>
      <c r="L1681" s="81"/>
      <c r="M1681" s="161"/>
      <c r="N1681" s="161"/>
    </row>
    <row r="1682" spans="1:15">
      <c r="B1682" s="86" t="s">
        <v>120</v>
      </c>
      <c r="C1682" s="32"/>
      <c r="D1682" s="68"/>
      <c r="E1682" s="157"/>
      <c r="F1682" s="157"/>
      <c r="G1682" s="157"/>
      <c r="H1682" s="157"/>
      <c r="I1682" s="157"/>
      <c r="J1682" s="160">
        <f>J1656</f>
        <v>50456</v>
      </c>
      <c r="K1682" s="159">
        <f>J1682</f>
        <v>50456</v>
      </c>
      <c r="L1682" s="81"/>
      <c r="M1682" s="161"/>
      <c r="N1682" s="161"/>
    </row>
    <row r="1683" spans="1:15">
      <c r="B1683" s="86" t="s">
        <v>152</v>
      </c>
      <c r="C1683" s="32"/>
      <c r="D1683" s="68"/>
      <c r="E1683" s="157"/>
      <c r="F1683" s="157"/>
      <c r="G1683" s="157"/>
      <c r="H1683" s="157"/>
      <c r="I1683" s="157"/>
      <c r="J1683" s="305"/>
      <c r="K1683" s="160"/>
      <c r="L1683" s="81"/>
      <c r="M1683" s="161"/>
      <c r="N1683" s="161"/>
    </row>
    <row r="1684" spans="1:15">
      <c r="B1684" s="86" t="s">
        <v>153</v>
      </c>
      <c r="C1684" s="32"/>
      <c r="D1684" s="68"/>
      <c r="E1684" s="157"/>
      <c r="F1684" s="157"/>
      <c r="G1684" s="157"/>
      <c r="H1684" s="157"/>
      <c r="I1684" s="157"/>
      <c r="J1684" s="157"/>
      <c r="K1684" s="160">
        <v>35344</v>
      </c>
      <c r="L1684" s="159">
        <f>K1684</f>
        <v>35344</v>
      </c>
      <c r="M1684" s="161"/>
      <c r="N1684" s="161"/>
    </row>
    <row r="1685" spans="1:15">
      <c r="B1685" s="86" t="s">
        <v>154</v>
      </c>
      <c r="C1685" s="32"/>
      <c r="D1685" s="153"/>
      <c r="E1685" s="155"/>
      <c r="F1685" s="155"/>
      <c r="G1685" s="155"/>
      <c r="H1685" s="155"/>
      <c r="I1685" s="155"/>
      <c r="J1685" s="155"/>
      <c r="K1685" s="154"/>
      <c r="L1685" s="160"/>
      <c r="M1685" s="311"/>
      <c r="N1685" s="311"/>
    </row>
    <row r="1686" spans="1:15">
      <c r="B1686" s="86" t="s">
        <v>155</v>
      </c>
      <c r="C1686" s="32"/>
      <c r="D1686" s="366"/>
      <c r="E1686" s="195"/>
      <c r="F1686" s="195"/>
      <c r="G1686" s="195"/>
      <c r="H1686" s="195"/>
      <c r="I1686" s="195"/>
      <c r="J1686" s="195"/>
      <c r="K1686" s="195"/>
      <c r="L1686" s="160"/>
      <c r="M1686" s="159">
        <f>L1686</f>
        <v>0</v>
      </c>
      <c r="N1686" s="195"/>
    </row>
    <row r="1687" spans="1:15">
      <c r="B1687" s="86" t="s">
        <v>156</v>
      </c>
      <c r="C1687" s="32"/>
      <c r="D1687" s="366"/>
      <c r="E1687" s="195"/>
      <c r="F1687" s="195"/>
      <c r="G1687" s="195"/>
      <c r="H1687" s="195"/>
      <c r="I1687" s="195"/>
      <c r="J1687" s="195"/>
      <c r="K1687" s="195"/>
      <c r="L1687" s="154">
        <v>16260</v>
      </c>
      <c r="M1687" s="160">
        <f>L1687</f>
        <v>16260</v>
      </c>
      <c r="N1687" s="195"/>
    </row>
    <row r="1688" spans="1:15">
      <c r="B1688" s="86" t="s">
        <v>157</v>
      </c>
      <c r="C1688" s="32"/>
      <c r="D1688" s="366"/>
      <c r="E1688" s="195"/>
      <c r="F1688" s="195"/>
      <c r="G1688" s="195"/>
      <c r="H1688" s="195"/>
      <c r="I1688" s="195"/>
      <c r="J1688" s="195"/>
      <c r="K1688" s="195"/>
      <c r="L1688" s="195"/>
      <c r="M1688" s="160"/>
      <c r="N1688" s="159">
        <f>M1688</f>
        <v>0</v>
      </c>
    </row>
    <row r="1689" spans="1:15">
      <c r="B1689" s="86" t="s">
        <v>173</v>
      </c>
      <c r="C1689" s="32"/>
      <c r="D1689" s="366"/>
      <c r="E1689" s="195"/>
      <c r="F1689" s="195"/>
      <c r="G1689" s="195"/>
      <c r="H1689" s="195"/>
      <c r="I1689" s="195"/>
      <c r="J1689" s="195"/>
      <c r="K1689" s="195"/>
      <c r="L1689" s="195"/>
      <c r="M1689" s="154">
        <v>20000</v>
      </c>
      <c r="N1689" s="160">
        <v>20000</v>
      </c>
    </row>
    <row r="1690" spans="1:15">
      <c r="B1690" s="86" t="s">
        <v>174</v>
      </c>
      <c r="C1690" s="32"/>
      <c r="D1690" s="366"/>
      <c r="E1690" s="195"/>
      <c r="F1690" s="195"/>
      <c r="G1690" s="195"/>
      <c r="H1690" s="195"/>
      <c r="I1690" s="195"/>
      <c r="J1690" s="195"/>
      <c r="K1690" s="195"/>
      <c r="L1690" s="195"/>
      <c r="M1690" s="195"/>
      <c r="N1690" s="160"/>
    </row>
    <row r="1691" spans="1:15">
      <c r="B1691" s="86"/>
      <c r="C1691" s="32"/>
      <c r="D1691" s="368"/>
      <c r="E1691" s="353"/>
      <c r="F1691" s="353"/>
      <c r="G1691" s="353"/>
      <c r="H1691" s="353"/>
      <c r="I1691" s="353"/>
      <c r="J1691" s="353"/>
      <c r="K1691" s="353"/>
      <c r="L1691" s="353"/>
      <c r="M1691" s="353"/>
      <c r="N1691" s="369"/>
    </row>
    <row r="1692" spans="1:15">
      <c r="B1692" s="35" t="s">
        <v>17</v>
      </c>
      <c r="D1692" s="281">
        <f xml:space="preserve"> D1676 - D1675</f>
        <v>0</v>
      </c>
      <c r="E1692" s="281">
        <f xml:space="preserve"> E1675 + E1678 - E1677 - E1676</f>
        <v>0</v>
      </c>
      <c r="F1692" s="281">
        <f>F1677 - F1678</f>
        <v>0</v>
      </c>
      <c r="G1692" s="281">
        <f t="shared" ref="G1692" si="924">G1677 - G1678</f>
        <v>0</v>
      </c>
      <c r="H1692" s="281">
        <f>H1676-H1677-H1678</f>
        <v>0</v>
      </c>
      <c r="I1692" s="281">
        <f>I1678-I1679-I1680</f>
        <v>-19234.406696699145</v>
      </c>
      <c r="J1692" s="281">
        <f>J1680-J1681-J1682</f>
        <v>-31221.593303300855</v>
      </c>
      <c r="K1692" s="281">
        <f>K1682-K1683-K1684</f>
        <v>15112</v>
      </c>
      <c r="L1692" s="281">
        <f>L1684+L1687-L1686-L1685</f>
        <v>51604</v>
      </c>
      <c r="M1692" s="281">
        <f>M1686-M1687+M1689</f>
        <v>3740</v>
      </c>
      <c r="N1692" s="281">
        <f>N1688-N1689-N1690</f>
        <v>-20000</v>
      </c>
    </row>
    <row r="1693" spans="1:15">
      <c r="B1693" s="6"/>
      <c r="D1693" s="281"/>
      <c r="E1693" s="281"/>
      <c r="F1693" s="281"/>
      <c r="G1693" s="281"/>
      <c r="H1693" s="281"/>
      <c r="I1693" s="281"/>
      <c r="J1693" s="281"/>
      <c r="K1693" s="281"/>
      <c r="L1693" s="281"/>
      <c r="M1693" s="281"/>
      <c r="N1693" s="281"/>
    </row>
    <row r="1694" spans="1:15">
      <c r="B1694" s="83" t="s">
        <v>12</v>
      </c>
      <c r="C1694" s="78"/>
      <c r="D1694" s="282"/>
      <c r="E1694" s="283"/>
      <c r="F1694" s="283"/>
      <c r="G1694" s="283"/>
      <c r="H1694" s="283"/>
      <c r="I1694" s="283"/>
      <c r="J1694" s="283"/>
      <c r="K1694" s="283"/>
      <c r="L1694" s="283"/>
      <c r="M1694" s="283"/>
      <c r="N1694" s="283"/>
    </row>
    <row r="1695" spans="1:15">
      <c r="B1695" s="6"/>
      <c r="D1695" s="281"/>
      <c r="E1695" s="281"/>
      <c r="F1695" s="281"/>
      <c r="G1695" s="281"/>
      <c r="H1695" s="281"/>
      <c r="I1695" s="281"/>
      <c r="J1695" s="281"/>
      <c r="K1695" s="281"/>
      <c r="L1695" s="281"/>
      <c r="M1695" s="281"/>
      <c r="N1695" s="281"/>
    </row>
    <row r="1696" spans="1:15" ht="18.5">
      <c r="A1696" s="43" t="s">
        <v>26</v>
      </c>
      <c r="C1696" s="78"/>
      <c r="D1696" s="285">
        <f t="shared" ref="D1696:N1696" si="925" xml:space="preserve"> D1656 + D1661 - D1667 + D1692 + D1694</f>
        <v>0</v>
      </c>
      <c r="E1696" s="286">
        <f t="shared" si="925"/>
        <v>0</v>
      </c>
      <c r="F1696" s="286">
        <f t="shared" si="925"/>
        <v>0</v>
      </c>
      <c r="G1696" s="286">
        <f t="shared" si="925"/>
        <v>0</v>
      </c>
      <c r="H1696" s="286">
        <f t="shared" si="925"/>
        <v>0</v>
      </c>
      <c r="I1696" s="286">
        <f t="shared" si="925"/>
        <v>0</v>
      </c>
      <c r="J1696" s="286">
        <f t="shared" si="925"/>
        <v>19234.406696699145</v>
      </c>
      <c r="K1696" s="286">
        <f t="shared" si="925"/>
        <v>64705</v>
      </c>
      <c r="L1696" s="286">
        <f t="shared" si="925"/>
        <v>100534.76470705045</v>
      </c>
      <c r="M1696" s="286">
        <f t="shared" ref="M1696" si="926" xml:space="preserve"> M1656 + M1661 - M1667 + M1692 + M1694</f>
        <v>51506.105992807483</v>
      </c>
      <c r="N1696" s="286">
        <f t="shared" si="925"/>
        <v>27129.949488329992</v>
      </c>
      <c r="O1696" s="370"/>
    </row>
    <row r="1697" spans="1:14" ht="15" thickBot="1"/>
    <row r="1698" spans="1:14">
      <c r="A1698" s="8"/>
      <c r="B1698" s="8"/>
      <c r="C1698" s="8"/>
      <c r="D1698" s="8"/>
      <c r="E1698" s="8"/>
      <c r="F1698" s="8"/>
      <c r="G1698" s="8"/>
      <c r="H1698" s="8"/>
      <c r="I1698" s="8"/>
      <c r="J1698" s="8"/>
      <c r="K1698" s="8"/>
      <c r="L1698" s="8"/>
      <c r="M1698" s="8"/>
      <c r="N1698" s="8"/>
    </row>
    <row r="1699" spans="1:14" ht="21">
      <c r="A1699" s="14" t="s">
        <v>4</v>
      </c>
      <c r="B1699" s="14"/>
      <c r="C1699" s="44" t="str">
        <f>B38</f>
        <v>Pavant Solar</v>
      </c>
      <c r="D1699" s="45"/>
      <c r="E1699" s="24"/>
      <c r="F1699" s="24"/>
    </row>
    <row r="1700" spans="1:14">
      <c r="I1700" s="13"/>
    </row>
    <row r="1701" spans="1:14" ht="18.5">
      <c r="A1701" s="9" t="s">
        <v>21</v>
      </c>
      <c r="B1701" s="9"/>
      <c r="D1701" s="2">
        <v>2011</v>
      </c>
      <c r="E1701" s="2">
        <f>D1701+1</f>
        <v>2012</v>
      </c>
      <c r="F1701" s="2">
        <f t="shared" ref="F1701:N1701" si="927">E1701+1</f>
        <v>2013</v>
      </c>
      <c r="G1701" s="2">
        <f t="shared" si="927"/>
        <v>2014</v>
      </c>
      <c r="H1701" s="2">
        <f t="shared" si="927"/>
        <v>2015</v>
      </c>
      <c r="I1701" s="2">
        <f t="shared" si="927"/>
        <v>2016</v>
      </c>
      <c r="J1701" s="2">
        <f t="shared" si="927"/>
        <v>2017</v>
      </c>
      <c r="K1701" s="2">
        <f t="shared" si="927"/>
        <v>2018</v>
      </c>
      <c r="L1701" s="2">
        <f t="shared" si="927"/>
        <v>2019</v>
      </c>
      <c r="M1701" s="2">
        <f t="shared" si="927"/>
        <v>2020</v>
      </c>
      <c r="N1701" s="2">
        <f t="shared" si="927"/>
        <v>2021</v>
      </c>
    </row>
    <row r="1702" spans="1:14">
      <c r="B1702" s="86" t="str">
        <f>"Total MWh Produced / Purchased from " &amp; C1699</f>
        <v>Total MWh Produced / Purchased from Pavant Solar</v>
      </c>
      <c r="C1702" s="78"/>
      <c r="D1702" s="3"/>
      <c r="E1702" s="4"/>
      <c r="F1702" s="4"/>
      <c r="G1702" s="4"/>
      <c r="H1702" s="4">
        <v>1391</v>
      </c>
      <c r="I1702" s="4">
        <v>109951</v>
      </c>
      <c r="J1702" s="4">
        <v>118002</v>
      </c>
      <c r="K1702" s="4">
        <v>121657</v>
      </c>
      <c r="L1702" s="4">
        <v>110948</v>
      </c>
      <c r="M1702" s="307">
        <v>123381</v>
      </c>
      <c r="N1702" s="307">
        <v>122542</v>
      </c>
    </row>
    <row r="1703" spans="1:14">
      <c r="B1703" s="86" t="s">
        <v>25</v>
      </c>
      <c r="C1703" s="78"/>
      <c r="D1703" s="60"/>
      <c r="E1703" s="61"/>
      <c r="F1703" s="61"/>
      <c r="G1703" s="61"/>
      <c r="H1703" s="61"/>
      <c r="I1703" s="61">
        <v>1</v>
      </c>
      <c r="J1703" s="61">
        <v>1</v>
      </c>
      <c r="K1703" s="61">
        <v>1</v>
      </c>
      <c r="L1703" s="61">
        <v>1</v>
      </c>
      <c r="M1703" s="312">
        <v>1</v>
      </c>
      <c r="N1703" s="312">
        <v>1</v>
      </c>
    </row>
    <row r="1704" spans="1:14">
      <c r="B1704" s="86" t="s">
        <v>20</v>
      </c>
      <c r="C1704" s="78"/>
      <c r="D1704" s="52"/>
      <c r="E1704" s="53"/>
      <c r="F1704" s="53"/>
      <c r="G1704" s="53"/>
      <c r="H1704" s="53">
        <v>0.22597768807094501</v>
      </c>
      <c r="I1704" s="53">
        <f>I1655</f>
        <v>0.22741888098063476</v>
      </c>
      <c r="J1704" s="53">
        <f>J1655</f>
        <v>0.22498369104255439</v>
      </c>
      <c r="K1704" s="53">
        <f>K1477</f>
        <v>0.22007817037432531</v>
      </c>
      <c r="L1704" s="53">
        <f>L1477</f>
        <v>0.2223660721260575</v>
      </c>
      <c r="M1704" s="324">
        <f t="shared" ref="M1704" si="928">M1477</f>
        <v>0.22404890355218221</v>
      </c>
      <c r="N1704" s="324">
        <f>N1655</f>
        <v>0.22259051758811743</v>
      </c>
    </row>
    <row r="1705" spans="1:14">
      <c r="B1705" s="83" t="s">
        <v>22</v>
      </c>
      <c r="C1705" s="84"/>
      <c r="D1705" s="39">
        <v>0</v>
      </c>
      <c r="E1705" s="39">
        <v>0</v>
      </c>
      <c r="F1705" s="39">
        <v>0</v>
      </c>
      <c r="G1705" s="39">
        <v>0</v>
      </c>
      <c r="H1705" s="39">
        <v>316</v>
      </c>
      <c r="I1705" s="314">
        <v>25003</v>
      </c>
      <c r="J1705" s="314">
        <v>26549</v>
      </c>
      <c r="K1705" s="314">
        <v>26773</v>
      </c>
      <c r="L1705" s="314">
        <f>L1702*L1704</f>
        <v>24671.070970241828</v>
      </c>
      <c r="M1705" s="314">
        <f t="shared" ref="M1705:N1705" si="929">M1702*M1704</f>
        <v>27643.377769171795</v>
      </c>
      <c r="N1705" s="314">
        <f t="shared" si="929"/>
        <v>27276.687206283088</v>
      </c>
    </row>
    <row r="1706" spans="1:14">
      <c r="B1706" s="24"/>
      <c r="C1706" s="32"/>
      <c r="D1706" s="38"/>
      <c r="E1706" s="38"/>
      <c r="F1706" s="38"/>
      <c r="G1706" s="38"/>
      <c r="H1706" s="38"/>
      <c r="I1706" s="38"/>
      <c r="J1706" s="38"/>
      <c r="K1706" s="38"/>
      <c r="L1706" s="38"/>
      <c r="M1706" s="38"/>
      <c r="N1706" s="38"/>
    </row>
    <row r="1707" spans="1:14" ht="18.5">
      <c r="A1707" s="46" t="s">
        <v>52</v>
      </c>
      <c r="C1707" s="32"/>
      <c r="D1707" s="2">
        <v>2011</v>
      </c>
      <c r="E1707" s="2">
        <f>D1707+1</f>
        <v>2012</v>
      </c>
      <c r="F1707" s="2">
        <f t="shared" ref="F1707:N1707" si="930">E1707+1</f>
        <v>2013</v>
      </c>
      <c r="G1707" s="2">
        <f t="shared" si="930"/>
        <v>2014</v>
      </c>
      <c r="H1707" s="2">
        <f t="shared" si="930"/>
        <v>2015</v>
      </c>
      <c r="I1707" s="2">
        <f t="shared" si="930"/>
        <v>2016</v>
      </c>
      <c r="J1707" s="2">
        <f t="shared" si="930"/>
        <v>2017</v>
      </c>
      <c r="K1707" s="2">
        <f t="shared" si="930"/>
        <v>2018</v>
      </c>
      <c r="L1707" s="2">
        <f t="shared" si="930"/>
        <v>2019</v>
      </c>
      <c r="M1707" s="2">
        <f t="shared" si="930"/>
        <v>2020</v>
      </c>
      <c r="N1707" s="2">
        <f t="shared" si="930"/>
        <v>2021</v>
      </c>
    </row>
    <row r="1708" spans="1:14">
      <c r="B1708" s="86" t="s">
        <v>10</v>
      </c>
      <c r="C1708" s="78"/>
      <c r="D1708" s="55">
        <v>0</v>
      </c>
      <c r="E1708" s="11">
        <v>0</v>
      </c>
      <c r="F1708" s="11">
        <v>0</v>
      </c>
      <c r="G1708" s="11">
        <v>0</v>
      </c>
      <c r="H1708" s="11">
        <v>0</v>
      </c>
      <c r="I1708" s="11">
        <v>0</v>
      </c>
      <c r="J1708" s="11">
        <v>0</v>
      </c>
      <c r="K1708" s="11">
        <v>0</v>
      </c>
      <c r="L1708" s="11">
        <v>0</v>
      </c>
      <c r="M1708" s="11">
        <v>0</v>
      </c>
      <c r="N1708" s="11">
        <v>0</v>
      </c>
    </row>
    <row r="1709" spans="1:14">
      <c r="B1709" s="86" t="s">
        <v>6</v>
      </c>
      <c r="C1709" s="78"/>
      <c r="D1709" s="56">
        <v>0</v>
      </c>
      <c r="E1709" s="57">
        <v>0</v>
      </c>
      <c r="F1709" s="57">
        <v>0</v>
      </c>
      <c r="G1709" s="57">
        <v>0</v>
      </c>
      <c r="H1709" s="57">
        <v>0</v>
      </c>
      <c r="I1709" s="57">
        <v>0</v>
      </c>
      <c r="J1709" s="57">
        <v>0</v>
      </c>
      <c r="K1709" s="57">
        <v>0</v>
      </c>
      <c r="L1709" s="57">
        <v>0</v>
      </c>
      <c r="M1709" s="57">
        <v>0</v>
      </c>
      <c r="N1709" s="57">
        <v>0</v>
      </c>
    </row>
    <row r="1710" spans="1:14">
      <c r="B1710" s="85" t="s">
        <v>54</v>
      </c>
      <c r="C1710" s="84"/>
      <c r="D1710" s="41">
        <v>0</v>
      </c>
      <c r="E1710" s="42">
        <v>0</v>
      </c>
      <c r="F1710" s="42">
        <v>0</v>
      </c>
      <c r="G1710" s="42">
        <v>0</v>
      </c>
      <c r="H1710" s="42">
        <v>0</v>
      </c>
      <c r="I1710" s="42">
        <v>0</v>
      </c>
      <c r="J1710" s="42">
        <v>0</v>
      </c>
      <c r="K1710" s="42">
        <v>0</v>
      </c>
      <c r="L1710" s="42">
        <v>0</v>
      </c>
      <c r="M1710" s="42">
        <v>0</v>
      </c>
      <c r="N1710" s="42">
        <v>0</v>
      </c>
    </row>
    <row r="1711" spans="1:14">
      <c r="B1711" s="32"/>
      <c r="C1711" s="32"/>
      <c r="D1711" s="40"/>
      <c r="E1711" s="33"/>
      <c r="F1711" s="33"/>
      <c r="G1711" s="33"/>
      <c r="H1711" s="33"/>
      <c r="I1711" s="33"/>
      <c r="J1711" s="33"/>
      <c r="K1711" s="33"/>
      <c r="L1711" s="33"/>
      <c r="M1711" s="33"/>
      <c r="N1711" s="33"/>
    </row>
    <row r="1712" spans="1:14" ht="18.5">
      <c r="A1712" s="43" t="s">
        <v>30</v>
      </c>
      <c r="C1712" s="32"/>
      <c r="D1712" s="2">
        <v>2011</v>
      </c>
      <c r="E1712" s="2">
        <f>D1712+1</f>
        <v>2012</v>
      </c>
      <c r="F1712" s="2">
        <f t="shared" ref="F1712:N1712" si="931">E1712+1</f>
        <v>2013</v>
      </c>
      <c r="G1712" s="2">
        <f t="shared" si="931"/>
        <v>2014</v>
      </c>
      <c r="H1712" s="2">
        <f t="shared" si="931"/>
        <v>2015</v>
      </c>
      <c r="I1712" s="2">
        <f t="shared" si="931"/>
        <v>2016</v>
      </c>
      <c r="J1712" s="2">
        <f t="shared" si="931"/>
        <v>2017</v>
      </c>
      <c r="K1712" s="2">
        <f t="shared" si="931"/>
        <v>2018</v>
      </c>
      <c r="L1712" s="2">
        <f t="shared" si="931"/>
        <v>2019</v>
      </c>
      <c r="M1712" s="2">
        <f t="shared" si="931"/>
        <v>2020</v>
      </c>
      <c r="N1712" s="2">
        <f t="shared" si="931"/>
        <v>2021</v>
      </c>
    </row>
    <row r="1713" spans="1:14">
      <c r="B1713" s="86" t="s">
        <v>32</v>
      </c>
      <c r="C1713" s="78"/>
      <c r="D1713" s="90"/>
      <c r="E1713" s="91"/>
      <c r="F1713" s="91"/>
      <c r="G1713" s="91"/>
      <c r="H1713" s="91"/>
      <c r="I1713" s="91"/>
      <c r="J1713" s="91"/>
      <c r="K1713" s="91"/>
      <c r="L1713" s="91"/>
      <c r="M1713" s="91"/>
      <c r="N1713" s="91"/>
    </row>
    <row r="1714" spans="1:14">
      <c r="B1714" s="87" t="s">
        <v>23</v>
      </c>
      <c r="C1714" s="192"/>
      <c r="D1714" s="93"/>
      <c r="E1714" s="94"/>
      <c r="F1714" s="94"/>
      <c r="G1714" s="94"/>
      <c r="H1714" s="94"/>
      <c r="I1714" s="94"/>
      <c r="J1714" s="94"/>
      <c r="K1714" s="94"/>
      <c r="L1714" s="94"/>
      <c r="M1714" s="94"/>
      <c r="N1714" s="94"/>
    </row>
    <row r="1715" spans="1:14">
      <c r="B1715" s="96" t="s">
        <v>38</v>
      </c>
      <c r="C1715" s="190"/>
      <c r="D1715" s="63"/>
      <c r="E1715" s="64"/>
      <c r="F1715" s="64"/>
      <c r="G1715" s="64"/>
      <c r="H1715" s="64"/>
      <c r="I1715" s="64"/>
      <c r="J1715" s="64"/>
      <c r="K1715" s="64"/>
      <c r="L1715" s="64"/>
      <c r="M1715" s="64"/>
      <c r="N1715" s="64"/>
    </row>
    <row r="1716" spans="1:14">
      <c r="B1716" s="35" t="s">
        <v>39</v>
      </c>
      <c r="D1716" s="7">
        <v>0</v>
      </c>
      <c r="E1716" s="7">
        <v>0</v>
      </c>
      <c r="F1716" s="7">
        <v>0</v>
      </c>
      <c r="G1716" s="7">
        <v>0</v>
      </c>
      <c r="H1716" s="7">
        <v>0</v>
      </c>
      <c r="I1716" s="7">
        <v>0</v>
      </c>
      <c r="J1716" s="7">
        <v>0</v>
      </c>
      <c r="K1716" s="7">
        <v>0</v>
      </c>
      <c r="L1716" s="7">
        <v>0</v>
      </c>
      <c r="M1716" s="7">
        <v>0</v>
      </c>
      <c r="N1716" s="7">
        <v>0</v>
      </c>
    </row>
    <row r="1717" spans="1:14">
      <c r="B1717" s="6"/>
      <c r="D1717" s="7"/>
      <c r="E1717" s="7"/>
      <c r="F1717" s="7"/>
      <c r="G1717" s="30"/>
      <c r="H1717" s="30"/>
      <c r="I1717" s="30"/>
      <c r="J1717" s="30"/>
      <c r="K1717" s="30"/>
      <c r="L1717" s="30"/>
      <c r="M1717" s="30"/>
      <c r="N1717" s="30"/>
    </row>
    <row r="1718" spans="1:14" ht="18.5">
      <c r="A1718" s="9" t="s">
        <v>40</v>
      </c>
      <c r="D1718" s="2">
        <f>'Facility Detail'!$B$1897</f>
        <v>2011</v>
      </c>
      <c r="E1718" s="2">
        <f>D1718+1</f>
        <v>2012</v>
      </c>
      <c r="F1718" s="2">
        <f t="shared" ref="F1718:N1718" si="932">E1718+1</f>
        <v>2013</v>
      </c>
      <c r="G1718" s="2">
        <f t="shared" si="932"/>
        <v>2014</v>
      </c>
      <c r="H1718" s="2">
        <f t="shared" si="932"/>
        <v>2015</v>
      </c>
      <c r="I1718" s="2">
        <f t="shared" si="932"/>
        <v>2016</v>
      </c>
      <c r="J1718" s="2">
        <f t="shared" si="932"/>
        <v>2017</v>
      </c>
      <c r="K1718" s="2">
        <f t="shared" si="932"/>
        <v>2018</v>
      </c>
      <c r="L1718" s="2">
        <f t="shared" si="932"/>
        <v>2019</v>
      </c>
      <c r="M1718" s="2">
        <f t="shared" si="932"/>
        <v>2020</v>
      </c>
      <c r="N1718" s="2">
        <f t="shared" si="932"/>
        <v>2021</v>
      </c>
    </row>
    <row r="1719" spans="1:14">
      <c r="B1719" s="86" t="s">
        <v>34</v>
      </c>
      <c r="C1719" s="78"/>
      <c r="D1719" s="3"/>
      <c r="E1719" s="66">
        <f>D1719</f>
        <v>0</v>
      </c>
      <c r="F1719" s="138"/>
      <c r="G1719" s="138"/>
      <c r="H1719" s="138"/>
      <c r="I1719" s="138"/>
      <c r="J1719" s="138"/>
      <c r="K1719" s="138"/>
      <c r="L1719" s="138"/>
      <c r="M1719" s="67"/>
      <c r="N1719" s="67"/>
    </row>
    <row r="1720" spans="1:14">
      <c r="B1720" s="86" t="s">
        <v>35</v>
      </c>
      <c r="C1720" s="78"/>
      <c r="D1720" s="174">
        <f>E1720</f>
        <v>0</v>
      </c>
      <c r="E1720" s="10"/>
      <c r="F1720" s="81"/>
      <c r="G1720" s="81"/>
      <c r="H1720" s="81"/>
      <c r="I1720" s="81"/>
      <c r="J1720" s="81"/>
      <c r="K1720" s="81"/>
      <c r="L1720" s="81"/>
      <c r="M1720" s="175"/>
      <c r="N1720" s="175"/>
    </row>
    <row r="1721" spans="1:14">
      <c r="B1721" s="86" t="s">
        <v>36</v>
      </c>
      <c r="C1721" s="78"/>
      <c r="D1721" s="68"/>
      <c r="E1721" s="10">
        <f>E1705</f>
        <v>0</v>
      </c>
      <c r="F1721" s="77">
        <f>E1721</f>
        <v>0</v>
      </c>
      <c r="G1721" s="81"/>
      <c r="H1721" s="81"/>
      <c r="I1721" s="81"/>
      <c r="J1721" s="81"/>
      <c r="K1721" s="81"/>
      <c r="L1721" s="81"/>
      <c r="M1721" s="175"/>
      <c r="N1721" s="175"/>
    </row>
    <row r="1722" spans="1:14">
      <c r="B1722" s="86" t="s">
        <v>37</v>
      </c>
      <c r="C1722" s="78"/>
      <c r="D1722" s="68"/>
      <c r="E1722" s="77">
        <f>F1722</f>
        <v>0</v>
      </c>
      <c r="F1722" s="173"/>
      <c r="G1722" s="81"/>
      <c r="H1722" s="81"/>
      <c r="I1722" s="81"/>
      <c r="J1722" s="81"/>
      <c r="K1722" s="81"/>
      <c r="L1722" s="81"/>
      <c r="M1722" s="175"/>
      <c r="N1722" s="175"/>
    </row>
    <row r="1723" spans="1:14">
      <c r="B1723" s="86" t="s">
        <v>122</v>
      </c>
      <c r="C1723" s="32"/>
      <c r="D1723" s="68"/>
      <c r="E1723" s="157"/>
      <c r="F1723" s="10">
        <f>F1705</f>
        <v>0</v>
      </c>
      <c r="G1723" s="158">
        <f>F1723</f>
        <v>0</v>
      </c>
      <c r="H1723" s="81"/>
      <c r="I1723" s="81"/>
      <c r="J1723" s="81"/>
      <c r="K1723" s="81"/>
      <c r="L1723" s="81"/>
      <c r="M1723" s="175"/>
      <c r="N1723" s="175"/>
    </row>
    <row r="1724" spans="1:14">
      <c r="B1724" s="86" t="s">
        <v>123</v>
      </c>
      <c r="C1724" s="32"/>
      <c r="D1724" s="68"/>
      <c r="E1724" s="157"/>
      <c r="F1724" s="77">
        <f>G1724</f>
        <v>0</v>
      </c>
      <c r="G1724" s="10"/>
      <c r="H1724" s="81"/>
      <c r="I1724" s="81"/>
      <c r="J1724" s="81"/>
      <c r="K1724" s="81"/>
      <c r="L1724" s="81"/>
      <c r="M1724" s="175"/>
      <c r="N1724" s="175"/>
    </row>
    <row r="1725" spans="1:14">
      <c r="B1725" s="86" t="s">
        <v>124</v>
      </c>
      <c r="C1725" s="32"/>
      <c r="D1725" s="68"/>
      <c r="E1725" s="157"/>
      <c r="F1725" s="157"/>
      <c r="G1725" s="10">
        <f>G1705</f>
        <v>0</v>
      </c>
      <c r="H1725" s="158">
        <f>G1725</f>
        <v>0</v>
      </c>
      <c r="I1725" s="157">
        <f>H1725</f>
        <v>0</v>
      </c>
      <c r="J1725" s="81"/>
      <c r="K1725" s="81"/>
      <c r="L1725" s="81"/>
      <c r="M1725" s="161"/>
      <c r="N1725" s="161"/>
    </row>
    <row r="1726" spans="1:14">
      <c r="B1726" s="86" t="s">
        <v>125</v>
      </c>
      <c r="C1726" s="32"/>
      <c r="D1726" s="68"/>
      <c r="E1726" s="157"/>
      <c r="F1726" s="157"/>
      <c r="G1726" s="77"/>
      <c r="H1726" s="10"/>
      <c r="I1726" s="157"/>
      <c r="J1726" s="81"/>
      <c r="K1726" s="81"/>
      <c r="L1726" s="81"/>
      <c r="M1726" s="161"/>
      <c r="N1726" s="161"/>
    </row>
    <row r="1727" spans="1:14">
      <c r="B1727" s="86" t="s">
        <v>126</v>
      </c>
      <c r="C1727" s="32"/>
      <c r="D1727" s="68"/>
      <c r="E1727" s="157"/>
      <c r="F1727" s="157"/>
      <c r="G1727" s="157"/>
      <c r="H1727" s="10">
        <v>316</v>
      </c>
      <c r="I1727" s="158">
        <f>H1727</f>
        <v>316</v>
      </c>
      <c r="J1727" s="81"/>
      <c r="K1727" s="81"/>
      <c r="L1727" s="81"/>
      <c r="M1727" s="161"/>
      <c r="N1727" s="161"/>
    </row>
    <row r="1728" spans="1:14">
      <c r="B1728" s="86" t="s">
        <v>127</v>
      </c>
      <c r="C1728" s="32"/>
      <c r="D1728" s="68"/>
      <c r="E1728" s="157"/>
      <c r="F1728" s="157"/>
      <c r="G1728" s="157"/>
      <c r="H1728" s="77">
        <v>0</v>
      </c>
      <c r="I1728" s="10"/>
      <c r="J1728" s="81"/>
      <c r="K1728" s="81"/>
      <c r="L1728" s="81"/>
      <c r="M1728" s="161"/>
      <c r="N1728" s="161"/>
    </row>
    <row r="1729" spans="2:14">
      <c r="B1729" s="86" t="s">
        <v>128</v>
      </c>
      <c r="C1729" s="32"/>
      <c r="D1729" s="68"/>
      <c r="E1729" s="157"/>
      <c r="F1729" s="157"/>
      <c r="G1729" s="157"/>
      <c r="H1729" s="157"/>
      <c r="I1729" s="247">
        <f>I1705</f>
        <v>25003</v>
      </c>
      <c r="J1729" s="159">
        <f>I1729</f>
        <v>25003</v>
      </c>
      <c r="K1729" s="81"/>
      <c r="L1729" s="81"/>
      <c r="M1729" s="161"/>
      <c r="N1729" s="161"/>
    </row>
    <row r="1730" spans="2:14">
      <c r="B1730" s="86" t="s">
        <v>119</v>
      </c>
      <c r="C1730" s="32"/>
      <c r="D1730" s="68"/>
      <c r="E1730" s="157"/>
      <c r="F1730" s="157"/>
      <c r="G1730" s="157"/>
      <c r="H1730" s="157"/>
      <c r="I1730" s="248">
        <v>0</v>
      </c>
      <c r="J1730" s="160"/>
      <c r="K1730" s="81"/>
      <c r="L1730" s="81"/>
      <c r="M1730" s="161"/>
      <c r="N1730" s="161"/>
    </row>
    <row r="1731" spans="2:14">
      <c r="B1731" s="86" t="s">
        <v>120</v>
      </c>
      <c r="C1731" s="32"/>
      <c r="D1731" s="68"/>
      <c r="E1731" s="157"/>
      <c r="F1731" s="157"/>
      <c r="G1731" s="157"/>
      <c r="H1731" s="157"/>
      <c r="I1731" s="157"/>
      <c r="J1731" s="160">
        <v>26549</v>
      </c>
      <c r="K1731" s="159">
        <f>J1731</f>
        <v>26549</v>
      </c>
      <c r="L1731" s="81"/>
      <c r="M1731" s="161"/>
      <c r="N1731" s="161"/>
    </row>
    <row r="1732" spans="2:14">
      <c r="B1732" s="86" t="s">
        <v>152</v>
      </c>
      <c r="C1732" s="32"/>
      <c r="D1732" s="157"/>
      <c r="E1732" s="157"/>
      <c r="F1732" s="157"/>
      <c r="G1732" s="157"/>
      <c r="H1732" s="157"/>
      <c r="I1732" s="157"/>
      <c r="J1732" s="157"/>
      <c r="K1732" s="160"/>
      <c r="L1732" s="81"/>
      <c r="M1732" s="161"/>
      <c r="N1732" s="161"/>
    </row>
    <row r="1733" spans="2:14">
      <c r="B1733" s="86" t="s">
        <v>153</v>
      </c>
      <c r="C1733" s="32"/>
      <c r="D1733" s="157"/>
      <c r="E1733" s="157"/>
      <c r="F1733" s="157"/>
      <c r="G1733" s="157"/>
      <c r="H1733" s="157"/>
      <c r="I1733" s="157"/>
      <c r="J1733" s="157"/>
      <c r="K1733" s="160">
        <f>K1705</f>
        <v>26773</v>
      </c>
      <c r="L1733" s="159">
        <f>K1733</f>
        <v>26773</v>
      </c>
      <c r="M1733" s="161"/>
      <c r="N1733" s="161"/>
    </row>
    <row r="1734" spans="2:14">
      <c r="B1734" s="86" t="s">
        <v>154</v>
      </c>
      <c r="C1734" s="32"/>
      <c r="D1734" s="157"/>
      <c r="E1734" s="157"/>
      <c r="F1734" s="157"/>
      <c r="G1734" s="157"/>
      <c r="H1734" s="157"/>
      <c r="I1734" s="157"/>
      <c r="J1734" s="157"/>
      <c r="K1734" s="367"/>
      <c r="L1734" s="160"/>
      <c r="M1734" s="311"/>
      <c r="N1734" s="311"/>
    </row>
    <row r="1735" spans="2:14">
      <c r="B1735" s="86" t="s">
        <v>155</v>
      </c>
      <c r="C1735" s="32"/>
      <c r="D1735" s="157"/>
      <c r="E1735" s="157"/>
      <c r="F1735" s="157"/>
      <c r="G1735" s="157"/>
      <c r="H1735" s="157"/>
      <c r="I1735" s="157"/>
      <c r="J1735" s="157"/>
      <c r="K1735" s="157"/>
      <c r="L1735" s="160"/>
      <c r="M1735" s="159">
        <f>L1735</f>
        <v>0</v>
      </c>
      <c r="N1735" s="161"/>
    </row>
    <row r="1736" spans="2:14">
      <c r="B1736" s="86" t="s">
        <v>156</v>
      </c>
      <c r="C1736" s="32"/>
      <c r="D1736" s="157"/>
      <c r="E1736" s="157"/>
      <c r="F1736" s="157"/>
      <c r="G1736" s="157"/>
      <c r="H1736" s="157"/>
      <c r="I1736" s="157"/>
      <c r="J1736" s="157"/>
      <c r="K1736" s="157"/>
      <c r="L1736" s="159">
        <v>4656</v>
      </c>
      <c r="M1736" s="160">
        <v>4656</v>
      </c>
      <c r="N1736" s="161"/>
    </row>
    <row r="1737" spans="2:14">
      <c r="B1737" s="86" t="s">
        <v>157</v>
      </c>
      <c r="C1737" s="32"/>
      <c r="D1737" s="157"/>
      <c r="E1737" s="157"/>
      <c r="F1737" s="157"/>
      <c r="G1737" s="157"/>
      <c r="H1737" s="157"/>
      <c r="I1737" s="157"/>
      <c r="J1737" s="157"/>
      <c r="K1737" s="157"/>
      <c r="L1737" s="157"/>
      <c r="M1737" s="160"/>
      <c r="N1737" s="159">
        <f>M1737</f>
        <v>0</v>
      </c>
    </row>
    <row r="1738" spans="2:14">
      <c r="B1738" s="86" t="s">
        <v>173</v>
      </c>
      <c r="C1738" s="32"/>
      <c r="D1738" s="157"/>
      <c r="E1738" s="157"/>
      <c r="F1738" s="157"/>
      <c r="G1738" s="157"/>
      <c r="H1738" s="157"/>
      <c r="I1738" s="157"/>
      <c r="J1738" s="157"/>
      <c r="K1738" s="157"/>
      <c r="L1738" s="157"/>
      <c r="M1738" s="159">
        <v>10000</v>
      </c>
      <c r="N1738" s="160">
        <v>10000</v>
      </c>
    </row>
    <row r="1739" spans="2:14">
      <c r="B1739" s="86" t="s">
        <v>174</v>
      </c>
      <c r="C1739" s="32"/>
      <c r="D1739" s="157"/>
      <c r="E1739" s="157"/>
      <c r="F1739" s="157"/>
      <c r="G1739" s="157"/>
      <c r="H1739" s="157"/>
      <c r="I1739" s="157"/>
      <c r="J1739" s="157"/>
      <c r="K1739" s="157"/>
      <c r="L1739" s="157"/>
      <c r="M1739" s="157"/>
      <c r="N1739" s="160"/>
    </row>
    <row r="1740" spans="2:14">
      <c r="B1740" s="86"/>
      <c r="C1740" s="32"/>
      <c r="D1740" s="157"/>
      <c r="E1740" s="157"/>
      <c r="F1740" s="157"/>
      <c r="G1740" s="157"/>
      <c r="H1740" s="157"/>
      <c r="I1740" s="157"/>
      <c r="J1740" s="157"/>
      <c r="K1740" s="157"/>
      <c r="L1740" s="157"/>
      <c r="M1740" s="157"/>
      <c r="N1740" s="159">
        <v>0</v>
      </c>
    </row>
    <row r="1741" spans="2:14">
      <c r="B1741" s="35" t="s">
        <v>17</v>
      </c>
      <c r="D1741" s="281">
        <f xml:space="preserve"> D1725 - D1724</f>
        <v>0</v>
      </c>
      <c r="E1741" s="281">
        <f xml:space="preserve"> E1724 + E1727 - E1726 - E1725</f>
        <v>0</v>
      </c>
      <c r="F1741" s="281">
        <f>F1726 - F1727</f>
        <v>0</v>
      </c>
      <c r="G1741" s="281">
        <f t="shared" ref="G1741" si="933">G1726 - G1727</f>
        <v>0</v>
      </c>
      <c r="H1741" s="315">
        <f>H1725-H1726-H1727</f>
        <v>-316</v>
      </c>
      <c r="I1741" s="315">
        <f>I1727-I1728-I1729</f>
        <v>-24687</v>
      </c>
      <c r="J1741" s="315">
        <f>J1729-J1730-J1731</f>
        <v>-1546</v>
      </c>
      <c r="K1741" s="315">
        <f>K1731-K1732-K1733</f>
        <v>-224</v>
      </c>
      <c r="L1741" s="315">
        <f>L1733-L1734-L1735+L1736</f>
        <v>31429</v>
      </c>
      <c r="M1741" s="315">
        <f>M1736*-1+M1738</f>
        <v>5344</v>
      </c>
      <c r="N1741" s="315">
        <f>N1738*-1</f>
        <v>-10000</v>
      </c>
    </row>
    <row r="1742" spans="2:14">
      <c r="B1742" s="6"/>
      <c r="D1742" s="281"/>
      <c r="E1742" s="281"/>
      <c r="F1742" s="281"/>
      <c r="G1742" s="281"/>
      <c r="H1742" s="281"/>
      <c r="I1742" s="281"/>
      <c r="J1742" s="281"/>
      <c r="K1742" s="281"/>
      <c r="L1742" s="281"/>
      <c r="M1742" s="281"/>
      <c r="N1742" s="281"/>
    </row>
    <row r="1743" spans="2:14">
      <c r="B1743" s="83" t="s">
        <v>12</v>
      </c>
      <c r="C1743" s="78"/>
      <c r="D1743" s="282"/>
      <c r="E1743" s="283"/>
      <c r="F1743" s="283"/>
      <c r="G1743" s="283"/>
      <c r="H1743" s="283"/>
      <c r="I1743" s="283"/>
      <c r="J1743" s="283"/>
      <c r="K1743" s="283"/>
      <c r="L1743" s="283"/>
      <c r="M1743" s="283"/>
      <c r="N1743" s="283"/>
    </row>
    <row r="1744" spans="2:14">
      <c r="B1744" s="6"/>
      <c r="D1744" s="281"/>
      <c r="E1744" s="281"/>
      <c r="F1744" s="281"/>
      <c r="G1744" s="281"/>
      <c r="H1744" s="281"/>
      <c r="I1744" s="281"/>
      <c r="J1744" s="281"/>
      <c r="K1744" s="281"/>
      <c r="L1744" s="281"/>
      <c r="M1744" s="281"/>
      <c r="N1744" s="281"/>
    </row>
    <row r="1745" spans="1:14" ht="18.5">
      <c r="A1745" s="43" t="s">
        <v>26</v>
      </c>
      <c r="C1745" s="78"/>
      <c r="D1745" s="332">
        <f xml:space="preserve"> D1705 + D1710 - D1716 + D1741 + D1743</f>
        <v>0</v>
      </c>
      <c r="E1745" s="331">
        <f xml:space="preserve"> E1705 + E1710 - E1716 + E1741 + E1743</f>
        <v>0</v>
      </c>
      <c r="F1745" s="331">
        <f xml:space="preserve"> F1705 + F1710 - F1716 + F1741 + F1743</f>
        <v>0</v>
      </c>
      <c r="G1745" s="331">
        <f t="shared" ref="G1745:N1745" si="934" xml:space="preserve"> G1705 + G1710 - G1716 + G1741 + G1743</f>
        <v>0</v>
      </c>
      <c r="H1745" s="331">
        <f t="shared" si="934"/>
        <v>0</v>
      </c>
      <c r="I1745" s="331">
        <f t="shared" si="934"/>
        <v>316</v>
      </c>
      <c r="J1745" s="331">
        <f t="shared" si="934"/>
        <v>25003</v>
      </c>
      <c r="K1745" s="331">
        <f t="shared" si="934"/>
        <v>26549</v>
      </c>
      <c r="L1745" s="331">
        <f t="shared" si="934"/>
        <v>56100.070970241824</v>
      </c>
      <c r="M1745" s="331">
        <f t="shared" ref="M1745" si="935" xml:space="preserve"> M1705 + M1710 - M1716 + M1741 + M1743</f>
        <v>32987.377769171799</v>
      </c>
      <c r="N1745" s="331">
        <f t="shared" si="934"/>
        <v>17276.687206283088</v>
      </c>
    </row>
    <row r="1746" spans="1:14" ht="15" thickBot="1"/>
    <row r="1747" spans="1:14">
      <c r="A1747" s="8"/>
      <c r="B1747" s="8"/>
      <c r="C1747" s="8"/>
      <c r="D1747" s="8"/>
      <c r="E1747" s="8"/>
      <c r="F1747" s="8"/>
      <c r="G1747" s="8"/>
      <c r="H1747" s="8"/>
      <c r="I1747" s="8"/>
      <c r="J1747" s="8"/>
      <c r="K1747" s="8"/>
      <c r="L1747" s="8"/>
      <c r="M1747" s="8"/>
      <c r="N1747" s="8"/>
    </row>
    <row r="1748" spans="1:14" ht="21">
      <c r="A1748" s="14" t="s">
        <v>4</v>
      </c>
      <c r="B1748" s="14"/>
      <c r="C1748" s="44" t="s">
        <v>168</v>
      </c>
      <c r="D1748" s="45"/>
      <c r="E1748" s="24"/>
      <c r="F1748" s="24"/>
    </row>
    <row r="1750" spans="1:14" ht="18.5">
      <c r="A1750" s="9" t="s">
        <v>21</v>
      </c>
      <c r="B1750" s="9"/>
      <c r="D1750" s="2">
        <f>'Facility Detail'!$B$1897</f>
        <v>2011</v>
      </c>
      <c r="E1750" s="2">
        <f>D1750+1</f>
        <v>2012</v>
      </c>
      <c r="F1750" s="2">
        <f t="shared" ref="F1750:N1750" si="936">E1750+1</f>
        <v>2013</v>
      </c>
      <c r="G1750" s="2">
        <f t="shared" si="936"/>
        <v>2014</v>
      </c>
      <c r="H1750" s="2">
        <f t="shared" si="936"/>
        <v>2015</v>
      </c>
      <c r="I1750" s="2">
        <f t="shared" si="936"/>
        <v>2016</v>
      </c>
      <c r="J1750" s="2">
        <f t="shared" si="936"/>
        <v>2017</v>
      </c>
      <c r="K1750" s="2">
        <f t="shared" si="936"/>
        <v>2018</v>
      </c>
      <c r="L1750" s="2">
        <f t="shared" si="936"/>
        <v>2019</v>
      </c>
      <c r="M1750" s="2">
        <f t="shared" si="936"/>
        <v>2020</v>
      </c>
      <c r="N1750" s="2">
        <f t="shared" si="936"/>
        <v>2021</v>
      </c>
    </row>
    <row r="1751" spans="1:14">
      <c r="B1751" s="86" t="str">
        <f>"Total MWh Produced / Purchased from " &amp; C1748</f>
        <v>Total MWh Produced / Purchased from Granite Mountain East</v>
      </c>
      <c r="C1751" s="78"/>
      <c r="D1751" s="3"/>
      <c r="E1751" s="4"/>
      <c r="F1751" s="4"/>
      <c r="G1751" s="4"/>
      <c r="H1751" s="4"/>
      <c r="I1751" s="4"/>
      <c r="J1751" s="307"/>
      <c r="K1751" s="307"/>
      <c r="L1751" s="307"/>
      <c r="M1751" s="307">
        <v>75000</v>
      </c>
      <c r="N1751" s="307"/>
    </row>
    <row r="1752" spans="1:14">
      <c r="B1752" s="86" t="s">
        <v>25</v>
      </c>
      <c r="C1752" s="78"/>
      <c r="D1752" s="60"/>
      <c r="E1752" s="61"/>
      <c r="F1752" s="61"/>
      <c r="G1752" s="61"/>
      <c r="H1752" s="61"/>
      <c r="I1752" s="61"/>
      <c r="J1752" s="61"/>
      <c r="K1752" s="61"/>
      <c r="L1752" s="61"/>
      <c r="M1752" s="61">
        <v>1</v>
      </c>
      <c r="N1752" s="61"/>
    </row>
    <row r="1753" spans="1:14">
      <c r="B1753" s="86" t="s">
        <v>20</v>
      </c>
      <c r="C1753" s="78"/>
      <c r="D1753" s="52"/>
      <c r="E1753" s="53"/>
      <c r="F1753" s="53"/>
      <c r="G1753" s="53"/>
      <c r="H1753" s="53"/>
      <c r="I1753" s="53"/>
      <c r="J1753" s="53"/>
      <c r="K1753" s="53"/>
      <c r="L1753" s="53"/>
      <c r="M1753" s="53">
        <v>1</v>
      </c>
      <c r="N1753" s="53"/>
    </row>
    <row r="1754" spans="1:14">
      <c r="B1754" s="83" t="s">
        <v>22</v>
      </c>
      <c r="C1754" s="84"/>
      <c r="D1754" s="39">
        <v>0</v>
      </c>
      <c r="E1754" s="39">
        <v>0</v>
      </c>
      <c r="F1754" s="39">
        <v>0</v>
      </c>
      <c r="G1754" s="39">
        <v>0</v>
      </c>
      <c r="H1754" s="39">
        <v>0</v>
      </c>
      <c r="I1754" s="306">
        <v>0</v>
      </c>
      <c r="J1754" s="306">
        <v>0</v>
      </c>
      <c r="K1754" s="306">
        <v>0</v>
      </c>
      <c r="L1754" s="306">
        <v>0</v>
      </c>
      <c r="M1754" s="306">
        <f>M1751*M1753</f>
        <v>75000</v>
      </c>
      <c r="N1754" s="306">
        <v>0</v>
      </c>
    </row>
    <row r="1755" spans="1:14">
      <c r="B1755" s="24"/>
      <c r="C1755" s="32"/>
      <c r="D1755" s="38"/>
      <c r="E1755" s="38"/>
      <c r="F1755" s="38"/>
      <c r="G1755" s="38"/>
      <c r="H1755" s="38"/>
      <c r="I1755" s="38"/>
      <c r="J1755" s="38"/>
      <c r="K1755" s="38"/>
      <c r="L1755" s="38"/>
      <c r="M1755" s="38"/>
      <c r="N1755" s="38"/>
    </row>
    <row r="1756" spans="1:14" ht="18.5">
      <c r="A1756" s="46" t="s">
        <v>52</v>
      </c>
      <c r="C1756" s="32"/>
      <c r="D1756" s="2">
        <f>'Facility Detail'!$B$1897</f>
        <v>2011</v>
      </c>
      <c r="E1756" s="2">
        <f>D1756+1</f>
        <v>2012</v>
      </c>
      <c r="F1756" s="2">
        <f t="shared" ref="F1756:N1756" si="937">E1756+1</f>
        <v>2013</v>
      </c>
      <c r="G1756" s="2">
        <f t="shared" si="937"/>
        <v>2014</v>
      </c>
      <c r="H1756" s="2">
        <f t="shared" si="937"/>
        <v>2015</v>
      </c>
      <c r="I1756" s="2">
        <f t="shared" si="937"/>
        <v>2016</v>
      </c>
      <c r="J1756" s="2">
        <f t="shared" si="937"/>
        <v>2017</v>
      </c>
      <c r="K1756" s="2">
        <f t="shared" si="937"/>
        <v>2018</v>
      </c>
      <c r="L1756" s="2">
        <f t="shared" si="937"/>
        <v>2019</v>
      </c>
      <c r="M1756" s="2">
        <f t="shared" si="937"/>
        <v>2020</v>
      </c>
      <c r="N1756" s="2">
        <f t="shared" si="937"/>
        <v>2021</v>
      </c>
    </row>
    <row r="1757" spans="1:14">
      <c r="B1757" s="86" t="s">
        <v>10</v>
      </c>
      <c r="C1757" s="78"/>
      <c r="D1757" s="55">
        <v>0</v>
      </c>
      <c r="E1757" s="11">
        <v>0</v>
      </c>
      <c r="F1757" s="11">
        <v>0</v>
      </c>
      <c r="G1757" s="11">
        <v>0</v>
      </c>
      <c r="H1757" s="11">
        <v>0</v>
      </c>
      <c r="I1757" s="11">
        <v>0</v>
      </c>
      <c r="J1757" s="11">
        <v>0</v>
      </c>
      <c r="K1757" s="11">
        <v>0</v>
      </c>
      <c r="L1757" s="11">
        <v>0</v>
      </c>
      <c r="M1757" s="11">
        <v>0</v>
      </c>
      <c r="N1757" s="11">
        <v>0</v>
      </c>
    </row>
    <row r="1758" spans="1:14">
      <c r="B1758" s="86" t="s">
        <v>6</v>
      </c>
      <c r="C1758" s="78"/>
      <c r="D1758" s="56">
        <v>0</v>
      </c>
      <c r="E1758" s="57">
        <v>0</v>
      </c>
      <c r="F1758" s="57">
        <v>0</v>
      </c>
      <c r="G1758" s="57">
        <v>0</v>
      </c>
      <c r="H1758" s="57">
        <v>0</v>
      </c>
      <c r="I1758" s="57">
        <v>0</v>
      </c>
      <c r="J1758" s="57">
        <v>0</v>
      </c>
      <c r="K1758" s="57">
        <v>0</v>
      </c>
      <c r="L1758" s="57">
        <v>0</v>
      </c>
      <c r="M1758" s="57">
        <v>0</v>
      </c>
      <c r="N1758" s="57">
        <v>0</v>
      </c>
    </row>
    <row r="1759" spans="1:14">
      <c r="B1759" s="85" t="s">
        <v>54</v>
      </c>
      <c r="C1759" s="84"/>
      <c r="D1759" s="41">
        <v>0</v>
      </c>
      <c r="E1759" s="42">
        <v>0</v>
      </c>
      <c r="F1759" s="42">
        <v>0</v>
      </c>
      <c r="G1759" s="42">
        <v>0</v>
      </c>
      <c r="H1759" s="42">
        <v>0</v>
      </c>
      <c r="I1759" s="42">
        <v>0</v>
      </c>
      <c r="J1759" s="42">
        <v>0</v>
      </c>
      <c r="K1759" s="42">
        <v>0</v>
      </c>
      <c r="L1759" s="42">
        <v>0</v>
      </c>
      <c r="M1759" s="42">
        <v>0</v>
      </c>
      <c r="N1759" s="42">
        <v>0</v>
      </c>
    </row>
    <row r="1760" spans="1:14">
      <c r="B1760" s="32"/>
      <c r="C1760" s="32"/>
      <c r="D1760" s="40"/>
      <c r="E1760" s="33"/>
      <c r="F1760" s="33"/>
      <c r="G1760" s="33"/>
      <c r="H1760" s="33"/>
      <c r="I1760" s="33"/>
      <c r="J1760" s="33"/>
      <c r="K1760" s="33"/>
      <c r="L1760" s="33"/>
      <c r="M1760" s="33"/>
      <c r="N1760" s="33"/>
    </row>
    <row r="1761" spans="1:14" ht="18.5">
      <c r="A1761" s="43" t="s">
        <v>30</v>
      </c>
      <c r="C1761" s="32"/>
      <c r="D1761" s="2">
        <f>'Facility Detail'!$B$1897</f>
        <v>2011</v>
      </c>
      <c r="E1761" s="2">
        <f>D1761+1</f>
        <v>2012</v>
      </c>
      <c r="F1761" s="2">
        <f t="shared" ref="F1761:N1761" si="938">E1761+1</f>
        <v>2013</v>
      </c>
      <c r="G1761" s="2">
        <f t="shared" si="938"/>
        <v>2014</v>
      </c>
      <c r="H1761" s="2">
        <f t="shared" si="938"/>
        <v>2015</v>
      </c>
      <c r="I1761" s="2">
        <f t="shared" si="938"/>
        <v>2016</v>
      </c>
      <c r="J1761" s="2">
        <f t="shared" si="938"/>
        <v>2017</v>
      </c>
      <c r="K1761" s="2">
        <f t="shared" si="938"/>
        <v>2018</v>
      </c>
      <c r="L1761" s="2">
        <f t="shared" si="938"/>
        <v>2019</v>
      </c>
      <c r="M1761" s="2">
        <f t="shared" si="938"/>
        <v>2020</v>
      </c>
      <c r="N1761" s="2">
        <f t="shared" si="938"/>
        <v>2021</v>
      </c>
    </row>
    <row r="1762" spans="1:14">
      <c r="B1762" s="86" t="s">
        <v>32</v>
      </c>
      <c r="C1762" s="78"/>
      <c r="D1762" s="90"/>
      <c r="E1762" s="91"/>
      <c r="F1762" s="91"/>
      <c r="G1762" s="91"/>
      <c r="H1762" s="91"/>
      <c r="I1762" s="91"/>
      <c r="J1762" s="91"/>
      <c r="K1762" s="91"/>
      <c r="L1762" s="91"/>
      <c r="M1762" s="91"/>
      <c r="N1762" s="91"/>
    </row>
    <row r="1763" spans="1:14">
      <c r="B1763" s="87" t="s">
        <v>23</v>
      </c>
      <c r="C1763" s="192"/>
      <c r="D1763" s="93"/>
      <c r="E1763" s="94"/>
      <c r="F1763" s="94"/>
      <c r="G1763" s="94"/>
      <c r="H1763" s="94"/>
      <c r="I1763" s="94"/>
      <c r="J1763" s="94"/>
      <c r="K1763" s="94"/>
      <c r="L1763" s="94"/>
      <c r="M1763" s="94"/>
      <c r="N1763" s="94"/>
    </row>
    <row r="1764" spans="1:14">
      <c r="B1764" s="96" t="s">
        <v>38</v>
      </c>
      <c r="C1764" s="190"/>
      <c r="D1764" s="63"/>
      <c r="E1764" s="64"/>
      <c r="F1764" s="64"/>
      <c r="G1764" s="64"/>
      <c r="H1764" s="64"/>
      <c r="I1764" s="64"/>
      <c r="J1764" s="64"/>
      <c r="K1764" s="64"/>
      <c r="L1764" s="64"/>
      <c r="M1764" s="64"/>
      <c r="N1764" s="64"/>
    </row>
    <row r="1765" spans="1:14">
      <c r="B1765" s="35" t="s">
        <v>39</v>
      </c>
      <c r="D1765" s="7">
        <v>0</v>
      </c>
      <c r="E1765" s="7">
        <v>0</v>
      </c>
      <c r="F1765" s="7">
        <v>0</v>
      </c>
      <c r="G1765" s="7">
        <v>0</v>
      </c>
      <c r="H1765" s="7">
        <v>0</v>
      </c>
      <c r="I1765" s="7">
        <v>0</v>
      </c>
      <c r="J1765" s="7">
        <v>0</v>
      </c>
      <c r="K1765" s="7">
        <v>0</v>
      </c>
      <c r="L1765" s="7">
        <v>0</v>
      </c>
      <c r="M1765" s="7">
        <v>0</v>
      </c>
      <c r="N1765" s="7">
        <v>0</v>
      </c>
    </row>
    <row r="1766" spans="1:14">
      <c r="B1766" s="6"/>
      <c r="D1766" s="7"/>
      <c r="E1766" s="7"/>
      <c r="F1766" s="7"/>
      <c r="G1766" s="30"/>
      <c r="H1766" s="30"/>
      <c r="I1766" s="30"/>
      <c r="J1766" s="30"/>
      <c r="K1766" s="30"/>
      <c r="L1766" s="30"/>
      <c r="M1766" s="30"/>
      <c r="N1766" s="30"/>
    </row>
    <row r="1767" spans="1:14" ht="18.5">
      <c r="A1767" s="9" t="s">
        <v>40</v>
      </c>
      <c r="D1767" s="2">
        <f>'Facility Detail'!$B$1897</f>
        <v>2011</v>
      </c>
      <c r="E1767" s="2">
        <f>D1767+1</f>
        <v>2012</v>
      </c>
      <c r="F1767" s="2">
        <f t="shared" ref="F1767:N1767" si="939">E1767+1</f>
        <v>2013</v>
      </c>
      <c r="G1767" s="2">
        <f t="shared" si="939"/>
        <v>2014</v>
      </c>
      <c r="H1767" s="2">
        <f t="shared" si="939"/>
        <v>2015</v>
      </c>
      <c r="I1767" s="2">
        <f t="shared" si="939"/>
        <v>2016</v>
      </c>
      <c r="J1767" s="2">
        <f t="shared" si="939"/>
        <v>2017</v>
      </c>
      <c r="K1767" s="2">
        <f t="shared" si="939"/>
        <v>2018</v>
      </c>
      <c r="L1767" s="2">
        <f t="shared" si="939"/>
        <v>2019</v>
      </c>
      <c r="M1767" s="2">
        <f t="shared" si="939"/>
        <v>2020</v>
      </c>
      <c r="N1767" s="2">
        <f t="shared" si="939"/>
        <v>2021</v>
      </c>
    </row>
    <row r="1768" spans="1:14">
      <c r="B1768" s="86" t="s">
        <v>34</v>
      </c>
      <c r="C1768" s="78"/>
      <c r="D1768" s="3"/>
      <c r="E1768" s="66">
        <f>D1768</f>
        <v>0</v>
      </c>
      <c r="F1768" s="138"/>
      <c r="G1768" s="138"/>
      <c r="H1768" s="138"/>
      <c r="I1768" s="138"/>
      <c r="J1768" s="138"/>
      <c r="K1768" s="138"/>
      <c r="L1768" s="138"/>
      <c r="M1768" s="138"/>
      <c r="N1768" s="138"/>
    </row>
    <row r="1769" spans="1:14">
      <c r="B1769" s="86" t="s">
        <v>35</v>
      </c>
      <c r="C1769" s="78"/>
      <c r="D1769" s="174">
        <f>E1769</f>
        <v>0</v>
      </c>
      <c r="E1769" s="10"/>
      <c r="F1769" s="81"/>
      <c r="G1769" s="81"/>
      <c r="H1769" s="81"/>
      <c r="I1769" s="81"/>
      <c r="J1769" s="81"/>
      <c r="K1769" s="81"/>
      <c r="L1769" s="81"/>
      <c r="M1769" s="81"/>
      <c r="N1769" s="81"/>
    </row>
    <row r="1770" spans="1:14">
      <c r="B1770" s="86" t="s">
        <v>36</v>
      </c>
      <c r="C1770" s="78"/>
      <c r="D1770" s="68"/>
      <c r="E1770" s="10">
        <f>E1754</f>
        <v>0</v>
      </c>
      <c r="F1770" s="77">
        <f>E1770</f>
        <v>0</v>
      </c>
      <c r="G1770" s="81"/>
      <c r="H1770" s="81"/>
      <c r="I1770" s="81"/>
      <c r="J1770" s="81"/>
      <c r="K1770" s="81"/>
      <c r="L1770" s="81"/>
      <c r="M1770" s="81"/>
      <c r="N1770" s="81"/>
    </row>
    <row r="1771" spans="1:14">
      <c r="B1771" s="86" t="s">
        <v>37</v>
      </c>
      <c r="C1771" s="78"/>
      <c r="D1771" s="68"/>
      <c r="E1771" s="77">
        <f>F1771</f>
        <v>0</v>
      </c>
      <c r="F1771" s="173"/>
      <c r="G1771" s="81"/>
      <c r="H1771" s="81"/>
      <c r="I1771" s="81"/>
      <c r="J1771" s="81"/>
      <c r="K1771" s="81"/>
      <c r="L1771" s="81"/>
      <c r="M1771" s="81"/>
      <c r="N1771" s="81"/>
    </row>
    <row r="1772" spans="1:14">
      <c r="B1772" s="86" t="s">
        <v>122</v>
      </c>
      <c r="C1772" s="32"/>
      <c r="D1772" s="68"/>
      <c r="E1772" s="157"/>
      <c r="F1772" s="10">
        <f>F1754</f>
        <v>0</v>
      </c>
      <c r="G1772" s="158">
        <f>F1772</f>
        <v>0</v>
      </c>
      <c r="H1772" s="81"/>
      <c r="I1772" s="81"/>
      <c r="J1772" s="81"/>
      <c r="K1772" s="81"/>
      <c r="L1772" s="81"/>
      <c r="M1772" s="81"/>
      <c r="N1772" s="81"/>
    </row>
    <row r="1773" spans="1:14">
      <c r="B1773" s="86" t="s">
        <v>123</v>
      </c>
      <c r="C1773" s="32"/>
      <c r="D1773" s="68"/>
      <c r="E1773" s="157"/>
      <c r="F1773" s="77">
        <f>G1773</f>
        <v>0</v>
      </c>
      <c r="G1773" s="10"/>
      <c r="H1773" s="81"/>
      <c r="I1773" s="81"/>
      <c r="J1773" s="81"/>
      <c r="K1773" s="81"/>
      <c r="L1773" s="81"/>
      <c r="M1773" s="81"/>
      <c r="N1773" s="81"/>
    </row>
    <row r="1774" spans="1:14">
      <c r="B1774" s="86" t="s">
        <v>124</v>
      </c>
      <c r="C1774" s="32"/>
      <c r="D1774" s="68"/>
      <c r="E1774" s="157"/>
      <c r="F1774" s="157"/>
      <c r="G1774" s="10">
        <f>G1754</f>
        <v>0</v>
      </c>
      <c r="H1774" s="158">
        <f>G1774</f>
        <v>0</v>
      </c>
      <c r="I1774" s="157">
        <f>H1774</f>
        <v>0</v>
      </c>
      <c r="J1774" s="157"/>
      <c r="K1774" s="157"/>
      <c r="L1774" s="157"/>
      <c r="M1774" s="157"/>
      <c r="N1774" s="157"/>
    </row>
    <row r="1775" spans="1:14">
      <c r="B1775" s="86" t="s">
        <v>125</v>
      </c>
      <c r="C1775" s="32"/>
      <c r="D1775" s="68"/>
      <c r="E1775" s="157"/>
      <c r="F1775" s="157"/>
      <c r="G1775" s="159"/>
      <c r="H1775" s="160"/>
      <c r="I1775" s="157"/>
      <c r="J1775" s="157"/>
      <c r="K1775" s="157"/>
      <c r="L1775" s="157"/>
      <c r="M1775" s="157"/>
      <c r="N1775" s="157"/>
    </row>
    <row r="1776" spans="1:14">
      <c r="B1776" s="86" t="s">
        <v>126</v>
      </c>
      <c r="C1776" s="32"/>
      <c r="D1776" s="68"/>
      <c r="E1776" s="157"/>
      <c r="F1776" s="157"/>
      <c r="G1776" s="157"/>
      <c r="H1776" s="160">
        <v>0</v>
      </c>
      <c r="I1776" s="158">
        <f>H1776</f>
        <v>0</v>
      </c>
      <c r="J1776" s="81"/>
      <c r="K1776" s="81"/>
      <c r="L1776" s="81"/>
      <c r="M1776" s="81"/>
      <c r="N1776" s="81"/>
    </row>
    <row r="1777" spans="2:14">
      <c r="B1777" s="86" t="s">
        <v>127</v>
      </c>
      <c r="C1777" s="32"/>
      <c r="D1777" s="68"/>
      <c r="E1777" s="157"/>
      <c r="F1777" s="157"/>
      <c r="G1777" s="157"/>
      <c r="H1777" s="77"/>
      <c r="I1777" s="160"/>
      <c r="J1777" s="81"/>
      <c r="K1777" s="81"/>
      <c r="L1777" s="157"/>
      <c r="M1777" s="157"/>
      <c r="N1777" s="157"/>
    </row>
    <row r="1778" spans="2:14">
      <c r="B1778" s="86" t="s">
        <v>128</v>
      </c>
      <c r="C1778" s="32"/>
      <c r="D1778" s="68"/>
      <c r="E1778" s="157"/>
      <c r="F1778" s="157"/>
      <c r="G1778" s="157"/>
      <c r="H1778" s="157"/>
      <c r="I1778" s="160">
        <f>I1754</f>
        <v>0</v>
      </c>
      <c r="J1778" s="158">
        <f>I1778</f>
        <v>0</v>
      </c>
      <c r="K1778" s="157"/>
      <c r="L1778" s="157"/>
      <c r="M1778" s="157"/>
      <c r="N1778" s="157"/>
    </row>
    <row r="1779" spans="2:14">
      <c r="B1779" s="86" t="s">
        <v>119</v>
      </c>
      <c r="C1779" s="32"/>
      <c r="D1779" s="68"/>
      <c r="E1779" s="157"/>
      <c r="F1779" s="157"/>
      <c r="G1779" s="157"/>
      <c r="H1779" s="157"/>
      <c r="I1779" s="159"/>
      <c r="J1779" s="160"/>
      <c r="K1779" s="157"/>
      <c r="L1779" s="157"/>
      <c r="M1779" s="157"/>
      <c r="N1779" s="157"/>
    </row>
    <row r="1780" spans="2:14">
      <c r="B1780" s="86" t="s">
        <v>120</v>
      </c>
      <c r="C1780" s="32"/>
      <c r="D1780" s="68"/>
      <c r="E1780" s="157"/>
      <c r="F1780" s="157"/>
      <c r="G1780" s="157"/>
      <c r="H1780" s="157"/>
      <c r="I1780" s="157"/>
      <c r="J1780" s="160"/>
      <c r="K1780" s="158">
        <f>J1780</f>
        <v>0</v>
      </c>
      <c r="L1780" s="157"/>
      <c r="M1780" s="157"/>
      <c r="N1780" s="157"/>
    </row>
    <row r="1781" spans="2:14">
      <c r="B1781" s="86" t="s">
        <v>152</v>
      </c>
      <c r="C1781" s="32"/>
      <c r="D1781" s="157"/>
      <c r="E1781" s="157"/>
      <c r="F1781" s="157"/>
      <c r="G1781" s="157"/>
      <c r="H1781" s="157"/>
      <c r="I1781" s="157"/>
      <c r="J1781" s="159"/>
      <c r="K1781" s="160"/>
      <c r="L1781" s="157"/>
      <c r="M1781" s="157"/>
      <c r="N1781" s="157"/>
    </row>
    <row r="1782" spans="2:14">
      <c r="B1782" s="86" t="s">
        <v>153</v>
      </c>
      <c r="C1782" s="32"/>
      <c r="D1782" s="157"/>
      <c r="E1782" s="157"/>
      <c r="F1782" s="157"/>
      <c r="G1782" s="157"/>
      <c r="H1782" s="157"/>
      <c r="I1782" s="157"/>
      <c r="J1782" s="157"/>
      <c r="K1782" s="160">
        <f>K1758</f>
        <v>0</v>
      </c>
      <c r="L1782" s="158">
        <f>K1782</f>
        <v>0</v>
      </c>
      <c r="M1782" s="157"/>
      <c r="N1782" s="157"/>
    </row>
    <row r="1783" spans="2:14">
      <c r="B1783" s="86" t="s">
        <v>154</v>
      </c>
      <c r="C1783" s="32"/>
      <c r="D1783" s="157"/>
      <c r="E1783" s="157"/>
      <c r="F1783" s="157"/>
      <c r="G1783" s="157"/>
      <c r="H1783" s="157"/>
      <c r="I1783" s="157"/>
      <c r="J1783" s="157"/>
      <c r="K1783" s="159"/>
      <c r="L1783" s="160"/>
      <c r="M1783" s="157"/>
      <c r="N1783" s="157"/>
    </row>
    <row r="1784" spans="2:14">
      <c r="B1784" s="86" t="s">
        <v>155</v>
      </c>
      <c r="C1784" s="32"/>
      <c r="D1784" s="157"/>
      <c r="E1784" s="157"/>
      <c r="F1784" s="157"/>
      <c r="G1784" s="157"/>
      <c r="H1784" s="157"/>
      <c r="I1784" s="157"/>
      <c r="J1784" s="157"/>
      <c r="K1784" s="157"/>
      <c r="L1784" s="160">
        <f>L1760</f>
        <v>0</v>
      </c>
      <c r="M1784" s="158">
        <f>L1784</f>
        <v>0</v>
      </c>
      <c r="N1784" s="157"/>
    </row>
    <row r="1785" spans="2:14">
      <c r="B1785" s="86" t="s">
        <v>156</v>
      </c>
      <c r="C1785" s="32"/>
      <c r="D1785" s="157"/>
      <c r="E1785" s="157"/>
      <c r="F1785" s="157"/>
      <c r="G1785" s="157"/>
      <c r="H1785" s="157"/>
      <c r="I1785" s="157"/>
      <c r="J1785" s="157"/>
      <c r="K1785" s="157"/>
      <c r="L1785" s="159"/>
      <c r="M1785" s="160"/>
      <c r="N1785" s="157"/>
    </row>
    <row r="1786" spans="2:14">
      <c r="B1786" s="86" t="s">
        <v>157</v>
      </c>
      <c r="C1786" s="32"/>
      <c r="D1786" s="157"/>
      <c r="E1786" s="157"/>
      <c r="F1786" s="157"/>
      <c r="G1786" s="157"/>
      <c r="H1786" s="157"/>
      <c r="I1786" s="157"/>
      <c r="J1786" s="157"/>
      <c r="K1786" s="157"/>
      <c r="L1786" s="157"/>
      <c r="M1786" s="160">
        <f>M1762</f>
        <v>0</v>
      </c>
      <c r="N1786" s="158">
        <f>M1786</f>
        <v>0</v>
      </c>
    </row>
    <row r="1787" spans="2:14">
      <c r="B1787" s="86" t="s">
        <v>173</v>
      </c>
      <c r="C1787" s="32"/>
      <c r="D1787" s="157"/>
      <c r="E1787" s="157"/>
      <c r="F1787" s="157"/>
      <c r="G1787" s="157"/>
      <c r="H1787" s="157"/>
      <c r="I1787" s="157"/>
      <c r="J1787" s="157"/>
      <c r="K1787" s="157"/>
      <c r="L1787" s="157"/>
      <c r="M1787" s="159"/>
      <c r="N1787" s="160"/>
    </row>
    <row r="1788" spans="2:14">
      <c r="B1788" s="86" t="s">
        <v>174</v>
      </c>
      <c r="C1788" s="32"/>
      <c r="D1788" s="157"/>
      <c r="E1788" s="157"/>
      <c r="F1788" s="157"/>
      <c r="G1788" s="157"/>
      <c r="H1788" s="157"/>
      <c r="I1788" s="157"/>
      <c r="J1788" s="157"/>
      <c r="K1788" s="157"/>
      <c r="L1788" s="157"/>
      <c r="M1788" s="157"/>
      <c r="N1788" s="160">
        <f>N1764</f>
        <v>0</v>
      </c>
    </row>
    <row r="1789" spans="2:14">
      <c r="B1789" s="86"/>
      <c r="C1789" s="32"/>
      <c r="D1789" s="140"/>
      <c r="E1789" s="140"/>
      <c r="F1789" s="140"/>
      <c r="G1789" s="140"/>
      <c r="H1789" s="140"/>
      <c r="I1789" s="140"/>
      <c r="J1789" s="140"/>
      <c r="K1789" s="140"/>
      <c r="L1789" s="140"/>
      <c r="M1789" s="140"/>
      <c r="N1789" s="159"/>
    </row>
    <row r="1790" spans="2:14">
      <c r="B1790" s="35" t="s">
        <v>17</v>
      </c>
      <c r="D1790" s="281">
        <f xml:space="preserve"> D1774 - D1773</f>
        <v>0</v>
      </c>
      <c r="E1790" s="281">
        <f xml:space="preserve"> E1773 + E1776 - E1775 - E1774</f>
        <v>0</v>
      </c>
      <c r="F1790" s="281">
        <f>F1775 - F1776</f>
        <v>0</v>
      </c>
      <c r="G1790" s="281">
        <f t="shared" ref="G1790" si="940">G1775 - G1776</f>
        <v>0</v>
      </c>
      <c r="H1790" s="281">
        <f>H1774-H1775-H1776</f>
        <v>0</v>
      </c>
      <c r="I1790" s="281">
        <f>I1776-I1777-I1778</f>
        <v>0</v>
      </c>
      <c r="J1790" s="281">
        <f>J1778-J1779-J1780</f>
        <v>0</v>
      </c>
      <c r="K1790" s="281">
        <f t="shared" ref="K1790:N1790" si="941">K1778-K1779-K1780</f>
        <v>0</v>
      </c>
      <c r="L1790" s="281">
        <f t="shared" si="941"/>
        <v>0</v>
      </c>
      <c r="M1790" s="281">
        <f t="shared" si="941"/>
        <v>0</v>
      </c>
      <c r="N1790" s="281">
        <f t="shared" si="941"/>
        <v>0</v>
      </c>
    </row>
    <row r="1791" spans="2:14">
      <c r="B1791" s="6"/>
      <c r="D1791" s="281"/>
      <c r="E1791" s="281"/>
      <c r="F1791" s="281"/>
      <c r="G1791" s="281"/>
      <c r="H1791" s="281"/>
      <c r="I1791" s="281"/>
      <c r="J1791" s="281"/>
      <c r="K1791" s="281"/>
      <c r="L1791" s="281"/>
      <c r="M1791" s="281"/>
      <c r="N1791" s="281"/>
    </row>
    <row r="1792" spans="2:14">
      <c r="B1792" s="83" t="s">
        <v>12</v>
      </c>
      <c r="C1792" s="78"/>
      <c r="D1792" s="282"/>
      <c r="E1792" s="283"/>
      <c r="F1792" s="283"/>
      <c r="G1792" s="283"/>
      <c r="H1792" s="283"/>
      <c r="I1792" s="283"/>
      <c r="J1792" s="283"/>
      <c r="K1792" s="283"/>
      <c r="L1792" s="283"/>
      <c r="M1792" s="283"/>
      <c r="N1792" s="283"/>
    </row>
    <row r="1793" spans="1:14">
      <c r="B1793" s="6"/>
      <c r="D1793" s="281"/>
      <c r="E1793" s="281"/>
      <c r="F1793" s="281"/>
      <c r="G1793" s="281"/>
      <c r="H1793" s="281"/>
      <c r="I1793" s="281"/>
      <c r="J1793" s="281"/>
      <c r="K1793" s="281"/>
      <c r="L1793" s="281"/>
      <c r="M1793" s="281"/>
      <c r="N1793" s="281"/>
    </row>
    <row r="1794" spans="1:14" ht="18.5">
      <c r="A1794" s="43" t="s">
        <v>26</v>
      </c>
      <c r="C1794" s="78"/>
      <c r="D1794" s="285">
        <f t="shared" ref="D1794:N1794" si="942" xml:space="preserve"> D1754 + D1759 - D1765 + D1790 + D1792</f>
        <v>0</v>
      </c>
      <c r="E1794" s="286">
        <f t="shared" si="942"/>
        <v>0</v>
      </c>
      <c r="F1794" s="286">
        <f t="shared" si="942"/>
        <v>0</v>
      </c>
      <c r="G1794" s="286">
        <f t="shared" si="942"/>
        <v>0</v>
      </c>
      <c r="H1794" s="286">
        <f t="shared" si="942"/>
        <v>0</v>
      </c>
      <c r="I1794" s="286">
        <f t="shared" si="942"/>
        <v>0</v>
      </c>
      <c r="J1794" s="286">
        <f t="shared" si="942"/>
        <v>0</v>
      </c>
      <c r="K1794" s="286">
        <f t="shared" si="942"/>
        <v>0</v>
      </c>
      <c r="L1794" s="286">
        <f t="shared" si="942"/>
        <v>0</v>
      </c>
      <c r="M1794" s="286">
        <f t="shared" si="942"/>
        <v>75000</v>
      </c>
      <c r="N1794" s="286">
        <f t="shared" si="942"/>
        <v>0</v>
      </c>
    </row>
    <row r="1795" spans="1:14" ht="15" thickBot="1"/>
    <row r="1796" spans="1:14">
      <c r="A1796" s="8"/>
      <c r="B1796" s="8"/>
      <c r="C1796" s="8"/>
      <c r="D1796" s="8"/>
      <c r="E1796" s="8"/>
      <c r="F1796" s="8"/>
      <c r="G1796" s="8"/>
      <c r="H1796" s="8"/>
      <c r="I1796" s="8"/>
      <c r="J1796" s="8"/>
      <c r="K1796" s="8"/>
      <c r="L1796" s="8"/>
      <c r="M1796" s="8"/>
      <c r="N1796" s="8"/>
    </row>
    <row r="1797" spans="1:14" ht="21">
      <c r="A1797" s="14" t="s">
        <v>4</v>
      </c>
      <c r="B1797" s="14"/>
      <c r="C1797" s="44" t="s">
        <v>169</v>
      </c>
      <c r="D1797" s="45"/>
      <c r="E1797" s="24"/>
      <c r="F1797" s="24"/>
    </row>
    <row r="1799" spans="1:14" ht="18.5">
      <c r="A1799" s="9" t="s">
        <v>21</v>
      </c>
      <c r="B1799" s="9"/>
      <c r="D1799" s="2">
        <f>'Facility Detail'!$B$1897</f>
        <v>2011</v>
      </c>
      <c r="E1799" s="2">
        <f>D1799+1</f>
        <v>2012</v>
      </c>
      <c r="F1799" s="2">
        <f t="shared" ref="F1799:N1799" si="943">E1799+1</f>
        <v>2013</v>
      </c>
      <c r="G1799" s="2">
        <f t="shared" si="943"/>
        <v>2014</v>
      </c>
      <c r="H1799" s="2">
        <f t="shared" si="943"/>
        <v>2015</v>
      </c>
      <c r="I1799" s="2">
        <f t="shared" si="943"/>
        <v>2016</v>
      </c>
      <c r="J1799" s="2">
        <f t="shared" si="943"/>
        <v>2017</v>
      </c>
      <c r="K1799" s="2">
        <f t="shared" si="943"/>
        <v>2018</v>
      </c>
      <c r="L1799" s="2">
        <f t="shared" si="943"/>
        <v>2019</v>
      </c>
      <c r="M1799" s="2">
        <f t="shared" si="943"/>
        <v>2020</v>
      </c>
      <c r="N1799" s="2">
        <f t="shared" si="943"/>
        <v>2021</v>
      </c>
    </row>
    <row r="1800" spans="1:14">
      <c r="B1800" s="86" t="str">
        <f>"Total MWh Produced / Purchased from " &amp; C1797</f>
        <v>Total MWh Produced / Purchased from Granite Mountain West</v>
      </c>
      <c r="C1800" s="78"/>
      <c r="D1800" s="3"/>
      <c r="E1800" s="4"/>
      <c r="F1800" s="4"/>
      <c r="G1800" s="4"/>
      <c r="H1800" s="4"/>
      <c r="I1800" s="4"/>
      <c r="J1800" s="307"/>
      <c r="K1800" s="307"/>
      <c r="L1800" s="307"/>
      <c r="M1800" s="307">
        <v>75000</v>
      </c>
      <c r="N1800" s="307"/>
    </row>
    <row r="1801" spans="1:14">
      <c r="B1801" s="86" t="s">
        <v>25</v>
      </c>
      <c r="C1801" s="78"/>
      <c r="D1801" s="60"/>
      <c r="E1801" s="61"/>
      <c r="F1801" s="61"/>
      <c r="G1801" s="61"/>
      <c r="H1801" s="61"/>
      <c r="I1801" s="61"/>
      <c r="J1801" s="61"/>
      <c r="K1801" s="61"/>
      <c r="L1801" s="61"/>
      <c r="M1801" s="61">
        <v>1</v>
      </c>
      <c r="N1801" s="61"/>
    </row>
    <row r="1802" spans="1:14">
      <c r="B1802" s="86" t="s">
        <v>20</v>
      </c>
      <c r="C1802" s="78"/>
      <c r="D1802" s="52"/>
      <c r="E1802" s="53"/>
      <c r="F1802" s="53"/>
      <c r="G1802" s="53"/>
      <c r="H1802" s="53"/>
      <c r="I1802" s="53"/>
      <c r="J1802" s="53"/>
      <c r="K1802" s="53"/>
      <c r="L1802" s="53"/>
      <c r="M1802" s="53">
        <v>1</v>
      </c>
      <c r="N1802" s="53"/>
    </row>
    <row r="1803" spans="1:14">
      <c r="B1803" s="83" t="s">
        <v>22</v>
      </c>
      <c r="C1803" s="84"/>
      <c r="D1803" s="39">
        <v>0</v>
      </c>
      <c r="E1803" s="39">
        <v>0</v>
      </c>
      <c r="F1803" s="39">
        <v>0</v>
      </c>
      <c r="G1803" s="39">
        <v>0</v>
      </c>
      <c r="H1803" s="39">
        <v>0</v>
      </c>
      <c r="I1803" s="306">
        <v>0</v>
      </c>
      <c r="J1803" s="306">
        <v>0</v>
      </c>
      <c r="K1803" s="306">
        <v>0</v>
      </c>
      <c r="L1803" s="306">
        <v>0</v>
      </c>
      <c r="M1803" s="306">
        <f>M1800*M1802</f>
        <v>75000</v>
      </c>
      <c r="N1803" s="306">
        <v>0</v>
      </c>
    </row>
    <row r="1804" spans="1:14">
      <c r="B1804" s="24"/>
      <c r="C1804" s="32"/>
      <c r="D1804" s="38"/>
      <c r="E1804" s="38"/>
      <c r="F1804" s="38"/>
      <c r="G1804" s="38"/>
      <c r="H1804" s="38"/>
      <c r="I1804" s="38"/>
      <c r="J1804" s="38"/>
      <c r="K1804" s="38"/>
      <c r="L1804" s="38"/>
      <c r="M1804" s="38"/>
      <c r="N1804" s="38"/>
    </row>
    <row r="1805" spans="1:14" ht="18.5">
      <c r="A1805" s="46" t="s">
        <v>52</v>
      </c>
      <c r="C1805" s="32"/>
      <c r="D1805" s="2">
        <f>'Facility Detail'!$B$1897</f>
        <v>2011</v>
      </c>
      <c r="E1805" s="2">
        <f>D1805+1</f>
        <v>2012</v>
      </c>
      <c r="F1805" s="2">
        <f t="shared" ref="F1805:N1805" si="944">E1805+1</f>
        <v>2013</v>
      </c>
      <c r="G1805" s="2">
        <f t="shared" si="944"/>
        <v>2014</v>
      </c>
      <c r="H1805" s="2">
        <f t="shared" si="944"/>
        <v>2015</v>
      </c>
      <c r="I1805" s="2">
        <f t="shared" si="944"/>
        <v>2016</v>
      </c>
      <c r="J1805" s="2">
        <f t="shared" si="944"/>
        <v>2017</v>
      </c>
      <c r="K1805" s="2">
        <f t="shared" si="944"/>
        <v>2018</v>
      </c>
      <c r="L1805" s="2">
        <f t="shared" si="944"/>
        <v>2019</v>
      </c>
      <c r="M1805" s="2">
        <f t="shared" si="944"/>
        <v>2020</v>
      </c>
      <c r="N1805" s="2">
        <f t="shared" si="944"/>
        <v>2021</v>
      </c>
    </row>
    <row r="1806" spans="1:14">
      <c r="B1806" s="86" t="s">
        <v>10</v>
      </c>
      <c r="C1806" s="78"/>
      <c r="D1806" s="55">
        <v>0</v>
      </c>
      <c r="E1806" s="11">
        <v>0</v>
      </c>
      <c r="F1806" s="11">
        <v>0</v>
      </c>
      <c r="G1806" s="11">
        <v>0</v>
      </c>
      <c r="H1806" s="11">
        <v>0</v>
      </c>
      <c r="I1806" s="11">
        <v>0</v>
      </c>
      <c r="J1806" s="11">
        <v>0</v>
      </c>
      <c r="K1806" s="11">
        <v>0</v>
      </c>
      <c r="L1806" s="11">
        <v>0</v>
      </c>
      <c r="M1806" s="11">
        <v>0</v>
      </c>
      <c r="N1806" s="11">
        <v>0</v>
      </c>
    </row>
    <row r="1807" spans="1:14">
      <c r="B1807" s="86" t="s">
        <v>6</v>
      </c>
      <c r="C1807" s="78"/>
      <c r="D1807" s="56">
        <v>0</v>
      </c>
      <c r="E1807" s="57">
        <v>0</v>
      </c>
      <c r="F1807" s="57">
        <v>0</v>
      </c>
      <c r="G1807" s="57">
        <v>0</v>
      </c>
      <c r="H1807" s="57">
        <v>0</v>
      </c>
      <c r="I1807" s="57">
        <v>0</v>
      </c>
      <c r="J1807" s="57">
        <v>0</v>
      </c>
      <c r="K1807" s="57">
        <v>0</v>
      </c>
      <c r="L1807" s="57">
        <v>0</v>
      </c>
      <c r="M1807" s="57">
        <v>0</v>
      </c>
      <c r="N1807" s="57">
        <v>0</v>
      </c>
    </row>
    <row r="1808" spans="1:14">
      <c r="B1808" s="85" t="s">
        <v>54</v>
      </c>
      <c r="C1808" s="84"/>
      <c r="D1808" s="41">
        <v>0</v>
      </c>
      <c r="E1808" s="42">
        <v>0</v>
      </c>
      <c r="F1808" s="42">
        <v>0</v>
      </c>
      <c r="G1808" s="42">
        <v>0</v>
      </c>
      <c r="H1808" s="42">
        <v>0</v>
      </c>
      <c r="I1808" s="42">
        <v>0</v>
      </c>
      <c r="J1808" s="42">
        <v>0</v>
      </c>
      <c r="K1808" s="42">
        <v>0</v>
      </c>
      <c r="L1808" s="42">
        <v>0</v>
      </c>
      <c r="M1808" s="42">
        <v>0</v>
      </c>
      <c r="N1808" s="42">
        <v>0</v>
      </c>
    </row>
    <row r="1809" spans="1:14">
      <c r="B1809" s="32"/>
      <c r="C1809" s="32"/>
      <c r="D1809" s="40"/>
      <c r="E1809" s="33"/>
      <c r="F1809" s="33"/>
      <c r="G1809" s="33"/>
      <c r="H1809" s="33"/>
      <c r="I1809" s="33"/>
      <c r="J1809" s="33"/>
      <c r="K1809" s="33"/>
      <c r="L1809" s="33"/>
      <c r="M1809" s="33"/>
      <c r="N1809" s="33"/>
    </row>
    <row r="1810" spans="1:14" ht="18.5">
      <c r="A1810" s="43" t="s">
        <v>30</v>
      </c>
      <c r="C1810" s="32"/>
      <c r="D1810" s="2">
        <f>'Facility Detail'!$B$1897</f>
        <v>2011</v>
      </c>
      <c r="E1810" s="2">
        <f>D1810+1</f>
        <v>2012</v>
      </c>
      <c r="F1810" s="2">
        <f t="shared" ref="F1810:N1810" si="945">E1810+1</f>
        <v>2013</v>
      </c>
      <c r="G1810" s="2">
        <f t="shared" si="945"/>
        <v>2014</v>
      </c>
      <c r="H1810" s="2">
        <f t="shared" si="945"/>
        <v>2015</v>
      </c>
      <c r="I1810" s="2">
        <f t="shared" si="945"/>
        <v>2016</v>
      </c>
      <c r="J1810" s="2">
        <f t="shared" si="945"/>
        <v>2017</v>
      </c>
      <c r="K1810" s="2">
        <f t="shared" si="945"/>
        <v>2018</v>
      </c>
      <c r="L1810" s="2">
        <f t="shared" si="945"/>
        <v>2019</v>
      </c>
      <c r="M1810" s="2">
        <f t="shared" si="945"/>
        <v>2020</v>
      </c>
      <c r="N1810" s="2">
        <f t="shared" si="945"/>
        <v>2021</v>
      </c>
    </row>
    <row r="1811" spans="1:14">
      <c r="B1811" s="86" t="s">
        <v>32</v>
      </c>
      <c r="C1811" s="78"/>
      <c r="D1811" s="90"/>
      <c r="E1811" s="91"/>
      <c r="F1811" s="91"/>
      <c r="G1811" s="91"/>
      <c r="H1811" s="91"/>
      <c r="I1811" s="91"/>
      <c r="J1811" s="91"/>
      <c r="K1811" s="91"/>
      <c r="L1811" s="91"/>
      <c r="M1811" s="91"/>
      <c r="N1811" s="91"/>
    </row>
    <row r="1812" spans="1:14">
      <c r="B1812" s="87" t="s">
        <v>23</v>
      </c>
      <c r="C1812" s="192"/>
      <c r="D1812" s="93"/>
      <c r="E1812" s="94"/>
      <c r="F1812" s="94"/>
      <c r="G1812" s="94"/>
      <c r="H1812" s="94"/>
      <c r="I1812" s="94"/>
      <c r="J1812" s="94"/>
      <c r="K1812" s="94"/>
      <c r="L1812" s="94"/>
      <c r="M1812" s="94"/>
      <c r="N1812" s="94"/>
    </row>
    <row r="1813" spans="1:14">
      <c r="B1813" s="96" t="s">
        <v>38</v>
      </c>
      <c r="C1813" s="190"/>
      <c r="D1813" s="63"/>
      <c r="E1813" s="64"/>
      <c r="F1813" s="64"/>
      <c r="G1813" s="64"/>
      <c r="H1813" s="64"/>
      <c r="I1813" s="64"/>
      <c r="J1813" s="64"/>
      <c r="K1813" s="64"/>
      <c r="L1813" s="64"/>
      <c r="M1813" s="64"/>
      <c r="N1813" s="64"/>
    </row>
    <row r="1814" spans="1:14">
      <c r="B1814" s="35" t="s">
        <v>39</v>
      </c>
      <c r="D1814" s="7">
        <v>0</v>
      </c>
      <c r="E1814" s="7">
        <v>0</v>
      </c>
      <c r="F1814" s="7">
        <v>0</v>
      </c>
      <c r="G1814" s="7">
        <v>0</v>
      </c>
      <c r="H1814" s="7">
        <v>0</v>
      </c>
      <c r="I1814" s="7">
        <v>0</v>
      </c>
      <c r="J1814" s="7">
        <v>0</v>
      </c>
      <c r="K1814" s="7">
        <v>0</v>
      </c>
      <c r="L1814" s="7">
        <v>0</v>
      </c>
      <c r="M1814" s="7">
        <v>0</v>
      </c>
      <c r="N1814" s="7">
        <v>0</v>
      </c>
    </row>
    <row r="1815" spans="1:14">
      <c r="B1815" s="6"/>
      <c r="D1815" s="7"/>
      <c r="E1815" s="7"/>
      <c r="F1815" s="7"/>
      <c r="G1815" s="30"/>
      <c r="H1815" s="30"/>
      <c r="I1815" s="30"/>
      <c r="J1815" s="30"/>
      <c r="K1815" s="30"/>
      <c r="L1815" s="30"/>
      <c r="M1815" s="30"/>
      <c r="N1815" s="30"/>
    </row>
    <row r="1816" spans="1:14" ht="18.5">
      <c r="A1816" s="9" t="s">
        <v>40</v>
      </c>
      <c r="D1816" s="2">
        <f>'Facility Detail'!$B$1897</f>
        <v>2011</v>
      </c>
      <c r="E1816" s="2">
        <f>D1816+1</f>
        <v>2012</v>
      </c>
      <c r="F1816" s="2">
        <f t="shared" ref="F1816:N1816" si="946">E1816+1</f>
        <v>2013</v>
      </c>
      <c r="G1816" s="2">
        <f t="shared" si="946"/>
        <v>2014</v>
      </c>
      <c r="H1816" s="2">
        <f t="shared" si="946"/>
        <v>2015</v>
      </c>
      <c r="I1816" s="2">
        <f t="shared" si="946"/>
        <v>2016</v>
      </c>
      <c r="J1816" s="2">
        <f t="shared" si="946"/>
        <v>2017</v>
      </c>
      <c r="K1816" s="2">
        <f t="shared" si="946"/>
        <v>2018</v>
      </c>
      <c r="L1816" s="2">
        <f t="shared" si="946"/>
        <v>2019</v>
      </c>
      <c r="M1816" s="2">
        <f t="shared" si="946"/>
        <v>2020</v>
      </c>
      <c r="N1816" s="2">
        <f t="shared" si="946"/>
        <v>2021</v>
      </c>
    </row>
    <row r="1817" spans="1:14">
      <c r="B1817" s="86" t="s">
        <v>34</v>
      </c>
      <c r="C1817" s="78"/>
      <c r="D1817" s="3"/>
      <c r="E1817" s="66">
        <f>D1817</f>
        <v>0</v>
      </c>
      <c r="F1817" s="138"/>
      <c r="G1817" s="138"/>
      <c r="H1817" s="138"/>
      <c r="I1817" s="138"/>
      <c r="J1817" s="138"/>
      <c r="K1817" s="138"/>
      <c r="L1817" s="138"/>
      <c r="M1817" s="138"/>
      <c r="N1817" s="138"/>
    </row>
    <row r="1818" spans="1:14">
      <c r="B1818" s="86" t="s">
        <v>35</v>
      </c>
      <c r="C1818" s="78"/>
      <c r="D1818" s="174">
        <f>E1818</f>
        <v>0</v>
      </c>
      <c r="E1818" s="10"/>
      <c r="F1818" s="81"/>
      <c r="G1818" s="81"/>
      <c r="H1818" s="81"/>
      <c r="I1818" s="81"/>
      <c r="J1818" s="81"/>
      <c r="K1818" s="81"/>
      <c r="L1818" s="81"/>
      <c r="M1818" s="81"/>
      <c r="N1818" s="81"/>
    </row>
    <row r="1819" spans="1:14">
      <c r="B1819" s="86" t="s">
        <v>36</v>
      </c>
      <c r="C1819" s="78"/>
      <c r="D1819" s="68"/>
      <c r="E1819" s="10">
        <f>E1803</f>
        <v>0</v>
      </c>
      <c r="F1819" s="77">
        <f>E1819</f>
        <v>0</v>
      </c>
      <c r="G1819" s="81"/>
      <c r="H1819" s="81"/>
      <c r="I1819" s="81"/>
      <c r="J1819" s="81"/>
      <c r="K1819" s="81"/>
      <c r="L1819" s="81"/>
      <c r="M1819" s="81"/>
      <c r="N1819" s="81"/>
    </row>
    <row r="1820" spans="1:14">
      <c r="B1820" s="86" t="s">
        <v>37</v>
      </c>
      <c r="C1820" s="78"/>
      <c r="D1820" s="68"/>
      <c r="E1820" s="77">
        <f>F1820</f>
        <v>0</v>
      </c>
      <c r="F1820" s="173"/>
      <c r="G1820" s="81"/>
      <c r="H1820" s="81"/>
      <c r="I1820" s="81"/>
      <c r="J1820" s="81"/>
      <c r="K1820" s="81"/>
      <c r="L1820" s="81"/>
      <c r="M1820" s="81"/>
      <c r="N1820" s="81"/>
    </row>
    <row r="1821" spans="1:14">
      <c r="B1821" s="86" t="s">
        <v>122</v>
      </c>
      <c r="C1821" s="32"/>
      <c r="D1821" s="68"/>
      <c r="E1821" s="157"/>
      <c r="F1821" s="10">
        <f>F1803</f>
        <v>0</v>
      </c>
      <c r="G1821" s="158">
        <f>F1821</f>
        <v>0</v>
      </c>
      <c r="H1821" s="81"/>
      <c r="I1821" s="81"/>
      <c r="J1821" s="81"/>
      <c r="K1821" s="81"/>
      <c r="L1821" s="81"/>
      <c r="M1821" s="81"/>
      <c r="N1821" s="81"/>
    </row>
    <row r="1822" spans="1:14">
      <c r="B1822" s="86" t="s">
        <v>123</v>
      </c>
      <c r="C1822" s="32"/>
      <c r="D1822" s="68"/>
      <c r="E1822" s="157"/>
      <c r="F1822" s="77">
        <f>G1822</f>
        <v>0</v>
      </c>
      <c r="G1822" s="10"/>
      <c r="H1822" s="81"/>
      <c r="I1822" s="81"/>
      <c r="J1822" s="81"/>
      <c r="K1822" s="81"/>
      <c r="L1822" s="81"/>
      <c r="M1822" s="81"/>
      <c r="N1822" s="81"/>
    </row>
    <row r="1823" spans="1:14">
      <c r="B1823" s="86" t="s">
        <v>124</v>
      </c>
      <c r="C1823" s="32"/>
      <c r="D1823" s="68"/>
      <c r="E1823" s="157"/>
      <c r="F1823" s="157"/>
      <c r="G1823" s="10">
        <f>G1803</f>
        <v>0</v>
      </c>
      <c r="H1823" s="158">
        <f>G1823</f>
        <v>0</v>
      </c>
      <c r="I1823" s="157">
        <f>H1823</f>
        <v>0</v>
      </c>
      <c r="J1823" s="157"/>
      <c r="K1823" s="157"/>
      <c r="L1823" s="157"/>
      <c r="M1823" s="157"/>
      <c r="N1823" s="157"/>
    </row>
    <row r="1824" spans="1:14">
      <c r="B1824" s="86" t="s">
        <v>125</v>
      </c>
      <c r="C1824" s="32"/>
      <c r="D1824" s="68"/>
      <c r="E1824" s="157"/>
      <c r="F1824" s="157"/>
      <c r="G1824" s="159"/>
      <c r="H1824" s="160"/>
      <c r="I1824" s="157"/>
      <c r="J1824" s="157"/>
      <c r="K1824" s="157"/>
      <c r="L1824" s="157"/>
      <c r="M1824" s="157"/>
      <c r="N1824" s="157"/>
    </row>
    <row r="1825" spans="2:14">
      <c r="B1825" s="86" t="s">
        <v>126</v>
      </c>
      <c r="C1825" s="32"/>
      <c r="D1825" s="68"/>
      <c r="E1825" s="157"/>
      <c r="F1825" s="157"/>
      <c r="G1825" s="157"/>
      <c r="H1825" s="160">
        <v>0</v>
      </c>
      <c r="I1825" s="158">
        <f>H1825</f>
        <v>0</v>
      </c>
      <c r="J1825" s="81"/>
      <c r="K1825" s="81"/>
      <c r="L1825" s="81"/>
      <c r="M1825" s="81"/>
      <c r="N1825" s="81"/>
    </row>
    <row r="1826" spans="2:14">
      <c r="B1826" s="86" t="s">
        <v>127</v>
      </c>
      <c r="C1826" s="32"/>
      <c r="D1826" s="68"/>
      <c r="E1826" s="157"/>
      <c r="F1826" s="157"/>
      <c r="G1826" s="157"/>
      <c r="H1826" s="77"/>
      <c r="I1826" s="160"/>
      <c r="J1826" s="81"/>
      <c r="K1826" s="81"/>
      <c r="L1826" s="157"/>
      <c r="M1826" s="157"/>
      <c r="N1826" s="157"/>
    </row>
    <row r="1827" spans="2:14">
      <c r="B1827" s="86" t="s">
        <v>128</v>
      </c>
      <c r="C1827" s="32"/>
      <c r="D1827" s="68"/>
      <c r="E1827" s="157"/>
      <c r="F1827" s="157"/>
      <c r="G1827" s="157"/>
      <c r="H1827" s="157"/>
      <c r="I1827" s="160">
        <f>I1803</f>
        <v>0</v>
      </c>
      <c r="J1827" s="158">
        <f>I1827</f>
        <v>0</v>
      </c>
      <c r="K1827" s="157"/>
      <c r="L1827" s="157"/>
      <c r="M1827" s="157"/>
      <c r="N1827" s="157"/>
    </row>
    <row r="1828" spans="2:14">
      <c r="B1828" s="86" t="s">
        <v>119</v>
      </c>
      <c r="C1828" s="32"/>
      <c r="D1828" s="68"/>
      <c r="E1828" s="157"/>
      <c r="F1828" s="157"/>
      <c r="G1828" s="157"/>
      <c r="H1828" s="157"/>
      <c r="I1828" s="159"/>
      <c r="J1828" s="160"/>
      <c r="K1828" s="157"/>
      <c r="L1828" s="157"/>
      <c r="M1828" s="157"/>
      <c r="N1828" s="157"/>
    </row>
    <row r="1829" spans="2:14">
      <c r="B1829" s="86" t="s">
        <v>120</v>
      </c>
      <c r="C1829" s="32"/>
      <c r="D1829" s="68"/>
      <c r="E1829" s="157"/>
      <c r="F1829" s="157"/>
      <c r="G1829" s="157"/>
      <c r="H1829" s="157"/>
      <c r="I1829" s="157"/>
      <c r="J1829" s="160"/>
      <c r="K1829" s="158">
        <f>J1829</f>
        <v>0</v>
      </c>
      <c r="L1829" s="157"/>
      <c r="M1829" s="157"/>
      <c r="N1829" s="157"/>
    </row>
    <row r="1830" spans="2:14">
      <c r="B1830" s="86" t="s">
        <v>152</v>
      </c>
      <c r="C1830" s="32"/>
      <c r="D1830" s="157"/>
      <c r="E1830" s="157"/>
      <c r="F1830" s="157"/>
      <c r="G1830" s="157"/>
      <c r="H1830" s="157"/>
      <c r="I1830" s="157"/>
      <c r="J1830" s="159"/>
      <c r="K1830" s="160"/>
      <c r="L1830" s="157"/>
      <c r="M1830" s="157"/>
      <c r="N1830" s="157"/>
    </row>
    <row r="1831" spans="2:14">
      <c r="B1831" s="86" t="s">
        <v>153</v>
      </c>
      <c r="C1831" s="32"/>
      <c r="D1831" s="157"/>
      <c r="E1831" s="157"/>
      <c r="F1831" s="157"/>
      <c r="G1831" s="157"/>
      <c r="H1831" s="157"/>
      <c r="I1831" s="157"/>
      <c r="J1831" s="157"/>
      <c r="K1831" s="160">
        <f>K1807</f>
        <v>0</v>
      </c>
      <c r="L1831" s="158">
        <f>K1831</f>
        <v>0</v>
      </c>
      <c r="M1831" s="157"/>
      <c r="N1831" s="157"/>
    </row>
    <row r="1832" spans="2:14">
      <c r="B1832" s="86" t="s">
        <v>154</v>
      </c>
      <c r="C1832" s="32"/>
      <c r="D1832" s="157"/>
      <c r="E1832" s="157"/>
      <c r="F1832" s="157"/>
      <c r="G1832" s="157"/>
      <c r="H1832" s="157"/>
      <c r="I1832" s="157"/>
      <c r="J1832" s="157"/>
      <c r="K1832" s="159"/>
      <c r="L1832" s="160"/>
      <c r="M1832" s="157"/>
      <c r="N1832" s="157"/>
    </row>
    <row r="1833" spans="2:14">
      <c r="B1833" s="86" t="s">
        <v>155</v>
      </c>
      <c r="C1833" s="32"/>
      <c r="D1833" s="157"/>
      <c r="E1833" s="157"/>
      <c r="F1833" s="157"/>
      <c r="G1833" s="157"/>
      <c r="H1833" s="157"/>
      <c r="I1833" s="157"/>
      <c r="J1833" s="157"/>
      <c r="K1833" s="157"/>
      <c r="L1833" s="160">
        <f>L1809</f>
        <v>0</v>
      </c>
      <c r="M1833" s="158">
        <f>L1833</f>
        <v>0</v>
      </c>
      <c r="N1833" s="157"/>
    </row>
    <row r="1834" spans="2:14">
      <c r="B1834" s="86" t="s">
        <v>156</v>
      </c>
      <c r="C1834" s="32"/>
      <c r="D1834" s="157"/>
      <c r="E1834" s="157"/>
      <c r="F1834" s="157"/>
      <c r="G1834" s="157"/>
      <c r="H1834" s="157"/>
      <c r="I1834" s="157"/>
      <c r="J1834" s="157"/>
      <c r="K1834" s="157"/>
      <c r="L1834" s="159"/>
      <c r="M1834" s="160"/>
      <c r="N1834" s="157"/>
    </row>
    <row r="1835" spans="2:14">
      <c r="B1835" s="86" t="s">
        <v>157</v>
      </c>
      <c r="C1835" s="32"/>
      <c r="D1835" s="157"/>
      <c r="E1835" s="157"/>
      <c r="F1835" s="157"/>
      <c r="G1835" s="157"/>
      <c r="H1835" s="157"/>
      <c r="I1835" s="157"/>
      <c r="J1835" s="157"/>
      <c r="K1835" s="157"/>
      <c r="L1835" s="157"/>
      <c r="M1835" s="160">
        <f>M1811</f>
        <v>0</v>
      </c>
      <c r="N1835" s="158">
        <f>M1835</f>
        <v>0</v>
      </c>
    </row>
    <row r="1836" spans="2:14">
      <c r="B1836" s="86" t="s">
        <v>173</v>
      </c>
      <c r="C1836" s="32"/>
      <c r="D1836" s="157"/>
      <c r="E1836" s="157"/>
      <c r="F1836" s="157"/>
      <c r="G1836" s="157"/>
      <c r="H1836" s="157"/>
      <c r="I1836" s="157"/>
      <c r="J1836" s="157"/>
      <c r="K1836" s="157"/>
      <c r="L1836" s="157"/>
      <c r="M1836" s="159"/>
      <c r="N1836" s="160"/>
    </row>
    <row r="1837" spans="2:14">
      <c r="B1837" s="86" t="s">
        <v>174</v>
      </c>
      <c r="C1837" s="32"/>
      <c r="D1837" s="157"/>
      <c r="E1837" s="157"/>
      <c r="F1837" s="157"/>
      <c r="G1837" s="157"/>
      <c r="H1837" s="157"/>
      <c r="I1837" s="157"/>
      <c r="J1837" s="157"/>
      <c r="K1837" s="157"/>
      <c r="L1837" s="157"/>
      <c r="M1837" s="157"/>
      <c r="N1837" s="160">
        <f>N1813</f>
        <v>0</v>
      </c>
    </row>
    <row r="1838" spans="2:14">
      <c r="B1838" s="86"/>
      <c r="C1838" s="32"/>
      <c r="D1838" s="140"/>
      <c r="E1838" s="140"/>
      <c r="F1838" s="140"/>
      <c r="G1838" s="140"/>
      <c r="H1838" s="140"/>
      <c r="I1838" s="140"/>
      <c r="J1838" s="140"/>
      <c r="K1838" s="140"/>
      <c r="L1838" s="140"/>
      <c r="M1838" s="140"/>
      <c r="N1838" s="159"/>
    </row>
    <row r="1839" spans="2:14">
      <c r="B1839" s="35" t="s">
        <v>17</v>
      </c>
      <c r="D1839" s="281">
        <f xml:space="preserve"> D1823 - D1822</f>
        <v>0</v>
      </c>
      <c r="E1839" s="281">
        <f xml:space="preserve"> E1822 + E1825 - E1824 - E1823</f>
        <v>0</v>
      </c>
      <c r="F1839" s="281">
        <f>F1824 - F1825</f>
        <v>0</v>
      </c>
      <c r="G1839" s="281">
        <f t="shared" ref="G1839" si="947">G1824 - G1825</f>
        <v>0</v>
      </c>
      <c r="H1839" s="281">
        <f>H1823-H1824-H1825</f>
        <v>0</v>
      </c>
      <c r="I1839" s="281">
        <f>I1825-I1826-I1827</f>
        <v>0</v>
      </c>
      <c r="J1839" s="281">
        <f>J1827-J1828-J1829</f>
        <v>0</v>
      </c>
      <c r="K1839" s="281">
        <f t="shared" ref="K1839:N1839" si="948">K1827-K1828-K1829</f>
        <v>0</v>
      </c>
      <c r="L1839" s="281">
        <f t="shared" si="948"/>
        <v>0</v>
      </c>
      <c r="M1839" s="281">
        <f t="shared" ref="M1839" si="949">M1827-M1828-M1829</f>
        <v>0</v>
      </c>
      <c r="N1839" s="281">
        <f t="shared" si="948"/>
        <v>0</v>
      </c>
    </row>
    <row r="1840" spans="2:14">
      <c r="B1840" s="6"/>
      <c r="D1840" s="281"/>
      <c r="E1840" s="281"/>
      <c r="F1840" s="281"/>
      <c r="G1840" s="281"/>
      <c r="H1840" s="281"/>
      <c r="I1840" s="281"/>
      <c r="J1840" s="281"/>
      <c r="K1840" s="281"/>
      <c r="L1840" s="281"/>
      <c r="M1840" s="281"/>
      <c r="N1840" s="281"/>
    </row>
    <row r="1841" spans="1:14">
      <c r="B1841" s="83" t="s">
        <v>12</v>
      </c>
      <c r="C1841" s="78"/>
      <c r="D1841" s="282"/>
      <c r="E1841" s="283"/>
      <c r="F1841" s="283"/>
      <c r="G1841" s="283"/>
      <c r="H1841" s="283"/>
      <c r="I1841" s="283"/>
      <c r="J1841" s="283"/>
      <c r="K1841" s="283"/>
      <c r="L1841" s="283"/>
      <c r="M1841" s="283"/>
      <c r="N1841" s="283"/>
    </row>
    <row r="1842" spans="1:14">
      <c r="B1842" s="6"/>
      <c r="D1842" s="281"/>
      <c r="E1842" s="281"/>
      <c r="F1842" s="281"/>
      <c r="G1842" s="281"/>
      <c r="H1842" s="281"/>
      <c r="I1842" s="281"/>
      <c r="J1842" s="281"/>
      <c r="K1842" s="281"/>
      <c r="L1842" s="281"/>
      <c r="M1842" s="281"/>
      <c r="N1842" s="281"/>
    </row>
    <row r="1843" spans="1:14" ht="18.5">
      <c r="A1843" s="43" t="s">
        <v>26</v>
      </c>
      <c r="C1843" s="78"/>
      <c r="D1843" s="285">
        <f t="shared" ref="D1843:J1843" si="950" xml:space="preserve"> D1803 + D1808 - D1814 + D1839 + D1841</f>
        <v>0</v>
      </c>
      <c r="E1843" s="286">
        <f t="shared" si="950"/>
        <v>0</v>
      </c>
      <c r="F1843" s="286">
        <f t="shared" si="950"/>
        <v>0</v>
      </c>
      <c r="G1843" s="286">
        <f t="shared" si="950"/>
        <v>0</v>
      </c>
      <c r="H1843" s="286">
        <f t="shared" si="950"/>
        <v>0</v>
      </c>
      <c r="I1843" s="286">
        <f t="shared" si="950"/>
        <v>0</v>
      </c>
      <c r="J1843" s="286">
        <f t="shared" si="950"/>
        <v>0</v>
      </c>
      <c r="K1843" s="286">
        <f t="shared" ref="K1843:N1843" si="951" xml:space="preserve"> K1803 + K1808 - K1814 + K1839 + K1841</f>
        <v>0</v>
      </c>
      <c r="L1843" s="286">
        <f t="shared" si="951"/>
        <v>0</v>
      </c>
      <c r="M1843" s="286">
        <f t="shared" ref="M1843" si="952" xml:space="preserve"> M1803 + M1808 - M1814 + M1839 + M1841</f>
        <v>75000</v>
      </c>
      <c r="N1843" s="286">
        <f t="shared" si="951"/>
        <v>0</v>
      </c>
    </row>
    <row r="1844" spans="1:14" ht="15" thickBot="1"/>
    <row r="1845" spans="1:14">
      <c r="A1845" s="8"/>
      <c r="B1845" s="8"/>
      <c r="C1845" s="8"/>
      <c r="D1845" s="8"/>
      <c r="E1845" s="8"/>
      <c r="F1845" s="8"/>
      <c r="G1845" s="8"/>
      <c r="H1845" s="8"/>
      <c r="I1845" s="8"/>
      <c r="J1845" s="8"/>
      <c r="K1845" s="8"/>
      <c r="L1845" s="8"/>
    </row>
    <row r="1846" spans="1:14" ht="21">
      <c r="A1846" s="14" t="s">
        <v>4</v>
      </c>
      <c r="B1846" s="14"/>
      <c r="C1846" s="44"/>
      <c r="D1846" s="45"/>
      <c r="E1846" s="24"/>
      <c r="F1846" s="24"/>
    </row>
    <row r="1848" spans="1:14" ht="18.5">
      <c r="A1848" s="9" t="s">
        <v>21</v>
      </c>
      <c r="B1848" s="9"/>
      <c r="D1848" s="2">
        <v>2011</v>
      </c>
      <c r="E1848" s="2">
        <v>2012</v>
      </c>
      <c r="F1848" s="2">
        <v>2013</v>
      </c>
      <c r="G1848" s="2">
        <v>2014</v>
      </c>
      <c r="H1848" s="2">
        <v>2015</v>
      </c>
      <c r="I1848" s="2">
        <v>2016</v>
      </c>
      <c r="J1848" s="2">
        <v>2017</v>
      </c>
      <c r="K1848" s="2">
        <v>2018</v>
      </c>
      <c r="L1848" s="2"/>
    </row>
    <row r="1849" spans="1:14">
      <c r="B1849" s="86" t="str">
        <f>"Total MWh Produced / Purchased from " &amp; C1846</f>
        <v xml:space="preserve">Total MWh Produced / Purchased from </v>
      </c>
      <c r="C1849" s="78"/>
      <c r="D1849" s="3"/>
      <c r="E1849" s="4"/>
      <c r="F1849" s="4"/>
      <c r="G1849" s="4"/>
      <c r="H1849" s="4"/>
      <c r="I1849" s="4"/>
      <c r="J1849" s="4"/>
      <c r="K1849" s="5"/>
      <c r="L1849" s="295"/>
    </row>
    <row r="1850" spans="1:14">
      <c r="B1850" s="86" t="s">
        <v>25</v>
      </c>
      <c r="C1850" s="78"/>
      <c r="D1850" s="60"/>
      <c r="E1850" s="61"/>
      <c r="F1850" s="61"/>
      <c r="G1850" s="61"/>
      <c r="H1850" s="61"/>
      <c r="I1850" s="61"/>
      <c r="J1850" s="61"/>
      <c r="K1850" s="62"/>
      <c r="L1850" s="297"/>
    </row>
    <row r="1851" spans="1:14">
      <c r="B1851" s="86" t="s">
        <v>20</v>
      </c>
      <c r="C1851" s="78"/>
      <c r="D1851" s="52"/>
      <c r="E1851" s="53"/>
      <c r="F1851" s="53"/>
      <c r="G1851" s="53"/>
      <c r="H1851" s="53"/>
      <c r="I1851" s="53"/>
      <c r="J1851" s="53"/>
      <c r="K1851" s="54"/>
      <c r="L1851" s="297"/>
    </row>
    <row r="1852" spans="1:14">
      <c r="B1852" s="83" t="s">
        <v>22</v>
      </c>
      <c r="C1852" s="84"/>
      <c r="D1852" s="39">
        <v>0</v>
      </c>
      <c r="E1852" s="39">
        <v>0</v>
      </c>
      <c r="F1852" s="39">
        <v>0</v>
      </c>
      <c r="G1852" s="39">
        <v>0</v>
      </c>
      <c r="H1852" s="39">
        <v>0</v>
      </c>
      <c r="I1852" s="39">
        <v>0</v>
      </c>
      <c r="J1852" s="39">
        <v>0</v>
      </c>
      <c r="K1852" s="39">
        <v>0</v>
      </c>
      <c r="L1852" s="296"/>
    </row>
    <row r="1853" spans="1:14">
      <c r="B1853" s="24"/>
      <c r="C1853" s="32"/>
      <c r="D1853" s="38"/>
      <c r="E1853" s="38"/>
      <c r="F1853" s="38"/>
      <c r="G1853" s="38"/>
      <c r="H1853" s="38"/>
      <c r="I1853" s="38"/>
      <c r="J1853" s="38"/>
      <c r="K1853" s="38"/>
      <c r="L1853" s="38"/>
    </row>
    <row r="1854" spans="1:14" ht="18.5">
      <c r="A1854" s="46" t="s">
        <v>52</v>
      </c>
      <c r="C1854" s="32"/>
      <c r="D1854" s="2">
        <v>2011</v>
      </c>
      <c r="E1854" s="2">
        <v>2012</v>
      </c>
      <c r="F1854" s="2">
        <v>2013</v>
      </c>
      <c r="G1854" s="2">
        <v>2014</v>
      </c>
      <c r="H1854" s="2">
        <v>2015</v>
      </c>
      <c r="I1854" s="2">
        <v>2016</v>
      </c>
      <c r="J1854" s="2">
        <v>2017</v>
      </c>
      <c r="K1854" s="2">
        <v>2018</v>
      </c>
      <c r="L1854" s="2"/>
    </row>
    <row r="1855" spans="1:14">
      <c r="B1855" s="86" t="s">
        <v>10</v>
      </c>
      <c r="C1855" s="78"/>
      <c r="D1855" s="55">
        <v>0</v>
      </c>
      <c r="E1855" s="11">
        <v>0</v>
      </c>
      <c r="F1855" s="11">
        <v>0</v>
      </c>
      <c r="G1855" s="11">
        <v>0</v>
      </c>
      <c r="H1855" s="11">
        <v>0</v>
      </c>
      <c r="I1855" s="11">
        <v>0</v>
      </c>
      <c r="J1855" s="11">
        <v>0</v>
      </c>
      <c r="K1855" s="12">
        <v>0</v>
      </c>
      <c r="L1855" s="33"/>
    </row>
    <row r="1856" spans="1:14">
      <c r="B1856" s="86" t="s">
        <v>6</v>
      </c>
      <c r="C1856" s="78"/>
      <c r="D1856" s="56">
        <v>0</v>
      </c>
      <c r="E1856" s="57">
        <v>0</v>
      </c>
      <c r="F1856" s="57">
        <v>0</v>
      </c>
      <c r="G1856" s="57">
        <v>0</v>
      </c>
      <c r="H1856" s="57">
        <v>0</v>
      </c>
      <c r="I1856" s="57">
        <v>0</v>
      </c>
      <c r="J1856" s="57">
        <v>0</v>
      </c>
      <c r="K1856" s="58">
        <v>0</v>
      </c>
      <c r="L1856" s="33"/>
    </row>
    <row r="1857" spans="1:12">
      <c r="B1857" s="85" t="s">
        <v>54</v>
      </c>
      <c r="C1857" s="84"/>
      <c r="D1857" s="41">
        <v>0</v>
      </c>
      <c r="E1857" s="42">
        <v>0</v>
      </c>
      <c r="F1857" s="42">
        <v>0</v>
      </c>
      <c r="G1857" s="42">
        <v>0</v>
      </c>
      <c r="H1857" s="42">
        <v>0</v>
      </c>
      <c r="I1857" s="42">
        <v>0</v>
      </c>
      <c r="J1857" s="42">
        <v>0</v>
      </c>
      <c r="K1857" s="42">
        <v>0</v>
      </c>
      <c r="L1857" s="198"/>
    </row>
    <row r="1858" spans="1:12">
      <c r="B1858" s="32"/>
      <c r="C1858" s="32"/>
      <c r="D1858" s="40"/>
      <c r="E1858" s="33"/>
      <c r="F1858" s="33"/>
      <c r="G1858" s="33"/>
      <c r="H1858" s="33"/>
      <c r="I1858" s="33"/>
      <c r="J1858" s="33"/>
      <c r="K1858" s="33"/>
      <c r="L1858" s="33"/>
    </row>
    <row r="1859" spans="1:12" ht="18.5">
      <c r="A1859" s="43" t="s">
        <v>30</v>
      </c>
      <c r="C1859" s="32"/>
      <c r="D1859" s="2">
        <v>2011</v>
      </c>
      <c r="E1859" s="2">
        <v>2012</v>
      </c>
      <c r="F1859" s="2">
        <v>2013</v>
      </c>
      <c r="G1859" s="2">
        <v>2014</v>
      </c>
      <c r="H1859" s="2">
        <v>2015</v>
      </c>
      <c r="I1859" s="2">
        <v>2016</v>
      </c>
      <c r="J1859" s="2">
        <v>2017</v>
      </c>
      <c r="K1859" s="2">
        <v>2018</v>
      </c>
      <c r="L1859" s="2"/>
    </row>
    <row r="1860" spans="1:12">
      <c r="B1860" s="86" t="s">
        <v>32</v>
      </c>
      <c r="C1860" s="78"/>
      <c r="D1860" s="90"/>
      <c r="E1860" s="91"/>
      <c r="F1860" s="91"/>
      <c r="G1860" s="91"/>
      <c r="H1860" s="91"/>
      <c r="I1860" s="91"/>
      <c r="J1860" s="91"/>
      <c r="K1860" s="92"/>
      <c r="L1860" s="294"/>
    </row>
    <row r="1861" spans="1:12">
      <c r="B1861" s="87" t="s">
        <v>23</v>
      </c>
      <c r="C1861" s="192"/>
      <c r="D1861" s="93"/>
      <c r="E1861" s="94"/>
      <c r="F1861" s="94"/>
      <c r="G1861" s="94"/>
      <c r="H1861" s="94"/>
      <c r="I1861" s="94"/>
      <c r="J1861" s="94"/>
      <c r="K1861" s="95"/>
      <c r="L1861" s="294"/>
    </row>
    <row r="1862" spans="1:12">
      <c r="B1862" s="96" t="s">
        <v>38</v>
      </c>
      <c r="C1862" s="190"/>
      <c r="D1862" s="63"/>
      <c r="E1862" s="64"/>
      <c r="F1862" s="64"/>
      <c r="G1862" s="64"/>
      <c r="H1862" s="64"/>
      <c r="I1862" s="64"/>
      <c r="J1862" s="64"/>
      <c r="K1862" s="65"/>
      <c r="L1862" s="294"/>
    </row>
    <row r="1863" spans="1:12">
      <c r="B1863" s="35" t="s">
        <v>39</v>
      </c>
      <c r="D1863" s="7">
        <v>0</v>
      </c>
      <c r="E1863" s="7">
        <v>0</v>
      </c>
      <c r="F1863" s="7">
        <v>0</v>
      </c>
      <c r="G1863" s="7">
        <v>0</v>
      </c>
      <c r="H1863" s="7">
        <v>0</v>
      </c>
      <c r="I1863" s="7">
        <v>0</v>
      </c>
      <c r="J1863" s="7">
        <v>0</v>
      </c>
      <c r="K1863" s="7">
        <v>0</v>
      </c>
      <c r="L1863" s="7"/>
    </row>
    <row r="1864" spans="1:12">
      <c r="B1864" s="6"/>
      <c r="D1864" s="7"/>
      <c r="E1864" s="7"/>
      <c r="F1864" s="7"/>
      <c r="G1864" s="30"/>
      <c r="H1864" s="30"/>
      <c r="I1864" s="30"/>
      <c r="J1864" s="30"/>
      <c r="K1864" s="30"/>
      <c r="L1864" s="30"/>
    </row>
    <row r="1865" spans="1:12" ht="18.5">
      <c r="A1865" s="9" t="s">
        <v>40</v>
      </c>
      <c r="D1865" s="2">
        <f>'Facility Detail'!$B$1897</f>
        <v>2011</v>
      </c>
      <c r="E1865" s="2">
        <f>D1865+1</f>
        <v>2012</v>
      </c>
      <c r="F1865" s="2">
        <f>E1865+1</f>
        <v>2013</v>
      </c>
      <c r="G1865" s="260">
        <f t="shared" ref="G1865" si="953">F1865+1</f>
        <v>2014</v>
      </c>
      <c r="H1865" s="260">
        <f t="shared" ref="H1865" si="954">G1865+1</f>
        <v>2015</v>
      </c>
      <c r="I1865" s="260">
        <f t="shared" ref="I1865" si="955">H1865+1</f>
        <v>2016</v>
      </c>
      <c r="J1865" s="260">
        <f t="shared" ref="J1865" si="956">I1865+1</f>
        <v>2017</v>
      </c>
      <c r="K1865" s="260">
        <f t="shared" ref="K1865" si="957">J1865+1</f>
        <v>2018</v>
      </c>
      <c r="L1865" s="260"/>
    </row>
    <row r="1866" spans="1:12">
      <c r="B1866" s="86" t="s">
        <v>34</v>
      </c>
      <c r="C1866" s="78"/>
      <c r="D1866" s="261"/>
      <c r="E1866" s="75">
        <f>D1866</f>
        <v>0</v>
      </c>
      <c r="F1866" s="262"/>
      <c r="G1866" s="262"/>
      <c r="H1866" s="262"/>
      <c r="I1866" s="262"/>
      <c r="J1866" s="262"/>
      <c r="K1866" s="263"/>
      <c r="L1866" s="298"/>
    </row>
    <row r="1867" spans="1:12">
      <c r="B1867" s="86" t="s">
        <v>35</v>
      </c>
      <c r="C1867" s="78"/>
      <c r="D1867" s="264">
        <f>E1867</f>
        <v>0</v>
      </c>
      <c r="E1867" s="265"/>
      <c r="F1867" s="266"/>
      <c r="G1867" s="266"/>
      <c r="H1867" s="266"/>
      <c r="I1867" s="266"/>
      <c r="J1867" s="266"/>
      <c r="K1867" s="267"/>
      <c r="L1867" s="298"/>
    </row>
    <row r="1868" spans="1:12">
      <c r="B1868" s="86" t="s">
        <v>36</v>
      </c>
      <c r="C1868" s="78"/>
      <c r="D1868" s="268"/>
      <c r="E1868" s="265">
        <f>E1852</f>
        <v>0</v>
      </c>
      <c r="F1868" s="269">
        <f>E1868</f>
        <v>0</v>
      </c>
      <c r="G1868" s="266"/>
      <c r="H1868" s="266"/>
      <c r="I1868" s="266"/>
      <c r="J1868" s="266"/>
      <c r="K1868" s="267"/>
      <c r="L1868" s="298"/>
    </row>
    <row r="1869" spans="1:12">
      <c r="B1869" s="86" t="s">
        <v>37</v>
      </c>
      <c r="C1869" s="78"/>
      <c r="D1869" s="268"/>
      <c r="E1869" s="269">
        <f>F1869</f>
        <v>0</v>
      </c>
      <c r="F1869" s="270"/>
      <c r="G1869" s="266"/>
      <c r="H1869" s="266"/>
      <c r="I1869" s="266"/>
      <c r="J1869" s="266"/>
      <c r="K1869" s="267"/>
      <c r="L1869" s="298"/>
    </row>
    <row r="1870" spans="1:12">
      <c r="B1870" s="86" t="s">
        <v>122</v>
      </c>
      <c r="C1870" s="32"/>
      <c r="D1870" s="268"/>
      <c r="E1870" s="271"/>
      <c r="F1870" s="265">
        <f>F1852</f>
        <v>0</v>
      </c>
      <c r="G1870" s="272">
        <f>F1870</f>
        <v>0</v>
      </c>
      <c r="H1870" s="266"/>
      <c r="I1870" s="266"/>
      <c r="J1870" s="266"/>
      <c r="K1870" s="267"/>
      <c r="L1870" s="298"/>
    </row>
    <row r="1871" spans="1:12">
      <c r="B1871" s="86" t="s">
        <v>123</v>
      </c>
      <c r="C1871" s="32"/>
      <c r="D1871" s="268"/>
      <c r="E1871" s="271"/>
      <c r="F1871" s="269">
        <f>G1871</f>
        <v>0</v>
      </c>
      <c r="G1871" s="265"/>
      <c r="H1871" s="266"/>
      <c r="I1871" s="266"/>
      <c r="J1871" s="266"/>
      <c r="K1871" s="267"/>
      <c r="L1871" s="298"/>
    </row>
    <row r="1872" spans="1:12">
      <c r="B1872" s="86" t="s">
        <v>124</v>
      </c>
      <c r="C1872" s="32"/>
      <c r="D1872" s="268"/>
      <c r="E1872" s="271"/>
      <c r="F1872" s="271"/>
      <c r="G1872" s="265">
        <f>G1852</f>
        <v>0</v>
      </c>
      <c r="H1872" s="272">
        <f>G1872</f>
        <v>0</v>
      </c>
      <c r="I1872" s="271">
        <f>H1872</f>
        <v>0</v>
      </c>
      <c r="J1872" s="271"/>
      <c r="K1872" s="273"/>
      <c r="L1872" s="299"/>
    </row>
    <row r="1873" spans="1:12">
      <c r="B1873" s="86" t="s">
        <v>125</v>
      </c>
      <c r="C1873" s="32"/>
      <c r="D1873" s="268"/>
      <c r="E1873" s="271"/>
      <c r="F1873" s="271"/>
      <c r="G1873" s="274"/>
      <c r="H1873" s="275"/>
      <c r="I1873" s="271"/>
      <c r="J1873" s="271"/>
      <c r="K1873" s="273"/>
      <c r="L1873" s="299"/>
    </row>
    <row r="1874" spans="1:12">
      <c r="B1874" s="86" t="s">
        <v>126</v>
      </c>
      <c r="C1874" s="32"/>
      <c r="D1874" s="268"/>
      <c r="E1874" s="271"/>
      <c r="F1874" s="271"/>
      <c r="G1874" s="271"/>
      <c r="H1874" s="275">
        <v>0</v>
      </c>
      <c r="I1874" s="272">
        <f>H1874</f>
        <v>0</v>
      </c>
      <c r="J1874" s="266"/>
      <c r="K1874" s="273"/>
      <c r="L1874" s="299"/>
    </row>
    <row r="1875" spans="1:12">
      <c r="B1875" s="86" t="s">
        <v>127</v>
      </c>
      <c r="C1875" s="32"/>
      <c r="D1875" s="268"/>
      <c r="E1875" s="271"/>
      <c r="F1875" s="271"/>
      <c r="G1875" s="271"/>
      <c r="H1875" s="269"/>
      <c r="I1875" s="275"/>
      <c r="J1875" s="266"/>
      <c r="K1875" s="273"/>
      <c r="L1875" s="299"/>
    </row>
    <row r="1876" spans="1:12">
      <c r="B1876" s="86" t="s">
        <v>128</v>
      </c>
      <c r="C1876" s="32"/>
      <c r="D1876" s="268"/>
      <c r="E1876" s="271"/>
      <c r="F1876" s="271"/>
      <c r="G1876" s="271"/>
      <c r="H1876" s="271"/>
      <c r="I1876" s="275">
        <f>I1852</f>
        <v>0</v>
      </c>
      <c r="J1876" s="274">
        <f>I1876</f>
        <v>0</v>
      </c>
      <c r="K1876" s="267"/>
      <c r="L1876" s="298"/>
    </row>
    <row r="1877" spans="1:12">
      <c r="B1877" s="86" t="s">
        <v>119</v>
      </c>
      <c r="C1877" s="32"/>
      <c r="D1877" s="268"/>
      <c r="E1877" s="271"/>
      <c r="F1877" s="271"/>
      <c r="G1877" s="271"/>
      <c r="H1877" s="271"/>
      <c r="I1877" s="276"/>
      <c r="J1877" s="275"/>
      <c r="K1877" s="267"/>
      <c r="L1877" s="298"/>
    </row>
    <row r="1878" spans="1:12">
      <c r="B1878" s="86" t="s">
        <v>120</v>
      </c>
      <c r="C1878" s="32"/>
      <c r="D1878" s="277"/>
      <c r="E1878" s="278"/>
      <c r="F1878" s="278"/>
      <c r="G1878" s="278"/>
      <c r="H1878" s="278"/>
      <c r="I1878" s="278"/>
      <c r="J1878" s="279"/>
      <c r="K1878" s="280"/>
      <c r="L1878" s="276"/>
    </row>
    <row r="1879" spans="1:12">
      <c r="B1879" s="35" t="s">
        <v>17</v>
      </c>
      <c r="D1879" s="281">
        <f xml:space="preserve"> D1872 - D1871</f>
        <v>0</v>
      </c>
      <c r="E1879" s="281">
        <f xml:space="preserve"> E1871 + E1874 - E1873 - E1872</f>
        <v>0</v>
      </c>
      <c r="F1879" s="281">
        <f>F1873 - F1874</f>
        <v>0</v>
      </c>
      <c r="G1879" s="281">
        <f t="shared" ref="G1879" si="958">G1873 - G1874</f>
        <v>0</v>
      </c>
      <c r="H1879" s="281">
        <f>H1872-H1873-H1874</f>
        <v>0</v>
      </c>
      <c r="I1879" s="281">
        <f>I1874-I1875-I1876</f>
        <v>0</v>
      </c>
      <c r="J1879" s="281">
        <f>J1876</f>
        <v>0</v>
      </c>
      <c r="K1879" s="281">
        <f>K1876</f>
        <v>0</v>
      </c>
      <c r="L1879" s="281"/>
    </row>
    <row r="1880" spans="1:12">
      <c r="B1880" s="6"/>
      <c r="D1880" s="281"/>
      <c r="E1880" s="281"/>
      <c r="F1880" s="281"/>
      <c r="G1880" s="281"/>
      <c r="H1880" s="281"/>
      <c r="I1880" s="281"/>
      <c r="J1880" s="281"/>
      <c r="K1880" s="281"/>
      <c r="L1880" s="281"/>
    </row>
    <row r="1881" spans="1:12">
      <c r="B1881" s="83" t="s">
        <v>12</v>
      </c>
      <c r="C1881" s="78"/>
      <c r="D1881" s="282"/>
      <c r="E1881" s="283"/>
      <c r="F1881" s="283"/>
      <c r="G1881" s="283"/>
      <c r="H1881" s="283"/>
      <c r="I1881" s="283"/>
      <c r="J1881" s="283"/>
      <c r="K1881" s="284"/>
      <c r="L1881" s="300"/>
    </row>
    <row r="1882" spans="1:12">
      <c r="B1882" s="6"/>
      <c r="D1882" s="281"/>
      <c r="E1882" s="281"/>
      <c r="F1882" s="281"/>
      <c r="G1882" s="281"/>
      <c r="H1882" s="281"/>
      <c r="I1882" s="281"/>
      <c r="J1882" s="281"/>
      <c r="K1882" s="281"/>
      <c r="L1882" s="281"/>
    </row>
    <row r="1883" spans="1:12" ht="18.5">
      <c r="A1883" s="43" t="s">
        <v>26</v>
      </c>
      <c r="C1883" s="78"/>
      <c r="D1883" s="285">
        <f xml:space="preserve"> D1852 + D1857 - D1863 + D1879 + D1881</f>
        <v>0</v>
      </c>
      <c r="E1883" s="286">
        <f xml:space="preserve"> E1852 + E1857 - E1863 + E1879 + E1881</f>
        <v>0</v>
      </c>
      <c r="F1883" s="286">
        <f xml:space="preserve"> F1852 + F1857 - F1863 + F1879 + F1881</f>
        <v>0</v>
      </c>
      <c r="G1883" s="286">
        <f t="shared" ref="G1883:K1883" si="959" xml:space="preserve"> G1852 + G1857 - G1863 + G1879 + G1881</f>
        <v>0</v>
      </c>
      <c r="H1883" s="286">
        <f t="shared" si="959"/>
        <v>0</v>
      </c>
      <c r="I1883" s="286">
        <f t="shared" si="959"/>
        <v>0</v>
      </c>
      <c r="J1883" s="286">
        <f t="shared" si="959"/>
        <v>0</v>
      </c>
      <c r="K1883" s="287">
        <f t="shared" si="959"/>
        <v>0</v>
      </c>
      <c r="L1883" s="301"/>
    </row>
    <row r="1884" spans="1:12">
      <c r="B1884" s="6"/>
      <c r="D1884" s="7"/>
      <c r="E1884" s="7"/>
      <c r="F1884" s="7"/>
      <c r="G1884" s="30"/>
      <c r="H1884" s="30"/>
      <c r="I1884" s="30"/>
      <c r="J1884" s="30"/>
      <c r="K1884" s="30"/>
      <c r="L1884" s="30"/>
    </row>
    <row r="1885" spans="1:12">
      <c r="B1885" s="6"/>
      <c r="D1885" s="7"/>
      <c r="E1885" s="7"/>
      <c r="F1885" s="7"/>
      <c r="G1885" s="30"/>
      <c r="H1885" s="30"/>
      <c r="I1885" s="30"/>
      <c r="J1885" s="30"/>
      <c r="K1885" s="30"/>
      <c r="L1885" s="30"/>
    </row>
    <row r="1886" spans="1:12">
      <c r="B1886" s="6"/>
      <c r="D1886" s="7"/>
      <c r="E1886" s="7"/>
      <c r="F1886" s="7"/>
      <c r="G1886" s="30"/>
      <c r="H1886" s="30"/>
      <c r="I1886" s="30"/>
      <c r="J1886" s="30"/>
      <c r="K1886" s="30"/>
      <c r="L1886" s="30"/>
    </row>
    <row r="1887" spans="1:12" hidden="1" outlineLevel="1"/>
    <row r="1888" spans="1:12" hidden="1" outlineLevel="1">
      <c r="B1888" s="6" t="s">
        <v>29</v>
      </c>
    </row>
    <row r="1889" spans="2:2" hidden="1" outlineLevel="1">
      <c r="B1889" s="16" t="s">
        <v>0</v>
      </c>
    </row>
    <row r="1890" spans="2:2" hidden="1" outlineLevel="1">
      <c r="B1890" s="18" t="s">
        <v>1</v>
      </c>
    </row>
    <row r="1891" spans="2:2" hidden="1" outlineLevel="1">
      <c r="B1891" s="19" t="s">
        <v>2</v>
      </c>
    </row>
    <row r="1892" spans="2:2" hidden="1" outlineLevel="1"/>
    <row r="1893" spans="2:2" hidden="1" outlineLevel="1">
      <c r="B1893" s="6" t="s">
        <v>28</v>
      </c>
    </row>
    <row r="1894" spans="2:2" hidden="1" outlineLevel="1">
      <c r="B1894" s="17">
        <v>0.2</v>
      </c>
    </row>
    <row r="1895" spans="2:2" hidden="1" outlineLevel="1"/>
    <row r="1896" spans="2:2" hidden="1" outlineLevel="1">
      <c r="B1896" s="6" t="s">
        <v>8</v>
      </c>
    </row>
    <row r="1897" spans="2:2" hidden="1" outlineLevel="1">
      <c r="B1897" s="17">
        <v>2011</v>
      </c>
    </row>
    <row r="1898" spans="2:2" hidden="1" outlineLevel="1"/>
    <row r="1899" spans="2:2" hidden="1" outlineLevel="1">
      <c r="B1899" s="6" t="s">
        <v>41</v>
      </c>
    </row>
    <row r="1900" spans="2:2" hidden="1" outlineLevel="1">
      <c r="B1900" s="16"/>
    </row>
    <row r="1901" spans="2:2" hidden="1" outlineLevel="1">
      <c r="B1901" s="18" t="s">
        <v>42</v>
      </c>
    </row>
    <row r="1902" spans="2:2" hidden="1" outlineLevel="1">
      <c r="B1902" s="18" t="s">
        <v>43</v>
      </c>
    </row>
    <row r="1903" spans="2:2" hidden="1" outlineLevel="1">
      <c r="B1903" s="18" t="s">
        <v>49</v>
      </c>
    </row>
    <row r="1904" spans="2:2" hidden="1" outlineLevel="1">
      <c r="B1904" s="18" t="s">
        <v>47</v>
      </c>
    </row>
    <row r="1905" spans="2:2" hidden="1" outlineLevel="1">
      <c r="B1905" s="18" t="s">
        <v>44</v>
      </c>
    </row>
    <row r="1906" spans="2:2" hidden="1" outlineLevel="1">
      <c r="B1906" s="18" t="s">
        <v>45</v>
      </c>
    </row>
    <row r="1907" spans="2:2" hidden="1" outlineLevel="1">
      <c r="B1907" s="18" t="s">
        <v>48</v>
      </c>
    </row>
    <row r="1908" spans="2:2" hidden="1" outlineLevel="1">
      <c r="B1908" s="18" t="s">
        <v>46</v>
      </c>
    </row>
    <row r="1909" spans="2:2" hidden="1" outlineLevel="1">
      <c r="B1909" s="108" t="s">
        <v>53</v>
      </c>
    </row>
    <row r="1910" spans="2:2" hidden="1" outlineLevel="1"/>
    <row r="1911" spans="2:2" collapsed="1"/>
  </sheetData>
  <mergeCells count="2">
    <mergeCell ref="B42:G42"/>
    <mergeCell ref="B43:G43"/>
  </mergeCells>
  <phoneticPr fontId="5" type="noConversion"/>
  <dataValidations count="2">
    <dataValidation type="list" allowBlank="1" showInputMessage="1" showErrorMessage="1" sqref="E2:F41">
      <formula1>LaborBonus</formula1>
    </dataValidation>
    <dataValidation type="list" allowBlank="1" showInputMessage="1" showErrorMessage="1" sqref="D2:D41">
      <formula1>Facility</formula1>
    </dataValidation>
  </dataValidations>
  <printOptions horizontalCentered="1"/>
  <pageMargins left="0" right="0" top="0" bottom="0.5" header="0" footer="0"/>
  <pageSetup scale="50" fitToHeight="0" orientation="landscape" r:id="rId1"/>
  <headerFooter alignWithMargins="0">
    <oddFooter>&amp;CCONFIDENTIAL PER WAC 480-07-160</oddFooter>
  </headerFooter>
  <rowBreaks count="39" manualBreakCount="39">
    <brk id="43" max="12" man="1"/>
    <brk id="94" max="12" man="1"/>
    <brk id="145" max="12" man="1"/>
    <brk id="196" max="12" man="1"/>
    <brk id="247" max="12" man="1"/>
    <brk id="291" max="12" man="1"/>
    <brk id="335" max="12" man="1"/>
    <brk id="373" max="12" man="1"/>
    <brk id="411" max="12" man="1"/>
    <brk id="457" max="12" man="1"/>
    <brk id="503" max="12" man="1"/>
    <brk id="549" max="12" man="1"/>
    <brk id="595" max="12" man="1"/>
    <brk id="641" max="12" man="1"/>
    <brk id="683" max="12" man="1"/>
    <brk id="734" max="12" man="1"/>
    <brk id="785" max="12" man="1"/>
    <brk id="836" max="12" man="1"/>
    <brk id="887" max="12" man="1"/>
    <brk id="929" max="12" man="1"/>
    <brk id="969" max="12" man="1"/>
    <brk id="1011" max="12" man="1"/>
    <brk id="1053" max="12" man="1"/>
    <brk id="1095" max="12" man="1"/>
    <brk id="1137" max="12" man="1"/>
    <brk id="1179" max="12" man="1"/>
    <brk id="1221" max="12" man="1"/>
    <brk id="1263" max="12" man="1"/>
    <brk id="1305" max="12" man="1"/>
    <brk id="1346" max="12" man="1"/>
    <brk id="1388" max="12" man="1"/>
    <brk id="1429" max="12" man="1"/>
    <brk id="1470" max="12" man="1"/>
    <brk id="1515" max="12" man="1"/>
    <brk id="1560" max="12" man="1"/>
    <brk id="1604" max="12" man="1"/>
    <brk id="1648" max="12" man="1"/>
    <brk id="1697" max="12" man="1"/>
    <brk id="1795"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N57"/>
  <sheetViews>
    <sheetView showGridLines="0" tabSelected="1" view="pageBreakPreview" zoomScale="60" zoomScaleNormal="100" workbookViewId="0">
      <selection activeCell="B26" sqref="B26"/>
    </sheetView>
  </sheetViews>
  <sheetFormatPr defaultColWidth="9.1796875" defaultRowHeight="13" outlineLevelRow="1"/>
  <cols>
    <col min="1" max="1" width="59.1796875" style="109" bestFit="1" customWidth="1"/>
    <col min="2" max="10" width="21.453125" style="109" customWidth="1"/>
    <col min="11" max="16384" width="9.1796875" style="109"/>
  </cols>
  <sheetData>
    <row r="2" spans="1:10" ht="21">
      <c r="A2" s="121" t="s">
        <v>51</v>
      </c>
    </row>
    <row r="4" spans="1:10" ht="14.5">
      <c r="B4" s="111">
        <v>2011</v>
      </c>
      <c r="C4" s="111">
        <v>2012</v>
      </c>
      <c r="D4" s="111">
        <v>2013</v>
      </c>
      <c r="E4" s="111">
        <v>2014</v>
      </c>
      <c r="F4" s="111">
        <v>2015</v>
      </c>
      <c r="G4" s="111">
        <v>2016</v>
      </c>
      <c r="H4" s="111">
        <v>2017</v>
      </c>
      <c r="I4" s="111">
        <v>2018</v>
      </c>
      <c r="J4" s="111">
        <v>2019</v>
      </c>
    </row>
    <row r="5" spans="1:10" ht="14.5">
      <c r="A5" s="110" t="s">
        <v>42</v>
      </c>
      <c r="B5" s="113">
        <f t="shared" ref="B5:J5" si="0" xml:space="preserve"> SUMIF( $B$21:$B$57, $A5, C$21:C$57 )</f>
        <v>0</v>
      </c>
      <c r="C5" s="114">
        <f t="shared" si="0"/>
        <v>117079</v>
      </c>
      <c r="D5" s="228">
        <f t="shared" si="0"/>
        <v>118504</v>
      </c>
      <c r="E5" s="114">
        <f t="shared" si="0"/>
        <v>120300</v>
      </c>
      <c r="F5" s="234">
        <f t="shared" si="0"/>
        <v>81660</v>
      </c>
      <c r="G5" s="233">
        <f t="shared" si="0"/>
        <v>354847</v>
      </c>
      <c r="H5" s="233">
        <f t="shared" si="0"/>
        <v>313597</v>
      </c>
      <c r="I5" s="233">
        <f t="shared" si="0"/>
        <v>276317</v>
      </c>
      <c r="J5" s="233">
        <f t="shared" si="0"/>
        <v>189249.74366953503</v>
      </c>
    </row>
    <row r="6" spans="1:10" ht="14.5">
      <c r="A6" s="110" t="s">
        <v>43</v>
      </c>
      <c r="B6" s="115">
        <f t="shared" ref="B6:J6" si="1" xml:space="preserve"> SUMIF( $B$21:$B$57, $A6, C$21:C$57 )</f>
        <v>0</v>
      </c>
      <c r="C6" s="116">
        <f t="shared" si="1"/>
        <v>0</v>
      </c>
      <c r="D6" s="227">
        <f t="shared" si="1"/>
        <v>0</v>
      </c>
      <c r="E6" s="116">
        <f t="shared" si="1"/>
        <v>0</v>
      </c>
      <c r="F6" s="116">
        <f t="shared" si="1"/>
        <v>0</v>
      </c>
      <c r="G6" s="227">
        <f t="shared" si="1"/>
        <v>316</v>
      </c>
      <c r="H6" s="227">
        <f t="shared" si="1"/>
        <v>44237.406696699145</v>
      </c>
      <c r="I6" s="227">
        <f t="shared" si="1"/>
        <v>91254</v>
      </c>
      <c r="J6" s="227">
        <f t="shared" si="1"/>
        <v>176961.3306900016</v>
      </c>
    </row>
    <row r="7" spans="1:10" ht="14.5">
      <c r="A7" s="110" t="s">
        <v>49</v>
      </c>
      <c r="B7" s="115">
        <f t="shared" ref="B7:J7" si="2" xml:space="preserve"> SUMIF( $B$21:$B$57, $A7, C$21:C$57 )</f>
        <v>0</v>
      </c>
      <c r="C7" s="116">
        <f t="shared" si="2"/>
        <v>2779</v>
      </c>
      <c r="D7" s="227">
        <f t="shared" si="2"/>
        <v>2212</v>
      </c>
      <c r="E7" s="116">
        <f t="shared" si="2"/>
        <v>1719</v>
      </c>
      <c r="F7" s="116">
        <f t="shared" si="2"/>
        <v>1495</v>
      </c>
      <c r="G7" s="227">
        <f t="shared" si="2"/>
        <v>1772</v>
      </c>
      <c r="H7" s="227">
        <f t="shared" si="2"/>
        <v>2253</v>
      </c>
      <c r="I7" s="227">
        <f t="shared" si="2"/>
        <v>1562</v>
      </c>
      <c r="J7" s="227">
        <f t="shared" si="2"/>
        <v>1457.1419976588165</v>
      </c>
    </row>
    <row r="8" spans="1:10" ht="14.5">
      <c r="A8" s="110" t="s">
        <v>47</v>
      </c>
      <c r="B8" s="115">
        <f t="shared" ref="B8:J8" si="3" xml:space="preserve"> SUMIF( $B$21:$B$57, $A8, C$21:C$57 )</f>
        <v>0</v>
      </c>
      <c r="C8" s="116">
        <f t="shared" si="3"/>
        <v>0</v>
      </c>
      <c r="D8" s="227">
        <f t="shared" si="3"/>
        <v>0</v>
      </c>
      <c r="E8" s="116">
        <f t="shared" si="3"/>
        <v>0</v>
      </c>
      <c r="F8" s="226">
        <f t="shared" si="3"/>
        <v>40000</v>
      </c>
      <c r="G8" s="227">
        <f t="shared" si="3"/>
        <v>0</v>
      </c>
      <c r="H8" s="227">
        <f t="shared" si="3"/>
        <v>0</v>
      </c>
      <c r="I8" s="227">
        <f t="shared" si="3"/>
        <v>0</v>
      </c>
      <c r="J8" s="227">
        <f t="shared" si="3"/>
        <v>0</v>
      </c>
    </row>
    <row r="9" spans="1:10" ht="14.5">
      <c r="A9" s="110" t="s">
        <v>44</v>
      </c>
      <c r="B9" s="115">
        <f t="shared" ref="B9:J9" si="4" xml:space="preserve"> SUMIF( $B$21:$B$57, $A9, C$21:C$57 )</f>
        <v>0</v>
      </c>
      <c r="C9" s="116">
        <f t="shared" si="4"/>
        <v>0</v>
      </c>
      <c r="D9" s="227">
        <f t="shared" si="4"/>
        <v>0</v>
      </c>
      <c r="E9" s="116">
        <f t="shared" si="4"/>
        <v>0</v>
      </c>
      <c r="F9" s="235">
        <f t="shared" si="4"/>
        <v>0</v>
      </c>
      <c r="G9" s="227">
        <f t="shared" si="4"/>
        <v>0</v>
      </c>
      <c r="H9" s="227">
        <f t="shared" si="4"/>
        <v>0</v>
      </c>
      <c r="I9" s="227">
        <f t="shared" si="4"/>
        <v>0</v>
      </c>
      <c r="J9" s="227">
        <f t="shared" si="4"/>
        <v>0</v>
      </c>
    </row>
    <row r="10" spans="1:10" ht="14.5">
      <c r="A10" s="110" t="s">
        <v>45</v>
      </c>
      <c r="B10" s="115">
        <f t="shared" ref="B10:J10" si="5" xml:space="preserve"> SUMIF( $B$21:$B$57, $A10, C$21:C$57 )</f>
        <v>0</v>
      </c>
      <c r="C10" s="116">
        <f t="shared" si="5"/>
        <v>0</v>
      </c>
      <c r="D10" s="227">
        <f t="shared" si="5"/>
        <v>0</v>
      </c>
      <c r="E10" s="116">
        <f t="shared" si="5"/>
        <v>0</v>
      </c>
      <c r="F10" s="225">
        <f t="shared" si="5"/>
        <v>0</v>
      </c>
      <c r="G10" s="227">
        <f t="shared" si="5"/>
        <v>13231</v>
      </c>
      <c r="H10" s="227">
        <f t="shared" si="5"/>
        <v>3960</v>
      </c>
      <c r="I10" s="227">
        <f t="shared" si="5"/>
        <v>0</v>
      </c>
      <c r="J10" s="227">
        <f t="shared" si="5"/>
        <v>0</v>
      </c>
    </row>
    <row r="11" spans="1:10" ht="14.5">
      <c r="A11" s="110" t="s">
        <v>48</v>
      </c>
      <c r="B11" s="115">
        <f t="shared" ref="B11:J11" si="6" xml:space="preserve"> SUMIF( $B$21:$B$57, $A11, C$21:C$57 )</f>
        <v>0</v>
      </c>
      <c r="C11" s="116">
        <f t="shared" si="6"/>
        <v>0</v>
      </c>
      <c r="D11" s="227">
        <f t="shared" si="6"/>
        <v>0</v>
      </c>
      <c r="E11" s="229">
        <f t="shared" si="6"/>
        <v>0</v>
      </c>
      <c r="F11" s="116">
        <f t="shared" si="6"/>
        <v>0</v>
      </c>
      <c r="G11" s="227">
        <f t="shared" si="6"/>
        <v>0</v>
      </c>
      <c r="H11" s="227">
        <f t="shared" si="6"/>
        <v>0</v>
      </c>
      <c r="I11" s="227">
        <f t="shared" si="6"/>
        <v>0</v>
      </c>
      <c r="J11" s="227">
        <f t="shared" si="6"/>
        <v>0</v>
      </c>
    </row>
    <row r="12" spans="1:10" ht="14.5">
      <c r="A12" s="110" t="s">
        <v>46</v>
      </c>
      <c r="B12" s="115">
        <f t="shared" ref="B12:J12" si="7" xml:space="preserve"> SUMIF( $B$21:$B$57, $A12, C$21:C$57 )</f>
        <v>0</v>
      </c>
      <c r="C12" s="116">
        <f t="shared" si="7"/>
        <v>0</v>
      </c>
      <c r="D12" s="227">
        <f t="shared" si="7"/>
        <v>0</v>
      </c>
      <c r="E12" s="230">
        <f t="shared" si="7"/>
        <v>0</v>
      </c>
      <c r="F12" s="116">
        <f t="shared" si="7"/>
        <v>0</v>
      </c>
      <c r="G12" s="227">
        <f t="shared" si="7"/>
        <v>0</v>
      </c>
      <c r="H12" s="227">
        <f t="shared" si="7"/>
        <v>0</v>
      </c>
      <c r="I12" s="227">
        <f t="shared" si="7"/>
        <v>0</v>
      </c>
      <c r="J12" s="227">
        <f t="shared" si="7"/>
        <v>0</v>
      </c>
    </row>
    <row r="13" spans="1:10" ht="14.5">
      <c r="A13" s="110" t="s">
        <v>53</v>
      </c>
      <c r="B13" s="117">
        <f t="shared" ref="B13:J13" si="8" xml:space="preserve"> SUMIF( $B$21:$B$57, $A13, C$21:C$57 )</f>
        <v>0</v>
      </c>
      <c r="C13" s="118">
        <f t="shared" si="8"/>
        <v>0</v>
      </c>
      <c r="D13" s="232">
        <f t="shared" si="8"/>
        <v>0</v>
      </c>
      <c r="E13" s="231">
        <f t="shared" si="8"/>
        <v>0</v>
      </c>
      <c r="F13" s="289">
        <f t="shared" si="8"/>
        <v>0</v>
      </c>
      <c r="G13" s="290">
        <f t="shared" si="8"/>
        <v>0</v>
      </c>
      <c r="H13" s="290">
        <f t="shared" si="8"/>
        <v>0</v>
      </c>
      <c r="I13" s="290">
        <f t="shared" si="8"/>
        <v>0</v>
      </c>
      <c r="J13" s="290">
        <f t="shared" si="8"/>
        <v>0</v>
      </c>
    </row>
    <row r="14" spans="1:10" ht="15.5">
      <c r="A14" s="122"/>
      <c r="B14" s="123"/>
      <c r="C14" s="123"/>
      <c r="D14" s="123"/>
      <c r="E14" s="123"/>
      <c r="F14" s="123"/>
      <c r="G14" s="123"/>
    </row>
    <row r="19" spans="1:14" outlineLevel="1"/>
    <row r="20" spans="1:14" ht="14.5" outlineLevel="1">
      <c r="A20" s="120" t="s">
        <v>33</v>
      </c>
      <c r="B20" s="119" t="s">
        <v>50</v>
      </c>
      <c r="C20" s="119">
        <v>2011</v>
      </c>
      <c r="D20" s="119">
        <v>2012</v>
      </c>
      <c r="E20" s="119">
        <v>2013</v>
      </c>
      <c r="F20" s="119">
        <v>2014</v>
      </c>
      <c r="G20" s="119">
        <v>2015</v>
      </c>
      <c r="H20" s="119">
        <v>2016</v>
      </c>
      <c r="I20" s="119">
        <v>2017</v>
      </c>
      <c r="J20" s="119">
        <v>2018</v>
      </c>
      <c r="K20" s="119">
        <v>2019</v>
      </c>
      <c r="L20" s="119">
        <v>2020</v>
      </c>
      <c r="M20" s="119">
        <v>2021</v>
      </c>
      <c r="N20" s="119">
        <v>2022</v>
      </c>
    </row>
    <row r="21" spans="1:14" ht="14.5" outlineLevel="1">
      <c r="A21" s="112" t="str">
        <f>'Facility Detail'!B2</f>
        <v>Goodnoe Hills</v>
      </c>
      <c r="B21" s="112" t="str">
        <f xml:space="preserve"> IF( 'Facility Detail'!D2 = "", "", 'Facility Detail'!D2 )</f>
        <v>Wind</v>
      </c>
      <c r="C21" s="113">
        <f>'Facility Detail'!D92</f>
        <v>0</v>
      </c>
      <c r="D21" s="113">
        <f>'Facility Detail'!E92</f>
        <v>18896</v>
      </c>
      <c r="E21" s="113">
        <f>'Facility Detail'!F92</f>
        <v>17608</v>
      </c>
      <c r="F21" s="113">
        <f>'Facility Detail'!G92</f>
        <v>24054</v>
      </c>
      <c r="G21" s="113">
        <f>'Facility Detail'!H92</f>
        <v>20890</v>
      </c>
      <c r="H21" s="113">
        <f>'Facility Detail'!I92</f>
        <v>23675</v>
      </c>
      <c r="I21" s="113">
        <f>'Facility Detail'!J92</f>
        <v>15514</v>
      </c>
      <c r="J21" s="113">
        <f>'Facility Detail'!K92</f>
        <v>18315</v>
      </c>
      <c r="K21" s="113">
        <f>'Facility Detail'!L92</f>
        <v>4420.5681815800917</v>
      </c>
      <c r="L21" s="113">
        <f>'Facility Detail'!M92</f>
        <v>21305.684812572341</v>
      </c>
      <c r="M21" s="113">
        <f>'Facility Detail'!N92</f>
        <v>10530.318323510153</v>
      </c>
      <c r="N21" s="113">
        <f>'Facility Detail'!P92</f>
        <v>0</v>
      </c>
    </row>
    <row r="22" spans="1:14" ht="14.5" outlineLevel="1">
      <c r="A22" s="112" t="str">
        <f>'Facility Detail'!B3</f>
        <v>Leaning Juniper</v>
      </c>
      <c r="B22" s="112" t="str">
        <f xml:space="preserve"> IF( 'Facility Detail'!D3 = "", "", 'Facility Detail'!D3 )</f>
        <v>Wind</v>
      </c>
      <c r="C22" s="113">
        <f>'Facility Detail'!D143</f>
        <v>0</v>
      </c>
      <c r="D22" s="113">
        <f>'Facility Detail'!E143</f>
        <v>18530</v>
      </c>
      <c r="E22" s="113">
        <f>'Facility Detail'!F143</f>
        <v>15200</v>
      </c>
      <c r="F22" s="113">
        <f>'Facility Detail'!G143</f>
        <v>16235</v>
      </c>
      <c r="G22" s="113">
        <f>'Facility Detail'!H143</f>
        <v>17270</v>
      </c>
      <c r="H22" s="113">
        <f>'Facility Detail'!I143</f>
        <v>31739</v>
      </c>
      <c r="I22" s="113">
        <f>'Facility Detail'!J143</f>
        <v>12585</v>
      </c>
      <c r="J22" s="113">
        <f>'Facility Detail'!K143</f>
        <v>16022</v>
      </c>
      <c r="K22" s="113">
        <f>'Facility Detail'!L143</f>
        <v>12827</v>
      </c>
      <c r="L22" s="113">
        <f>'Facility Detail'!M143</f>
        <v>34247.234892262815</v>
      </c>
      <c r="M22" s="113">
        <f>'Facility Detail'!N143</f>
        <v>23679.497923284223</v>
      </c>
      <c r="N22" s="113">
        <f>'Facility Detail'!P143</f>
        <v>0</v>
      </c>
    </row>
    <row r="23" spans="1:14" ht="14.5" outlineLevel="1">
      <c r="A23" s="112" t="str">
        <f>'Facility Detail'!B4</f>
        <v>Marengo I</v>
      </c>
      <c r="B23" s="112" t="str">
        <f xml:space="preserve"> IF( 'Facility Detail'!D4 = "", "", 'Facility Detail'!D4 )</f>
        <v>Wind</v>
      </c>
      <c r="C23" s="113">
        <f>'Facility Detail'!D194</f>
        <v>0</v>
      </c>
      <c r="D23" s="113">
        <f>'Facility Detail'!E194</f>
        <v>31837</v>
      </c>
      <c r="E23" s="113">
        <f>'Facility Detail'!F194</f>
        <v>28557</v>
      </c>
      <c r="F23" s="113">
        <f>'Facility Detail'!G194</f>
        <v>26084</v>
      </c>
      <c r="G23" s="113">
        <f>'Facility Detail'!H194</f>
        <v>29478</v>
      </c>
      <c r="H23" s="113">
        <f>'Facility Detail'!I194</f>
        <v>53149</v>
      </c>
      <c r="I23" s="113">
        <f>'Facility Detail'!J194</f>
        <v>25507</v>
      </c>
      <c r="J23" s="113">
        <f>'Facility Detail'!K194</f>
        <v>26729</v>
      </c>
      <c r="K23" s="113">
        <f>'Facility Detail'!L194</f>
        <v>11174.793712003215</v>
      </c>
      <c r="L23" s="113">
        <f>'Facility Detail'!M194</f>
        <v>47768.157862462926</v>
      </c>
      <c r="M23" s="113">
        <f>'Facility Detail'!N194</f>
        <v>26791.175513197602</v>
      </c>
      <c r="N23" s="113">
        <f>'Facility Detail'!P194</f>
        <v>0</v>
      </c>
    </row>
    <row r="24" spans="1:14" ht="14.5" outlineLevel="1">
      <c r="A24" s="112" t="str">
        <f>'Facility Detail'!B5</f>
        <v>Marengo II</v>
      </c>
      <c r="B24" s="112" t="str">
        <f xml:space="preserve"> IF( 'Facility Detail'!D5 = "", "", 'Facility Detail'!D5 )</f>
        <v>Wind</v>
      </c>
      <c r="C24" s="113">
        <f>'Facility Detail'!D245</f>
        <v>0</v>
      </c>
      <c r="D24" s="113">
        <f>'Facility Detail'!E245</f>
        <v>15341</v>
      </c>
      <c r="E24" s="113">
        <f>'Facility Detail'!F245</f>
        <v>14137</v>
      </c>
      <c r="F24" s="113">
        <f>'Facility Detail'!G245</f>
        <v>12175</v>
      </c>
      <c r="G24" s="113">
        <f>'Facility Detail'!H245</f>
        <v>14022</v>
      </c>
      <c r="H24" s="113">
        <f>'Facility Detail'!I245</f>
        <v>25020</v>
      </c>
      <c r="I24" s="113">
        <f>'Facility Detail'!J245</f>
        <v>12396</v>
      </c>
      <c r="J24" s="113">
        <f>'Facility Detail'!K245</f>
        <v>13065</v>
      </c>
      <c r="K24" s="113">
        <f>'Facility Detail'!L245</f>
        <v>7010.0255567593495</v>
      </c>
      <c r="L24" s="113">
        <f>'Facility Detail'!M245</f>
        <v>19415.307464727786</v>
      </c>
      <c r="M24" s="113">
        <f>'Facility Detail'!N245</f>
        <v>14510.438242529508</v>
      </c>
      <c r="N24" s="113">
        <f>'Facility Detail'!P245</f>
        <v>0</v>
      </c>
    </row>
    <row r="25" spans="1:14" ht="14.5" outlineLevel="1">
      <c r="A25" s="112" t="str">
        <f>'Facility Detail'!B6</f>
        <v>Bennett Creek Windfarm - REC Only</v>
      </c>
      <c r="B25" s="112" t="str">
        <f xml:space="preserve"> IF( 'Facility Detail'!D6 = "", "", 'Facility Detail'!D6 )</f>
        <v>Wind</v>
      </c>
      <c r="C25" s="113">
        <f>'Facility Detail'!D289</f>
        <v>0</v>
      </c>
      <c r="D25" s="113">
        <f>'Facility Detail'!E289</f>
        <v>12259</v>
      </c>
      <c r="E25" s="113">
        <f>'Facility Detail'!F289</f>
        <v>0</v>
      </c>
      <c r="F25" s="113">
        <f>'Facility Detail'!G289</f>
        <v>0</v>
      </c>
      <c r="G25" s="113">
        <f>'Facility Detail'!H289</f>
        <v>0</v>
      </c>
      <c r="H25" s="113">
        <f>'Facility Detail'!I289</f>
        <v>8656</v>
      </c>
      <c r="I25" s="113">
        <f>'Facility Detail'!J289</f>
        <v>11174</v>
      </c>
      <c r="J25" s="113">
        <f>'Facility Detail'!K289</f>
        <v>9667</v>
      </c>
      <c r="K25" s="113">
        <f>'Facility Detail'!L289</f>
        <v>3216</v>
      </c>
      <c r="L25" s="113">
        <f>'Facility Detail'!M289</f>
        <v>0</v>
      </c>
      <c r="M25" s="113">
        <f>'Facility Detail'!N289</f>
        <v>0</v>
      </c>
      <c r="N25" s="113">
        <f>'Facility Detail'!P289</f>
        <v>0</v>
      </c>
    </row>
    <row r="26" spans="1:14" ht="14.5" outlineLevel="1">
      <c r="A26" s="112" t="str">
        <f>'Facility Detail'!B7</f>
        <v>Hot Springs Windfarm - REC Only</v>
      </c>
      <c r="B26" s="112" t="str">
        <f xml:space="preserve"> IF( 'Facility Detail'!D7 = "", "", 'Facility Detail'!D7 )</f>
        <v>Wind</v>
      </c>
      <c r="C26" s="113">
        <f>'Facility Detail'!D333</f>
        <v>0</v>
      </c>
      <c r="D26" s="113">
        <f>'Facility Detail'!E333</f>
        <v>7963</v>
      </c>
      <c r="E26" s="113">
        <f>'Facility Detail'!F333</f>
        <v>0</v>
      </c>
      <c r="F26" s="113">
        <f>'Facility Detail'!G333</f>
        <v>0</v>
      </c>
      <c r="G26" s="113">
        <f>'Facility Detail'!H333</f>
        <v>0</v>
      </c>
      <c r="H26" s="113">
        <f>'Facility Detail'!I333</f>
        <v>8028</v>
      </c>
      <c r="I26" s="113">
        <f>'Facility Detail'!J333</f>
        <v>10218</v>
      </c>
      <c r="J26" s="113">
        <f>'Facility Detail'!K333</f>
        <v>8846</v>
      </c>
      <c r="K26" s="113">
        <f>'Facility Detail'!L333</f>
        <v>1923</v>
      </c>
      <c r="L26" s="113">
        <f>'Facility Detail'!M333</f>
        <v>0</v>
      </c>
      <c r="M26" s="113">
        <f>'Facility Detail'!N333</f>
        <v>0</v>
      </c>
      <c r="N26" s="113">
        <f>'Facility Detail'!P333</f>
        <v>0</v>
      </c>
    </row>
    <row r="27" spans="1:14" ht="14.5" outlineLevel="1">
      <c r="A27" s="112" t="str">
        <f>'Facility Detail'!B8</f>
        <v>*Tuana Springs - REC Only</v>
      </c>
      <c r="B27" s="112" t="str">
        <f xml:space="preserve"> IF( 'Facility Detail'!D8 = "", "", 'Facility Detail'!D8 )</f>
        <v>Wind</v>
      </c>
      <c r="C27" s="113">
        <f>'Facility Detail'!D371</f>
        <v>0</v>
      </c>
      <c r="D27" s="113">
        <f>'Facility Detail'!E371</f>
        <v>12253</v>
      </c>
      <c r="E27" s="113">
        <f>'Facility Detail'!F371</f>
        <v>43002</v>
      </c>
      <c r="F27" s="113">
        <f>'Facility Detail'!G371</f>
        <v>41752</v>
      </c>
      <c r="G27" s="113">
        <f>'Facility Detail'!H371</f>
        <v>0</v>
      </c>
      <c r="H27" s="113">
        <f>'Facility Detail'!I371</f>
        <v>0</v>
      </c>
      <c r="I27" s="113">
        <f>'Facility Detail'!J371</f>
        <v>0</v>
      </c>
      <c r="J27" s="113">
        <f>'Facility Detail'!K371</f>
        <v>0</v>
      </c>
      <c r="K27" s="113">
        <f>'Facility Detail'!L371</f>
        <v>0</v>
      </c>
      <c r="L27" s="113">
        <f>'Facility Detail'!M371</f>
        <v>0</v>
      </c>
      <c r="M27" s="113">
        <f>'Facility Detail'!N371</f>
        <v>0</v>
      </c>
      <c r="N27" s="113">
        <f>'Facility Detail'!P371</f>
        <v>0</v>
      </c>
    </row>
    <row r="28" spans="1:14" ht="14.5" outlineLevel="1">
      <c r="A28" s="112" t="str">
        <f>'Facility Detail'!B9</f>
        <v>Wanapum (Upgrade)</v>
      </c>
      <c r="B28" s="112" t="str">
        <f xml:space="preserve"> IF( 'Facility Detail'!D9 = "", "", 'Facility Detail'!D9 )</f>
        <v>Water (Incremental Hydro)</v>
      </c>
      <c r="C28" s="113">
        <f>'Facility Detail'!D409</f>
        <v>0</v>
      </c>
      <c r="D28" s="113">
        <f>'Facility Detail'!E409</f>
        <v>678</v>
      </c>
      <c r="E28" s="113">
        <f>'Facility Detail'!F409</f>
        <v>631</v>
      </c>
      <c r="F28" s="113">
        <f>'Facility Detail'!G409</f>
        <v>0</v>
      </c>
      <c r="G28" s="113">
        <f>'Facility Detail'!H409</f>
        <v>0</v>
      </c>
      <c r="H28" s="113">
        <f>'Facility Detail'!I409</f>
        <v>0</v>
      </c>
      <c r="I28" s="113">
        <f>'Facility Detail'!J409</f>
        <v>0</v>
      </c>
      <c r="J28" s="113">
        <f>'Facility Detail'!K409</f>
        <v>0</v>
      </c>
      <c r="K28" s="113">
        <f>'Facility Detail'!L409</f>
        <v>0</v>
      </c>
      <c r="L28" s="113">
        <f>'Facility Detail'!M409</f>
        <v>0</v>
      </c>
      <c r="M28" s="113">
        <f>'Facility Detail'!N409</f>
        <v>0</v>
      </c>
      <c r="N28" s="113">
        <f>'Facility Detail'!P409</f>
        <v>0</v>
      </c>
    </row>
    <row r="29" spans="1:14" ht="14.5" outlineLevel="1">
      <c r="A29" s="112" t="str">
        <f>'Facility Detail'!B10</f>
        <v>Prospect 2 (Upgrade 1999)</v>
      </c>
      <c r="B29" s="112" t="str">
        <f xml:space="preserve"> IF( 'Facility Detail'!D10 = "", "", 'Facility Detail'!D10 )</f>
        <v>Water (Incremental Hydro)</v>
      </c>
      <c r="C29" s="113">
        <f>'Facility Detail'!D455</f>
        <v>0</v>
      </c>
      <c r="D29" s="113">
        <f>'Facility Detail'!E455</f>
        <v>328</v>
      </c>
      <c r="E29" s="113">
        <f>'Facility Detail'!F455</f>
        <v>293</v>
      </c>
      <c r="F29" s="113">
        <f>'Facility Detail'!G455</f>
        <v>278</v>
      </c>
      <c r="G29" s="113">
        <f>'Facility Detail'!H455</f>
        <v>226</v>
      </c>
      <c r="H29" s="113">
        <f>'Facility Detail'!I455</f>
        <v>329</v>
      </c>
      <c r="I29" s="113">
        <f>'Facility Detail'!J455</f>
        <v>346</v>
      </c>
      <c r="J29" s="113">
        <f>'Facility Detail'!K455</f>
        <v>266</v>
      </c>
      <c r="K29" s="113">
        <f>'Facility Detail'!L455</f>
        <v>245.28874750957291</v>
      </c>
      <c r="L29" s="113">
        <f>'Facility Detail'!M455</f>
        <v>284</v>
      </c>
      <c r="M29" s="113">
        <f>'Facility Detail'!N455</f>
        <v>0</v>
      </c>
      <c r="N29" s="113">
        <f>'Facility Detail'!P455</f>
        <v>0</v>
      </c>
    </row>
    <row r="30" spans="1:14" ht="14.5" outlineLevel="1">
      <c r="A30" s="112" t="str">
        <f>'Facility Detail'!B11</f>
        <v>Lemolo 1 (Upgrade 2003)</v>
      </c>
      <c r="B30" s="112" t="str">
        <f xml:space="preserve"> IF( 'Facility Detail'!D11 = "", "", 'Facility Detail'!D11 )</f>
        <v>Water (Incremental Hydro)</v>
      </c>
      <c r="C30" s="113">
        <f>'Facility Detail'!D501</f>
        <v>0</v>
      </c>
      <c r="D30" s="113">
        <f>'Facility Detail'!E501</f>
        <v>1355</v>
      </c>
      <c r="E30" s="113">
        <f>'Facility Detail'!F501</f>
        <v>997</v>
      </c>
      <c r="F30" s="113">
        <f>'Facility Detail'!G501</f>
        <v>1148</v>
      </c>
      <c r="G30" s="113">
        <f>'Facility Detail'!H501</f>
        <v>1011</v>
      </c>
      <c r="H30" s="113">
        <f>'Facility Detail'!I501</f>
        <v>1113</v>
      </c>
      <c r="I30" s="113">
        <f>'Facility Detail'!J501</f>
        <v>1438</v>
      </c>
      <c r="J30" s="113">
        <f>'Facility Detail'!K501</f>
        <v>1007</v>
      </c>
      <c r="K30" s="113">
        <f>'Facility Detail'!L501</f>
        <v>892.99835228774452</v>
      </c>
      <c r="L30" s="113">
        <f>'Facility Detail'!M501</f>
        <v>1175.7496337355944</v>
      </c>
      <c r="M30" s="113">
        <f>'Facility Detail'!N501</f>
        <v>0</v>
      </c>
      <c r="N30" s="113">
        <f>'Facility Detail'!P501</f>
        <v>0</v>
      </c>
    </row>
    <row r="31" spans="1:14" ht="14.5" outlineLevel="1">
      <c r="A31" s="112" t="str">
        <f>'Facility Detail'!B12</f>
        <v>JC Boyle (Upgrade 2005)</v>
      </c>
      <c r="B31" s="112" t="str">
        <f xml:space="preserve"> IF( 'Facility Detail'!D12 = "", "", 'Facility Detail'!D12 )</f>
        <v>Water (Incremental Hydro)</v>
      </c>
      <c r="C31" s="113">
        <f>'Facility Detail'!D547</f>
        <v>0</v>
      </c>
      <c r="D31" s="113">
        <f>'Facility Detail'!E547</f>
        <v>276</v>
      </c>
      <c r="E31" s="113">
        <f>'Facility Detail'!F547</f>
        <v>189</v>
      </c>
      <c r="F31" s="113">
        <f>'Facility Detail'!G547</f>
        <v>184</v>
      </c>
      <c r="G31" s="113">
        <f>'Facility Detail'!H547</f>
        <v>172</v>
      </c>
      <c r="H31" s="113">
        <f>'Facility Detail'!I547</f>
        <v>235</v>
      </c>
      <c r="I31" s="113">
        <f>'Facility Detail'!J547</f>
        <v>342</v>
      </c>
      <c r="J31" s="113">
        <f>'Facility Detail'!K547</f>
        <v>205</v>
      </c>
      <c r="K31" s="113">
        <f>'Facility Detail'!L547</f>
        <v>233</v>
      </c>
      <c r="L31" s="113">
        <f>'Facility Detail'!M547</f>
        <v>13</v>
      </c>
      <c r="M31" s="113">
        <f>'Facility Detail'!N547</f>
        <v>0</v>
      </c>
      <c r="N31" s="113">
        <f>'Facility Detail'!P547</f>
        <v>0</v>
      </c>
    </row>
    <row r="32" spans="1:14" ht="14.5" outlineLevel="1">
      <c r="A32" s="112" t="str">
        <f>'Facility Detail'!B13</f>
        <v>Lemolo 2 (Upgrade 2009)</v>
      </c>
      <c r="B32" s="112" t="str">
        <f xml:space="preserve"> IF( 'Facility Detail'!D13 = "", "", 'Facility Detail'!D13 )</f>
        <v>Water (Incremental Hydro)</v>
      </c>
      <c r="C32" s="113">
        <f>'Facility Detail'!D593</f>
        <v>0</v>
      </c>
      <c r="D32" s="113">
        <f>'Facility Detail'!E593</f>
        <v>142</v>
      </c>
      <c r="E32" s="113">
        <f>'Facility Detail'!F593</f>
        <v>102</v>
      </c>
      <c r="F32" s="113">
        <f>'Facility Detail'!G593</f>
        <v>109</v>
      </c>
      <c r="G32" s="113">
        <f>'Facility Detail'!H593</f>
        <v>86</v>
      </c>
      <c r="H32" s="113">
        <f>'Facility Detail'!I593</f>
        <v>95</v>
      </c>
      <c r="I32" s="113">
        <f>'Facility Detail'!J593</f>
        <v>127</v>
      </c>
      <c r="J32" s="113">
        <f>'Facility Detail'!K593</f>
        <v>84</v>
      </c>
      <c r="K32" s="113">
        <f>'Facility Detail'!L593</f>
        <v>85.854897861498941</v>
      </c>
      <c r="L32" s="113">
        <f>'Facility Detail'!M593</f>
        <v>108.79976757429453</v>
      </c>
      <c r="M32" s="113">
        <f>'Facility Detail'!N593</f>
        <v>0</v>
      </c>
      <c r="N32" s="113">
        <f>'Facility Detail'!P593</f>
        <v>0</v>
      </c>
    </row>
    <row r="33" spans="1:14" ht="14.5" outlineLevel="1">
      <c r="A33" s="112" t="str">
        <f>'Facility Detail'!B14</f>
        <v>Seven Mile Hill I</v>
      </c>
      <c r="B33" s="112" t="str">
        <f xml:space="preserve"> IF( 'Facility Detail'!D14 = "", "", 'Facility Detail'!D14 )</f>
        <v>Wind</v>
      </c>
      <c r="C33" s="113">
        <f>'Facility Detail'!D639</f>
        <v>0</v>
      </c>
      <c r="D33" s="113">
        <f>'Facility Detail'!E639</f>
        <v>0</v>
      </c>
      <c r="E33" s="113">
        <f>'Facility Detail'!F639</f>
        <v>0</v>
      </c>
      <c r="F33" s="113">
        <f>'Facility Detail'!G639</f>
        <v>0</v>
      </c>
      <c r="G33" s="113">
        <f>'Facility Detail'!H639</f>
        <v>0</v>
      </c>
      <c r="H33" s="113">
        <f>'Facility Detail'!I639</f>
        <v>0</v>
      </c>
      <c r="I33" s="113">
        <f>'Facility Detail'!J639</f>
        <v>4353</v>
      </c>
      <c r="J33" s="113">
        <f>'Facility Detail'!K639</f>
        <v>11844</v>
      </c>
      <c r="K33" s="113">
        <f>'Facility Detail'!L639</f>
        <v>26992.120055553736</v>
      </c>
      <c r="L33" s="113">
        <f>'Facility Detail'!M639</f>
        <v>30707</v>
      </c>
      <c r="M33" s="113">
        <f>'Facility Detail'!N639</f>
        <v>0</v>
      </c>
      <c r="N33" s="113">
        <f>'Facility Detail'!P639</f>
        <v>0</v>
      </c>
    </row>
    <row r="34" spans="1:14" ht="14.5" outlineLevel="1">
      <c r="A34" s="112" t="str">
        <f>'Facility Detail'!B15</f>
        <v>Nine Canyon Wind Project - REC Only</v>
      </c>
      <c r="B34" s="112" t="str">
        <f xml:space="preserve"> IF( 'Facility Detail'!D15 = "", "", 'Facility Detail'!D15 )</f>
        <v>Wind</v>
      </c>
      <c r="C34" s="113">
        <f>'Facility Detail'!D681</f>
        <v>0</v>
      </c>
      <c r="D34" s="113">
        <f>'Facility Detail'!E681</f>
        <v>0</v>
      </c>
      <c r="E34" s="113">
        <f>'Facility Detail'!F681</f>
        <v>0</v>
      </c>
      <c r="F34" s="113">
        <f>'Facility Detail'!G681</f>
        <v>0</v>
      </c>
      <c r="G34" s="113">
        <f>'Facility Detail'!H681</f>
        <v>0</v>
      </c>
      <c r="H34" s="113">
        <f>'Facility Detail'!I681</f>
        <v>2500</v>
      </c>
      <c r="I34" s="113">
        <f>'Facility Detail'!J681</f>
        <v>8225</v>
      </c>
      <c r="J34" s="113">
        <f>'Facility Detail'!K681</f>
        <v>0</v>
      </c>
      <c r="K34" s="113">
        <f>'Facility Detail'!L681</f>
        <v>0</v>
      </c>
      <c r="L34" s="113">
        <f>'Facility Detail'!M681</f>
        <v>0</v>
      </c>
      <c r="M34" s="113">
        <f>'Facility Detail'!N681</f>
        <v>0</v>
      </c>
      <c r="N34" s="113">
        <f>'Facility Detail'!P681</f>
        <v>0</v>
      </c>
    </row>
    <row r="35" spans="1:14" ht="14.5" outlineLevel="1">
      <c r="A35" s="112" t="str">
        <f>'Facility Detail'!B16</f>
        <v>Top of the World</v>
      </c>
      <c r="B35" s="112" t="str">
        <f xml:space="preserve"> IF( 'Facility Detail'!D16 = "", "", 'Facility Detail'!D16 )</f>
        <v>Wind</v>
      </c>
      <c r="C35" s="113">
        <f>'Facility Detail'!D732</f>
        <v>0</v>
      </c>
      <c r="D35" s="113">
        <f>'Facility Detail'!E732</f>
        <v>0</v>
      </c>
      <c r="E35" s="113">
        <f>'Facility Detail'!F732</f>
        <v>0</v>
      </c>
      <c r="F35" s="113">
        <f>'Facility Detail'!G732</f>
        <v>0</v>
      </c>
      <c r="G35" s="113">
        <f>'Facility Detail'!H732</f>
        <v>0</v>
      </c>
      <c r="H35" s="113">
        <f>'Facility Detail'!I732</f>
        <v>45911</v>
      </c>
      <c r="I35" s="113">
        <f>'Facility Detail'!J732</f>
        <v>102623</v>
      </c>
      <c r="J35" s="113">
        <f>'Facility Detail'!K732</f>
        <v>42284</v>
      </c>
      <c r="K35" s="113">
        <f>'Facility Detail'!L732</f>
        <v>42583.568991325665</v>
      </c>
      <c r="L35" s="113">
        <f>'Facility Detail'!M732</f>
        <v>56662.43995278189</v>
      </c>
      <c r="M35" s="113">
        <f>'Facility Detail'!N732</f>
        <v>40497.572414448005</v>
      </c>
      <c r="N35" s="113">
        <f>'Facility Detail'!P732</f>
        <v>0</v>
      </c>
    </row>
    <row r="36" spans="1:14" ht="14.5" outlineLevel="1">
      <c r="A36" s="112" t="str">
        <f>'Facility Detail'!B17</f>
        <v>Dunlap I</v>
      </c>
      <c r="B36" s="112" t="str">
        <f xml:space="preserve"> IF( 'Facility Detail'!D17 = "", "", 'Facility Detail'!D17 )</f>
        <v>Wind</v>
      </c>
      <c r="C36" s="113">
        <f>'Facility Detail'!D783</f>
        <v>0</v>
      </c>
      <c r="D36" s="113">
        <f>'Facility Detail'!E783</f>
        <v>0</v>
      </c>
      <c r="E36" s="113">
        <f>'Facility Detail'!F783</f>
        <v>0</v>
      </c>
      <c r="F36" s="113">
        <f>'Facility Detail'!G783</f>
        <v>0</v>
      </c>
      <c r="G36" s="113">
        <f>'Facility Detail'!H783</f>
        <v>0</v>
      </c>
      <c r="H36" s="113">
        <f>'Facility Detail'!I783</f>
        <v>59100</v>
      </c>
      <c r="I36" s="113">
        <f>'Facility Detail'!J783</f>
        <v>899</v>
      </c>
      <c r="J36" s="113">
        <f>'Facility Detail'!K783</f>
        <v>55648</v>
      </c>
      <c r="K36" s="113">
        <f>'Facility Detail'!L783</f>
        <v>29526.1822240699</v>
      </c>
      <c r="L36" s="113">
        <f>'Facility Detail'!M783</f>
        <v>40628.148308640011</v>
      </c>
      <c r="M36" s="113">
        <f>'Facility Detail'!N783</f>
        <v>23323.326419182333</v>
      </c>
      <c r="N36" s="113">
        <f>'Facility Detail'!P783</f>
        <v>0</v>
      </c>
    </row>
    <row r="37" spans="1:14" ht="14.5" outlineLevel="1">
      <c r="A37" s="112" t="str">
        <f>'Facility Detail'!B18</f>
        <v>Campbell Hill/Three Buttes</v>
      </c>
      <c r="B37" s="112" t="str">
        <f xml:space="preserve"> IF( 'Facility Detail'!D18 = "", "", 'Facility Detail'!D18 )</f>
        <v>Wind</v>
      </c>
      <c r="C37" s="113">
        <f>'Facility Detail'!D834</f>
        <v>0</v>
      </c>
      <c r="D37" s="113">
        <f>'Facility Detail'!E834</f>
        <v>0</v>
      </c>
      <c r="E37" s="113">
        <f>'Facility Detail'!F834</f>
        <v>0</v>
      </c>
      <c r="F37" s="113">
        <f>'Facility Detail'!G834</f>
        <v>0</v>
      </c>
      <c r="G37" s="113">
        <f>'Facility Detail'!H834</f>
        <v>0</v>
      </c>
      <c r="H37" s="113">
        <f>'Facility Detail'!I834</f>
        <v>50956</v>
      </c>
      <c r="I37" s="113">
        <f>'Facility Detail'!J834</f>
        <v>0</v>
      </c>
      <c r="J37" s="113">
        <f>'Facility Detail'!K834</f>
        <v>49754</v>
      </c>
      <c r="K37" s="113">
        <f>'Facility Detail'!L834</f>
        <v>24904.595425512929</v>
      </c>
      <c r="L37" s="113">
        <f>'Facility Detail'!M834</f>
        <v>45256.026337211675</v>
      </c>
      <c r="M37" s="113">
        <f>'Facility Detail'!N834</f>
        <v>5794.2488965137491</v>
      </c>
      <c r="N37" s="113">
        <f>'Facility Detail'!P834</f>
        <v>0</v>
      </c>
    </row>
    <row r="38" spans="1:14" ht="14.5" outlineLevel="1">
      <c r="A38" s="112" t="str">
        <f>'Facility Detail'!B19</f>
        <v>Glenrock Wind I</v>
      </c>
      <c r="B38" s="112" t="str">
        <f xml:space="preserve"> IF( 'Facility Detail'!D19 = "", "", 'Facility Detail'!D19 )</f>
        <v>Wind</v>
      </c>
      <c r="C38" s="113">
        <f>'Facility Detail'!D885</f>
        <v>0</v>
      </c>
      <c r="D38" s="113">
        <f>'Facility Detail'!E885</f>
        <v>0</v>
      </c>
      <c r="E38" s="113">
        <f>'Facility Detail'!F885</f>
        <v>0</v>
      </c>
      <c r="F38" s="113">
        <f>'Facility Detail'!G885</f>
        <v>0</v>
      </c>
      <c r="G38" s="113">
        <f>'Facility Detail'!H885</f>
        <v>0</v>
      </c>
      <c r="H38" s="113">
        <f>'Facility Detail'!I885</f>
        <v>34877</v>
      </c>
      <c r="I38" s="113">
        <f>'Facility Detail'!J885</f>
        <v>35572</v>
      </c>
      <c r="J38" s="113">
        <f>'Facility Detail'!K885</f>
        <v>24143</v>
      </c>
      <c r="K38" s="113">
        <f>'Facility Detail'!L885</f>
        <v>24671.889522730155</v>
      </c>
      <c r="L38" s="113">
        <f>'Facility Detail'!M885</f>
        <v>47180.239244754724</v>
      </c>
      <c r="M38" s="113">
        <f>'Facility Detail'!N885</f>
        <v>7391.7459929191537</v>
      </c>
      <c r="N38" s="113">
        <f>'Facility Detail'!P885</f>
        <v>0</v>
      </c>
    </row>
    <row r="39" spans="1:14" ht="14.5" outlineLevel="1">
      <c r="A39" s="112" t="str">
        <f>'Facility Detail'!B20</f>
        <v>Rolling Hills</v>
      </c>
      <c r="B39" s="112" t="str">
        <f xml:space="preserve"> IF( 'Facility Detail'!D20 = "", "", 'Facility Detail'!D20 )</f>
        <v>Wind</v>
      </c>
      <c r="C39" s="113">
        <f>'Facility Detail'!D927</f>
        <v>0</v>
      </c>
      <c r="D39" s="113">
        <f>'Facility Detail'!E927</f>
        <v>0</v>
      </c>
      <c r="E39" s="113">
        <f>'Facility Detail'!F927</f>
        <v>0</v>
      </c>
      <c r="F39" s="113">
        <f>'Facility Detail'!G927</f>
        <v>0</v>
      </c>
      <c r="G39" s="113">
        <f>'Facility Detail'!H927</f>
        <v>0</v>
      </c>
      <c r="H39" s="113">
        <f>'Facility Detail'!I927</f>
        <v>5468</v>
      </c>
      <c r="I39" s="113">
        <f>'Facility Detail'!J927</f>
        <v>0</v>
      </c>
      <c r="J39" s="113">
        <f>'Facility Detail'!K927</f>
        <v>0</v>
      </c>
      <c r="K39" s="113">
        <f>'Facility Detail'!L927</f>
        <v>0</v>
      </c>
      <c r="L39" s="113">
        <f>'Facility Detail'!M927</f>
        <v>0</v>
      </c>
      <c r="M39" s="113">
        <f>'Facility Detail'!N927</f>
        <v>0</v>
      </c>
      <c r="N39" s="113">
        <f>'Facility Detail'!P927</f>
        <v>0</v>
      </c>
    </row>
    <row r="40" spans="1:14" ht="14.5" outlineLevel="1">
      <c r="A40" s="112" t="str">
        <f>'Facility Detail'!B21</f>
        <v>SPI Aberdeen - REC Only</v>
      </c>
      <c r="B40" s="112" t="str">
        <f xml:space="preserve"> IF( 'Facility Detail'!D21 = "", "", 'Facility Detail'!D21 )</f>
        <v>Biomass</v>
      </c>
      <c r="C40" s="113">
        <f>'Facility Detail'!D967</f>
        <v>0</v>
      </c>
      <c r="D40" s="113">
        <f>'Facility Detail'!E967</f>
        <v>0</v>
      </c>
      <c r="E40" s="113">
        <f>'Facility Detail'!F967</f>
        <v>0</v>
      </c>
      <c r="F40" s="113">
        <f>'Facility Detail'!G967</f>
        <v>0</v>
      </c>
      <c r="G40" s="113">
        <f>'Facility Detail'!H967</f>
        <v>40000</v>
      </c>
      <c r="H40" s="113">
        <f>'Facility Detail'!I967</f>
        <v>0</v>
      </c>
      <c r="I40" s="113">
        <f>'Facility Detail'!J967</f>
        <v>0</v>
      </c>
      <c r="J40" s="113">
        <f>'Facility Detail'!K967</f>
        <v>0</v>
      </c>
      <c r="K40" s="113">
        <f>'Facility Detail'!L967</f>
        <v>0</v>
      </c>
      <c r="L40" s="113">
        <f>'Facility Detail'!M967</f>
        <v>0</v>
      </c>
      <c r="M40" s="113">
        <f>'Facility Detail'!N967</f>
        <v>0</v>
      </c>
      <c r="N40" s="113">
        <f>'Facility Detail'!P967</f>
        <v>0</v>
      </c>
    </row>
    <row r="41" spans="1:14" ht="14.5" outlineLevel="1">
      <c r="A41" s="112" t="str">
        <f>'Facility Detail'!B22</f>
        <v>Hidden Hollow - REC Only</v>
      </c>
      <c r="B41" s="112" t="str">
        <f xml:space="preserve"> IF( 'Facility Detail'!D22 = "", "", 'Facility Detail'!D22 )</f>
        <v>Landfill Gas</v>
      </c>
      <c r="C41" s="113">
        <f>'Facility Detail'!D1009</f>
        <v>0</v>
      </c>
      <c r="D41" s="113">
        <f>'Facility Detail'!E1009</f>
        <v>0</v>
      </c>
      <c r="E41" s="113">
        <f>'Facility Detail'!F1009</f>
        <v>0</v>
      </c>
      <c r="F41" s="113">
        <f>'Facility Detail'!G1009</f>
        <v>0</v>
      </c>
      <c r="G41" s="113">
        <f>'Facility Detail'!H1009</f>
        <v>0</v>
      </c>
      <c r="H41" s="113">
        <f>'Facility Detail'!I1009</f>
        <v>12501</v>
      </c>
      <c r="I41" s="113">
        <f>'Facility Detail'!J1009</f>
        <v>3960</v>
      </c>
      <c r="J41" s="113">
        <f>'Facility Detail'!K1009</f>
        <v>0</v>
      </c>
      <c r="K41" s="113">
        <f>'Facility Detail'!L1009</f>
        <v>0</v>
      </c>
      <c r="L41" s="113">
        <f>'Facility Detail'!M1009</f>
        <v>0</v>
      </c>
      <c r="M41" s="113">
        <f>'Facility Detail'!N1009</f>
        <v>0</v>
      </c>
      <c r="N41" s="113">
        <f>'Facility Detail'!P1009</f>
        <v>0</v>
      </c>
    </row>
    <row r="42" spans="1:14" ht="14.5" outlineLevel="1">
      <c r="A42" s="112" t="str">
        <f>'Facility Detail'!B23</f>
        <v>Fighting Creek - REC Only</v>
      </c>
      <c r="B42" s="112" t="str">
        <f xml:space="preserve"> IF( 'Facility Detail'!D23 = "", "", 'Facility Detail'!D23 )</f>
        <v>Landfill Gas</v>
      </c>
      <c r="C42" s="113">
        <f>'Facility Detail'!D1051</f>
        <v>0</v>
      </c>
      <c r="D42" s="113">
        <f>'Facility Detail'!E1051</f>
        <v>0</v>
      </c>
      <c r="E42" s="113">
        <f>'Facility Detail'!F1051</f>
        <v>0</v>
      </c>
      <c r="F42" s="113">
        <f>'Facility Detail'!G1051</f>
        <v>0</v>
      </c>
      <c r="G42" s="113">
        <f>'Facility Detail'!H1051</f>
        <v>0</v>
      </c>
      <c r="H42" s="113">
        <f>'Facility Detail'!I1051</f>
        <v>730</v>
      </c>
      <c r="I42" s="113">
        <f>'Facility Detail'!J1051</f>
        <v>0</v>
      </c>
      <c r="J42" s="113">
        <f>'Facility Detail'!K1051</f>
        <v>0</v>
      </c>
      <c r="K42" s="113">
        <f>'Facility Detail'!L1051</f>
        <v>0</v>
      </c>
      <c r="L42" s="113">
        <f>'Facility Detail'!M1051</f>
        <v>0</v>
      </c>
      <c r="M42" s="113">
        <f>'Facility Detail'!N1051</f>
        <v>0</v>
      </c>
      <c r="N42" s="113">
        <f>'Facility Detail'!P1051</f>
        <v>0</v>
      </c>
    </row>
    <row r="43" spans="1:14" ht="14.5" outlineLevel="1">
      <c r="A43" s="112" t="str">
        <f>'Facility Detail'!B24</f>
        <v>Lower Snake – Phalen Gulch - REC Only</v>
      </c>
      <c r="B43" s="112" t="str">
        <f xml:space="preserve"> IF( 'Facility Detail'!D24 = "", "", 'Facility Detail'!D24 )</f>
        <v>Wind</v>
      </c>
      <c r="C43" s="113">
        <f>'Facility Detail'!D1093</f>
        <v>0</v>
      </c>
      <c r="D43" s="113">
        <f>'Facility Detail'!E1093</f>
        <v>0</v>
      </c>
      <c r="E43" s="113">
        <f>'Facility Detail'!F1093</f>
        <v>0</v>
      </c>
      <c r="F43" s="113">
        <f>'Facility Detail'!G1093</f>
        <v>0</v>
      </c>
      <c r="G43" s="113">
        <f>'Facility Detail'!H1093</f>
        <v>0</v>
      </c>
      <c r="H43" s="113">
        <f>'Facility Detail'!I1093</f>
        <v>1300</v>
      </c>
      <c r="I43" s="113">
        <f>'Facility Detail'!J1093</f>
        <v>0</v>
      </c>
      <c r="J43" s="113">
        <f>'Facility Detail'!K1093</f>
        <v>0</v>
      </c>
      <c r="K43" s="113">
        <f>'Facility Detail'!L1093</f>
        <v>0</v>
      </c>
      <c r="L43" s="113">
        <f>'Facility Detail'!M1093</f>
        <v>0</v>
      </c>
      <c r="M43" s="113">
        <f>'Facility Detail'!N1093</f>
        <v>0</v>
      </c>
      <c r="N43" s="113">
        <f>'Facility Detail'!P1093</f>
        <v>0</v>
      </c>
    </row>
    <row r="44" spans="1:14" ht="14.5" outlineLevel="1">
      <c r="A44" s="112" t="str">
        <f>'Facility Detail'!B25</f>
        <v>Elkhorn Valley Wind - REC Only</v>
      </c>
      <c r="B44" s="112" t="str">
        <f xml:space="preserve"> IF( 'Facility Detail'!D25 = "", "", 'Facility Detail'!D25 )</f>
        <v>Wind</v>
      </c>
      <c r="C44" s="113">
        <f>'Facility Detail'!D1135</f>
        <v>0</v>
      </c>
      <c r="D44" s="113">
        <f>'Facility Detail'!E1135</f>
        <v>0</v>
      </c>
      <c r="E44" s="113">
        <f>'Facility Detail'!F1135</f>
        <v>0</v>
      </c>
      <c r="F44" s="113">
        <f>'Facility Detail'!G1135</f>
        <v>0</v>
      </c>
      <c r="G44" s="113">
        <f>'Facility Detail'!H1135</f>
        <v>0</v>
      </c>
      <c r="H44" s="113">
        <f>'Facility Detail'!I1135</f>
        <v>4468</v>
      </c>
      <c r="I44" s="113">
        <f>'Facility Detail'!J1135</f>
        <v>0</v>
      </c>
      <c r="J44" s="113">
        <f>'Facility Detail'!K1135</f>
        <v>0</v>
      </c>
      <c r="K44" s="113">
        <f>'Facility Detail'!L1135</f>
        <v>0</v>
      </c>
      <c r="L44" s="113">
        <f>'Facility Detail'!M1135</f>
        <v>0</v>
      </c>
      <c r="M44" s="113">
        <f>'Facility Detail'!N1135</f>
        <v>0</v>
      </c>
      <c r="N44" s="113">
        <f>'Facility Detail'!P1135</f>
        <v>0</v>
      </c>
    </row>
    <row r="45" spans="1:14" ht="14.5" outlineLevel="1">
      <c r="A45" s="112" t="str">
        <f>'Facility Detail'!B26</f>
        <v>Condon Wind Power Project - Condon Phase II - REC Only</v>
      </c>
      <c r="B45" s="112" t="str">
        <f xml:space="preserve"> IF( 'Facility Detail'!D26 = "", "", 'Facility Detail'!D26 )</f>
        <v>Wind</v>
      </c>
      <c r="C45" s="113">
        <f>'Facility Detail'!D1177</f>
        <v>0</v>
      </c>
      <c r="D45" s="113">
        <f>'Facility Detail'!E1177</f>
        <v>0</v>
      </c>
      <c r="E45" s="113">
        <f>'Facility Detail'!F1177</f>
        <v>0</v>
      </c>
      <c r="F45" s="113">
        <f>'Facility Detail'!G1177</f>
        <v>0</v>
      </c>
      <c r="G45" s="113">
        <f>'Facility Detail'!H1177</f>
        <v>0</v>
      </c>
      <c r="H45" s="113">
        <f>'Facility Detail'!I1177</f>
        <v>0</v>
      </c>
      <c r="I45" s="113">
        <f>'Facility Detail'!J1177</f>
        <v>7725</v>
      </c>
      <c r="J45" s="113">
        <f>'Facility Detail'!K1177</f>
        <v>0</v>
      </c>
      <c r="K45" s="113">
        <f>'Facility Detail'!L1177</f>
        <v>0</v>
      </c>
      <c r="L45" s="113">
        <f>'Facility Detail'!M1177</f>
        <v>0</v>
      </c>
      <c r="M45" s="113">
        <f>'Facility Detail'!N1177</f>
        <v>0</v>
      </c>
      <c r="N45" s="113">
        <f>'Facility Detail'!P1177</f>
        <v>0</v>
      </c>
    </row>
    <row r="46" spans="1:14" ht="14.5" outlineLevel="1">
      <c r="A46" s="112" t="str">
        <f>'Facility Detail'!B27</f>
        <v>Condon Wind Power Project - Condon Wind Power Project - REC Only</v>
      </c>
      <c r="B46" s="112" t="str">
        <f xml:space="preserve"> IF( 'Facility Detail'!D27 = "", "", 'Facility Detail'!D27 )</f>
        <v>Wind</v>
      </c>
      <c r="C46" s="113">
        <f>'Facility Detail'!D1219</f>
        <v>0</v>
      </c>
      <c r="D46" s="113">
        <f>'Facility Detail'!E1219</f>
        <v>0</v>
      </c>
      <c r="E46" s="113">
        <f>'Facility Detail'!F1219</f>
        <v>0</v>
      </c>
      <c r="F46" s="113">
        <f>'Facility Detail'!G1219</f>
        <v>0</v>
      </c>
      <c r="G46" s="113">
        <f>'Facility Detail'!H1219</f>
        <v>0</v>
      </c>
      <c r="H46" s="113">
        <f>'Facility Detail'!I1219</f>
        <v>0</v>
      </c>
      <c r="I46" s="113">
        <f>'Facility Detail'!J1219</f>
        <v>8286</v>
      </c>
      <c r="J46" s="113">
        <f>'Facility Detail'!K1219</f>
        <v>0</v>
      </c>
      <c r="K46" s="113">
        <f>'Facility Detail'!L1219</f>
        <v>0</v>
      </c>
      <c r="L46" s="113">
        <f>'Facility Detail'!M1219</f>
        <v>0</v>
      </c>
      <c r="M46" s="113">
        <f>'Facility Detail'!N1219</f>
        <v>0</v>
      </c>
      <c r="N46" s="113">
        <f>'Facility Detail'!P1219</f>
        <v>0</v>
      </c>
    </row>
    <row r="47" spans="1:14" ht="14.5" outlineLevel="1">
      <c r="A47" s="112" t="str">
        <f>'Facility Detail'!B28</f>
        <v>Klondike I - Klondike Wind Power LLC - REC Only</v>
      </c>
      <c r="B47" s="112" t="str">
        <f xml:space="preserve"> IF( 'Facility Detail'!D28 = "", "", 'Facility Detail'!D28 )</f>
        <v>Wind</v>
      </c>
      <c r="C47" s="113">
        <f>'Facility Detail'!D1261</f>
        <v>0</v>
      </c>
      <c r="D47" s="113">
        <f>'Facility Detail'!E1261</f>
        <v>0</v>
      </c>
      <c r="E47" s="113">
        <f>'Facility Detail'!F1261</f>
        <v>0</v>
      </c>
      <c r="F47" s="113">
        <f>'Facility Detail'!G1261</f>
        <v>0</v>
      </c>
      <c r="G47" s="113">
        <f>'Facility Detail'!H1261</f>
        <v>0</v>
      </c>
      <c r="H47" s="113">
        <f>'Facility Detail'!I1261</f>
        <v>0</v>
      </c>
      <c r="I47" s="113">
        <f>'Facility Detail'!J1261</f>
        <v>29719</v>
      </c>
      <c r="J47" s="113">
        <f>'Facility Detail'!K1261</f>
        <v>0</v>
      </c>
      <c r="K47" s="113">
        <f>'Facility Detail'!L1261</f>
        <v>0</v>
      </c>
      <c r="L47" s="113">
        <f>'Facility Detail'!M1261</f>
        <v>0</v>
      </c>
      <c r="M47" s="113">
        <f>'Facility Detail'!N1261</f>
        <v>0</v>
      </c>
      <c r="N47" s="113">
        <f>'Facility Detail'!P1261</f>
        <v>0</v>
      </c>
    </row>
    <row r="48" spans="1:14" ht="14.5" outlineLevel="1">
      <c r="A48" s="112" t="str">
        <f>'Facility Detail'!B29</f>
        <v>Meadow Creek Wind Farm - Five Pine Project - REC Only</v>
      </c>
      <c r="B48" s="112" t="str">
        <f xml:space="preserve"> IF( 'Facility Detail'!D29 = "", "", 'Facility Detail'!D29 )</f>
        <v>Wind</v>
      </c>
      <c r="C48" s="113">
        <f>'Facility Detail'!D1303</f>
        <v>0</v>
      </c>
      <c r="D48" s="113">
        <f>'Facility Detail'!E1303</f>
        <v>0</v>
      </c>
      <c r="E48" s="113">
        <f>'Facility Detail'!F1303</f>
        <v>0</v>
      </c>
      <c r="F48" s="113">
        <f>'Facility Detail'!G1303</f>
        <v>0</v>
      </c>
      <c r="G48" s="113">
        <f>'Facility Detail'!H1303</f>
        <v>0</v>
      </c>
      <c r="H48" s="113">
        <f>'Facility Detail'!I1303</f>
        <v>0</v>
      </c>
      <c r="I48" s="113">
        <f>'Facility Detail'!J1303</f>
        <v>8543</v>
      </c>
      <c r="J48" s="113">
        <f>'Facility Detail'!K1303</f>
        <v>0</v>
      </c>
      <c r="K48" s="113">
        <f>'Facility Detail'!L1303</f>
        <v>0</v>
      </c>
      <c r="L48" s="113">
        <f>'Facility Detail'!M1303</f>
        <v>0</v>
      </c>
      <c r="M48" s="113">
        <f>'Facility Detail'!N1303</f>
        <v>0</v>
      </c>
      <c r="N48" s="113">
        <f>'Facility Detail'!P1303</f>
        <v>0</v>
      </c>
    </row>
    <row r="49" spans="1:14" ht="14.5" outlineLevel="1">
      <c r="A49" s="112" t="str">
        <f>'Facility Detail'!B30</f>
        <v>Meadow Creek Wind Farm - North Point Wind Farm - REC Only</v>
      </c>
      <c r="B49" s="112" t="str">
        <f xml:space="preserve"> IF( 'Facility Detail'!D30 = "", "", 'Facility Detail'!D30 )</f>
        <v>Wind</v>
      </c>
      <c r="C49" s="113">
        <f>'Facility Detail'!D1386</f>
        <v>0</v>
      </c>
      <c r="D49" s="113">
        <f>'Facility Detail'!E1386</f>
        <v>0</v>
      </c>
      <c r="E49" s="113">
        <f>'Facility Detail'!F1386</f>
        <v>0</v>
      </c>
      <c r="F49" s="113">
        <f>'Facility Detail'!G1386</f>
        <v>0</v>
      </c>
      <c r="G49" s="113">
        <f>'Facility Detail'!H1386</f>
        <v>0</v>
      </c>
      <c r="H49" s="113">
        <f>'Facility Detail'!I1386</f>
        <v>0</v>
      </c>
      <c r="I49" s="113">
        <f>'Facility Detail'!J1386</f>
        <v>2644</v>
      </c>
      <c r="J49" s="113">
        <f>'Facility Detail'!K1386</f>
        <v>0</v>
      </c>
      <c r="K49" s="113">
        <f>'Facility Detail'!L1386</f>
        <v>0</v>
      </c>
      <c r="L49" s="113">
        <f>'Facility Detail'!M1386</f>
        <v>0</v>
      </c>
      <c r="M49" s="113">
        <f>'Facility Detail'!N1386</f>
        <v>0</v>
      </c>
      <c r="N49" s="113">
        <f>'Facility Detail'!P1386</f>
        <v>0</v>
      </c>
    </row>
    <row r="50" spans="1:14" ht="14.5" outlineLevel="1">
      <c r="A50" s="112" t="str">
        <f>'Facility Detail'!B31</f>
        <v>Nine Canyon Wind Project - Nine Canyon Phase 3 - REC Only</v>
      </c>
      <c r="B50" s="112" t="str">
        <f xml:space="preserve"> IF( 'Facility Detail'!D31 = "", "", 'Facility Detail'!D31 )</f>
        <v>Wind</v>
      </c>
      <c r="C50" s="113">
        <f>'Facility Detail'!D1427</f>
        <v>0</v>
      </c>
      <c r="D50" s="113">
        <f>'Facility Detail'!E1427</f>
        <v>0</v>
      </c>
      <c r="E50" s="113">
        <f>'Facility Detail'!F1427</f>
        <v>0</v>
      </c>
      <c r="F50" s="113">
        <f>'Facility Detail'!G1427</f>
        <v>0</v>
      </c>
      <c r="G50" s="113">
        <f>'Facility Detail'!H1427</f>
        <v>0</v>
      </c>
      <c r="H50" s="113">
        <f>'Facility Detail'!I1427</f>
        <v>0</v>
      </c>
      <c r="I50" s="113">
        <f>'Facility Detail'!J1427</f>
        <v>4668</v>
      </c>
      <c r="J50" s="113">
        <f>'Facility Detail'!K1427</f>
        <v>0</v>
      </c>
      <c r="K50" s="113">
        <f>'Facility Detail'!L1427</f>
        <v>0</v>
      </c>
      <c r="L50" s="113">
        <f>'Facility Detail'!M1427</f>
        <v>0</v>
      </c>
      <c r="M50" s="113">
        <f>'Facility Detail'!N1427</f>
        <v>0</v>
      </c>
      <c r="N50" s="113">
        <f>'Facility Detail'!P1427</f>
        <v>0</v>
      </c>
    </row>
    <row r="51" spans="1:14" ht="14.5" outlineLevel="1">
      <c r="A51" s="112" t="str">
        <f>'Facility Detail'!B32</f>
        <v>Stateline (WA) - FPL Energy Vansycle LLC - REC Only</v>
      </c>
      <c r="B51" s="112" t="str">
        <f xml:space="preserve"> IF( 'Facility Detail'!D32 = "", "", 'Facility Detail'!D32 )</f>
        <v>Wind</v>
      </c>
      <c r="C51" s="113">
        <f>'Facility Detail'!D1468</f>
        <v>0</v>
      </c>
      <c r="D51" s="113">
        <f>'Facility Detail'!E1468</f>
        <v>0</v>
      </c>
      <c r="E51" s="113">
        <f>'Facility Detail'!F1468</f>
        <v>0</v>
      </c>
      <c r="F51" s="113">
        <f>'Facility Detail'!G1468</f>
        <v>0</v>
      </c>
      <c r="G51" s="113">
        <f>'Facility Detail'!H1468</f>
        <v>0</v>
      </c>
      <c r="H51" s="113">
        <f>'Facility Detail'!I1468</f>
        <v>0</v>
      </c>
      <c r="I51" s="113">
        <f>'Facility Detail'!J1468</f>
        <v>12946</v>
      </c>
      <c r="J51" s="113">
        <f>'Facility Detail'!K1468</f>
        <v>0</v>
      </c>
      <c r="K51" s="113">
        <f>'Facility Detail'!L1468</f>
        <v>0</v>
      </c>
      <c r="L51" s="113">
        <f>'Facility Detail'!M1468</f>
        <v>0</v>
      </c>
      <c r="M51" s="113">
        <f>'Facility Detail'!N1468</f>
        <v>0</v>
      </c>
      <c r="N51" s="113">
        <f>'Facility Detail'!P1468</f>
        <v>0</v>
      </c>
    </row>
    <row r="52" spans="1:14" ht="14.5">
      <c r="A52" s="112" t="str">
        <f>'Facility Detail'!B33</f>
        <v>Adams Solar</v>
      </c>
      <c r="B52" s="112" t="str">
        <f xml:space="preserve"> IF( 'Facility Detail'!D33 = "", "", 'Facility Detail'!D33 )</f>
        <v>Solar</v>
      </c>
      <c r="C52" s="113">
        <f>'Facility Detail'!D1513</f>
        <v>0</v>
      </c>
      <c r="D52" s="113">
        <f>'Facility Detail'!E1513</f>
        <v>0</v>
      </c>
      <c r="E52" s="113">
        <f>'Facility Detail'!F1513</f>
        <v>0</v>
      </c>
      <c r="F52" s="113">
        <f>'Facility Detail'!G1513</f>
        <v>0</v>
      </c>
      <c r="G52" s="113">
        <f>'Facility Detail'!H1513</f>
        <v>0</v>
      </c>
      <c r="H52" s="113">
        <f>'Facility Detail'!I1513</f>
        <v>0</v>
      </c>
      <c r="I52" s="113">
        <f>'Facility Detail'!J1513</f>
        <v>0</v>
      </c>
      <c r="J52" s="113">
        <f>'Facility Detail'!K1513</f>
        <v>0</v>
      </c>
      <c r="K52" s="113">
        <f>'Facility Detail'!L1513</f>
        <v>5205.4314876975841</v>
      </c>
      <c r="L52" s="113">
        <f>'Facility Detail'!M1513</f>
        <v>4592.1063272055262</v>
      </c>
      <c r="M52" s="113">
        <f>'Facility Detail'!N1513</f>
        <v>0</v>
      </c>
      <c r="N52" s="113">
        <f>'Facility Detail'!P1513</f>
        <v>0</v>
      </c>
    </row>
    <row r="53" spans="1:14" ht="14.5">
      <c r="A53" s="112" t="str">
        <f>'Facility Detail'!B34</f>
        <v>Bear Creek Solar</v>
      </c>
      <c r="B53" s="112" t="str">
        <f xml:space="preserve"> IF( 'Facility Detail'!D34 = "", "", 'Facility Detail'!D34 )</f>
        <v>Solar</v>
      </c>
      <c r="C53" s="113">
        <f>'Facility Detail'!D1558</f>
        <v>0</v>
      </c>
      <c r="D53" s="113">
        <f>'Facility Detail'!E1558</f>
        <v>0</v>
      </c>
      <c r="E53" s="113">
        <f>'Facility Detail'!F1558</f>
        <v>0</v>
      </c>
      <c r="F53" s="113">
        <f>'Facility Detail'!G1558</f>
        <v>0</v>
      </c>
      <c r="G53" s="113">
        <f>'Facility Detail'!H1558</f>
        <v>0</v>
      </c>
      <c r="H53" s="113">
        <f>'Facility Detail'!I1558</f>
        <v>0</v>
      </c>
      <c r="I53" s="113">
        <f>'Facility Detail'!J1558</f>
        <v>0</v>
      </c>
      <c r="J53" s="113">
        <f>'Facility Detail'!K1558</f>
        <v>0</v>
      </c>
      <c r="K53" s="113">
        <f>'Facility Detail'!L1558</f>
        <v>5719.150685458354</v>
      </c>
      <c r="L53" s="113">
        <f>'Facility Detail'!M1558</f>
        <v>4454.7643493280393</v>
      </c>
      <c r="M53" s="113">
        <f>'Facility Detail'!N1558</f>
        <v>0</v>
      </c>
      <c r="N53" s="113">
        <f>'Facility Detail'!P1558</f>
        <v>0</v>
      </c>
    </row>
    <row r="54" spans="1:14" ht="14.5">
      <c r="A54" s="112" t="str">
        <f>'Facility Detail'!B35</f>
        <v>Bly Solar</v>
      </c>
      <c r="B54" s="112" t="str">
        <f xml:space="preserve"> IF( 'Facility Detail'!D35 = "", "", 'Facility Detail'!D35 )</f>
        <v>Solar</v>
      </c>
      <c r="C54" s="113">
        <f>'Facility Detail'!D1603</f>
        <v>0</v>
      </c>
      <c r="D54" s="113">
        <f>'Facility Detail'!E1603</f>
        <v>0</v>
      </c>
      <c r="E54" s="113">
        <f>'Facility Detail'!F1603</f>
        <v>0</v>
      </c>
      <c r="F54" s="113">
        <f>'Facility Detail'!G1603</f>
        <v>0</v>
      </c>
      <c r="G54" s="113">
        <f>'Facility Detail'!H1603</f>
        <v>0</v>
      </c>
      <c r="H54" s="113">
        <f>'Facility Detail'!I1603</f>
        <v>0</v>
      </c>
      <c r="I54" s="113">
        <f>'Facility Detail'!J1603</f>
        <v>0</v>
      </c>
      <c r="J54" s="113">
        <f>'Facility Detail'!K1603</f>
        <v>0</v>
      </c>
      <c r="K54" s="113">
        <f>'Facility Detail'!L1603</f>
        <v>4140.7063072262026</v>
      </c>
      <c r="L54" s="113">
        <f>'Facility Detail'!M1603</f>
        <v>4284.7112315319328</v>
      </c>
      <c r="M54" s="113">
        <f>'Facility Detail'!N1603</f>
        <v>0</v>
      </c>
      <c r="N54" s="113">
        <f>'Facility Detail'!P1603</f>
        <v>0</v>
      </c>
    </row>
    <row r="55" spans="1:14" ht="14.5">
      <c r="A55" s="112" t="str">
        <f>'Facility Detail'!B36</f>
        <v>Elbe Solar</v>
      </c>
      <c r="B55" s="112" t="str">
        <f xml:space="preserve"> IF( 'Facility Detail'!D36 = "", "", 'Facility Detail'!D36 )</f>
        <v>Solar</v>
      </c>
      <c r="C55" s="113">
        <f>'Facility Detail'!D1647</f>
        <v>0</v>
      </c>
      <c r="D55" s="113">
        <f>'Facility Detail'!E1647</f>
        <v>0</v>
      </c>
      <c r="E55" s="113">
        <f>'Facility Detail'!F1647</f>
        <v>0</v>
      </c>
      <c r="F55" s="113">
        <f>'Facility Detail'!G1647</f>
        <v>0</v>
      </c>
      <c r="G55" s="113">
        <f>'Facility Detail'!H1647</f>
        <v>0</v>
      </c>
      <c r="H55" s="113">
        <f>'Facility Detail'!I1647</f>
        <v>0</v>
      </c>
      <c r="I55" s="113">
        <f>'Facility Detail'!J1647</f>
        <v>0</v>
      </c>
      <c r="J55" s="113">
        <f>'Facility Detail'!K1647</f>
        <v>0</v>
      </c>
      <c r="K55" s="113">
        <f>'Facility Detail'!L1647</f>
        <v>5261.2065323271891</v>
      </c>
      <c r="L55" s="113">
        <f>'Facility Detail'!M1647</f>
        <v>4451.1795668712039</v>
      </c>
      <c r="M55" s="113">
        <f>'Facility Detail'!N1647</f>
        <v>0</v>
      </c>
      <c r="N55" s="113">
        <f>'Facility Detail'!P1647</f>
        <v>0</v>
      </c>
    </row>
    <row r="56" spans="1:14" ht="14.5">
      <c r="A56" s="112" t="str">
        <f>'Facility Detail'!B37</f>
        <v>Enterprise Solar</v>
      </c>
      <c r="B56" s="112" t="str">
        <f xml:space="preserve"> IF( 'Facility Detail'!D37 = "", "", 'Facility Detail'!D37 )</f>
        <v>Solar</v>
      </c>
      <c r="C56" s="113">
        <f>'Facility Detail'!D1696</f>
        <v>0</v>
      </c>
      <c r="D56" s="113">
        <f>'Facility Detail'!E1696</f>
        <v>0</v>
      </c>
      <c r="E56" s="113">
        <f>'Facility Detail'!F1696</f>
        <v>0</v>
      </c>
      <c r="F56" s="113">
        <f>'Facility Detail'!G1696</f>
        <v>0</v>
      </c>
      <c r="G56" s="113">
        <f>'Facility Detail'!H1696</f>
        <v>0</v>
      </c>
      <c r="H56" s="113">
        <f>'Facility Detail'!I1696</f>
        <v>0</v>
      </c>
      <c r="I56" s="113">
        <f>'Facility Detail'!J1696</f>
        <v>19234.406696699145</v>
      </c>
      <c r="J56" s="113">
        <f>'Facility Detail'!K1696</f>
        <v>64705</v>
      </c>
      <c r="K56" s="113">
        <f>'Facility Detail'!L1696</f>
        <v>100534.76470705045</v>
      </c>
      <c r="L56" s="113">
        <f>'Facility Detail'!M1696</f>
        <v>51506.105992807483</v>
      </c>
      <c r="M56" s="113">
        <f>'Facility Detail'!N1696</f>
        <v>27129.949488329992</v>
      </c>
      <c r="N56" s="113">
        <f>'Facility Detail'!P1696</f>
        <v>0</v>
      </c>
    </row>
    <row r="57" spans="1:14" ht="14.5">
      <c r="A57" s="112" t="str">
        <f>'Facility Detail'!B38</f>
        <v>Pavant Solar</v>
      </c>
      <c r="B57" s="112" t="str">
        <f xml:space="preserve"> IF( 'Facility Detail'!D38 = "", "", 'Facility Detail'!D38 )</f>
        <v>Solar</v>
      </c>
      <c r="C57" s="113">
        <f>'Facility Detail'!D1745</f>
        <v>0</v>
      </c>
      <c r="D57" s="113">
        <f>'Facility Detail'!E1745</f>
        <v>0</v>
      </c>
      <c r="E57" s="113">
        <f>'Facility Detail'!F1745</f>
        <v>0</v>
      </c>
      <c r="F57" s="113">
        <f>'Facility Detail'!G1745</f>
        <v>0</v>
      </c>
      <c r="G57" s="113">
        <f>'Facility Detail'!H1745</f>
        <v>0</v>
      </c>
      <c r="H57" s="113">
        <f>'Facility Detail'!I1745</f>
        <v>316</v>
      </c>
      <c r="I57" s="113">
        <f>'Facility Detail'!J1745</f>
        <v>25003</v>
      </c>
      <c r="J57" s="113">
        <f>'Facility Detail'!K1745</f>
        <v>26549</v>
      </c>
      <c r="K57" s="113">
        <f>'Facility Detail'!L1745</f>
        <v>56100.070970241824</v>
      </c>
      <c r="L57" s="113">
        <f>'Facility Detail'!M1745</f>
        <v>32987.377769171799</v>
      </c>
      <c r="M57" s="113">
        <f>'Facility Detail'!N1745</f>
        <v>17276.687206283088</v>
      </c>
      <c r="N57" s="113">
        <f>'Facility Detail'!P1745</f>
        <v>0</v>
      </c>
    </row>
  </sheetData>
  <printOptions horizontalCentered="1"/>
  <pageMargins left="0.7" right="0.7" top="0.75" bottom="0.75" header="0.3" footer="0.3"/>
  <pageSetup scale="42" fitToHeight="0" orientation="landscape"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B5673FA0501147ACAABB0ECE39764D" ma:contentTypeVersion="52" ma:contentTypeDescription="" ma:contentTypeScope="" ma:versionID="66cf1b85f12af691bb24db10aa61b64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2020-06-01T07:00:00+00:00</OpenedDate>
    <SignificantOrder xmlns="dc463f71-b30c-4ab2-9473-d307f9d35888">false</SignificantOrder>
    <Date1 xmlns="dc463f71-b30c-4ab2-9473-d307f9d35888">2020-06-01T07:00:00+00:00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200506</DocketNumber>
    <DelegatedOrder xmlns="dc463f71-b30c-4ab2-9473-d307f9d35888">false</DelegatedOrder>
  </documentManagement>
</p:properties>
</file>

<file path=customXml/itemProps1.xml><?xml version="1.0" encoding="utf-8"?>
<ds:datastoreItem xmlns:ds="http://schemas.openxmlformats.org/officeDocument/2006/customXml" ds:itemID="{1AC0D54E-A454-476F-8FCF-24336BA2845C}"/>
</file>

<file path=customXml/itemProps2.xml><?xml version="1.0" encoding="utf-8"?>
<ds:datastoreItem xmlns:ds="http://schemas.openxmlformats.org/officeDocument/2006/customXml" ds:itemID="{A5383F51-E728-430C-BCBD-E9F28B3ACFFA}"/>
</file>

<file path=customXml/itemProps3.xml><?xml version="1.0" encoding="utf-8"?>
<ds:datastoreItem xmlns:ds="http://schemas.openxmlformats.org/officeDocument/2006/customXml" ds:itemID="{54AB37B2-A66C-4AAA-B8F9-40A8E1A16700}"/>
</file>

<file path=customXml/itemProps4.xml><?xml version="1.0" encoding="utf-8"?>
<ds:datastoreItem xmlns:ds="http://schemas.openxmlformats.org/officeDocument/2006/customXml" ds:itemID="{0D75F83B-CA04-4BC6-B3F3-AE40D052F5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Title Page</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'Title Page'!Print_Area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Penfield, Mary</cp:lastModifiedBy>
  <cp:lastPrinted>2020-06-01T23:13:10Z</cp:lastPrinted>
  <dcterms:created xsi:type="dcterms:W3CDTF">2011-06-02T16:07:19Z</dcterms:created>
  <dcterms:modified xsi:type="dcterms:W3CDTF">2020-06-01T23:13:32Z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0x0101006E56B4D1795A2E4DB2F0B01679ED314A00A2B5673FA0501147ACAABB0ECE39764D</vt:lpwstr>
  </property>
  <property fmtid="{D5CDD505-2E9C-101B-9397-08002B2CF9AE}" pid="3" name="_docset_NoMedatataSyncRequired">
    <vt:lpwstr>False</vt:lpwstr>
  </property>
  <property fmtid="{D5CDD505-2E9C-101B-9397-08002B2CF9AE}" pid="4" name="IsEFSEC">
    <vt:bool>false</vt:bool>
  </property>
</Properties>
</file>