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9132"/>
  </bookViews>
  <sheets>
    <sheet name="Operations" sheetId="1" r:id="rId1"/>
  </sheets>
  <externalReferences>
    <externalReference r:id="rId2"/>
  </externalReferences>
  <definedNames>
    <definedName name="INPUT">[1]LURITXPF!$A$3</definedName>
    <definedName name="Lurito">Operations!$AI$1</definedName>
    <definedName name="_xlnm.Print_Area" localSheetId="0">Operations!$A$1:$R$104</definedName>
    <definedName name="Print_Area_MI">[1]LURITXPF!$B$3:$I$27</definedName>
    <definedName name="_xlnm.Print_Titles" localSheetId="0">Operations!$1:$10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s="1"/>
  <c r="N15" i="1" s="1"/>
  <c r="R15" i="1" s="1"/>
  <c r="P21" i="1"/>
  <c r="F24" i="1"/>
  <c r="F25" i="1"/>
  <c r="F26" i="1"/>
  <c r="F33" i="1"/>
  <c r="F38" i="1"/>
  <c r="F40" i="1"/>
  <c r="J40" i="1" s="1"/>
  <c r="P43" i="1"/>
  <c r="F44" i="1"/>
  <c r="J44" i="1" s="1"/>
  <c r="F45" i="1"/>
  <c r="J45" i="1" s="1"/>
  <c r="N45" i="1" s="1"/>
  <c r="R45" i="1" s="1"/>
  <c r="F46" i="1"/>
  <c r="J46" i="1" s="1"/>
  <c r="F48" i="1"/>
  <c r="J48" i="1" s="1"/>
  <c r="F50" i="1"/>
  <c r="F51" i="1"/>
  <c r="F52" i="1"/>
  <c r="J52" i="1" s="1"/>
  <c r="P52" i="1"/>
  <c r="F54" i="1"/>
  <c r="J54" i="1" s="1"/>
  <c r="BB54" i="1"/>
  <c r="BC54" i="1" s="1"/>
  <c r="BD54" i="1" s="1"/>
  <c r="BE54" i="1" s="1"/>
  <c r="BG54" i="1" s="1"/>
  <c r="BH54" i="1" s="1"/>
  <c r="BI54" i="1" s="1"/>
  <c r="BJ54" i="1" s="1"/>
  <c r="F55" i="1"/>
  <c r="BB55" i="1"/>
  <c r="BC55" i="1" s="1"/>
  <c r="BD55" i="1" s="1"/>
  <c r="BE55" i="1" s="1"/>
  <c r="BG55" i="1" s="1"/>
  <c r="BH55" i="1" s="1"/>
  <c r="BI55" i="1" s="1"/>
  <c r="BL55" i="1" s="1"/>
  <c r="F56" i="1"/>
  <c r="J56" i="1" s="1"/>
  <c r="BB56" i="1"/>
  <c r="BC56" i="1" s="1"/>
  <c r="BD56" i="1" s="1"/>
  <c r="BE56" i="1" s="1"/>
  <c r="BG56" i="1" s="1"/>
  <c r="BH56" i="1" s="1"/>
  <c r="BI56" i="1" s="1"/>
  <c r="BJ56" i="1" s="1"/>
  <c r="F57" i="1"/>
  <c r="BB60" i="1"/>
  <c r="BC60" i="1" s="1"/>
  <c r="BD60" i="1" s="1"/>
  <c r="BE60" i="1" s="1"/>
  <c r="BG60" i="1" s="1"/>
  <c r="BH60" i="1" s="1"/>
  <c r="BI60" i="1" s="1"/>
  <c r="BJ60" i="1" s="1"/>
  <c r="BK60" i="1" s="1"/>
  <c r="F63" i="1"/>
  <c r="J63" i="1" s="1"/>
  <c r="F65" i="1"/>
  <c r="F67" i="1"/>
  <c r="P69" i="1"/>
  <c r="P98" i="1" s="1"/>
  <c r="P100" i="1" s="1"/>
  <c r="F71" i="1"/>
  <c r="J71" i="1" s="1"/>
  <c r="F76" i="1"/>
  <c r="J76" i="1" s="1"/>
  <c r="F78" i="1"/>
  <c r="F79" i="1"/>
  <c r="F84" i="1"/>
  <c r="J84" i="1" s="1"/>
  <c r="F85" i="1"/>
  <c r="J85" i="1" s="1"/>
  <c r="F86" i="1"/>
  <c r="J86" i="1" s="1"/>
  <c r="F88" i="1"/>
  <c r="F89" i="1"/>
  <c r="J89" i="1" s="1"/>
  <c r="F90" i="1"/>
  <c r="F91" i="1"/>
  <c r="J91" i="1" s="1"/>
  <c r="F92" i="1"/>
  <c r="F93" i="1"/>
  <c r="J93" i="1" s="1"/>
  <c r="N93" i="1" s="1"/>
  <c r="R93" i="1" s="1"/>
  <c r="F94" i="1"/>
  <c r="J94" i="1" s="1"/>
  <c r="N94" i="1" s="1"/>
  <c r="R94" i="1" s="1"/>
  <c r="F95" i="1"/>
  <c r="J95" i="1" s="1"/>
  <c r="AF98" i="1"/>
  <c r="AG98" i="1"/>
  <c r="AH98" i="1"/>
  <c r="AI98" i="1"/>
  <c r="AJ98" i="1"/>
  <c r="AK98" i="1"/>
  <c r="AE100" i="1"/>
  <c r="J79" i="1" l="1"/>
  <c r="J65" i="1"/>
  <c r="N65" i="1" s="1"/>
  <c r="R65" i="1" s="1"/>
  <c r="F62" i="1"/>
  <c r="J62" i="1" s="1"/>
  <c r="J51" i="1"/>
  <c r="F30" i="1"/>
  <c r="F28" i="1"/>
  <c r="J28" i="1" s="1"/>
  <c r="F17" i="1"/>
  <c r="J17" i="1" s="1"/>
  <c r="F34" i="1"/>
  <c r="J34" i="1" s="1"/>
  <c r="J78" i="1"/>
  <c r="F60" i="1"/>
  <c r="J60" i="1" s="1"/>
  <c r="J57" i="1"/>
  <c r="J55" i="1"/>
  <c r="J50" i="1"/>
  <c r="F47" i="1"/>
  <c r="J47" i="1" s="1"/>
  <c r="F35" i="1"/>
  <c r="J35" i="1" s="1"/>
  <c r="N35" i="1" s="1"/>
  <c r="R35" i="1" s="1"/>
  <c r="F31" i="1"/>
  <c r="J31" i="1" s="1"/>
  <c r="J26" i="1"/>
  <c r="J24" i="1"/>
  <c r="N24" i="1" s="1"/>
  <c r="R24" i="1" s="1"/>
  <c r="F96" i="1"/>
  <c r="J96" i="1" s="1"/>
  <c r="J92" i="1"/>
  <c r="J88" i="1"/>
  <c r="F83" i="1"/>
  <c r="J83" i="1" s="1"/>
  <c r="F74" i="1"/>
  <c r="J74" i="1" s="1"/>
  <c r="F70" i="1"/>
  <c r="F69" i="1"/>
  <c r="J69" i="1" s="1"/>
  <c r="F58" i="1"/>
  <c r="F49" i="1"/>
  <c r="J49" i="1" s="1"/>
  <c r="B98" i="1"/>
  <c r="F42" i="1"/>
  <c r="J42" i="1" s="1"/>
  <c r="F32" i="1"/>
  <c r="F27" i="1"/>
  <c r="J27" i="1" s="1"/>
  <c r="B21" i="1"/>
  <c r="B100" i="1" s="1"/>
  <c r="N88" i="1"/>
  <c r="R88" i="1" s="1"/>
  <c r="J67" i="1"/>
  <c r="BK56" i="1"/>
  <c r="BB63" i="1"/>
  <c r="BC63" i="1" s="1"/>
  <c r="BD63" i="1" s="1"/>
  <c r="BE63" i="1" s="1"/>
  <c r="BG63" i="1" s="1"/>
  <c r="BH63" i="1" s="1"/>
  <c r="BI63" i="1" s="1"/>
  <c r="BK54" i="1"/>
  <c r="BB61" i="1"/>
  <c r="BC61" i="1" s="1"/>
  <c r="BD61" i="1" s="1"/>
  <c r="BE61" i="1" s="1"/>
  <c r="BG61" i="1" s="1"/>
  <c r="BH61" i="1" s="1"/>
  <c r="BI61" i="1" s="1"/>
  <c r="J38" i="1"/>
  <c r="F66" i="1"/>
  <c r="J66" i="1" s="1"/>
  <c r="J90" i="1"/>
  <c r="N90" i="1" s="1"/>
  <c r="R90" i="1" s="1"/>
  <c r="F64" i="1"/>
  <c r="J64" i="1" s="1"/>
  <c r="BL60" i="1"/>
  <c r="BL56" i="1"/>
  <c r="BJ55" i="1"/>
  <c r="BL54" i="1"/>
  <c r="F43" i="1"/>
  <c r="J43" i="1" s="1"/>
  <c r="N43" i="1" s="1"/>
  <c r="R43" i="1" s="1"/>
  <c r="F39" i="1"/>
  <c r="J30" i="1"/>
  <c r="J25" i="1"/>
  <c r="H21" i="1"/>
  <c r="F61" i="1"/>
  <c r="J61" i="1" s="1"/>
  <c r="J58" i="1"/>
  <c r="F53" i="1"/>
  <c r="J53" i="1" s="1"/>
  <c r="F41" i="1"/>
  <c r="J41" i="1" s="1"/>
  <c r="F37" i="1"/>
  <c r="J37" i="1" s="1"/>
  <c r="N37" i="1" s="1"/>
  <c r="R37" i="1" s="1"/>
  <c r="F73" i="1"/>
  <c r="J73" i="1" s="1"/>
  <c r="F77" i="1"/>
  <c r="J77" i="1" s="1"/>
  <c r="N49" i="1"/>
  <c r="R49" i="1" s="1"/>
  <c r="F72" i="1"/>
  <c r="J72" i="1" s="1"/>
  <c r="N72" i="1" s="1"/>
  <c r="R72" i="1" s="1"/>
  <c r="F87" i="1"/>
  <c r="J87" i="1" s="1"/>
  <c r="F82" i="1" l="1"/>
  <c r="J82" i="1" s="1"/>
  <c r="N73" i="1"/>
  <c r="BJ61" i="1"/>
  <c r="BK61" i="1" s="1"/>
  <c r="BL61" i="1"/>
  <c r="B103" i="1"/>
  <c r="N25" i="1"/>
  <c r="BK55" i="1"/>
  <c r="BB62" i="1"/>
  <c r="BC62" i="1" s="1"/>
  <c r="BD62" i="1" s="1"/>
  <c r="BE62" i="1" s="1"/>
  <c r="BG62" i="1" s="1"/>
  <c r="BH62" i="1" s="1"/>
  <c r="BI62" i="1" s="1"/>
  <c r="N82" i="1"/>
  <c r="R82" i="1" s="1"/>
  <c r="BJ63" i="1"/>
  <c r="BK63" i="1" s="1"/>
  <c r="BL63" i="1"/>
  <c r="N95" i="1"/>
  <c r="R95" i="1" s="1"/>
  <c r="N87" i="1"/>
  <c r="R87" i="1" s="1"/>
  <c r="J33" i="1"/>
  <c r="N33" i="1" s="1"/>
  <c r="R33" i="1" s="1"/>
  <c r="F59" i="1"/>
  <c r="J59" i="1" s="1"/>
  <c r="N59" i="1" s="1"/>
  <c r="R59" i="1" s="1"/>
  <c r="F19" i="1"/>
  <c r="J19" i="1" s="1"/>
  <c r="N19" i="1" s="1"/>
  <c r="R19" i="1" s="1"/>
  <c r="F16" i="1" l="1"/>
  <c r="J16" i="1" s="1"/>
  <c r="N16" i="1" s="1"/>
  <c r="R16" i="1" s="1"/>
  <c r="BJ62" i="1"/>
  <c r="BK62" i="1" s="1"/>
  <c r="BL62" i="1"/>
  <c r="R25" i="1"/>
  <c r="R73" i="1"/>
  <c r="N86" i="1"/>
  <c r="R86" i="1" s="1"/>
  <c r="F20" i="1"/>
  <c r="J20" i="1" s="1"/>
  <c r="N20" i="1" s="1"/>
  <c r="R20" i="1" s="1"/>
  <c r="F13" i="1"/>
  <c r="J13" i="1" s="1"/>
  <c r="N13" i="1" s="1"/>
  <c r="R13" i="1" s="1"/>
  <c r="F81" i="1"/>
  <c r="J81" i="1" s="1"/>
  <c r="F68" i="1"/>
  <c r="J68" i="1" s="1"/>
  <c r="N53" i="1"/>
  <c r="R53" i="1" s="1"/>
  <c r="N77" i="1"/>
  <c r="R77" i="1" s="1"/>
  <c r="F80" i="1"/>
  <c r="J80" i="1" s="1"/>
  <c r="N96" i="1"/>
  <c r="R96" i="1" s="1"/>
  <c r="F18" i="1"/>
  <c r="J18" i="1" s="1"/>
  <c r="N18" i="1" s="1"/>
  <c r="R18" i="1" s="1"/>
  <c r="F14" i="1"/>
  <c r="J14" i="1" s="1"/>
  <c r="N14" i="1" s="1"/>
  <c r="R14" i="1" s="1"/>
  <c r="L21" i="1" l="1"/>
  <c r="N17" i="1"/>
  <c r="R17" i="1" s="1"/>
  <c r="F36" i="1"/>
  <c r="J36" i="1" s="1"/>
  <c r="N81" i="1"/>
  <c r="R81" i="1" s="1"/>
  <c r="N80" i="1"/>
  <c r="R80" i="1" s="1"/>
  <c r="N52" i="1"/>
  <c r="R52" i="1" s="1"/>
  <c r="N38" i="1"/>
  <c r="R38" i="1" s="1"/>
  <c r="F75" i="1"/>
  <c r="J75" i="1" s="1"/>
  <c r="N69" i="1"/>
  <c r="R69" i="1" s="1"/>
  <c r="J39" i="1"/>
  <c r="D98" i="1" l="1"/>
  <c r="F29" i="1"/>
  <c r="N36" i="1"/>
  <c r="D21" i="1"/>
  <c r="D100" i="1" s="1"/>
  <c r="F12" i="1"/>
  <c r="N75" i="1"/>
  <c r="R75" i="1" s="1"/>
  <c r="J70" i="1"/>
  <c r="R36" i="1" l="1"/>
  <c r="J12" i="1"/>
  <c r="F21" i="1"/>
  <c r="F98" i="1"/>
  <c r="J32" i="1"/>
  <c r="N32" i="1" s="1"/>
  <c r="R32" i="1" s="1"/>
  <c r="F100" i="1" l="1"/>
  <c r="N12" i="1"/>
  <c r="J21" i="1"/>
  <c r="N21" i="1" l="1"/>
  <c r="R12" i="1"/>
  <c r="R21" i="1" s="1"/>
  <c r="H98" i="1" l="1"/>
  <c r="H100" i="1" s="1"/>
  <c r="J29" i="1"/>
  <c r="J98" i="1" l="1"/>
  <c r="J100" i="1" l="1"/>
  <c r="N48" i="1" l="1"/>
  <c r="R48" i="1" s="1"/>
  <c r="N57" i="1"/>
  <c r="R57" i="1" s="1"/>
  <c r="N50" i="1"/>
  <c r="R50" i="1" s="1"/>
  <c r="N42" i="1"/>
  <c r="R42" i="1" s="1"/>
  <c r="N47" i="1"/>
  <c r="R47" i="1" s="1"/>
  <c r="N46" i="1"/>
  <c r="R46" i="1" s="1"/>
  <c r="N39" i="1"/>
  <c r="R39" i="1" s="1"/>
  <c r="N79" i="1"/>
  <c r="R79" i="1" s="1"/>
  <c r="N40" i="1"/>
  <c r="R40" i="1" s="1"/>
  <c r="N56" i="1"/>
  <c r="R56" i="1" s="1"/>
  <c r="N58" i="1"/>
  <c r="R58" i="1" s="1"/>
  <c r="N44" i="1"/>
  <c r="R44" i="1" s="1"/>
  <c r="N30" i="1"/>
  <c r="R30" i="1" s="1"/>
  <c r="N51" i="1"/>
  <c r="R51" i="1" s="1"/>
  <c r="N34" i="1"/>
  <c r="R34" i="1" s="1"/>
  <c r="N78" i="1"/>
  <c r="R78" i="1" s="1"/>
  <c r="N74" i="1"/>
  <c r="R74" i="1" s="1"/>
  <c r="N31" i="1"/>
  <c r="R31" i="1" s="1"/>
  <c r="N28" i="1" l="1"/>
  <c r="R28" i="1" s="1"/>
  <c r="N27" i="1"/>
  <c r="R27" i="1" s="1"/>
  <c r="N55" i="1"/>
  <c r="R55" i="1" s="1"/>
  <c r="N62" i="1"/>
  <c r="R62" i="1" s="1"/>
  <c r="N71" i="1"/>
  <c r="R71" i="1" s="1"/>
  <c r="N63" i="1"/>
  <c r="R63" i="1" s="1"/>
  <c r="N60" i="1"/>
  <c r="R60" i="1" s="1"/>
  <c r="N85" i="1"/>
  <c r="R85" i="1" s="1"/>
  <c r="N64" i="1"/>
  <c r="R64" i="1" s="1"/>
  <c r="N67" i="1"/>
  <c r="R67" i="1" s="1"/>
  <c r="N91" i="1"/>
  <c r="R91" i="1" s="1"/>
  <c r="N83" i="1"/>
  <c r="R83" i="1" s="1"/>
  <c r="N92" i="1"/>
  <c r="R92" i="1" s="1"/>
  <c r="N84" i="1"/>
  <c r="R84" i="1" s="1"/>
  <c r="N54" i="1"/>
  <c r="R54" i="1" s="1"/>
  <c r="N70" i="1"/>
  <c r="R70" i="1" s="1"/>
  <c r="N61" i="1"/>
  <c r="R61" i="1" s="1"/>
  <c r="N76" i="1"/>
  <c r="R76" i="1" s="1"/>
  <c r="N66" i="1"/>
  <c r="R66" i="1" s="1"/>
  <c r="N68" i="1"/>
  <c r="R68" i="1" s="1"/>
  <c r="N26" i="1" l="1"/>
  <c r="N41" i="1"/>
  <c r="R41" i="1" s="1"/>
  <c r="N89" i="1"/>
  <c r="R89" i="1" s="1"/>
  <c r="R26" i="1" l="1"/>
  <c r="N29" i="1" l="1"/>
  <c r="L98" i="1"/>
  <c r="L100" i="1" s="1"/>
  <c r="R29" i="1" l="1"/>
  <c r="R98" i="1" s="1"/>
  <c r="N98" i="1"/>
  <c r="N100" i="1" l="1"/>
  <c r="R100" i="1"/>
</calcChain>
</file>

<file path=xl/sharedStrings.xml><?xml version="1.0" encoding="utf-8"?>
<sst xmlns="http://schemas.openxmlformats.org/spreadsheetml/2006/main" count="121" uniqueCount="112">
  <si>
    <t>NET HISTORICAL INCOME</t>
  </si>
  <si>
    <t>OTHER INCOME/EXPENSE</t>
  </si>
  <si>
    <t>NET OPERATING INCOME</t>
  </si>
  <si>
    <t xml:space="preserve">  Drop Boxes</t>
  </si>
  <si>
    <t xml:space="preserve">  Drop Box Truck</t>
  </si>
  <si>
    <t xml:space="preserve">  Carts</t>
  </si>
  <si>
    <t xml:space="preserve">  Containers</t>
  </si>
  <si>
    <t xml:space="preserve">  Leasehold Improvements</t>
  </si>
  <si>
    <t xml:space="preserve">  Office Furniture and Fixtures</t>
  </si>
  <si>
    <t xml:space="preserve">  Shop</t>
  </si>
  <si>
    <t xml:space="preserve">  Service Cars</t>
  </si>
  <si>
    <t xml:space="preserve">  Trucks</t>
  </si>
  <si>
    <t>Depreciation:</t>
  </si>
  <si>
    <t>Safety Equipment Expense</t>
  </si>
  <si>
    <t>Damage Expense</t>
  </si>
  <si>
    <t>Consulting</t>
  </si>
  <si>
    <t>Freight</t>
  </si>
  <si>
    <t>Interest</t>
  </si>
  <si>
    <t>Amortization</t>
  </si>
  <si>
    <t>SEP Benefits</t>
  </si>
  <si>
    <t>Drug Testing</t>
  </si>
  <si>
    <t>Property Taxes</t>
  </si>
  <si>
    <t>Employee Medical Insurance</t>
  </si>
  <si>
    <t>Counseling Services</t>
  </si>
  <si>
    <t>Life Insurance</t>
  </si>
  <si>
    <t>Employee Relations</t>
  </si>
  <si>
    <t>Payroll Taxes</t>
  </si>
  <si>
    <t>Workmen’s Comp</t>
  </si>
  <si>
    <t>Computer Expense</t>
  </si>
  <si>
    <t>Land Rent</t>
  </si>
  <si>
    <t>B &amp; O Tax</t>
  </si>
  <si>
    <t>Contributions</t>
  </si>
  <si>
    <t>Permits</t>
  </si>
  <si>
    <t>Taxes and Licensing</t>
  </si>
  <si>
    <t>Truck License</t>
  </si>
  <si>
    <t>Promotional</t>
  </si>
  <si>
    <t>Advertising</t>
  </si>
  <si>
    <t>Meals and Entertainment</t>
  </si>
  <si>
    <t>Seminars</t>
  </si>
  <si>
    <t>Travel</t>
  </si>
  <si>
    <t>Dues Non-deductible</t>
  </si>
  <si>
    <t>ROE</t>
  </si>
  <si>
    <t>ROR</t>
  </si>
  <si>
    <t>M</t>
  </si>
  <si>
    <t>9th turnover</t>
  </si>
  <si>
    <t>Dues and Subscriptions</t>
  </si>
  <si>
    <t>Miscellaneous</t>
  </si>
  <si>
    <t>Laundry/Uniforms</t>
  </si>
  <si>
    <t>Utilities</t>
  </si>
  <si>
    <t>Communications</t>
  </si>
  <si>
    <t>Franchise</t>
  </si>
  <si>
    <t>WUTC Fee</t>
  </si>
  <si>
    <t>Legal</t>
  </si>
  <si>
    <t>Accounting</t>
  </si>
  <si>
    <t>Rate Case Expense</t>
  </si>
  <si>
    <t>Maintenance</t>
  </si>
  <si>
    <t>Billing Service</t>
  </si>
  <si>
    <t>Bank Charges</t>
  </si>
  <si>
    <t>Postage</t>
  </si>
  <si>
    <t>Office Supply</t>
  </si>
  <si>
    <t>Bad Debt Expense</t>
  </si>
  <si>
    <t>Management Fees</t>
  </si>
  <si>
    <t>Office Salaries</t>
  </si>
  <si>
    <t>Officer Salaries</t>
  </si>
  <si>
    <t>Liability Insurance</t>
  </si>
  <si>
    <t>Disposal Fees Pass Thru</t>
  </si>
  <si>
    <t>Disposal Fees - Cowlitz County</t>
  </si>
  <si>
    <t>Contract Hauling</t>
  </si>
  <si>
    <t>Fuel</t>
  </si>
  <si>
    <t>Tires</t>
  </si>
  <si>
    <t>Equipment Rent</t>
  </si>
  <si>
    <t>Truck Rental</t>
  </si>
  <si>
    <t>Maintenance/ Cont./Dr Bx</t>
  </si>
  <si>
    <t>Fringe Benefits</t>
  </si>
  <si>
    <t>Wages Extra Labor</t>
  </si>
  <si>
    <t>Wages Supervisor</t>
  </si>
  <si>
    <t>Wages Mechanics</t>
  </si>
  <si>
    <t>Wages Drop Box Drivers</t>
  </si>
  <si>
    <t>Wages Drivers</t>
  </si>
  <si>
    <t>OPERATING EXPENSES</t>
  </si>
  <si>
    <t>Refunds</t>
  </si>
  <si>
    <t>Woodland Refund</t>
  </si>
  <si>
    <t>Refunds Drop Box</t>
  </si>
  <si>
    <t>Kalama</t>
  </si>
  <si>
    <t>Pass Thru</t>
  </si>
  <si>
    <t>Drop Box</t>
  </si>
  <si>
    <t>Commercial</t>
  </si>
  <si>
    <t>Residential</t>
  </si>
  <si>
    <t/>
  </si>
  <si>
    <t>REVENUES</t>
  </si>
  <si>
    <t>Rates</t>
  </si>
  <si>
    <t>Before Rates</t>
  </si>
  <si>
    <t>Adjustment</t>
  </si>
  <si>
    <t>Restated</t>
  </si>
  <si>
    <t>Per Books</t>
  </si>
  <si>
    <t>Proposed</t>
  </si>
  <si>
    <t>Net Forecast</t>
  </si>
  <si>
    <t>Eliminate</t>
  </si>
  <si>
    <t>Before</t>
  </si>
  <si>
    <t>Forecast</t>
  </si>
  <si>
    <t>Restating</t>
  </si>
  <si>
    <t>Historical</t>
  </si>
  <si>
    <t>2010 Forecast</t>
  </si>
  <si>
    <t>Effect of</t>
  </si>
  <si>
    <r>
      <t>(See Accountants</t>
    </r>
    <r>
      <rPr>
        <b/>
        <sz val="12"/>
        <rFont val="Arial"/>
        <family val="2"/>
      </rPr>
      <t>’</t>
    </r>
    <r>
      <rPr>
        <b/>
        <sz val="12"/>
        <rFont val="Times New Roman"/>
        <family val="1"/>
      </rPr>
      <t xml:space="preserve"> Compilation Report)</t>
    </r>
  </si>
  <si>
    <t>P1..AF74</t>
  </si>
  <si>
    <t>For the Twelve Months Ended December 31, 2008 Historical and December 31, 2010 Forecasted</t>
  </si>
  <si>
    <t>AH1..AL74</t>
  </si>
  <si>
    <t>RESULTS OF OPERATIONS</t>
  </si>
  <si>
    <t>A1..N85</t>
  </si>
  <si>
    <t>WASTE CONTROL, INC.</t>
  </si>
  <si>
    <t>Exhibit No. (JD-8)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</si>
</sst>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#,##0.0000_);\(#,##0.0000\)"/>
    <numFmt numFmtId="165" formatCode="#,##0.000_);\(#,##0.000\)"/>
    <numFmt numFmtId="166" formatCode="0_)"/>
  </numFmts>
  <fonts count="13" x14ac:knownFonts="1"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37" fontId="0" fillId="0" borderId="0"/>
  </cellStyleXfs>
  <cellXfs count="82">
    <xf numFmtId="37" fontId="0" fillId="0" borderId="0" xfId="0"/>
    <xf numFmtId="37" fontId="2" fillId="0" borderId="0" xfId="0" applyFont="1"/>
    <xf numFmtId="37" fontId="2" fillId="0" borderId="0" xfId="0" applyFont="1" applyFill="1" applyBorder="1"/>
    <xf numFmtId="37" fontId="2" fillId="0" borderId="0" xfId="0" applyFont="1" applyFill="1"/>
    <xf numFmtId="37" fontId="2" fillId="0" borderId="0" xfId="0" applyFont="1" applyBorder="1"/>
    <xf numFmtId="10" fontId="2" fillId="0" borderId="0" xfId="0" applyNumberFormat="1" applyFont="1" applyBorder="1" applyProtection="1"/>
    <xf numFmtId="10" fontId="2" fillId="0" borderId="0" xfId="0" applyNumberFormat="1" applyFont="1" applyProtection="1"/>
    <xf numFmtId="37" fontId="3" fillId="0" borderId="0" xfId="0" applyFont="1"/>
    <xf numFmtId="37" fontId="3" fillId="0" borderId="0" xfId="0" applyFont="1" applyFill="1" applyBorder="1"/>
    <xf numFmtId="37" fontId="3" fillId="0" borderId="0" xfId="0" applyFont="1" applyFill="1"/>
    <xf numFmtId="37" fontId="3" fillId="0" borderId="0" xfId="0" applyFont="1" applyBorder="1"/>
    <xf numFmtId="37" fontId="4" fillId="0" borderId="0" xfId="0" applyNumberFormat="1" applyFont="1" applyFill="1" applyBorder="1" applyProtection="1"/>
    <xf numFmtId="37" fontId="4" fillId="0" borderId="0" xfId="0" applyNumberFormat="1" applyFont="1" applyFill="1" applyProtection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37" fontId="5" fillId="0" borderId="0" xfId="0" applyFont="1"/>
    <xf numFmtId="37" fontId="5" fillId="0" borderId="0" xfId="0" applyFont="1" applyFill="1"/>
    <xf numFmtId="41" fontId="4" fillId="0" borderId="0" xfId="0" applyNumberFormat="1" applyFont="1" applyProtection="1"/>
    <xf numFmtId="41" fontId="4" fillId="0" borderId="0" xfId="0" applyNumberFormat="1" applyFont="1" applyFill="1" applyBorder="1" applyProtection="1"/>
    <xf numFmtId="41" fontId="4" fillId="0" borderId="0" xfId="0" applyNumberFormat="1" applyFont="1" applyFill="1" applyProtection="1"/>
    <xf numFmtId="41" fontId="4" fillId="0" borderId="0" xfId="0" applyNumberFormat="1" applyFont="1" applyBorder="1" applyProtection="1"/>
    <xf numFmtId="37" fontId="2" fillId="0" borderId="0" xfId="0" applyNumberFormat="1" applyFont="1" applyProtection="1"/>
    <xf numFmtId="37" fontId="6" fillId="0" borderId="0" xfId="0" applyNumberFormat="1" applyFont="1" applyAlignment="1" applyProtection="1">
      <alignment horizontal="center"/>
    </xf>
    <xf numFmtId="42" fontId="4" fillId="0" borderId="1" xfId="0" applyNumberFormat="1" applyFont="1" applyBorder="1" applyProtection="1"/>
    <xf numFmtId="41" fontId="4" fillId="0" borderId="2" xfId="0" applyNumberFormat="1" applyFont="1" applyBorder="1" applyProtection="1"/>
    <xf numFmtId="42" fontId="4" fillId="0" borderId="1" xfId="0" applyNumberFormat="1" applyFont="1" applyFill="1" applyBorder="1" applyProtection="1"/>
    <xf numFmtId="41" fontId="4" fillId="0" borderId="3" xfId="0" applyNumberFormat="1" applyFont="1" applyBorder="1" applyProtection="1"/>
    <xf numFmtId="41" fontId="4" fillId="0" borderId="3" xfId="0" applyNumberFormat="1" applyFont="1" applyFill="1" applyBorder="1" applyProtection="1"/>
    <xf numFmtId="41" fontId="4" fillId="0" borderId="4" xfId="0" applyNumberFormat="1" applyFont="1" applyBorder="1"/>
    <xf numFmtId="41" fontId="4" fillId="0" borderId="0" xfId="0" applyNumberFormat="1" applyFont="1" applyFill="1" applyBorder="1"/>
    <xf numFmtId="41" fontId="4" fillId="0" borderId="4" xfId="0" applyNumberFormat="1" applyFont="1" applyFill="1" applyBorder="1"/>
    <xf numFmtId="41" fontId="4" fillId="0" borderId="0" xfId="0" applyNumberFormat="1" applyFont="1" applyBorder="1"/>
    <xf numFmtId="41" fontId="4" fillId="0" borderId="0" xfId="0" applyNumberFormat="1" applyFont="1"/>
    <xf numFmtId="37" fontId="3" fillId="0" borderId="0" xfId="0" applyFont="1" applyAlignment="1">
      <alignment horizontal="left" indent="1"/>
    </xf>
    <xf numFmtId="37" fontId="2" fillId="0" borderId="0" xfId="0" applyNumberFormat="1" applyFont="1" applyAlignment="1" applyProtection="1">
      <alignment horizontal="center"/>
    </xf>
    <xf numFmtId="37" fontId="2" fillId="0" borderId="0" xfId="0" applyFont="1" applyAlignment="1">
      <alignment horizontal="center"/>
    </xf>
    <xf numFmtId="39" fontId="2" fillId="0" borderId="0" xfId="0" applyNumberFormat="1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41" fontId="4" fillId="0" borderId="0" xfId="0" applyNumberFormat="1" applyFont="1" applyFill="1"/>
    <xf numFmtId="37" fontId="2" fillId="0" borderId="0" xfId="0" applyFont="1" applyAlignment="1">
      <alignment horizontal="fill"/>
    </xf>
    <xf numFmtId="9" fontId="2" fillId="0" borderId="0" xfId="0" applyNumberFormat="1" applyFont="1" applyProtection="1"/>
    <xf numFmtId="37" fontId="2" fillId="0" borderId="0" xfId="0" applyFont="1" applyAlignment="1">
      <alignment horizontal="right"/>
    </xf>
    <xf numFmtId="41" fontId="4" fillId="0" borderId="4" xfId="0" applyNumberFormat="1" applyFont="1" applyFill="1" applyBorder="1" applyProtection="1"/>
    <xf numFmtId="41" fontId="4" fillId="0" borderId="4" xfId="0" applyNumberFormat="1" applyFont="1" applyBorder="1" applyProtection="1"/>
    <xf numFmtId="41" fontId="4" fillId="0" borderId="5" xfId="0" applyNumberFormat="1" applyFont="1" applyBorder="1" applyProtection="1"/>
    <xf numFmtId="41" fontId="4" fillId="0" borderId="6" xfId="0" applyNumberFormat="1" applyFont="1" applyBorder="1" applyProtection="1"/>
    <xf numFmtId="5" fontId="2" fillId="0" borderId="0" xfId="0" applyNumberFormat="1" applyFont="1" applyProtection="1"/>
    <xf numFmtId="42" fontId="4" fillId="0" borderId="0" xfId="0" applyNumberFormat="1" applyFont="1" applyFill="1" applyProtection="1"/>
    <xf numFmtId="42" fontId="4" fillId="0" borderId="0" xfId="0" applyNumberFormat="1" applyFont="1" applyFill="1" applyBorder="1" applyProtection="1"/>
    <xf numFmtId="42" fontId="4" fillId="0" borderId="0" xfId="0" applyNumberFormat="1" applyFont="1" applyBorder="1"/>
    <xf numFmtId="42" fontId="4" fillId="0" borderId="0" xfId="0" applyNumberFormat="1" applyFont="1"/>
    <xf numFmtId="42" fontId="4" fillId="0" borderId="0" xfId="0" applyNumberFormat="1" applyFont="1" applyBorder="1" applyProtection="1"/>
    <xf numFmtId="42" fontId="4" fillId="0" borderId="0" xfId="0" applyNumberFormat="1" applyFont="1" applyProtection="1"/>
    <xf numFmtId="166" fontId="2" fillId="0" borderId="0" xfId="0" applyNumberFormat="1" applyFont="1" applyProtection="1"/>
    <xf numFmtId="37" fontId="1" fillId="0" borderId="0" xfId="0" applyFont="1"/>
    <xf numFmtId="37" fontId="7" fillId="0" borderId="0" xfId="0" applyFont="1" applyFill="1" applyAlignment="1">
      <alignment horizontal="center"/>
    </xf>
    <xf numFmtId="37" fontId="7" fillId="0" borderId="0" xfId="0" applyFont="1" applyFill="1" applyBorder="1" applyAlignment="1">
      <alignment horizontal="center"/>
    </xf>
    <xf numFmtId="37" fontId="7" fillId="0" borderId="0" xfId="0" applyFont="1" applyBorder="1" applyAlignment="1">
      <alignment horizontal="center"/>
    </xf>
    <xf numFmtId="37" fontId="7" fillId="0" borderId="0" xfId="0" applyFont="1" applyAlignment="1">
      <alignment horizontal="center"/>
    </xf>
    <xf numFmtId="9" fontId="2" fillId="0" borderId="0" xfId="0" applyNumberFormat="1" applyFont="1"/>
    <xf numFmtId="37" fontId="8" fillId="0" borderId="0" xfId="0" applyFont="1" applyAlignment="1">
      <alignment horizontal="center"/>
    </xf>
    <xf numFmtId="37" fontId="8" fillId="0" borderId="0" xfId="0" applyFont="1" applyFill="1" applyBorder="1" applyAlignment="1">
      <alignment horizontal="center"/>
    </xf>
    <xf numFmtId="37" fontId="8" fillId="0" borderId="0" xfId="0" applyFont="1" applyFill="1" applyAlignment="1">
      <alignment horizontal="center"/>
    </xf>
    <xf numFmtId="37" fontId="8" fillId="0" borderId="0" xfId="0" applyFont="1" applyBorder="1" applyAlignment="1">
      <alignment horizontal="center"/>
    </xf>
    <xf numFmtId="37" fontId="8" fillId="0" borderId="0" xfId="0" applyFont="1" applyBorder="1"/>
    <xf numFmtId="37" fontId="8" fillId="0" borderId="0" xfId="0" applyFont="1"/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37" fontId="2" fillId="0" borderId="0" xfId="0" applyFont="1" applyBorder="1" applyAlignment="1">
      <alignment horizontal="center"/>
    </xf>
    <xf numFmtId="37" fontId="9" fillId="0" borderId="0" xfId="0" applyFont="1"/>
    <xf numFmtId="37" fontId="11" fillId="0" borderId="0" xfId="0" applyFont="1" applyFill="1" applyAlignment="1">
      <alignment horizontal="center"/>
    </xf>
    <xf numFmtId="37" fontId="11" fillId="0" borderId="0" xfId="0" applyFont="1" applyFill="1" applyBorder="1" applyAlignment="1">
      <alignment horizontal="center"/>
    </xf>
    <xf numFmtId="37" fontId="12" fillId="0" borderId="0" xfId="0" applyFont="1"/>
    <xf numFmtId="37" fontId="12" fillId="0" borderId="0" xfId="0" applyFont="1" applyFill="1" applyBorder="1"/>
    <xf numFmtId="37" fontId="12" fillId="0" borderId="0" xfId="0" applyFont="1" applyFill="1"/>
    <xf numFmtId="37" fontId="12" fillId="0" borderId="0" xfId="0" applyFont="1" applyBorder="1"/>
    <xf numFmtId="37" fontId="11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 applyFill="1" applyAlignment="1">
      <alignment horizontal="center"/>
    </xf>
    <xf numFmtId="37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_TO_Z/WASTE%20COMPANY%20GROUP/WAC0252%20-%20Waste%20Control,%20Inc-1633/Rate%20Cases/2008%20Rate%20Case/Attn%20-----10-29-09%20Spreadsheets/Waste%20Control,%20Inc.-%20Cost%20Study%2012-31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tion"/>
      <sheetName val="CostStudy"/>
      <sheetName val="LURITXPF"/>
      <sheetName val="Price Out"/>
      <sheetName val="CPI"/>
    </sheetNames>
    <sheetDataSet>
      <sheetData sheetId="0"/>
      <sheetData sheetId="1">
        <row r="10">
          <cell r="N10" t="str">
            <v>WASTE CONTROL, INC.</v>
          </cell>
        </row>
      </sheetData>
      <sheetData sheetId="2">
        <row r="1">
          <cell r="A1" t="str">
            <v>WASTE CONTROL, INC.</v>
          </cell>
        </row>
        <row r="3">
          <cell r="A3" t="str">
            <v xml:space="preserve"> NEW IMPROVED LURITO - GALLAGHER FORMULA</v>
          </cell>
        </row>
        <row r="8">
          <cell r="B8" t="str">
            <v>!!!</v>
          </cell>
          <cell r="C8" t="str">
            <v>Revenue Requirement</v>
          </cell>
          <cell r="E8">
            <v>3408072.0894477381</v>
          </cell>
          <cell r="F8" t="str">
            <v>!!!&lt;--</v>
          </cell>
        </row>
        <row r="9">
          <cell r="B9" t="str">
            <v>!!!</v>
          </cell>
          <cell r="C9" t="str">
            <v>Revenue Deficiency</v>
          </cell>
          <cell r="E9">
            <v>211360.62354040184</v>
          </cell>
          <cell r="F9" t="str">
            <v>!!!&lt;--</v>
          </cell>
          <cell r="H9">
            <v>211361</v>
          </cell>
        </row>
        <row r="10">
          <cell r="B10" t="str">
            <v>*</v>
          </cell>
          <cell r="C10" t="str">
            <v>Revenue</v>
          </cell>
          <cell r="D10" t="str">
            <v>input&gt;</v>
          </cell>
          <cell r="E10">
            <v>3196711.4659073362</v>
          </cell>
          <cell r="F10" t="str">
            <v>* p/f before rates</v>
          </cell>
          <cell r="H10" t="str">
            <v>final deficiency</v>
          </cell>
        </row>
        <row r="11">
          <cell r="B11" t="str">
            <v>*</v>
          </cell>
          <cell r="C11" t="str">
            <v>Expenses</v>
          </cell>
          <cell r="D11" t="str">
            <v>input&gt;</v>
          </cell>
          <cell r="E11">
            <v>3109966.9481318849</v>
          </cell>
          <cell r="F11" t="str">
            <v>* p/f before rates</v>
          </cell>
        </row>
        <row r="12">
          <cell r="B12" t="str">
            <v>*</v>
          </cell>
          <cell r="C12" t="str">
            <v>Avg. Investment  -</v>
          </cell>
          <cell r="D12" t="str">
            <v>input&gt;</v>
          </cell>
          <cell r="E12">
            <v>1155763.3717701333</v>
          </cell>
          <cell r="F12" t="str">
            <v>* p/f before rates</v>
          </cell>
        </row>
        <row r="13">
          <cell r="C13" t="str">
            <v>curve turnover</v>
          </cell>
          <cell r="E13">
            <v>336.35420364732084</v>
          </cell>
          <cell r="F13" t="str">
            <v>(calculated)</v>
          </cell>
        </row>
        <row r="14">
          <cell r="C14" t="str">
            <v>final turnover</v>
          </cell>
          <cell r="E14">
            <v>294.31448366374872</v>
          </cell>
          <cell r="F14" t="str">
            <v>(calculated)</v>
          </cell>
        </row>
        <row r="15">
          <cell r="C15" t="str">
            <v>curve No. used</v>
          </cell>
          <cell r="E15">
            <v>3</v>
          </cell>
          <cell r="F15" t="str">
            <v>(calculated)</v>
          </cell>
        </row>
        <row r="17">
          <cell r="C17" t="str">
            <v xml:space="preserve">Company actual </v>
          </cell>
        </row>
        <row r="18">
          <cell r="C18" t="str">
            <v>capital structure:</v>
          </cell>
          <cell r="E18" t="str">
            <v>!!!</v>
          </cell>
          <cell r="F18" t="str">
            <v>OPERATING RATIO -&gt;</v>
          </cell>
          <cell r="H18">
            <v>91.427146224505421</v>
          </cell>
          <cell r="I18" t="str">
            <v>!!!&lt;--</v>
          </cell>
        </row>
        <row r="19">
          <cell r="C19" t="str">
            <v>-</v>
          </cell>
          <cell r="D19" t="str">
            <v>-</v>
          </cell>
          <cell r="H19" t="str">
            <v>=</v>
          </cell>
        </row>
        <row r="20">
          <cell r="B20" t="str">
            <v>*</v>
          </cell>
          <cell r="C20" t="str">
            <v xml:space="preserve">Actual Debt Ratio </v>
          </cell>
          <cell r="D20" t="str">
            <v>input&gt;</v>
          </cell>
          <cell r="E20">
            <v>0.43</v>
          </cell>
          <cell r="F20" t="str">
            <v xml:space="preserve"> Conversion factor data:</v>
          </cell>
        </row>
        <row r="21">
          <cell r="B21" t="str">
            <v>*</v>
          </cell>
          <cell r="C21" t="str">
            <v>Actual Equity Ratio</v>
          </cell>
          <cell r="D21" t="str">
            <v>input&gt;</v>
          </cell>
          <cell r="E21">
            <v>0.57000000000000006</v>
          </cell>
          <cell r="F21" t="str">
            <v xml:space="preserve"> B &amp; O Tax</v>
          </cell>
          <cell r="G21" t="str">
            <v>input&gt;</v>
          </cell>
          <cell r="H21">
            <v>1.4999999999999999E-2</v>
          </cell>
          <cell r="I21" t="str">
            <v>*</v>
          </cell>
        </row>
        <row r="22">
          <cell r="B22" t="str">
            <v>*</v>
          </cell>
          <cell r="C22" t="str">
            <v>Actual Cost of Debt</v>
          </cell>
          <cell r="D22" t="str">
            <v>input&gt;</v>
          </cell>
          <cell r="E22">
            <v>6.6750000000000004E-2</v>
          </cell>
          <cell r="F22" t="str">
            <v xml:space="preserve"> WUTC Fee</v>
          </cell>
          <cell r="G22" t="str">
            <v>input&gt;</v>
          </cell>
          <cell r="H22">
            <v>4.0000000000000001E-3</v>
          </cell>
          <cell r="I22" t="str">
            <v>*</v>
          </cell>
        </row>
        <row r="23">
          <cell r="F23" t="str">
            <v xml:space="preserve"> City Tax</v>
          </cell>
          <cell r="G23" t="str">
            <v>input&gt;</v>
          </cell>
          <cell r="H23">
            <v>0</v>
          </cell>
          <cell r="I23" t="str">
            <v>*</v>
          </cell>
        </row>
        <row r="24">
          <cell r="B24" t="str">
            <v>*</v>
          </cell>
          <cell r="C24" t="str">
            <v>Tax Rate</v>
          </cell>
          <cell r="D24" t="str">
            <v>input&gt;</v>
          </cell>
          <cell r="E24">
            <v>0.35</v>
          </cell>
          <cell r="F24" t="str">
            <v xml:space="preserve"> Bad Debts</v>
          </cell>
          <cell r="G24" t="str">
            <v>input&gt;</v>
          </cell>
          <cell r="H24">
            <v>9.0851959301734078E-3</v>
          </cell>
          <cell r="I24" t="str">
            <v>*</v>
          </cell>
        </row>
        <row r="25">
          <cell r="H25" t="str">
            <v>-</v>
          </cell>
        </row>
        <row r="26">
          <cell r="F26" t="str">
            <v>Revenue Sensitive</v>
          </cell>
          <cell r="H26">
            <v>2.8085195930173407E-2</v>
          </cell>
        </row>
      </sheetData>
      <sheetData sheetId="3">
        <row r="109">
          <cell r="G109">
            <v>102543.27991395304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8"/>
  <sheetViews>
    <sheetView tabSelected="1" topLeftCell="A92" zoomScaleNormal="100" workbookViewId="0">
      <selection activeCell="A105" sqref="A105:XFD114"/>
    </sheetView>
  </sheetViews>
  <sheetFormatPr defaultColWidth="9.81640625" defaultRowHeight="15.6" x14ac:dyDescent="0.3"/>
  <cols>
    <col min="1" max="1" width="24.81640625" style="1" customWidth="1"/>
    <col min="2" max="2" width="9.81640625" style="1" customWidth="1"/>
    <col min="3" max="3" width="0.90625" style="4" customWidth="1"/>
    <col min="4" max="4" width="7.81640625" style="1" customWidth="1"/>
    <col min="5" max="5" width="0.90625" style="4" customWidth="1"/>
    <col min="6" max="6" width="9.81640625" style="1" customWidth="1"/>
    <col min="7" max="7" width="0.90625" style="4" customWidth="1"/>
    <col min="8" max="8" width="7.81640625" style="1" customWidth="1"/>
    <col min="9" max="9" width="0.90625" style="4" customWidth="1"/>
    <col min="10" max="10" width="9.81640625" style="1" customWidth="1"/>
    <col min="11" max="11" width="0.90625" style="4" customWidth="1"/>
    <col min="12" max="12" width="7.81640625" style="1" customWidth="1"/>
    <col min="13" max="13" width="0.90625" style="4" customWidth="1"/>
    <col min="14" max="14" width="9.81640625" style="1" customWidth="1"/>
    <col min="15" max="15" width="0.90625" style="4" customWidth="1"/>
    <col min="16" max="16" width="7.81640625" style="3" customWidth="1"/>
    <col min="17" max="17" width="0.90625" style="2" customWidth="1"/>
    <col min="18" max="18" width="9.81640625" style="1" customWidth="1"/>
    <col min="19" max="19" width="7.54296875" style="1" customWidth="1"/>
    <col min="20" max="30" width="8.90625" customWidth="1"/>
    <col min="31" max="31" width="10.81640625" style="1" customWidth="1"/>
    <col min="32" max="37" width="9.81640625" style="1"/>
    <col min="38" max="38" width="11.81640625" style="1" customWidth="1"/>
    <col min="39" max="39" width="9.81640625" style="1"/>
    <col min="40" max="40" width="12.54296875" style="1" customWidth="1"/>
    <col min="41" max="59" width="9.81640625" style="1"/>
    <col min="60" max="60" width="9.81640625" style="1" customWidth="1"/>
    <col min="61" max="61" width="9.81640625" style="1"/>
    <col min="62" max="62" width="10.81640625" style="1" customWidth="1"/>
    <col min="63" max="16384" width="9.81640625" style="1"/>
  </cols>
  <sheetData>
    <row r="1" spans="1:65" ht="16.8" x14ac:dyDescent="0.3">
      <c r="A1" s="79" t="s">
        <v>110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AF1" s="1" t="s">
        <v>109</v>
      </c>
      <c r="AI1" s="71"/>
      <c r="BK1" s="35"/>
      <c r="BL1" s="35"/>
    </row>
    <row r="2" spans="1:65" ht="13.5" customHeight="1" x14ac:dyDescent="0.3">
      <c r="A2" s="78"/>
      <c r="B2" s="74"/>
      <c r="C2" s="77"/>
      <c r="D2" s="74"/>
      <c r="E2" s="77"/>
      <c r="F2" s="74"/>
      <c r="G2" s="77"/>
      <c r="H2" s="74"/>
      <c r="I2" s="77"/>
      <c r="J2" s="74"/>
      <c r="K2" s="77"/>
      <c r="L2" s="74"/>
      <c r="M2" s="77"/>
      <c r="N2" s="78" t="s">
        <v>111</v>
      </c>
      <c r="O2" s="77"/>
      <c r="P2" s="76"/>
      <c r="Q2" s="75"/>
      <c r="R2" s="74"/>
      <c r="AI2" s="71"/>
      <c r="BK2" s="35"/>
      <c r="BL2" s="35"/>
    </row>
    <row r="3" spans="1:65" ht="16.8" x14ac:dyDescent="0.3">
      <c r="A3" s="80" t="s">
        <v>108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AF3" s="1" t="s">
        <v>107</v>
      </c>
      <c r="AI3" s="71"/>
      <c r="BA3" s="35"/>
      <c r="BB3" s="35"/>
      <c r="BC3" s="35"/>
      <c r="BD3" s="35"/>
      <c r="BE3" s="35"/>
      <c r="BG3" s="35"/>
      <c r="BI3" s="35"/>
      <c r="BJ3" s="35"/>
      <c r="BK3" s="35"/>
    </row>
    <row r="4" spans="1:65" ht="16.8" x14ac:dyDescent="0.3">
      <c r="A4" s="72"/>
      <c r="B4" s="72"/>
      <c r="C4" s="73"/>
      <c r="D4" s="72"/>
      <c r="E4" s="73"/>
      <c r="F4" s="72"/>
      <c r="G4" s="73"/>
      <c r="H4" s="72"/>
      <c r="I4" s="73"/>
      <c r="J4" s="72"/>
      <c r="K4" s="73"/>
      <c r="L4" s="72"/>
      <c r="M4" s="73"/>
      <c r="N4" s="72"/>
      <c r="O4" s="73"/>
      <c r="P4" s="72"/>
      <c r="Q4" s="73"/>
      <c r="R4" s="72"/>
      <c r="AI4" s="71"/>
      <c r="BA4" s="35"/>
      <c r="BB4" s="35"/>
      <c r="BC4" s="35"/>
      <c r="BD4" s="35"/>
      <c r="BE4" s="35"/>
      <c r="BG4" s="35"/>
      <c r="BI4" s="35"/>
      <c r="BJ4" s="35"/>
      <c r="BK4" s="35"/>
    </row>
    <row r="5" spans="1:65" x14ac:dyDescent="0.3">
      <c r="A5" s="81" t="s">
        <v>106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AF5" s="1" t="s">
        <v>105</v>
      </c>
      <c r="AI5" s="71"/>
      <c r="AS5" s="6"/>
      <c r="BA5" s="21"/>
      <c r="BB5" s="36"/>
      <c r="BC5" s="37"/>
      <c r="BD5" s="37"/>
      <c r="BE5" s="37"/>
      <c r="BG5" s="36"/>
      <c r="BH5" s="36"/>
      <c r="BI5" s="37"/>
      <c r="BJ5" s="21"/>
      <c r="BL5" s="36"/>
      <c r="BM5" s="36"/>
    </row>
    <row r="6" spans="1:65" x14ac:dyDescent="0.3">
      <c r="A6" s="81" t="s">
        <v>104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AI6" s="71"/>
      <c r="AS6" s="6"/>
      <c r="BA6" s="21"/>
      <c r="BB6" s="36"/>
      <c r="BC6" s="37"/>
      <c r="BD6" s="37"/>
      <c r="BE6" s="36"/>
      <c r="BG6" s="36"/>
      <c r="BH6" s="36"/>
      <c r="BI6" s="37"/>
      <c r="BJ6" s="21"/>
      <c r="BL6" s="36"/>
      <c r="BM6" s="36"/>
    </row>
    <row r="7" spans="1:65" x14ac:dyDescent="0.3">
      <c r="N7" s="35"/>
      <c r="O7" s="70"/>
      <c r="R7" s="69"/>
      <c r="AS7" s="6"/>
      <c r="BA7" s="21"/>
      <c r="BB7" s="36"/>
      <c r="BC7" s="37"/>
      <c r="BD7" s="37"/>
      <c r="BE7" s="36"/>
      <c r="BG7" s="36"/>
      <c r="BH7" s="36"/>
      <c r="BI7" s="37"/>
      <c r="BJ7" s="21"/>
      <c r="BL7" s="36"/>
      <c r="BM7" s="36"/>
    </row>
    <row r="8" spans="1:65" ht="12" customHeight="1" x14ac:dyDescent="0.3">
      <c r="B8" s="68">
        <v>2008</v>
      </c>
      <c r="C8" s="67"/>
      <c r="D8" s="66"/>
      <c r="E8" s="65"/>
      <c r="F8" s="66"/>
      <c r="G8" s="65"/>
      <c r="H8" s="66"/>
      <c r="I8" s="65"/>
      <c r="J8" s="61" t="s">
        <v>99</v>
      </c>
      <c r="K8" s="64"/>
      <c r="L8" s="66"/>
      <c r="M8" s="65"/>
      <c r="N8" s="66"/>
      <c r="O8" s="65"/>
      <c r="P8" s="63" t="s">
        <v>103</v>
      </c>
      <c r="Q8" s="62"/>
      <c r="R8" s="61" t="s">
        <v>102</v>
      </c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S8" s="6"/>
      <c r="BA8" s="21"/>
      <c r="BB8" s="36"/>
      <c r="BC8" s="37"/>
      <c r="BD8" s="37"/>
      <c r="BE8" s="36"/>
      <c r="BG8" s="36"/>
      <c r="BH8" s="36"/>
      <c r="BI8" s="37"/>
      <c r="BJ8" s="21"/>
      <c r="BL8" s="36"/>
      <c r="BM8" s="36"/>
    </row>
    <row r="9" spans="1:65" ht="12" customHeight="1" x14ac:dyDescent="0.3">
      <c r="B9" s="61" t="s">
        <v>101</v>
      </c>
      <c r="C9" s="64"/>
      <c r="D9" s="61" t="s">
        <v>100</v>
      </c>
      <c r="E9" s="64"/>
      <c r="F9" s="61" t="s">
        <v>94</v>
      </c>
      <c r="G9" s="64"/>
      <c r="H9" s="61" t="s">
        <v>99</v>
      </c>
      <c r="I9" s="64"/>
      <c r="J9" s="61" t="s">
        <v>98</v>
      </c>
      <c r="K9" s="64"/>
      <c r="L9" s="61" t="s">
        <v>97</v>
      </c>
      <c r="M9" s="64"/>
      <c r="N9" s="61" t="s">
        <v>96</v>
      </c>
      <c r="O9" s="64"/>
      <c r="P9" s="63" t="s">
        <v>95</v>
      </c>
      <c r="Q9" s="62"/>
      <c r="R9" s="61" t="s">
        <v>95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N9" s="60"/>
      <c r="AO9" s="60"/>
      <c r="AS9" s="6"/>
    </row>
    <row r="10" spans="1:65" ht="12" customHeight="1" x14ac:dyDescent="0.3">
      <c r="B10" s="59" t="s">
        <v>94</v>
      </c>
      <c r="C10" s="58"/>
      <c r="D10" s="59" t="s">
        <v>92</v>
      </c>
      <c r="E10" s="58"/>
      <c r="F10" s="59" t="s">
        <v>93</v>
      </c>
      <c r="G10" s="58"/>
      <c r="H10" s="59" t="s">
        <v>92</v>
      </c>
      <c r="I10" s="58"/>
      <c r="J10" s="59" t="s">
        <v>83</v>
      </c>
      <c r="K10" s="58"/>
      <c r="L10" s="59" t="s">
        <v>83</v>
      </c>
      <c r="M10" s="58"/>
      <c r="N10" s="56" t="s">
        <v>91</v>
      </c>
      <c r="O10" s="57"/>
      <c r="P10" s="56" t="s">
        <v>90</v>
      </c>
      <c r="Q10" s="57"/>
      <c r="R10" s="56" t="s">
        <v>90</v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L10" s="47"/>
      <c r="AR10" s="6"/>
      <c r="BB10" s="35"/>
      <c r="BC10" s="35"/>
      <c r="BD10" s="35"/>
      <c r="BE10" s="35"/>
    </row>
    <row r="11" spans="1:65" ht="15" customHeight="1" x14ac:dyDescent="0.3">
      <c r="A11" s="15" t="s">
        <v>89</v>
      </c>
      <c r="B11" s="7" t="s">
        <v>88</v>
      </c>
      <c r="C11" s="10"/>
      <c r="D11" s="7"/>
      <c r="E11" s="10"/>
      <c r="F11" s="7"/>
      <c r="G11" s="10"/>
      <c r="H11" s="7"/>
      <c r="I11" s="10"/>
      <c r="J11" s="7"/>
      <c r="K11" s="10"/>
      <c r="L11" s="7"/>
      <c r="M11" s="10"/>
      <c r="N11" s="9"/>
      <c r="O11" s="8"/>
      <c r="P11" s="9"/>
      <c r="Q11" s="8"/>
      <c r="R11" s="9"/>
      <c r="AL11" s="47"/>
      <c r="AM11" s="54"/>
      <c r="AN11" s="54"/>
      <c r="AR11" s="6"/>
    </row>
    <row r="12" spans="1:65" ht="15" customHeight="1" x14ac:dyDescent="0.3">
      <c r="A12" s="33" t="s">
        <v>87</v>
      </c>
      <c r="B12" s="53">
        <v>1972440.7046000001</v>
      </c>
      <c r="C12" s="52"/>
      <c r="D12" s="53">
        <v>-34511.966800000002</v>
      </c>
      <c r="E12" s="52"/>
      <c r="F12" s="53">
        <f t="shared" ref="F12:F20" si="0">D12+B12</f>
        <v>1937928.7378</v>
      </c>
      <c r="G12" s="52"/>
      <c r="H12" s="48">
        <v>1536</v>
      </c>
      <c r="I12" s="52"/>
      <c r="J12" s="53">
        <f t="shared" ref="J12:J20" si="1">SUM(F12:H12)</f>
        <v>1939464.7378</v>
      </c>
      <c r="K12" s="52"/>
      <c r="L12" s="51">
        <v>0</v>
      </c>
      <c r="M12" s="50"/>
      <c r="N12" s="48">
        <f t="shared" ref="N12:N20" si="2">SUM(J12:L12)</f>
        <v>1939464.7378</v>
      </c>
      <c r="O12" s="49"/>
      <c r="P12" s="48">
        <v>102543.27989999999</v>
      </c>
      <c r="Q12" s="49"/>
      <c r="R12" s="48">
        <f t="shared" ref="R12:R20" si="3">N12+P12</f>
        <v>2042008.0177</v>
      </c>
      <c r="S12" s="21"/>
      <c r="AI12" s="42"/>
      <c r="AK12" s="42"/>
      <c r="AL12" s="47"/>
      <c r="AR12" s="6"/>
      <c r="BB12" s="36"/>
      <c r="BC12" s="38"/>
      <c r="BD12" s="37"/>
      <c r="BE12" s="36"/>
      <c r="BG12" s="36"/>
      <c r="BH12" s="36"/>
      <c r="BI12" s="37"/>
      <c r="BJ12" s="21"/>
      <c r="BL12" s="36"/>
      <c r="BM12" s="36"/>
    </row>
    <row r="13" spans="1:65" ht="15" customHeight="1" x14ac:dyDescent="0.3">
      <c r="A13" s="33" t="s">
        <v>86</v>
      </c>
      <c r="B13" s="17">
        <v>601072.36486486497</v>
      </c>
      <c r="C13" s="20"/>
      <c r="D13" s="17">
        <v>-973.28861003861005</v>
      </c>
      <c r="E13" s="20"/>
      <c r="F13" s="17">
        <f t="shared" si="0"/>
        <v>600099.07625482639</v>
      </c>
      <c r="G13" s="20"/>
      <c r="H13" s="17">
        <v>0</v>
      </c>
      <c r="I13" s="20"/>
      <c r="J13" s="17">
        <f t="shared" si="1"/>
        <v>600099.07625482639</v>
      </c>
      <c r="K13" s="20"/>
      <c r="L13" s="17">
        <v>0</v>
      </c>
      <c r="M13" s="20"/>
      <c r="N13" s="19">
        <f t="shared" si="2"/>
        <v>600099.07625482639</v>
      </c>
      <c r="O13" s="18"/>
      <c r="P13" s="19">
        <v>49721.404098727202</v>
      </c>
      <c r="Q13" s="18"/>
      <c r="R13" s="19">
        <f t="shared" si="3"/>
        <v>649820.48035355355</v>
      </c>
      <c r="S13" s="21"/>
      <c r="AI13" s="42"/>
      <c r="AK13" s="42"/>
      <c r="AL13" s="47"/>
      <c r="AR13" s="6"/>
      <c r="BB13" s="36"/>
      <c r="BC13" s="38"/>
      <c r="BD13" s="37"/>
      <c r="BE13" s="36"/>
      <c r="BG13" s="36"/>
      <c r="BH13" s="36"/>
      <c r="BI13" s="37"/>
      <c r="BJ13" s="21"/>
      <c r="BL13" s="36"/>
      <c r="BM13" s="36"/>
    </row>
    <row r="14" spans="1:65" ht="15" customHeight="1" x14ac:dyDescent="0.3">
      <c r="A14" s="33" t="s">
        <v>85</v>
      </c>
      <c r="B14" s="17">
        <v>382852.40065637103</v>
      </c>
      <c r="C14" s="20"/>
      <c r="D14" s="17">
        <v>-20275.218880308901</v>
      </c>
      <c r="E14" s="20"/>
      <c r="F14" s="17">
        <f t="shared" si="0"/>
        <v>362577.18177606212</v>
      </c>
      <c r="G14" s="20"/>
      <c r="H14" s="17">
        <v>0</v>
      </c>
      <c r="I14" s="20"/>
      <c r="J14" s="17">
        <f t="shared" si="1"/>
        <v>362577.18177606212</v>
      </c>
      <c r="K14" s="20"/>
      <c r="L14" s="17">
        <v>0</v>
      </c>
      <c r="M14" s="20"/>
      <c r="N14" s="19">
        <f t="shared" si="2"/>
        <v>362577.18177606212</v>
      </c>
      <c r="O14" s="18"/>
      <c r="P14" s="19">
        <v>58971.036959454002</v>
      </c>
      <c r="Q14" s="18"/>
      <c r="R14" s="19">
        <f t="shared" si="3"/>
        <v>421548.21873551613</v>
      </c>
      <c r="S14" s="21"/>
      <c r="AI14" s="42"/>
      <c r="AL14" s="47"/>
      <c r="AR14" s="6"/>
      <c r="BB14" s="36"/>
      <c r="BC14" s="38"/>
      <c r="BD14" s="37"/>
      <c r="BE14" s="36"/>
      <c r="BG14" s="36"/>
      <c r="BH14" s="36"/>
      <c r="BI14" s="37"/>
      <c r="BJ14" s="21"/>
      <c r="BL14" s="36"/>
      <c r="BM14" s="36"/>
    </row>
    <row r="15" spans="1:65" ht="15" customHeight="1" x14ac:dyDescent="0.3">
      <c r="A15" s="33" t="s">
        <v>84</v>
      </c>
      <c r="B15" s="17">
        <v>297044.46999999997</v>
      </c>
      <c r="C15" s="20"/>
      <c r="D15" s="17">
        <v>-2474</v>
      </c>
      <c r="E15" s="20"/>
      <c r="F15" s="17">
        <f t="shared" si="0"/>
        <v>294570.46999999997</v>
      </c>
      <c r="G15" s="20"/>
      <c r="H15" s="17">
        <v>0</v>
      </c>
      <c r="I15" s="20"/>
      <c r="J15" s="17">
        <f t="shared" si="1"/>
        <v>294570.46999999997</v>
      </c>
      <c r="K15" s="20"/>
      <c r="L15" s="17">
        <v>0</v>
      </c>
      <c r="M15" s="20"/>
      <c r="N15" s="19">
        <f t="shared" si="2"/>
        <v>294570.46999999997</v>
      </c>
      <c r="O15" s="18"/>
      <c r="P15" s="19">
        <v>0</v>
      </c>
      <c r="Q15" s="18"/>
      <c r="R15" s="19">
        <f t="shared" si="3"/>
        <v>294570.46999999997</v>
      </c>
      <c r="AL15" s="36"/>
      <c r="BB15" s="36"/>
      <c r="BC15" s="38"/>
      <c r="BD15" s="37"/>
      <c r="BE15" s="36"/>
      <c r="BG15" s="36"/>
      <c r="BH15" s="36"/>
      <c r="BI15" s="37"/>
      <c r="BJ15" s="21"/>
      <c r="BL15" s="36"/>
      <c r="BM15" s="36"/>
    </row>
    <row r="16" spans="1:65" x14ac:dyDescent="0.3">
      <c r="A16" s="33" t="s">
        <v>67</v>
      </c>
      <c r="B16" s="17">
        <v>0</v>
      </c>
      <c r="C16" s="20"/>
      <c r="D16" s="17">
        <v>0</v>
      </c>
      <c r="E16" s="20"/>
      <c r="F16" s="17">
        <f t="shared" si="0"/>
        <v>0</v>
      </c>
      <c r="G16" s="20"/>
      <c r="H16" s="17">
        <v>0</v>
      </c>
      <c r="I16" s="20"/>
      <c r="J16" s="17">
        <f t="shared" si="1"/>
        <v>0</v>
      </c>
      <c r="K16" s="20"/>
      <c r="L16" s="17">
        <v>0</v>
      </c>
      <c r="M16" s="20"/>
      <c r="N16" s="19">
        <f t="shared" si="2"/>
        <v>0</v>
      </c>
      <c r="O16" s="18"/>
      <c r="P16" s="19">
        <v>0</v>
      </c>
      <c r="Q16" s="18"/>
      <c r="R16" s="19">
        <f t="shared" si="3"/>
        <v>0</v>
      </c>
      <c r="AL16" s="36"/>
      <c r="BB16" s="36"/>
      <c r="BC16" s="38"/>
      <c r="BD16" s="37"/>
      <c r="BE16" s="36"/>
      <c r="BG16" s="36"/>
      <c r="BH16" s="36"/>
      <c r="BI16" s="37"/>
      <c r="BJ16" s="21"/>
      <c r="BL16" s="36"/>
      <c r="BM16" s="36"/>
    </row>
    <row r="17" spans="1:77" ht="15" customHeight="1" x14ac:dyDescent="0.3">
      <c r="A17" s="33" t="s">
        <v>83</v>
      </c>
      <c r="B17" s="17">
        <v>200516.43</v>
      </c>
      <c r="C17" s="20"/>
      <c r="D17" s="17">
        <v>0</v>
      </c>
      <c r="E17" s="20"/>
      <c r="F17" s="17">
        <f t="shared" si="0"/>
        <v>200516.43</v>
      </c>
      <c r="G17" s="20"/>
      <c r="H17" s="17">
        <v>0</v>
      </c>
      <c r="I17" s="20"/>
      <c r="J17" s="17">
        <f t="shared" si="1"/>
        <v>200516.43</v>
      </c>
      <c r="K17" s="20"/>
      <c r="L17" s="17">
        <v>-200516.43</v>
      </c>
      <c r="M17" s="20"/>
      <c r="N17" s="19">
        <f t="shared" si="2"/>
        <v>0</v>
      </c>
      <c r="O17" s="18"/>
      <c r="P17" s="19">
        <v>0</v>
      </c>
      <c r="Q17" s="18"/>
      <c r="R17" s="19">
        <f t="shared" si="3"/>
        <v>0</v>
      </c>
    </row>
    <row r="18" spans="1:77" ht="15" customHeight="1" x14ac:dyDescent="0.3">
      <c r="A18" s="33" t="s">
        <v>82</v>
      </c>
      <c r="B18" s="17">
        <v>-2340.3088803088799</v>
      </c>
      <c r="C18" s="20"/>
      <c r="D18" s="17">
        <v>2340.3088803088799</v>
      </c>
      <c r="E18" s="20"/>
      <c r="F18" s="17">
        <f t="shared" si="0"/>
        <v>0</v>
      </c>
      <c r="G18" s="20"/>
      <c r="H18" s="17">
        <v>0</v>
      </c>
      <c r="I18" s="20"/>
      <c r="J18" s="17">
        <f t="shared" si="1"/>
        <v>0</v>
      </c>
      <c r="K18" s="20"/>
      <c r="L18" s="17">
        <v>0</v>
      </c>
      <c r="M18" s="20"/>
      <c r="N18" s="19">
        <f t="shared" si="2"/>
        <v>0</v>
      </c>
      <c r="O18" s="18"/>
      <c r="P18" s="19">
        <v>0</v>
      </c>
      <c r="Q18" s="18"/>
      <c r="R18" s="19">
        <f t="shared" si="3"/>
        <v>0</v>
      </c>
      <c r="AL18" s="36"/>
      <c r="BC18" s="35"/>
      <c r="BD18" s="35"/>
      <c r="BE18" s="35"/>
      <c r="BG18" s="36"/>
      <c r="BH18" s="36"/>
      <c r="BI18" s="37"/>
      <c r="BJ18" s="21"/>
    </row>
    <row r="19" spans="1:77" ht="15" customHeight="1" x14ac:dyDescent="0.3">
      <c r="A19" s="33" t="s">
        <v>81</v>
      </c>
      <c r="B19" s="17">
        <v>-423.10810810810801</v>
      </c>
      <c r="C19" s="20"/>
      <c r="D19" s="17">
        <v>423.10810810810801</v>
      </c>
      <c r="E19" s="20"/>
      <c r="F19" s="17">
        <f t="shared" si="0"/>
        <v>0</v>
      </c>
      <c r="G19" s="20"/>
      <c r="H19" s="17">
        <v>0</v>
      </c>
      <c r="I19" s="20"/>
      <c r="J19" s="17">
        <f t="shared" si="1"/>
        <v>0</v>
      </c>
      <c r="K19" s="20"/>
      <c r="L19" s="17">
        <v>0</v>
      </c>
      <c r="M19" s="20"/>
      <c r="N19" s="19">
        <f t="shared" si="2"/>
        <v>0</v>
      </c>
      <c r="O19" s="18"/>
      <c r="P19" s="19">
        <v>0</v>
      </c>
      <c r="Q19" s="18"/>
      <c r="R19" s="19">
        <f t="shared" si="3"/>
        <v>0</v>
      </c>
      <c r="AL19" s="36"/>
      <c r="BC19" s="35"/>
      <c r="BD19" s="35"/>
      <c r="BE19" s="35"/>
      <c r="BG19" s="36"/>
      <c r="BH19" s="36"/>
      <c r="BI19" s="37"/>
      <c r="BJ19" s="21"/>
    </row>
    <row r="20" spans="1:77" ht="15" customHeight="1" x14ac:dyDescent="0.3">
      <c r="A20" s="33" t="s">
        <v>80</v>
      </c>
      <c r="B20" s="44">
        <v>-2821.1872586872601</v>
      </c>
      <c r="C20" s="20"/>
      <c r="D20" s="44">
        <v>2821.1872586872601</v>
      </c>
      <c r="E20" s="20"/>
      <c r="F20" s="44">
        <f t="shared" si="0"/>
        <v>0</v>
      </c>
      <c r="G20" s="20"/>
      <c r="H20" s="17">
        <v>0</v>
      </c>
      <c r="I20" s="20"/>
      <c r="J20" s="46">
        <f t="shared" si="1"/>
        <v>0</v>
      </c>
      <c r="K20" s="20"/>
      <c r="L20" s="44">
        <v>0</v>
      </c>
      <c r="M20" s="20"/>
      <c r="N20" s="43">
        <f t="shared" si="2"/>
        <v>0</v>
      </c>
      <c r="O20" s="18"/>
      <c r="P20" s="43">
        <v>0</v>
      </c>
      <c r="Q20" s="18"/>
      <c r="R20" s="43">
        <f t="shared" si="3"/>
        <v>0</v>
      </c>
      <c r="BB20" s="36"/>
      <c r="BC20" s="38"/>
      <c r="BD20" s="37"/>
      <c r="BE20" s="36"/>
      <c r="BG20" s="36"/>
      <c r="BH20" s="36"/>
      <c r="BI20" s="37"/>
      <c r="BJ20" s="21"/>
      <c r="BL20" s="36"/>
    </row>
    <row r="21" spans="1:77" ht="15" customHeight="1" x14ac:dyDescent="0.3">
      <c r="A21" s="15"/>
      <c r="B21" s="44">
        <f>SUM(B12:B20)</f>
        <v>3448341.765874132</v>
      </c>
      <c r="C21" s="20"/>
      <c r="D21" s="44">
        <f>SUM(D12:D20)</f>
        <v>-52649.87004324326</v>
      </c>
      <c r="E21" s="20"/>
      <c r="F21" s="44">
        <f>SUM(F12:F20)</f>
        <v>3395691.8958308888</v>
      </c>
      <c r="G21" s="20"/>
      <c r="H21" s="45">
        <f>SUM(H12:H20)</f>
        <v>1536</v>
      </c>
      <c r="I21" s="20"/>
      <c r="J21" s="44">
        <f>SUM(J12:J20)</f>
        <v>3397227.8958308888</v>
      </c>
      <c r="K21" s="20"/>
      <c r="L21" s="44">
        <f>L17</f>
        <v>-200516.43</v>
      </c>
      <c r="M21" s="20"/>
      <c r="N21" s="43">
        <f>SUM(N12:N20)</f>
        <v>3196711.4658308886</v>
      </c>
      <c r="O21" s="18"/>
      <c r="P21" s="43">
        <f>SUM(P12:P20)</f>
        <v>211235.72095818119</v>
      </c>
      <c r="Q21" s="18"/>
      <c r="R21" s="43">
        <f>SUM(R12:R20)</f>
        <v>3407947.1867890693</v>
      </c>
      <c r="S21" s="38"/>
      <c r="BB21" s="36"/>
      <c r="BC21" s="38"/>
      <c r="BD21" s="37"/>
      <c r="BE21" s="36"/>
      <c r="BG21" s="36"/>
      <c r="BH21" s="36"/>
      <c r="BI21" s="37"/>
      <c r="BJ21" s="21"/>
      <c r="BL21" s="36"/>
    </row>
    <row r="22" spans="1:77" ht="15" customHeight="1" x14ac:dyDescent="0.3">
      <c r="A22" s="7"/>
      <c r="B22" s="19"/>
      <c r="C22" s="18"/>
      <c r="D22" s="19"/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21"/>
      <c r="BB22" s="36"/>
      <c r="BC22" s="38"/>
      <c r="BD22" s="37"/>
      <c r="BE22" s="36"/>
      <c r="BG22" s="36"/>
      <c r="BH22" s="36"/>
      <c r="BI22" s="37"/>
      <c r="BJ22" s="21"/>
      <c r="BL22" s="36"/>
    </row>
    <row r="23" spans="1:77" ht="15" customHeight="1" x14ac:dyDescent="0.3">
      <c r="A23" s="15" t="s">
        <v>79</v>
      </c>
      <c r="B23" s="19"/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39"/>
      <c r="Q23" s="29"/>
      <c r="R23" s="39"/>
      <c r="S23" s="38"/>
      <c r="BB23" s="36"/>
      <c r="BC23" s="38"/>
      <c r="BD23" s="37"/>
      <c r="BE23" s="36"/>
      <c r="BG23" s="36"/>
      <c r="BH23" s="36"/>
      <c r="BI23" s="37"/>
      <c r="BJ23" s="21"/>
      <c r="BL23" s="36"/>
    </row>
    <row r="24" spans="1:77" ht="15" customHeight="1" x14ac:dyDescent="0.3">
      <c r="A24" s="33" t="s">
        <v>78</v>
      </c>
      <c r="B24" s="19">
        <v>221525.94</v>
      </c>
      <c r="C24" s="18"/>
      <c r="D24" s="39">
        <v>-17294.136666666702</v>
      </c>
      <c r="E24" s="29"/>
      <c r="F24" s="19">
        <f t="shared" ref="F24:F55" si="4">B24+D24</f>
        <v>204231.80333333329</v>
      </c>
      <c r="G24" s="18"/>
      <c r="H24" s="19">
        <v>13561.50288125</v>
      </c>
      <c r="I24" s="18"/>
      <c r="J24" s="19">
        <f t="shared" ref="J24:J55" si="5">SUM(F24:H24)</f>
        <v>217793.30621458328</v>
      </c>
      <c r="K24" s="18"/>
      <c r="L24" s="19">
        <v>-8141.00286647146</v>
      </c>
      <c r="M24" s="18"/>
      <c r="N24" s="19">
        <f t="shared" ref="N24:N55" si="6">SUM(J24:L24)</f>
        <v>209652.30334811183</v>
      </c>
      <c r="O24" s="18"/>
      <c r="P24" s="19">
        <v>0</v>
      </c>
      <c r="Q24" s="18"/>
      <c r="R24" s="17">
        <f t="shared" ref="R24:R55" si="7">N24+P24</f>
        <v>209652.30334811183</v>
      </c>
      <c r="S24" s="21"/>
      <c r="AE24" s="21"/>
      <c r="AF24" s="21"/>
      <c r="AG24" s="21"/>
      <c r="AH24" s="21"/>
      <c r="BM24" s="36"/>
    </row>
    <row r="25" spans="1:77" ht="15" customHeight="1" x14ac:dyDescent="0.3">
      <c r="A25" s="33" t="s">
        <v>77</v>
      </c>
      <c r="B25" s="19">
        <v>103982.57</v>
      </c>
      <c r="C25" s="18"/>
      <c r="D25" s="39">
        <v>0</v>
      </c>
      <c r="E25" s="29"/>
      <c r="F25" s="19">
        <f t="shared" si="4"/>
        <v>103982.57</v>
      </c>
      <c r="G25" s="18"/>
      <c r="H25" s="19">
        <v>4027.4174737499902</v>
      </c>
      <c r="I25" s="18"/>
      <c r="J25" s="19">
        <f t="shared" si="5"/>
        <v>108009.98747374999</v>
      </c>
      <c r="K25" s="18"/>
      <c r="L25" s="19">
        <v>0</v>
      </c>
      <c r="M25" s="18"/>
      <c r="N25" s="19">
        <f t="shared" si="6"/>
        <v>108009.98747374999</v>
      </c>
      <c r="O25" s="18"/>
      <c r="P25" s="19">
        <v>0</v>
      </c>
      <c r="Q25" s="18"/>
      <c r="R25" s="17">
        <f t="shared" si="7"/>
        <v>108009.98747374999</v>
      </c>
      <c r="S25" s="21"/>
      <c r="AE25" s="21"/>
      <c r="AF25" s="21"/>
      <c r="AG25" s="21"/>
      <c r="AH25" s="21"/>
      <c r="BC25" s="35"/>
      <c r="BD25" s="35"/>
      <c r="BE25" s="35"/>
      <c r="BG25" s="36"/>
      <c r="BH25" s="36"/>
      <c r="BI25" s="37"/>
      <c r="BJ25" s="21"/>
      <c r="BL25" s="36"/>
      <c r="BM25" s="36"/>
    </row>
    <row r="26" spans="1:77" ht="15" customHeight="1" x14ac:dyDescent="0.3">
      <c r="A26" s="33" t="s">
        <v>76</v>
      </c>
      <c r="B26" s="19">
        <v>167595.29</v>
      </c>
      <c r="C26" s="18"/>
      <c r="D26" s="39">
        <v>-16055.686666666699</v>
      </c>
      <c r="E26" s="29"/>
      <c r="F26" s="19">
        <f t="shared" si="4"/>
        <v>151539.6033333333</v>
      </c>
      <c r="G26" s="18"/>
      <c r="H26" s="19">
        <v>12696.598464999999</v>
      </c>
      <c r="I26" s="18"/>
      <c r="J26" s="19">
        <f t="shared" si="5"/>
        <v>164236.20179833329</v>
      </c>
      <c r="K26" s="18"/>
      <c r="L26" s="19">
        <v>-6094.0659641185102</v>
      </c>
      <c r="M26" s="18"/>
      <c r="N26" s="19">
        <f t="shared" si="6"/>
        <v>158142.13583421477</v>
      </c>
      <c r="O26" s="18"/>
      <c r="P26" s="19">
        <v>0</v>
      </c>
      <c r="Q26" s="18"/>
      <c r="R26" s="17">
        <f t="shared" si="7"/>
        <v>158142.13583421477</v>
      </c>
      <c r="S26" s="21"/>
      <c r="AL26" s="41"/>
      <c r="AO26" s="38"/>
      <c r="BB26" s="36"/>
      <c r="BC26" s="38"/>
      <c r="BD26" s="37"/>
      <c r="BE26" s="36"/>
      <c r="BG26" s="36"/>
      <c r="BH26" s="36"/>
      <c r="BI26" s="37"/>
      <c r="BJ26" s="21"/>
      <c r="BL26" s="36"/>
      <c r="BM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7" ht="15" customHeight="1" x14ac:dyDescent="0.3">
      <c r="A27" s="33" t="s">
        <v>75</v>
      </c>
      <c r="B27" s="19">
        <v>68696.55</v>
      </c>
      <c r="C27" s="18"/>
      <c r="D27" s="39">
        <v>-6498</v>
      </c>
      <c r="E27" s="29"/>
      <c r="F27" s="19">
        <f t="shared" si="4"/>
        <v>62198.55</v>
      </c>
      <c r="G27" s="18"/>
      <c r="H27" s="19">
        <v>9694.9000000000106</v>
      </c>
      <c r="I27" s="18"/>
      <c r="J27" s="19">
        <f t="shared" si="5"/>
        <v>71893.450000000012</v>
      </c>
      <c r="K27" s="18"/>
      <c r="L27" s="19">
        <v>-2668.2044801422198</v>
      </c>
      <c r="M27" s="18"/>
      <c r="N27" s="19">
        <f t="shared" si="6"/>
        <v>69225.245519857795</v>
      </c>
      <c r="O27" s="18"/>
      <c r="P27" s="19">
        <v>0</v>
      </c>
      <c r="Q27" s="18"/>
      <c r="R27" s="17">
        <f t="shared" si="7"/>
        <v>69225.245519857795</v>
      </c>
      <c r="S27" s="21"/>
      <c r="AE27" s="21"/>
      <c r="AF27" s="21"/>
      <c r="AG27" s="21"/>
      <c r="AH27" s="21"/>
      <c r="AL27" s="42"/>
      <c r="AO27" s="36"/>
      <c r="BB27" s="36"/>
      <c r="BC27" s="38"/>
      <c r="BD27" s="37"/>
      <c r="BE27" s="36"/>
      <c r="BG27" s="36"/>
      <c r="BH27" s="36"/>
      <c r="BI27" s="37"/>
      <c r="BJ27" s="21"/>
      <c r="BL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</row>
    <row r="28" spans="1:77" ht="15" customHeight="1" x14ac:dyDescent="0.3">
      <c r="A28" s="33" t="s">
        <v>74</v>
      </c>
      <c r="B28" s="19">
        <v>29293.93</v>
      </c>
      <c r="C28" s="18"/>
      <c r="D28" s="39">
        <v>0</v>
      </c>
      <c r="E28" s="29"/>
      <c r="F28" s="19">
        <f t="shared" si="4"/>
        <v>29293.93</v>
      </c>
      <c r="G28" s="18"/>
      <c r="H28" s="19">
        <v>1308.2750000000001</v>
      </c>
      <c r="I28" s="18"/>
      <c r="J28" s="19">
        <f t="shared" si="5"/>
        <v>30602.205000000002</v>
      </c>
      <c r="K28" s="18"/>
      <c r="L28" s="19">
        <v>-1136.3237086025299</v>
      </c>
      <c r="M28" s="18"/>
      <c r="N28" s="19">
        <f t="shared" si="6"/>
        <v>29465.881291397473</v>
      </c>
      <c r="O28" s="18"/>
      <c r="P28" s="19">
        <v>0</v>
      </c>
      <c r="Q28" s="18"/>
      <c r="R28" s="17">
        <f t="shared" si="7"/>
        <v>29465.881291397473</v>
      </c>
      <c r="S28" s="21"/>
      <c r="AE28" s="21"/>
      <c r="AF28" s="21"/>
      <c r="AG28" s="21"/>
      <c r="AH28" s="21"/>
      <c r="AL28" s="42"/>
      <c r="AO28" s="36"/>
      <c r="BB28" s="36"/>
      <c r="BC28" s="38"/>
      <c r="BD28" s="37"/>
      <c r="BE28" s="36"/>
      <c r="BG28" s="36"/>
      <c r="BH28" s="36"/>
      <c r="BI28" s="37"/>
      <c r="BJ28" s="21"/>
      <c r="BL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</row>
    <row r="29" spans="1:77" ht="15" customHeight="1" x14ac:dyDescent="0.3">
      <c r="A29" s="33" t="s">
        <v>73</v>
      </c>
      <c r="B29" s="19">
        <v>0</v>
      </c>
      <c r="C29" s="18"/>
      <c r="D29" s="39">
        <v>217171.83</v>
      </c>
      <c r="E29" s="29"/>
      <c r="F29" s="19">
        <f t="shared" si="4"/>
        <v>217171.83</v>
      </c>
      <c r="G29" s="18"/>
      <c r="H29" s="19">
        <v>42060.401213863399</v>
      </c>
      <c r="I29" s="18"/>
      <c r="J29" s="19">
        <f t="shared" si="5"/>
        <v>259232.23121386339</v>
      </c>
      <c r="K29" s="18"/>
      <c r="L29" s="19">
        <v>-8784.2658712483899</v>
      </c>
      <c r="M29" s="18"/>
      <c r="N29" s="19">
        <f t="shared" si="6"/>
        <v>250447.965342615</v>
      </c>
      <c r="O29" s="18"/>
      <c r="P29" s="19">
        <v>0</v>
      </c>
      <c r="Q29" s="18"/>
      <c r="R29" s="17">
        <f t="shared" si="7"/>
        <v>250447.965342615</v>
      </c>
      <c r="S29" s="21"/>
      <c r="AE29" s="21"/>
      <c r="AF29" s="21"/>
      <c r="AG29" s="21"/>
      <c r="AH29" s="21"/>
      <c r="AJ29" s="40"/>
      <c r="AK29" s="40"/>
      <c r="AO29" s="40"/>
      <c r="BB29" s="36"/>
      <c r="BC29" s="38"/>
      <c r="BD29" s="37"/>
      <c r="BE29" s="36"/>
      <c r="BG29" s="36"/>
      <c r="BH29" s="36"/>
      <c r="BI29" s="37"/>
      <c r="BJ29" s="21"/>
      <c r="BL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</row>
    <row r="30" spans="1:77" ht="15" customHeight="1" x14ac:dyDescent="0.3">
      <c r="A30" s="33" t="s">
        <v>55</v>
      </c>
      <c r="B30" s="19">
        <v>156039.4</v>
      </c>
      <c r="C30" s="18"/>
      <c r="D30" s="39">
        <v>0</v>
      </c>
      <c r="E30" s="29"/>
      <c r="F30" s="19">
        <f t="shared" si="4"/>
        <v>156039.4</v>
      </c>
      <c r="G30" s="18"/>
      <c r="H30" s="19">
        <v>0</v>
      </c>
      <c r="I30" s="18"/>
      <c r="J30" s="19">
        <f t="shared" si="5"/>
        <v>156039.4</v>
      </c>
      <c r="K30" s="18"/>
      <c r="L30" s="19">
        <v>-5789.9694646550397</v>
      </c>
      <c r="M30" s="18"/>
      <c r="N30" s="19">
        <f t="shared" si="6"/>
        <v>150249.43053534496</v>
      </c>
      <c r="O30" s="18"/>
      <c r="P30" s="19">
        <v>0</v>
      </c>
      <c r="Q30" s="18"/>
      <c r="R30" s="17">
        <f t="shared" si="7"/>
        <v>150249.43053534496</v>
      </c>
      <c r="S30" s="21"/>
      <c r="AE30" s="21"/>
      <c r="AF30" s="21"/>
      <c r="AG30" s="21"/>
      <c r="AH30" s="21"/>
      <c r="AI30" s="42"/>
      <c r="AL30" s="41"/>
      <c r="BB30" s="36"/>
      <c r="BC30" s="38"/>
      <c r="BD30" s="37"/>
      <c r="BE30" s="36"/>
      <c r="BG30" s="36"/>
      <c r="BH30" s="36"/>
      <c r="BI30" s="37"/>
      <c r="BJ30" s="21"/>
      <c r="BL30" s="36"/>
      <c r="BM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</row>
    <row r="31" spans="1:77" x14ac:dyDescent="0.3">
      <c r="A31" s="33" t="s">
        <v>72</v>
      </c>
      <c r="B31" s="19">
        <v>0</v>
      </c>
      <c r="C31" s="18"/>
      <c r="D31" s="39">
        <v>0</v>
      </c>
      <c r="E31" s="29"/>
      <c r="F31" s="19">
        <f t="shared" si="4"/>
        <v>0</v>
      </c>
      <c r="G31" s="18"/>
      <c r="H31" s="19">
        <v>0</v>
      </c>
      <c r="I31" s="18"/>
      <c r="J31" s="19">
        <f t="shared" si="5"/>
        <v>0</v>
      </c>
      <c r="K31" s="18"/>
      <c r="L31" s="19">
        <v>0</v>
      </c>
      <c r="M31" s="18"/>
      <c r="N31" s="19">
        <f t="shared" si="6"/>
        <v>0</v>
      </c>
      <c r="O31" s="18"/>
      <c r="P31" s="19">
        <v>0</v>
      </c>
      <c r="Q31" s="18"/>
      <c r="R31" s="17">
        <f t="shared" si="7"/>
        <v>0</v>
      </c>
      <c r="S31" s="21"/>
      <c r="AE31" s="21"/>
      <c r="AF31" s="21"/>
      <c r="AG31" s="21"/>
      <c r="AH31" s="21"/>
      <c r="AI31" s="42"/>
      <c r="AL31" s="41"/>
      <c r="AO31" s="37"/>
    </row>
    <row r="32" spans="1:77" ht="15" customHeight="1" x14ac:dyDescent="0.3">
      <c r="A32" s="33" t="s">
        <v>71</v>
      </c>
      <c r="B32" s="19">
        <v>30000</v>
      </c>
      <c r="C32" s="18"/>
      <c r="D32" s="39">
        <v>15052.927829713701</v>
      </c>
      <c r="E32" s="29"/>
      <c r="F32" s="19">
        <f t="shared" si="4"/>
        <v>45052.927829713699</v>
      </c>
      <c r="G32" s="18"/>
      <c r="H32" s="19">
        <v>1351.58783489141</v>
      </c>
      <c r="I32" s="18"/>
      <c r="J32" s="19">
        <f t="shared" si="5"/>
        <v>46404.515664605111</v>
      </c>
      <c r="K32" s="18"/>
      <c r="L32" s="19">
        <v>-1500</v>
      </c>
      <c r="M32" s="18"/>
      <c r="N32" s="19">
        <f t="shared" si="6"/>
        <v>44904.515664605111</v>
      </c>
      <c r="O32" s="18"/>
      <c r="P32" s="19">
        <v>0</v>
      </c>
      <c r="Q32" s="18"/>
      <c r="R32" s="17">
        <f t="shared" si="7"/>
        <v>44904.515664605111</v>
      </c>
      <c r="S32" s="21"/>
      <c r="AF32" s="21"/>
      <c r="AG32" s="21"/>
      <c r="AH32" s="21"/>
      <c r="AL32" s="41"/>
      <c r="AO32" s="37"/>
      <c r="BC32" s="35"/>
      <c r="BD32" s="35"/>
      <c r="BE32" s="35"/>
      <c r="BG32" s="36"/>
      <c r="BH32" s="36"/>
      <c r="BI32" s="37"/>
      <c r="BJ32" s="21"/>
      <c r="BL32" s="36"/>
      <c r="BM32" s="36"/>
      <c r="BR32" s="36"/>
      <c r="BS32" s="36"/>
      <c r="BT32" s="36"/>
      <c r="BU32" s="36"/>
      <c r="BV32" s="36"/>
      <c r="BW32" s="36"/>
      <c r="BX32" s="36"/>
    </row>
    <row r="33" spans="1:77" ht="15" customHeight="1" x14ac:dyDescent="0.3">
      <c r="A33" s="33" t="s">
        <v>70</v>
      </c>
      <c r="B33" s="19">
        <v>25537.56</v>
      </c>
      <c r="C33" s="18"/>
      <c r="D33" s="39">
        <v>0</v>
      </c>
      <c r="E33" s="29"/>
      <c r="F33" s="19">
        <f t="shared" si="4"/>
        <v>25537.56</v>
      </c>
      <c r="G33" s="18"/>
      <c r="H33" s="19">
        <v>766.1268</v>
      </c>
      <c r="I33" s="18"/>
      <c r="J33" s="19">
        <f t="shared" si="5"/>
        <v>26303.686800000003</v>
      </c>
      <c r="K33" s="18"/>
      <c r="L33" s="19">
        <v>0</v>
      </c>
      <c r="M33" s="18"/>
      <c r="N33" s="19">
        <f t="shared" si="6"/>
        <v>26303.686800000003</v>
      </c>
      <c r="O33" s="18"/>
      <c r="P33" s="19">
        <v>0</v>
      </c>
      <c r="Q33" s="18"/>
      <c r="R33" s="17">
        <f t="shared" si="7"/>
        <v>26303.686800000003</v>
      </c>
      <c r="S33" s="21"/>
      <c r="AF33" s="21"/>
      <c r="AG33" s="21"/>
      <c r="AH33" s="21"/>
      <c r="AL33" s="41"/>
      <c r="AO33" s="37"/>
      <c r="BC33" s="35"/>
      <c r="BD33" s="35"/>
      <c r="BE33" s="35"/>
      <c r="BG33" s="36"/>
      <c r="BH33" s="36"/>
      <c r="BI33" s="37"/>
      <c r="BJ33" s="21"/>
      <c r="BL33" s="36"/>
      <c r="BM33" s="36"/>
      <c r="BR33" s="36"/>
      <c r="BS33" s="36"/>
      <c r="BT33" s="36"/>
      <c r="BU33" s="36"/>
      <c r="BV33" s="36"/>
      <c r="BW33" s="36"/>
      <c r="BX33" s="36"/>
    </row>
    <row r="34" spans="1:77" ht="15" customHeight="1" x14ac:dyDescent="0.3">
      <c r="A34" s="33" t="s">
        <v>69</v>
      </c>
      <c r="B34" s="19">
        <v>66578.06</v>
      </c>
      <c r="C34" s="18"/>
      <c r="D34" s="39">
        <v>0</v>
      </c>
      <c r="E34" s="29"/>
      <c r="F34" s="19">
        <f t="shared" si="4"/>
        <v>66578.06</v>
      </c>
      <c r="G34" s="18"/>
      <c r="H34" s="19">
        <v>0</v>
      </c>
      <c r="I34" s="18"/>
      <c r="J34" s="19">
        <f t="shared" si="5"/>
        <v>66578.06</v>
      </c>
      <c r="K34" s="18"/>
      <c r="L34" s="19">
        <v>-2470.0066544473402</v>
      </c>
      <c r="M34" s="18"/>
      <c r="N34" s="19">
        <f t="shared" si="6"/>
        <v>64108.05334555266</v>
      </c>
      <c r="O34" s="18"/>
      <c r="P34" s="19">
        <v>0</v>
      </c>
      <c r="Q34" s="18"/>
      <c r="R34" s="17">
        <f t="shared" si="7"/>
        <v>64108.05334555266</v>
      </c>
      <c r="S34" s="21"/>
      <c r="AE34" s="21"/>
      <c r="AF34" s="21"/>
      <c r="AG34" s="21"/>
      <c r="AH34" s="21"/>
      <c r="AI34" s="42"/>
      <c r="AL34" s="41"/>
      <c r="AO34" s="37"/>
      <c r="BB34" s="36"/>
      <c r="BC34" s="38"/>
      <c r="BD34" s="37"/>
      <c r="BE34" s="36"/>
      <c r="BG34" s="36"/>
      <c r="BH34" s="36"/>
      <c r="BI34" s="37"/>
      <c r="BJ34" s="21"/>
      <c r="BL34" s="36"/>
      <c r="BM34" s="36"/>
      <c r="BP34" s="36"/>
      <c r="BQ34" s="36"/>
    </row>
    <row r="35" spans="1:77" ht="15" customHeight="1" x14ac:dyDescent="0.3">
      <c r="A35" s="33" t="s">
        <v>68</v>
      </c>
      <c r="B35" s="17">
        <v>323000.65000000002</v>
      </c>
      <c r="C35" s="20"/>
      <c r="D35" s="32">
        <v>0</v>
      </c>
      <c r="E35" s="31"/>
      <c r="F35" s="19">
        <f t="shared" si="4"/>
        <v>323000.65000000002</v>
      </c>
      <c r="G35" s="18"/>
      <c r="H35" s="19">
        <v>-93193.945882435102</v>
      </c>
      <c r="I35" s="18"/>
      <c r="J35" s="19">
        <f t="shared" si="5"/>
        <v>229806.70411756492</v>
      </c>
      <c r="K35" s="20"/>
      <c r="L35" s="17">
        <v>-16937.521073200001</v>
      </c>
      <c r="M35" s="20"/>
      <c r="N35" s="17">
        <f t="shared" si="6"/>
        <v>212869.18304436491</v>
      </c>
      <c r="O35" s="20"/>
      <c r="P35" s="19">
        <v>0</v>
      </c>
      <c r="Q35" s="18"/>
      <c r="R35" s="17">
        <f t="shared" si="7"/>
        <v>212869.18304436491</v>
      </c>
      <c r="S35" s="21"/>
      <c r="AE35" s="21"/>
      <c r="BB35" s="36"/>
      <c r="BC35" s="38"/>
      <c r="BD35" s="37"/>
      <c r="BE35" s="36"/>
      <c r="BG35" s="36"/>
      <c r="BH35" s="36"/>
      <c r="BI35" s="37"/>
      <c r="BJ35" s="21"/>
      <c r="BL35" s="36"/>
    </row>
    <row r="36" spans="1:77" ht="15" customHeight="1" x14ac:dyDescent="0.3">
      <c r="A36" s="33" t="s">
        <v>67</v>
      </c>
      <c r="B36" s="17">
        <v>17934.91</v>
      </c>
      <c r="C36" s="20"/>
      <c r="D36" s="32">
        <v>-17934.91</v>
      </c>
      <c r="E36" s="31"/>
      <c r="F36" s="19">
        <f t="shared" si="4"/>
        <v>0</v>
      </c>
      <c r="G36" s="18"/>
      <c r="H36" s="19">
        <v>0</v>
      </c>
      <c r="I36" s="18"/>
      <c r="J36" s="19">
        <f t="shared" si="5"/>
        <v>0</v>
      </c>
      <c r="K36" s="20"/>
      <c r="L36" s="17">
        <v>0</v>
      </c>
      <c r="M36" s="20"/>
      <c r="N36" s="17">
        <f t="shared" si="6"/>
        <v>0</v>
      </c>
      <c r="O36" s="20"/>
      <c r="P36" s="19">
        <v>0</v>
      </c>
      <c r="Q36" s="18"/>
      <c r="R36" s="17">
        <f t="shared" si="7"/>
        <v>0</v>
      </c>
      <c r="S36" s="21"/>
      <c r="AE36" s="21"/>
      <c r="AF36" s="21"/>
      <c r="AG36" s="21"/>
      <c r="AH36" s="21"/>
      <c r="AI36" s="21"/>
      <c r="AJ36" s="21"/>
      <c r="AK36" s="21"/>
      <c r="AO36" s="40"/>
      <c r="BB36" s="36"/>
      <c r="BC36" s="38"/>
      <c r="BD36" s="37"/>
      <c r="BE36" s="36"/>
      <c r="BG36" s="36"/>
      <c r="BH36" s="36"/>
      <c r="BI36" s="37"/>
      <c r="BJ36" s="21"/>
      <c r="BL36" s="36"/>
    </row>
    <row r="37" spans="1:77" ht="15" customHeight="1" x14ac:dyDescent="0.3">
      <c r="A37" s="33" t="s">
        <v>66</v>
      </c>
      <c r="B37" s="17">
        <v>605725.43000000005</v>
      </c>
      <c r="C37" s="20"/>
      <c r="D37" s="32">
        <v>0</v>
      </c>
      <c r="E37" s="31"/>
      <c r="F37" s="19">
        <f t="shared" si="4"/>
        <v>605725.43000000005</v>
      </c>
      <c r="G37" s="18"/>
      <c r="H37" s="19">
        <v>0</v>
      </c>
      <c r="I37" s="18"/>
      <c r="J37" s="19">
        <f t="shared" si="5"/>
        <v>605725.43000000005</v>
      </c>
      <c r="K37" s="20"/>
      <c r="L37" s="17">
        <v>-50990.964999999997</v>
      </c>
      <c r="M37" s="20"/>
      <c r="N37" s="17">
        <f t="shared" si="6"/>
        <v>554734.46500000008</v>
      </c>
      <c r="O37" s="20"/>
      <c r="P37" s="19">
        <v>0</v>
      </c>
      <c r="Q37" s="18"/>
      <c r="R37" s="17">
        <f t="shared" si="7"/>
        <v>554734.46500000008</v>
      </c>
      <c r="S37" s="21"/>
      <c r="AE37" s="21"/>
      <c r="AF37" s="21"/>
      <c r="AG37" s="21"/>
      <c r="AH37" s="21"/>
      <c r="AI37" s="21"/>
      <c r="AJ37" s="21"/>
      <c r="AK37" s="21"/>
      <c r="AO37" s="6"/>
      <c r="AP37" s="6"/>
      <c r="BB37" s="36"/>
      <c r="BC37" s="38"/>
      <c r="BD37" s="37"/>
      <c r="BE37" s="36"/>
      <c r="BG37" s="36"/>
      <c r="BH37" s="36"/>
      <c r="BI37" s="37"/>
      <c r="BJ37" s="21"/>
      <c r="BL37" s="36"/>
      <c r="BP37" s="36"/>
      <c r="BQ37" s="36"/>
      <c r="BR37" s="36"/>
      <c r="BS37" s="36"/>
      <c r="BT37" s="36"/>
      <c r="BU37" s="36"/>
      <c r="BV37" s="36"/>
      <c r="BW37" s="36"/>
      <c r="BX37" s="36"/>
    </row>
    <row r="38" spans="1:77" ht="15" customHeight="1" x14ac:dyDescent="0.3">
      <c r="A38" s="33" t="s">
        <v>65</v>
      </c>
      <c r="B38" s="19">
        <v>297044.46999999997</v>
      </c>
      <c r="C38" s="18"/>
      <c r="D38" s="39">
        <v>-2474</v>
      </c>
      <c r="E38" s="29"/>
      <c r="F38" s="19">
        <f t="shared" si="4"/>
        <v>294570.46999999997</v>
      </c>
      <c r="G38" s="18"/>
      <c r="H38" s="19">
        <v>0</v>
      </c>
      <c r="I38" s="18"/>
      <c r="J38" s="19">
        <f t="shared" si="5"/>
        <v>294570.46999999997</v>
      </c>
      <c r="K38" s="20"/>
      <c r="L38" s="17">
        <v>0</v>
      </c>
      <c r="M38" s="20"/>
      <c r="N38" s="17">
        <f t="shared" si="6"/>
        <v>294570.46999999997</v>
      </c>
      <c r="O38" s="20"/>
      <c r="P38" s="19">
        <v>0</v>
      </c>
      <c r="Q38" s="18"/>
      <c r="R38" s="17">
        <f t="shared" si="7"/>
        <v>294570.46999999997</v>
      </c>
      <c r="S38" s="21"/>
      <c r="AE38" s="21"/>
      <c r="AI38" s="21"/>
      <c r="AJ38" s="21"/>
      <c r="AK38" s="21"/>
      <c r="AO38" s="37"/>
      <c r="BM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</row>
    <row r="39" spans="1:77" ht="15" customHeight="1" x14ac:dyDescent="0.3">
      <c r="A39" s="33" t="s">
        <v>64</v>
      </c>
      <c r="B39" s="19">
        <v>67932.08</v>
      </c>
      <c r="C39" s="18"/>
      <c r="D39" s="39">
        <v>0</v>
      </c>
      <c r="E39" s="29"/>
      <c r="F39" s="19">
        <f t="shared" si="4"/>
        <v>67932.08</v>
      </c>
      <c r="G39" s="18"/>
      <c r="H39" s="19">
        <v>-9339.6987904009893</v>
      </c>
      <c r="I39" s="18"/>
      <c r="J39" s="19">
        <f t="shared" si="5"/>
        <v>58592.381209599014</v>
      </c>
      <c r="K39" s="20"/>
      <c r="L39" s="17">
        <v>-2173.74269372861</v>
      </c>
      <c r="M39" s="20"/>
      <c r="N39" s="17">
        <f t="shared" si="6"/>
        <v>56418.638515870407</v>
      </c>
      <c r="O39" s="20"/>
      <c r="P39" s="19">
        <v>0</v>
      </c>
      <c r="Q39" s="18"/>
      <c r="R39" s="17">
        <f t="shared" si="7"/>
        <v>56418.638515870407</v>
      </c>
      <c r="S39" s="21"/>
      <c r="AI39" s="21"/>
      <c r="AJ39" s="21"/>
      <c r="AK39" s="21"/>
      <c r="BC39" s="35"/>
      <c r="BD39" s="35"/>
      <c r="BE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</row>
    <row r="40" spans="1:77" x14ac:dyDescent="0.3">
      <c r="A40" s="33" t="s">
        <v>63</v>
      </c>
      <c r="B40" s="19">
        <v>0</v>
      </c>
      <c r="C40" s="18"/>
      <c r="D40" s="39">
        <v>0</v>
      </c>
      <c r="E40" s="29"/>
      <c r="F40" s="19">
        <f t="shared" si="4"/>
        <v>0</v>
      </c>
      <c r="G40" s="18"/>
      <c r="H40" s="19">
        <v>0</v>
      </c>
      <c r="I40" s="18"/>
      <c r="J40" s="19">
        <f t="shared" si="5"/>
        <v>0</v>
      </c>
      <c r="K40" s="20"/>
      <c r="L40" s="17">
        <v>0</v>
      </c>
      <c r="M40" s="20"/>
      <c r="N40" s="17">
        <f t="shared" si="6"/>
        <v>0</v>
      </c>
      <c r="O40" s="20"/>
      <c r="P40" s="19">
        <v>0</v>
      </c>
      <c r="Q40" s="18"/>
      <c r="R40" s="17">
        <f t="shared" si="7"/>
        <v>0</v>
      </c>
      <c r="S40" s="21"/>
      <c r="AI40" s="21"/>
      <c r="AJ40" s="21"/>
      <c r="AK40" s="21"/>
      <c r="BB40" s="36"/>
      <c r="BC40" s="38"/>
      <c r="BD40" s="37"/>
      <c r="BE40" s="36"/>
      <c r="BG40" s="36"/>
      <c r="BH40" s="36"/>
      <c r="BI40" s="37"/>
      <c r="BJ40" s="21"/>
      <c r="BL40" s="36"/>
      <c r="BM40" s="36"/>
    </row>
    <row r="41" spans="1:77" ht="15" customHeight="1" x14ac:dyDescent="0.3">
      <c r="A41" s="33" t="s">
        <v>62</v>
      </c>
      <c r="B41" s="19">
        <v>106097.75</v>
      </c>
      <c r="C41" s="18"/>
      <c r="D41" s="39">
        <v>0</v>
      </c>
      <c r="E41" s="29"/>
      <c r="F41" s="19">
        <f t="shared" si="4"/>
        <v>106097.75</v>
      </c>
      <c r="G41" s="18"/>
      <c r="H41" s="19">
        <v>3924.4636725</v>
      </c>
      <c r="I41" s="18"/>
      <c r="J41" s="19">
        <f t="shared" si="5"/>
        <v>110022.2136725</v>
      </c>
      <c r="K41" s="20"/>
      <c r="L41" s="17">
        <v>-4025.6597509430399</v>
      </c>
      <c r="M41" s="20"/>
      <c r="N41" s="17">
        <f t="shared" si="6"/>
        <v>105996.55392155696</v>
      </c>
      <c r="O41" s="20"/>
      <c r="P41" s="19">
        <v>0</v>
      </c>
      <c r="Q41" s="18"/>
      <c r="R41" s="17">
        <f t="shared" si="7"/>
        <v>105996.55392155696</v>
      </c>
      <c r="S41" s="21"/>
      <c r="AI41" s="21"/>
      <c r="AK41" s="21"/>
      <c r="BB41" s="36"/>
      <c r="BC41" s="38"/>
      <c r="BD41" s="37"/>
      <c r="BE41" s="36"/>
      <c r="BG41" s="36"/>
      <c r="BH41" s="36"/>
      <c r="BI41" s="37"/>
      <c r="BJ41" s="21"/>
      <c r="BL41" s="36"/>
      <c r="BM41" s="36"/>
    </row>
    <row r="42" spans="1:77" ht="15" customHeight="1" x14ac:dyDescent="0.3">
      <c r="A42" s="33" t="s">
        <v>61</v>
      </c>
      <c r="B42" s="19">
        <v>174000</v>
      </c>
      <c r="C42" s="18"/>
      <c r="D42" s="39">
        <v>25234.0766</v>
      </c>
      <c r="E42" s="29"/>
      <c r="F42" s="19">
        <f t="shared" si="4"/>
        <v>199234.0766</v>
      </c>
      <c r="G42" s="18"/>
      <c r="H42" s="19">
        <v>5977.0200000000204</v>
      </c>
      <c r="I42" s="18"/>
      <c r="J42" s="19">
        <f t="shared" si="5"/>
        <v>205211.09660000002</v>
      </c>
      <c r="K42" s="20"/>
      <c r="L42" s="17">
        <v>-7615.2103303766598</v>
      </c>
      <c r="M42" s="20"/>
      <c r="N42" s="17">
        <f t="shared" si="6"/>
        <v>197595.88626962336</v>
      </c>
      <c r="O42" s="20"/>
      <c r="P42" s="19">
        <v>0</v>
      </c>
      <c r="Q42" s="18"/>
      <c r="R42" s="17">
        <f t="shared" si="7"/>
        <v>197595.88626962336</v>
      </c>
      <c r="S42" s="21"/>
      <c r="BB42" s="36"/>
      <c r="BC42" s="38"/>
      <c r="BD42" s="37"/>
      <c r="BE42" s="36"/>
      <c r="BG42" s="36"/>
      <c r="BH42" s="36"/>
      <c r="BI42" s="37"/>
      <c r="BJ42" s="21"/>
      <c r="BL42" s="36"/>
      <c r="BM42" s="36"/>
    </row>
    <row r="43" spans="1:77" ht="15" customHeight="1" x14ac:dyDescent="0.3">
      <c r="A43" s="33" t="s">
        <v>60</v>
      </c>
      <c r="B43" s="19">
        <v>29042.75</v>
      </c>
      <c r="C43" s="18"/>
      <c r="D43" s="39">
        <v>-3065</v>
      </c>
      <c r="E43" s="29"/>
      <c r="F43" s="19">
        <f t="shared" si="4"/>
        <v>25977.75</v>
      </c>
      <c r="G43" s="18"/>
      <c r="H43" s="19">
        <v>0</v>
      </c>
      <c r="I43" s="18"/>
      <c r="J43" s="19">
        <f t="shared" si="5"/>
        <v>25977.75</v>
      </c>
      <c r="K43" s="20"/>
      <c r="L43" s="17">
        <v>0</v>
      </c>
      <c r="M43" s="20"/>
      <c r="N43" s="17">
        <f t="shared" si="6"/>
        <v>25977.75</v>
      </c>
      <c r="O43" s="20"/>
      <c r="P43" s="19">
        <f>P21*0.009</f>
        <v>1901.1214886236305</v>
      </c>
      <c r="Q43" s="18"/>
      <c r="R43" s="17">
        <f t="shared" si="7"/>
        <v>27878.87148862363</v>
      </c>
      <c r="S43" s="21"/>
      <c r="BB43" s="36"/>
      <c r="BC43" s="38"/>
      <c r="BD43" s="37"/>
      <c r="BE43" s="36"/>
      <c r="BG43" s="36"/>
      <c r="BH43" s="36"/>
      <c r="BI43" s="37"/>
      <c r="BJ43" s="21"/>
      <c r="BL43" s="36"/>
      <c r="BM43" s="36"/>
    </row>
    <row r="44" spans="1:77" ht="15" customHeight="1" x14ac:dyDescent="0.3">
      <c r="A44" s="33" t="s">
        <v>59</v>
      </c>
      <c r="B44" s="19">
        <v>17090.5</v>
      </c>
      <c r="C44" s="18"/>
      <c r="D44" s="39">
        <v>92.5</v>
      </c>
      <c r="E44" s="29"/>
      <c r="F44" s="19">
        <f t="shared" si="4"/>
        <v>17183</v>
      </c>
      <c r="G44" s="18"/>
      <c r="H44" s="19">
        <v>-3107.76</v>
      </c>
      <c r="I44" s="18"/>
      <c r="J44" s="19">
        <f t="shared" si="5"/>
        <v>14075.24</v>
      </c>
      <c r="K44" s="20"/>
      <c r="L44" s="17">
        <v>-522.18308047641301</v>
      </c>
      <c r="M44" s="20"/>
      <c r="N44" s="17">
        <f t="shared" si="6"/>
        <v>13553.056919523588</v>
      </c>
      <c r="O44" s="20"/>
      <c r="P44" s="19">
        <v>0</v>
      </c>
      <c r="Q44" s="18"/>
      <c r="R44" s="17">
        <f t="shared" si="7"/>
        <v>13553.056919523588</v>
      </c>
      <c r="S44" s="21"/>
    </row>
    <row r="45" spans="1:77" ht="15" customHeight="1" x14ac:dyDescent="0.3">
      <c r="A45" s="33" t="s">
        <v>58</v>
      </c>
      <c r="B45" s="19">
        <v>17407.62</v>
      </c>
      <c r="C45" s="18"/>
      <c r="D45" s="39">
        <v>0</v>
      </c>
      <c r="E45" s="29"/>
      <c r="F45" s="19">
        <f t="shared" si="4"/>
        <v>17407.62</v>
      </c>
      <c r="G45" s="18"/>
      <c r="H45" s="19">
        <v>-16016.4</v>
      </c>
      <c r="I45" s="18"/>
      <c r="J45" s="19">
        <f t="shared" si="5"/>
        <v>1391.2199999999993</v>
      </c>
      <c r="K45" s="20"/>
      <c r="L45" s="17">
        <v>-10</v>
      </c>
      <c r="M45" s="20"/>
      <c r="N45" s="17">
        <f t="shared" si="6"/>
        <v>1381.2199999999993</v>
      </c>
      <c r="O45" s="20"/>
      <c r="P45" s="19">
        <v>0</v>
      </c>
      <c r="Q45" s="18"/>
      <c r="R45" s="17">
        <f t="shared" si="7"/>
        <v>1381.2199999999993</v>
      </c>
      <c r="S45" s="21"/>
      <c r="AF45" s="21"/>
      <c r="AG45" s="21"/>
      <c r="AH45" s="21"/>
      <c r="BC45" s="35"/>
      <c r="BD45" s="35"/>
      <c r="BE45" s="35"/>
      <c r="BP45" s="21"/>
      <c r="BQ45" s="21"/>
      <c r="BR45" s="21"/>
      <c r="BS45" s="21"/>
      <c r="BT45" s="21"/>
      <c r="BU45" s="21"/>
      <c r="BV45" s="21"/>
      <c r="BW45" s="21"/>
      <c r="BX45" s="21"/>
      <c r="BY45" s="21"/>
    </row>
    <row r="46" spans="1:77" ht="15" customHeight="1" x14ac:dyDescent="0.3">
      <c r="A46" s="33" t="s">
        <v>57</v>
      </c>
      <c r="B46" s="19">
        <v>3390.03</v>
      </c>
      <c r="C46" s="18"/>
      <c r="D46" s="39">
        <v>0</v>
      </c>
      <c r="E46" s="29"/>
      <c r="F46" s="19">
        <f t="shared" si="4"/>
        <v>3390.03</v>
      </c>
      <c r="G46" s="18"/>
      <c r="H46" s="19">
        <v>0</v>
      </c>
      <c r="I46" s="18"/>
      <c r="J46" s="19">
        <f t="shared" si="5"/>
        <v>3390.03</v>
      </c>
      <c r="K46" s="20"/>
      <c r="L46" s="17">
        <v>-125.768108274349</v>
      </c>
      <c r="M46" s="20"/>
      <c r="N46" s="17">
        <f t="shared" si="6"/>
        <v>3264.2618917256514</v>
      </c>
      <c r="O46" s="20"/>
      <c r="P46" s="19">
        <v>0</v>
      </c>
      <c r="Q46" s="18"/>
      <c r="R46" s="17">
        <f t="shared" si="7"/>
        <v>3264.2618917256514</v>
      </c>
      <c r="S46" s="21"/>
      <c r="AE46" s="21"/>
      <c r="AF46" s="21"/>
      <c r="AG46" s="21"/>
      <c r="AH46" s="21"/>
      <c r="BB46" s="36"/>
      <c r="BC46" s="38"/>
      <c r="BD46" s="37"/>
      <c r="BE46" s="36"/>
      <c r="BG46" s="36"/>
      <c r="BH46" s="36"/>
      <c r="BI46" s="37"/>
      <c r="BJ46" s="21"/>
      <c r="BL46" s="36"/>
      <c r="BP46" s="21"/>
      <c r="BQ46" s="21"/>
      <c r="BR46" s="21"/>
      <c r="BS46" s="21"/>
      <c r="BT46" s="21"/>
      <c r="BU46" s="21"/>
      <c r="BV46" s="21"/>
      <c r="BW46" s="21"/>
      <c r="BX46" s="21"/>
      <c r="BY46" s="21"/>
    </row>
    <row r="47" spans="1:77" ht="15" customHeight="1" x14ac:dyDescent="0.3">
      <c r="A47" s="33" t="s">
        <v>56</v>
      </c>
      <c r="B47" s="17">
        <v>0</v>
      </c>
      <c r="C47" s="20"/>
      <c r="D47" s="32">
        <v>0</v>
      </c>
      <c r="E47" s="31"/>
      <c r="F47" s="17">
        <f t="shared" si="4"/>
        <v>0</v>
      </c>
      <c r="G47" s="20"/>
      <c r="H47" s="17">
        <v>33475</v>
      </c>
      <c r="I47" s="20"/>
      <c r="J47" s="17">
        <f t="shared" si="5"/>
        <v>33475</v>
      </c>
      <c r="K47" s="20"/>
      <c r="L47" s="17">
        <v>-1241.90270424859</v>
      </c>
      <c r="M47" s="20"/>
      <c r="N47" s="17">
        <f t="shared" si="6"/>
        <v>32233.09729575141</v>
      </c>
      <c r="O47" s="20"/>
      <c r="P47" s="19">
        <v>0</v>
      </c>
      <c r="Q47" s="18"/>
      <c r="R47" s="17">
        <f t="shared" si="7"/>
        <v>32233.09729575141</v>
      </c>
      <c r="S47" s="21"/>
      <c r="AE47" s="21"/>
      <c r="BB47" s="36"/>
      <c r="BC47" s="38"/>
      <c r="BD47" s="37"/>
      <c r="BE47" s="36"/>
      <c r="BG47" s="36"/>
      <c r="BH47" s="36"/>
      <c r="BI47" s="37"/>
      <c r="BJ47" s="21"/>
      <c r="BL47" s="36"/>
      <c r="BP47" s="21"/>
      <c r="BQ47" s="21"/>
      <c r="BR47" s="21"/>
      <c r="BS47" s="21"/>
      <c r="BT47" s="21"/>
      <c r="BU47" s="21"/>
      <c r="BV47" s="21"/>
      <c r="BW47" s="21"/>
      <c r="BX47" s="21"/>
      <c r="BY47" s="21"/>
    </row>
    <row r="48" spans="1:77" ht="15" customHeight="1" x14ac:dyDescent="0.3">
      <c r="A48" s="33" t="s">
        <v>55</v>
      </c>
      <c r="B48" s="17">
        <v>22386.84</v>
      </c>
      <c r="C48" s="20"/>
      <c r="D48" s="32">
        <v>0</v>
      </c>
      <c r="E48" s="31"/>
      <c r="F48" s="17">
        <f t="shared" si="4"/>
        <v>22386.84</v>
      </c>
      <c r="G48" s="20"/>
      <c r="H48" s="17">
        <v>0</v>
      </c>
      <c r="I48" s="20"/>
      <c r="J48" s="17">
        <f t="shared" si="5"/>
        <v>22386.84</v>
      </c>
      <c r="K48" s="20"/>
      <c r="L48" s="17">
        <v>-830.53852533474196</v>
      </c>
      <c r="M48" s="20"/>
      <c r="N48" s="17">
        <f t="shared" si="6"/>
        <v>21556.301474665259</v>
      </c>
      <c r="O48" s="20"/>
      <c r="P48" s="19">
        <v>0</v>
      </c>
      <c r="Q48" s="18"/>
      <c r="R48" s="17">
        <f t="shared" si="7"/>
        <v>21556.301474665259</v>
      </c>
      <c r="S48" s="21"/>
      <c r="BB48" s="36"/>
      <c r="BC48" s="38"/>
      <c r="BD48" s="37"/>
      <c r="BE48" s="36"/>
      <c r="BG48" s="36"/>
      <c r="BH48" s="36"/>
      <c r="BI48" s="37"/>
      <c r="BJ48" s="21"/>
      <c r="BL48" s="36"/>
      <c r="BM48" s="36"/>
      <c r="BP48" s="21"/>
      <c r="BQ48" s="21"/>
      <c r="BR48" s="21"/>
      <c r="BS48" s="21"/>
      <c r="BT48" s="21"/>
      <c r="BU48" s="21"/>
      <c r="BV48" s="21"/>
      <c r="BW48" s="21"/>
      <c r="BX48" s="21"/>
      <c r="BY48" s="21"/>
    </row>
    <row r="49" spans="1:77" ht="15" customHeight="1" x14ac:dyDescent="0.3">
      <c r="A49" s="33" t="s">
        <v>54</v>
      </c>
      <c r="B49" s="17">
        <v>0</v>
      </c>
      <c r="C49" s="20"/>
      <c r="D49" s="32">
        <v>0</v>
      </c>
      <c r="E49" s="31"/>
      <c r="F49" s="17">
        <f t="shared" si="4"/>
        <v>0</v>
      </c>
      <c r="G49" s="20"/>
      <c r="H49" s="17">
        <v>25000</v>
      </c>
      <c r="I49" s="20"/>
      <c r="J49" s="17">
        <f t="shared" si="5"/>
        <v>25000</v>
      </c>
      <c r="K49" s="20"/>
      <c r="L49" s="17">
        <v>0</v>
      </c>
      <c r="M49" s="20"/>
      <c r="N49" s="17">
        <f t="shared" si="6"/>
        <v>25000</v>
      </c>
      <c r="O49" s="20"/>
      <c r="P49" s="19">
        <v>0</v>
      </c>
      <c r="Q49" s="18"/>
      <c r="R49" s="17">
        <f t="shared" si="7"/>
        <v>25000</v>
      </c>
      <c r="S49" s="21"/>
      <c r="BB49" s="36"/>
      <c r="BC49" s="38"/>
      <c r="BD49" s="37"/>
      <c r="BE49" s="36"/>
      <c r="BG49" s="36"/>
      <c r="BH49" s="36"/>
      <c r="BI49" s="37"/>
      <c r="BJ49" s="21"/>
      <c r="BL49" s="36"/>
      <c r="BM49" s="36"/>
      <c r="BP49" s="21"/>
      <c r="BQ49" s="21"/>
      <c r="BR49" s="21"/>
      <c r="BS49" s="21"/>
      <c r="BT49" s="21"/>
      <c r="BU49" s="21"/>
      <c r="BV49" s="21"/>
      <c r="BW49" s="21"/>
      <c r="BX49" s="21"/>
      <c r="BY49" s="21"/>
    </row>
    <row r="50" spans="1:77" ht="15" customHeight="1" x14ac:dyDescent="0.3">
      <c r="A50" s="33" t="s">
        <v>53</v>
      </c>
      <c r="B50" s="17">
        <v>24904.7</v>
      </c>
      <c r="C50" s="20"/>
      <c r="D50" s="32">
        <v>0</v>
      </c>
      <c r="E50" s="31"/>
      <c r="F50" s="17">
        <f t="shared" si="4"/>
        <v>24904.7</v>
      </c>
      <c r="G50" s="20"/>
      <c r="H50" s="17">
        <v>0</v>
      </c>
      <c r="I50" s="20"/>
      <c r="J50" s="17">
        <f t="shared" si="5"/>
        <v>24904.7</v>
      </c>
      <c r="K50" s="20"/>
      <c r="L50" s="17">
        <v>-923.94964237490206</v>
      </c>
      <c r="M50" s="20"/>
      <c r="N50" s="17">
        <f t="shared" si="6"/>
        <v>23980.7503576251</v>
      </c>
      <c r="O50" s="20"/>
      <c r="P50" s="19">
        <v>0</v>
      </c>
      <c r="Q50" s="18"/>
      <c r="R50" s="17">
        <f t="shared" si="7"/>
        <v>23980.7503576251</v>
      </c>
      <c r="S50" s="21"/>
      <c r="BB50" s="36"/>
      <c r="BC50" s="38"/>
      <c r="BD50" s="37"/>
      <c r="BE50" s="36"/>
      <c r="BG50" s="36"/>
      <c r="BH50" s="36"/>
      <c r="BI50" s="37"/>
      <c r="BJ50" s="21"/>
      <c r="BL50" s="36"/>
      <c r="BM50" s="36"/>
    </row>
    <row r="51" spans="1:77" ht="15" customHeight="1" x14ac:dyDescent="0.3">
      <c r="A51" s="33" t="s">
        <v>52</v>
      </c>
      <c r="B51" s="17">
        <v>2497.06</v>
      </c>
      <c r="C51" s="20"/>
      <c r="D51" s="32">
        <v>0</v>
      </c>
      <c r="E51" s="31"/>
      <c r="F51" s="17">
        <f t="shared" si="4"/>
        <v>2497.06</v>
      </c>
      <c r="G51" s="20"/>
      <c r="H51" s="17">
        <v>0</v>
      </c>
      <c r="I51" s="20"/>
      <c r="J51" s="17">
        <f t="shared" si="5"/>
        <v>2497.06</v>
      </c>
      <c r="K51" s="20"/>
      <c r="L51" s="17">
        <v>-92.639449340432705</v>
      </c>
      <c r="M51" s="20"/>
      <c r="N51" s="17">
        <f t="shared" si="6"/>
        <v>2404.4205506595672</v>
      </c>
      <c r="O51" s="20"/>
      <c r="P51" s="19">
        <v>0</v>
      </c>
      <c r="Q51" s="18"/>
      <c r="R51" s="17">
        <f t="shared" si="7"/>
        <v>2404.4205506595672</v>
      </c>
      <c r="S51" s="21"/>
      <c r="AI51" s="21"/>
      <c r="AK51" s="21"/>
      <c r="BM51" s="36"/>
    </row>
    <row r="52" spans="1:77" ht="15" customHeight="1" x14ac:dyDescent="0.3">
      <c r="A52" s="33" t="s">
        <v>51</v>
      </c>
      <c r="B52" s="17">
        <v>13297.72</v>
      </c>
      <c r="C52" s="20"/>
      <c r="D52" s="32">
        <v>0</v>
      </c>
      <c r="E52" s="31"/>
      <c r="F52" s="17">
        <f t="shared" si="4"/>
        <v>13297.72</v>
      </c>
      <c r="G52" s="20"/>
      <c r="H52" s="17">
        <v>6.1440000000000001</v>
      </c>
      <c r="I52" s="20"/>
      <c r="J52" s="17">
        <f t="shared" si="5"/>
        <v>13303.864</v>
      </c>
      <c r="K52" s="20"/>
      <c r="L52" s="17">
        <v>0</v>
      </c>
      <c r="M52" s="20"/>
      <c r="N52" s="17">
        <f t="shared" si="6"/>
        <v>13303.864</v>
      </c>
      <c r="O52" s="20"/>
      <c r="P52" s="19">
        <f>+P21*0.004</f>
        <v>844.94288383272476</v>
      </c>
      <c r="Q52" s="18"/>
      <c r="R52" s="17">
        <f t="shared" si="7"/>
        <v>14148.806883832724</v>
      </c>
      <c r="S52" s="21"/>
      <c r="AI52" s="21"/>
      <c r="AJ52" s="21"/>
      <c r="AK52" s="21"/>
      <c r="AL52" s="21"/>
      <c r="BC52" s="35"/>
      <c r="BD52" s="35"/>
      <c r="BE52" s="35"/>
      <c r="BM52" s="36"/>
      <c r="BP52" s="21"/>
      <c r="BQ52" s="21"/>
    </row>
    <row r="53" spans="1:77" ht="15" customHeight="1" x14ac:dyDescent="0.3">
      <c r="A53" s="33" t="s">
        <v>50</v>
      </c>
      <c r="B53" s="17">
        <v>7695.45</v>
      </c>
      <c r="C53" s="20"/>
      <c r="D53" s="32">
        <v>-7695</v>
      </c>
      <c r="E53" s="31"/>
      <c r="F53" s="17">
        <f t="shared" si="4"/>
        <v>0.4499999999998181</v>
      </c>
      <c r="G53" s="20"/>
      <c r="H53" s="17">
        <v>0</v>
      </c>
      <c r="I53" s="20"/>
      <c r="J53" s="17">
        <f t="shared" si="5"/>
        <v>0.4499999999998181</v>
      </c>
      <c r="K53" s="20"/>
      <c r="L53" s="17">
        <v>0</v>
      </c>
      <c r="M53" s="20"/>
      <c r="N53" s="17">
        <f t="shared" si="6"/>
        <v>0.4499999999998181</v>
      </c>
      <c r="O53" s="20"/>
      <c r="P53" s="19">
        <v>0</v>
      </c>
      <c r="Q53" s="18"/>
      <c r="R53" s="17">
        <f t="shared" si="7"/>
        <v>0.4499999999998181</v>
      </c>
      <c r="S53" s="21"/>
      <c r="BB53" s="36"/>
      <c r="BC53" s="38"/>
      <c r="BD53" s="37"/>
      <c r="BE53" s="36"/>
      <c r="BG53" s="36"/>
      <c r="BH53" s="36"/>
      <c r="BI53" s="37"/>
      <c r="BJ53" s="21"/>
      <c r="BL53" s="36"/>
    </row>
    <row r="54" spans="1:77" ht="15" customHeight="1" x14ac:dyDescent="0.3">
      <c r="A54" s="33" t="s">
        <v>49</v>
      </c>
      <c r="B54" s="17">
        <v>21944.240000000002</v>
      </c>
      <c r="C54" s="20"/>
      <c r="D54" s="32">
        <v>0</v>
      </c>
      <c r="E54" s="31"/>
      <c r="F54" s="17">
        <f t="shared" si="4"/>
        <v>21944.240000000002</v>
      </c>
      <c r="G54" s="20"/>
      <c r="H54" s="17">
        <v>0</v>
      </c>
      <c r="I54" s="20"/>
      <c r="J54" s="17">
        <f t="shared" si="5"/>
        <v>21944.240000000002</v>
      </c>
      <c r="K54" s="20"/>
      <c r="L54" s="17">
        <v>-1605.8583223201399</v>
      </c>
      <c r="M54" s="20"/>
      <c r="N54" s="17">
        <f t="shared" si="6"/>
        <v>20338.381677679863</v>
      </c>
      <c r="O54" s="20"/>
      <c r="P54" s="19">
        <v>0</v>
      </c>
      <c r="Q54" s="18"/>
      <c r="R54" s="17">
        <f t="shared" si="7"/>
        <v>20338.381677679863</v>
      </c>
      <c r="S54" s="21"/>
      <c r="BB54" s="36" t="e">
        <f>100*(+BJ47/$AL$14)</f>
        <v>#DIV/0!</v>
      </c>
      <c r="BC54" s="38" t="e">
        <f>EXP(5.6985-(0.68367*LN(BB54)))</f>
        <v>#DIV/0!</v>
      </c>
      <c r="BD54" s="37" t="e">
        <f>(+BC54*BB54)/100</f>
        <v>#DIV/0!</v>
      </c>
      <c r="BE54" s="36" t="e">
        <f>100*((((BD54/100)-((BD54/100)-0.03574)*$AL$34)-0.03574-0.00619)/0.344)</f>
        <v>#DIV/0!</v>
      </c>
      <c r="BF54" s="1">
        <v>0</v>
      </c>
      <c r="BG54" s="36" t="e">
        <f>BE54+BF54</f>
        <v>#DIV/0!</v>
      </c>
      <c r="BH54" s="36" t="e">
        <f>100*($AL$30*$AL$31+($AL$32*(BG54/100))/(1-$AL$34))</f>
        <v>#DIV/0!</v>
      </c>
      <c r="BI54" s="37" t="e">
        <f>BH54/BB54</f>
        <v>#DIV/0!</v>
      </c>
      <c r="BJ54" s="21" t="e">
        <f>ROUND($AL$13/(1-BI54),0)</f>
        <v>#DIV/0!</v>
      </c>
      <c r="BK54" s="1" t="e">
        <f>IF(OR(OR(BJ54=BJ47,BJ54=(BJ47+1)),BJ54=(BJ47-1)),"yes","not yet")</f>
        <v>#DIV/0!</v>
      </c>
      <c r="BL54" s="36" t="e">
        <f>100*(1-BI54)</f>
        <v>#DIV/0!</v>
      </c>
    </row>
    <row r="55" spans="1:77" ht="15" customHeight="1" x14ac:dyDescent="0.3">
      <c r="A55" s="33" t="s">
        <v>48</v>
      </c>
      <c r="B55" s="17">
        <v>27761.81</v>
      </c>
      <c r="C55" s="20"/>
      <c r="D55" s="32">
        <v>0</v>
      </c>
      <c r="E55" s="31"/>
      <c r="F55" s="17">
        <f t="shared" si="4"/>
        <v>27761.81</v>
      </c>
      <c r="G55" s="20"/>
      <c r="H55" s="17">
        <v>0</v>
      </c>
      <c r="I55" s="20"/>
      <c r="J55" s="17">
        <f t="shared" si="5"/>
        <v>27761.81</v>
      </c>
      <c r="K55" s="20"/>
      <c r="L55" s="17">
        <v>-2031.58248502433</v>
      </c>
      <c r="M55" s="20"/>
      <c r="N55" s="17">
        <f t="shared" si="6"/>
        <v>25730.227514975672</v>
      </c>
      <c r="O55" s="20"/>
      <c r="P55" s="19">
        <v>0</v>
      </c>
      <c r="Q55" s="18"/>
      <c r="R55" s="17">
        <f t="shared" si="7"/>
        <v>25730.227514975672</v>
      </c>
      <c r="S55" s="21"/>
      <c r="BB55" s="36" t="e">
        <f>100*(+BJ48/$AL$14)</f>
        <v>#DIV/0!</v>
      </c>
      <c r="BC55" s="38" t="e">
        <f>EXP(5.6985-(0.68367*LN(BB55)))</f>
        <v>#DIV/0!</v>
      </c>
      <c r="BD55" s="37" t="e">
        <f>(+BC55*BB55)/100</f>
        <v>#DIV/0!</v>
      </c>
      <c r="BE55" s="36" t="e">
        <f>100*((((BD55/100)-((BD55/100)-0.03574)*$AL$34)-0.03574-0.00619)/0.344)</f>
        <v>#DIV/0!</v>
      </c>
      <c r="BF55" s="1">
        <v>0</v>
      </c>
      <c r="BG55" s="36" t="e">
        <f>BE55+BF55</f>
        <v>#DIV/0!</v>
      </c>
      <c r="BH55" s="36" t="e">
        <f>100*($AL$30*$AL$31+($AL$32*(BG55/100))/(1-$AL$34))</f>
        <v>#DIV/0!</v>
      </c>
      <c r="BI55" s="37" t="e">
        <f>BH55/BB55</f>
        <v>#DIV/0!</v>
      </c>
      <c r="BJ55" s="21" t="e">
        <f>ROUND($AL$13/(1-BI55),0)</f>
        <v>#DIV/0!</v>
      </c>
      <c r="BK55" s="1" t="e">
        <f>IF(OR(OR(BJ55=BJ48,BJ55=(BJ48+1)),BJ55=(BJ48-1)),"yes","not yet")</f>
        <v>#DIV/0!</v>
      </c>
      <c r="BL55" s="36" t="e">
        <f>100*(1-BI55)</f>
        <v>#DIV/0!</v>
      </c>
      <c r="BM55" s="36"/>
    </row>
    <row r="56" spans="1:77" ht="15" customHeight="1" x14ac:dyDescent="0.3">
      <c r="A56" s="33" t="s">
        <v>47</v>
      </c>
      <c r="B56" s="17">
        <v>12121.59</v>
      </c>
      <c r="C56" s="20"/>
      <c r="D56" s="32">
        <v>0</v>
      </c>
      <c r="E56" s="31"/>
      <c r="F56" s="17">
        <f t="shared" ref="F56:F87" si="8">B56+D56</f>
        <v>12121.59</v>
      </c>
      <c r="G56" s="20"/>
      <c r="H56" s="17">
        <v>0</v>
      </c>
      <c r="I56" s="20"/>
      <c r="J56" s="17">
        <f t="shared" ref="J56:J87" si="9">SUM(F56:H56)</f>
        <v>12121.59</v>
      </c>
      <c r="K56" s="20"/>
      <c r="L56" s="17">
        <v>-449.70382078544202</v>
      </c>
      <c r="M56" s="20"/>
      <c r="N56" s="17">
        <f t="shared" ref="N56:N87" si="10">SUM(J56:L56)</f>
        <v>11671.886179214558</v>
      </c>
      <c r="O56" s="20"/>
      <c r="P56" s="19">
        <v>0</v>
      </c>
      <c r="Q56" s="18"/>
      <c r="R56" s="17">
        <f t="shared" ref="R56:R87" si="11">N56+P56</f>
        <v>11671.886179214558</v>
      </c>
      <c r="S56" s="21"/>
      <c r="BB56" s="36" t="e">
        <f>100*(+BJ50/$AL$14)</f>
        <v>#DIV/0!</v>
      </c>
      <c r="BC56" s="38" t="e">
        <f>EXP(5.6922-(0.68367*LN(BB56)))</f>
        <v>#DIV/0!</v>
      </c>
      <c r="BD56" s="37" t="e">
        <f>(+BC56*BB56)/100</f>
        <v>#DIV/0!</v>
      </c>
      <c r="BE56" s="36" t="e">
        <f>100*((((BD56/100)-((BD56/100)-0.03574)*$AL$34)-0.03574-0.00619)/0.344)</f>
        <v>#DIV/0!</v>
      </c>
      <c r="BF56" s="1">
        <v>0</v>
      </c>
      <c r="BG56" s="36" t="e">
        <f>BE56+BF56</f>
        <v>#DIV/0!</v>
      </c>
      <c r="BH56" s="36" t="e">
        <f>100*($AL$30*$AL$31+($AL$32*(BG56/100))/(1-$AL$34))</f>
        <v>#DIV/0!</v>
      </c>
      <c r="BI56" s="37" t="e">
        <f>BH56/BB56</f>
        <v>#DIV/0!</v>
      </c>
      <c r="BJ56" s="21" t="e">
        <f>ROUND($AL$13/(1-BI56),0)</f>
        <v>#DIV/0!</v>
      </c>
      <c r="BK56" s="1" t="e">
        <f>IF(OR(OR(BJ56=BJ50,BJ56=(BJ50+1)),BJ56=(BJ50-1)),"yes","not yet")</f>
        <v>#DIV/0!</v>
      </c>
      <c r="BL56" s="36" t="e">
        <f>100*(1-BI56)</f>
        <v>#DIV/0!</v>
      </c>
      <c r="BM56" s="36"/>
    </row>
    <row r="57" spans="1:77" ht="15" customHeight="1" x14ac:dyDescent="0.3">
      <c r="A57" s="33" t="s">
        <v>46</v>
      </c>
      <c r="B57" s="17">
        <v>1074.82</v>
      </c>
      <c r="C57" s="20"/>
      <c r="D57" s="32">
        <v>0</v>
      </c>
      <c r="E57" s="31"/>
      <c r="F57" s="17">
        <f t="shared" si="8"/>
        <v>1074.82</v>
      </c>
      <c r="G57" s="20"/>
      <c r="H57" s="17">
        <v>0</v>
      </c>
      <c r="I57" s="20"/>
      <c r="J57" s="17">
        <f t="shared" si="9"/>
        <v>1074.82</v>
      </c>
      <c r="K57" s="20"/>
      <c r="L57" s="17">
        <v>-39.875186395234302</v>
      </c>
      <c r="M57" s="20"/>
      <c r="N57" s="17">
        <f t="shared" si="10"/>
        <v>1034.9448136047656</v>
      </c>
      <c r="O57" s="20"/>
      <c r="P57" s="19">
        <v>0</v>
      </c>
      <c r="Q57" s="18"/>
      <c r="R57" s="17">
        <f t="shared" si="11"/>
        <v>1034.9448136047656</v>
      </c>
      <c r="S57" s="21"/>
    </row>
    <row r="58" spans="1:77" ht="15" customHeight="1" x14ac:dyDescent="0.3">
      <c r="A58" s="33" t="s">
        <v>45</v>
      </c>
      <c r="B58" s="17">
        <v>18481.52</v>
      </c>
      <c r="C58" s="20"/>
      <c r="D58" s="32">
        <v>-6181.85</v>
      </c>
      <c r="E58" s="31"/>
      <c r="F58" s="17">
        <f t="shared" si="8"/>
        <v>12299.67</v>
      </c>
      <c r="G58" s="20"/>
      <c r="H58" s="17">
        <v>0</v>
      </c>
      <c r="I58" s="20"/>
      <c r="J58" s="17">
        <f t="shared" si="9"/>
        <v>12299.67</v>
      </c>
      <c r="K58" s="20"/>
      <c r="L58" s="17">
        <v>-456.310483476184</v>
      </c>
      <c r="M58" s="20"/>
      <c r="N58" s="17">
        <f t="shared" si="10"/>
        <v>11843.359516523817</v>
      </c>
      <c r="O58" s="20"/>
      <c r="P58" s="19">
        <v>0</v>
      </c>
      <c r="Q58" s="18"/>
      <c r="R58" s="17">
        <f t="shared" si="11"/>
        <v>11843.359516523817</v>
      </c>
      <c r="S58" s="21"/>
      <c r="BB58" s="1" t="s">
        <v>44</v>
      </c>
      <c r="BC58" s="35" t="s">
        <v>43</v>
      </c>
      <c r="BD58" s="35" t="s">
        <v>42</v>
      </c>
      <c r="BE58" s="35" t="s">
        <v>41</v>
      </c>
    </row>
    <row r="59" spans="1:77" ht="15" customHeight="1" x14ac:dyDescent="0.3">
      <c r="A59" s="33" t="s">
        <v>40</v>
      </c>
      <c r="B59" s="17">
        <v>3600</v>
      </c>
      <c r="C59" s="20"/>
      <c r="D59" s="32">
        <v>-3600</v>
      </c>
      <c r="E59" s="31"/>
      <c r="F59" s="17">
        <f t="shared" si="8"/>
        <v>0</v>
      </c>
      <c r="G59" s="20"/>
      <c r="H59" s="17">
        <v>0</v>
      </c>
      <c r="I59" s="20"/>
      <c r="J59" s="17">
        <f t="shared" si="9"/>
        <v>0</v>
      </c>
      <c r="K59" s="20"/>
      <c r="L59" s="17">
        <v>0</v>
      </c>
      <c r="M59" s="20"/>
      <c r="N59" s="17">
        <f t="shared" si="10"/>
        <v>0</v>
      </c>
      <c r="O59" s="20"/>
      <c r="P59" s="19">
        <v>0</v>
      </c>
      <c r="Q59" s="18"/>
      <c r="R59" s="17">
        <f t="shared" si="11"/>
        <v>0</v>
      </c>
      <c r="S59" s="21"/>
      <c r="BC59" s="35"/>
      <c r="BD59" s="35"/>
      <c r="BE59" s="35"/>
    </row>
    <row r="60" spans="1:77" ht="15" customHeight="1" x14ac:dyDescent="0.3">
      <c r="A60" s="33" t="s">
        <v>39</v>
      </c>
      <c r="B60" s="17">
        <v>21630.99</v>
      </c>
      <c r="C60" s="20"/>
      <c r="D60" s="32">
        <v>-3930</v>
      </c>
      <c r="E60" s="31"/>
      <c r="F60" s="17">
        <f t="shared" si="8"/>
        <v>17700.990000000002</v>
      </c>
      <c r="G60" s="20"/>
      <c r="H60" s="17">
        <v>0</v>
      </c>
      <c r="I60" s="20"/>
      <c r="J60" s="17">
        <f t="shared" si="9"/>
        <v>17700.990000000002</v>
      </c>
      <c r="K60" s="20"/>
      <c r="L60" s="17">
        <v>-1295.3413790956299</v>
      </c>
      <c r="M60" s="20"/>
      <c r="N60" s="17">
        <f t="shared" si="10"/>
        <v>16405.648620904372</v>
      </c>
      <c r="O60" s="20"/>
      <c r="P60" s="19">
        <v>0</v>
      </c>
      <c r="Q60" s="18"/>
      <c r="R60" s="17">
        <f t="shared" si="11"/>
        <v>16405.648620904372</v>
      </c>
      <c r="S60" s="21"/>
      <c r="BB60" s="36" t="e">
        <f>100*(+BJ53/$AL$14)</f>
        <v>#DIV/0!</v>
      </c>
      <c r="BC60" s="38" t="e">
        <f>EXP(5.6985-(0.68367*LN(BB60)))</f>
        <v>#DIV/0!</v>
      </c>
      <c r="BD60" s="37" t="e">
        <f>(+BC60*BB60)/100</f>
        <v>#DIV/0!</v>
      </c>
      <c r="BE60" s="36" t="e">
        <f>100*((((BD60/100)-((BD60/100)-0.03574)*$AL$34)-0.03574-0.00619)/0.344)</f>
        <v>#DIV/0!</v>
      </c>
      <c r="BF60" s="1">
        <v>0</v>
      </c>
      <c r="BG60" s="36" t="e">
        <f>BE60+BF60</f>
        <v>#DIV/0!</v>
      </c>
      <c r="BH60" s="36" t="e">
        <f>100*($AL$30*$AL$31+($AL$32*(BG60/100))/(1-$AL$34))</f>
        <v>#DIV/0!</v>
      </c>
      <c r="BI60" s="37" t="e">
        <f>BH60/BB60</f>
        <v>#DIV/0!</v>
      </c>
      <c r="BJ60" s="21" t="e">
        <f>ROUND($AL$13/(1-BI60),0)</f>
        <v>#DIV/0!</v>
      </c>
      <c r="BK60" s="1" t="e">
        <f>IF(OR(OR(BJ60=BJ53,BJ60=(BJ53+1)),BJ60=(BJ53-1)),"yes","not yet")</f>
        <v>#DIV/0!</v>
      </c>
      <c r="BL60" s="36" t="e">
        <f>100*(1-BI60)</f>
        <v>#DIV/0!</v>
      </c>
      <c r="BM60" s="36"/>
    </row>
    <row r="61" spans="1:77" ht="15" customHeight="1" x14ac:dyDescent="0.3">
      <c r="A61" s="33" t="s">
        <v>38</v>
      </c>
      <c r="B61" s="17">
        <v>2130</v>
      </c>
      <c r="C61" s="20"/>
      <c r="D61" s="32">
        <v>0</v>
      </c>
      <c r="E61" s="31"/>
      <c r="F61" s="17">
        <f t="shared" si="8"/>
        <v>2130</v>
      </c>
      <c r="G61" s="20"/>
      <c r="H61" s="17">
        <v>0</v>
      </c>
      <c r="I61" s="20"/>
      <c r="J61" s="17">
        <f t="shared" si="9"/>
        <v>2130</v>
      </c>
      <c r="K61" s="20"/>
      <c r="L61" s="17">
        <v>-155.87134603622101</v>
      </c>
      <c r="M61" s="20"/>
      <c r="N61" s="17">
        <f t="shared" si="10"/>
        <v>1974.128653963779</v>
      </c>
      <c r="O61" s="20"/>
      <c r="P61" s="19">
        <v>0</v>
      </c>
      <c r="Q61" s="18"/>
      <c r="R61" s="17">
        <f t="shared" si="11"/>
        <v>1974.128653963779</v>
      </c>
      <c r="S61" s="21"/>
      <c r="BB61" s="36" t="e">
        <f>100*(+BJ54/$AL$14)</f>
        <v>#DIV/0!</v>
      </c>
      <c r="BC61" s="38" t="e">
        <f>EXP(5.6985-(0.68367*LN(BB61)))</f>
        <v>#DIV/0!</v>
      </c>
      <c r="BD61" s="37" t="e">
        <f>(+BC61*BB61)/100</f>
        <v>#DIV/0!</v>
      </c>
      <c r="BE61" s="36" t="e">
        <f>100*((((BD61/100)-((BD61/100)-0.03574)*$AL$34)-0.03574-0.00619)/0.344)</f>
        <v>#DIV/0!</v>
      </c>
      <c r="BF61" s="1">
        <v>0</v>
      </c>
      <c r="BG61" s="36" t="e">
        <f>BE61+BF61</f>
        <v>#DIV/0!</v>
      </c>
      <c r="BH61" s="36" t="e">
        <f>100*($AL$30*$AL$31+($AL$32*(BG61/100))/(1-$AL$34))</f>
        <v>#DIV/0!</v>
      </c>
      <c r="BI61" s="37" t="e">
        <f>BH61/BB61</f>
        <v>#DIV/0!</v>
      </c>
      <c r="BJ61" s="21" t="e">
        <f>ROUND($AL$13/(1-BI61),0)</f>
        <v>#DIV/0!</v>
      </c>
      <c r="BK61" s="1" t="e">
        <f>IF(OR(OR(BJ61=BJ54,BJ61=(BJ54+1)),BJ61=(BJ54-1)),"yes","not yet")</f>
        <v>#DIV/0!</v>
      </c>
      <c r="BL61" s="36" t="e">
        <f>100*(1-BI61)</f>
        <v>#DIV/0!</v>
      </c>
      <c r="BM61" s="36"/>
    </row>
    <row r="62" spans="1:77" ht="15" customHeight="1" x14ac:dyDescent="0.3">
      <c r="A62" s="33" t="s">
        <v>37</v>
      </c>
      <c r="B62" s="17">
        <v>1869.72</v>
      </c>
      <c r="C62" s="20"/>
      <c r="D62" s="32">
        <v>0</v>
      </c>
      <c r="E62" s="31"/>
      <c r="F62" s="17">
        <f t="shared" si="8"/>
        <v>1869.72</v>
      </c>
      <c r="G62" s="20"/>
      <c r="H62" s="17">
        <v>0</v>
      </c>
      <c r="I62" s="20"/>
      <c r="J62" s="17">
        <f t="shared" si="9"/>
        <v>1869.72</v>
      </c>
      <c r="K62" s="20"/>
      <c r="L62" s="17">
        <v>-136.824306624809</v>
      </c>
      <c r="M62" s="20"/>
      <c r="N62" s="17">
        <f t="shared" si="10"/>
        <v>1732.8956933751911</v>
      </c>
      <c r="O62" s="20"/>
      <c r="P62" s="19">
        <v>0</v>
      </c>
      <c r="Q62" s="18"/>
      <c r="R62" s="17">
        <f t="shared" si="11"/>
        <v>1732.8956933751911</v>
      </c>
      <c r="S62" s="21"/>
      <c r="BB62" s="36" t="e">
        <f>100*(+BJ55/$AL$14)</f>
        <v>#DIV/0!</v>
      </c>
      <c r="BC62" s="38" t="e">
        <f>EXP(5.6985-(0.68367*LN(BB62)))</f>
        <v>#DIV/0!</v>
      </c>
      <c r="BD62" s="37" t="e">
        <f>(+BC62*BB62)/100</f>
        <v>#DIV/0!</v>
      </c>
      <c r="BE62" s="36" t="e">
        <f>100*((((BD62/100)-((BD62/100)-0.03574)*$AL$34)-0.03574-0.00619)/0.344)</f>
        <v>#DIV/0!</v>
      </c>
      <c r="BF62" s="1">
        <v>0</v>
      </c>
      <c r="BG62" s="36" t="e">
        <f>BE62+BF62</f>
        <v>#DIV/0!</v>
      </c>
      <c r="BH62" s="36" t="e">
        <f>100*($AL$30*$AL$31+($AL$32*(BG62/100))/(1-$AL$34))</f>
        <v>#DIV/0!</v>
      </c>
      <c r="BI62" s="37" t="e">
        <f>BH62/BB62</f>
        <v>#DIV/0!</v>
      </c>
      <c r="BJ62" s="21" t="e">
        <f>ROUND($AL$13/(1-BI62),0)</f>
        <v>#DIV/0!</v>
      </c>
      <c r="BK62" s="1" t="e">
        <f>IF(OR(OR(BJ62=BJ55,BJ62=(BJ55+1)),BJ62=(BJ55-1)),"yes","not yet")</f>
        <v>#DIV/0!</v>
      </c>
      <c r="BL62" s="36" t="e">
        <f>100*(1-BI62)</f>
        <v>#DIV/0!</v>
      </c>
    </row>
    <row r="63" spans="1:77" ht="15" customHeight="1" x14ac:dyDescent="0.3">
      <c r="A63" s="33" t="s">
        <v>36</v>
      </c>
      <c r="B63" s="17">
        <v>3028.15</v>
      </c>
      <c r="C63" s="20"/>
      <c r="D63" s="32">
        <v>-1565.82</v>
      </c>
      <c r="E63" s="31"/>
      <c r="F63" s="17">
        <f t="shared" si="8"/>
        <v>1462.3300000000002</v>
      </c>
      <c r="G63" s="20"/>
      <c r="H63" s="17">
        <v>0</v>
      </c>
      <c r="I63" s="20"/>
      <c r="J63" s="17">
        <f t="shared" si="9"/>
        <v>1462.3300000000002</v>
      </c>
      <c r="K63" s="20"/>
      <c r="L63" s="17">
        <v>-107.01189927190001</v>
      </c>
      <c r="M63" s="20"/>
      <c r="N63" s="17">
        <f t="shared" si="10"/>
        <v>1355.3181007281</v>
      </c>
      <c r="O63" s="20"/>
      <c r="P63" s="19">
        <v>0</v>
      </c>
      <c r="Q63" s="18"/>
      <c r="R63" s="17">
        <f t="shared" si="11"/>
        <v>1355.3181007281</v>
      </c>
      <c r="BB63" s="36" t="e">
        <f>100*(+BJ56/$AL$14)</f>
        <v>#DIV/0!</v>
      </c>
      <c r="BC63" s="38" t="e">
        <f>EXP(5.6985-(0.68367*LN(BB63)))</f>
        <v>#DIV/0!</v>
      </c>
      <c r="BD63" s="37" t="e">
        <f>(+BC63*BB63)/100</f>
        <v>#DIV/0!</v>
      </c>
      <c r="BE63" s="36" t="e">
        <f>100*((((BD63/100)-((BD63/100)-0.03574)*$AL$34)-0.03574-0.00619)/0.344)</f>
        <v>#DIV/0!</v>
      </c>
      <c r="BF63" s="1">
        <v>0</v>
      </c>
      <c r="BG63" s="36" t="e">
        <f>BE63+BF63</f>
        <v>#DIV/0!</v>
      </c>
      <c r="BH63" s="36" t="e">
        <f>100*($AL$30*$AL$31+($AL$32*(BG63/100))/(1-$AL$34))</f>
        <v>#DIV/0!</v>
      </c>
      <c r="BI63" s="37" t="e">
        <f>BH63/BB63</f>
        <v>#DIV/0!</v>
      </c>
      <c r="BJ63" s="21" t="e">
        <f>ROUND($AL$13/(1-BI63),0)</f>
        <v>#DIV/0!</v>
      </c>
      <c r="BK63" s="1" t="e">
        <f>IF(OR(OR(BJ63=BJ56,BJ63=(BJ56+1)),BJ63=(BJ56-1)),"yes","not yet")</f>
        <v>#DIV/0!</v>
      </c>
      <c r="BL63" s="36" t="e">
        <f>100*(1-BI63)</f>
        <v>#DIV/0!</v>
      </c>
    </row>
    <row r="64" spans="1:77" ht="15" customHeight="1" x14ac:dyDescent="0.3">
      <c r="A64" s="33" t="s">
        <v>35</v>
      </c>
      <c r="B64" s="17">
        <v>1192.6099999999999</v>
      </c>
      <c r="C64" s="20"/>
      <c r="D64" s="32">
        <v>0</v>
      </c>
      <c r="E64" s="31"/>
      <c r="F64" s="17">
        <f t="shared" si="8"/>
        <v>1192.6099999999999</v>
      </c>
      <c r="G64" s="20"/>
      <c r="H64" s="17">
        <v>0</v>
      </c>
      <c r="I64" s="20"/>
      <c r="J64" s="17">
        <f t="shared" si="9"/>
        <v>1192.6099999999999</v>
      </c>
      <c r="K64" s="20"/>
      <c r="L64" s="17">
        <v>-87.274049763501395</v>
      </c>
      <c r="M64" s="20"/>
      <c r="N64" s="17">
        <f t="shared" si="10"/>
        <v>1105.3359502364985</v>
      </c>
      <c r="O64" s="20"/>
      <c r="P64" s="19">
        <v>0</v>
      </c>
      <c r="Q64" s="18"/>
      <c r="R64" s="17">
        <f t="shared" si="11"/>
        <v>1105.3359502364985</v>
      </c>
      <c r="BB64" s="36"/>
      <c r="BC64" s="38"/>
      <c r="BD64" s="37"/>
      <c r="BE64" s="36"/>
      <c r="BG64" s="36"/>
      <c r="BH64" s="36"/>
      <c r="BI64" s="37"/>
      <c r="BJ64" s="21"/>
      <c r="BL64" s="36"/>
    </row>
    <row r="65" spans="1:65" ht="15" customHeight="1" x14ac:dyDescent="0.3">
      <c r="A65" s="33" t="s">
        <v>34</v>
      </c>
      <c r="B65" s="17">
        <v>12301.68</v>
      </c>
      <c r="C65" s="20"/>
      <c r="D65" s="32">
        <v>-1933.68</v>
      </c>
      <c r="E65" s="31"/>
      <c r="F65" s="17">
        <f t="shared" si="8"/>
        <v>10368</v>
      </c>
      <c r="G65" s="20"/>
      <c r="H65" s="17">
        <v>0</v>
      </c>
      <c r="I65" s="20"/>
      <c r="J65" s="17">
        <f t="shared" si="9"/>
        <v>10368</v>
      </c>
      <c r="K65" s="20"/>
      <c r="L65" s="17">
        <v>-328.30564372652401</v>
      </c>
      <c r="M65" s="20"/>
      <c r="N65" s="17">
        <f t="shared" si="10"/>
        <v>10039.694356273476</v>
      </c>
      <c r="O65" s="20"/>
      <c r="P65" s="19">
        <v>0</v>
      </c>
      <c r="Q65" s="18"/>
      <c r="R65" s="17">
        <f t="shared" si="11"/>
        <v>10039.694356273476</v>
      </c>
    </row>
    <row r="66" spans="1:65" ht="15" customHeight="1" x14ac:dyDescent="0.3">
      <c r="A66" s="33" t="s">
        <v>33</v>
      </c>
      <c r="B66" s="17">
        <v>0</v>
      </c>
      <c r="C66" s="20"/>
      <c r="D66" s="32">
        <v>1933.68</v>
      </c>
      <c r="E66" s="31"/>
      <c r="F66" s="17">
        <f t="shared" si="8"/>
        <v>1933.68</v>
      </c>
      <c r="G66" s="20"/>
      <c r="H66" s="17">
        <v>0</v>
      </c>
      <c r="I66" s="20"/>
      <c r="J66" s="17">
        <f t="shared" si="9"/>
        <v>1933.68</v>
      </c>
      <c r="K66" s="20"/>
      <c r="L66" s="17">
        <v>-141.504837748038</v>
      </c>
      <c r="M66" s="20"/>
      <c r="N66" s="17">
        <f t="shared" si="10"/>
        <v>1792.1751622519621</v>
      </c>
      <c r="O66" s="20"/>
      <c r="P66" s="19">
        <v>0</v>
      </c>
      <c r="Q66" s="18"/>
      <c r="R66" s="17">
        <f t="shared" si="11"/>
        <v>1792.1751622519621</v>
      </c>
    </row>
    <row r="67" spans="1:65" x14ac:dyDescent="0.3">
      <c r="A67" s="33" t="s">
        <v>32</v>
      </c>
      <c r="B67" s="17">
        <v>0</v>
      </c>
      <c r="C67" s="20"/>
      <c r="D67" s="32">
        <v>0</v>
      </c>
      <c r="E67" s="31"/>
      <c r="F67" s="17">
        <f t="shared" si="8"/>
        <v>0</v>
      </c>
      <c r="G67" s="20"/>
      <c r="H67" s="17">
        <v>0</v>
      </c>
      <c r="I67" s="20"/>
      <c r="J67" s="17">
        <f t="shared" si="9"/>
        <v>0</v>
      </c>
      <c r="K67" s="20"/>
      <c r="L67" s="17">
        <v>0</v>
      </c>
      <c r="M67" s="20"/>
      <c r="N67" s="17">
        <f t="shared" si="10"/>
        <v>0</v>
      </c>
      <c r="O67" s="20"/>
      <c r="P67" s="19">
        <v>0</v>
      </c>
      <c r="Q67" s="18"/>
      <c r="R67" s="17">
        <f t="shared" si="11"/>
        <v>0</v>
      </c>
    </row>
    <row r="68" spans="1:65" ht="15" customHeight="1" x14ac:dyDescent="0.3">
      <c r="A68" s="33" t="s">
        <v>31</v>
      </c>
      <c r="B68" s="17">
        <v>1383.33</v>
      </c>
      <c r="C68" s="20"/>
      <c r="D68" s="32">
        <v>-1383.33</v>
      </c>
      <c r="E68" s="31"/>
      <c r="F68" s="17">
        <f t="shared" si="8"/>
        <v>0</v>
      </c>
      <c r="G68" s="20"/>
      <c r="H68" s="17">
        <v>0</v>
      </c>
      <c r="I68" s="20"/>
      <c r="J68" s="17">
        <f t="shared" si="9"/>
        <v>0</v>
      </c>
      <c r="K68" s="20"/>
      <c r="L68" s="17">
        <v>0</v>
      </c>
      <c r="M68" s="20"/>
      <c r="N68" s="17">
        <f t="shared" si="10"/>
        <v>0</v>
      </c>
      <c r="O68" s="20"/>
      <c r="P68" s="19">
        <v>0</v>
      </c>
      <c r="Q68" s="18"/>
      <c r="R68" s="17">
        <f t="shared" si="11"/>
        <v>0</v>
      </c>
      <c r="S68" s="21"/>
    </row>
    <row r="69" spans="1:65" ht="15" customHeight="1" x14ac:dyDescent="0.3">
      <c r="A69" s="33" t="s">
        <v>30</v>
      </c>
      <c r="B69" s="17">
        <v>49591.455907336</v>
      </c>
      <c r="C69" s="20"/>
      <c r="D69" s="32">
        <v>0</v>
      </c>
      <c r="E69" s="31"/>
      <c r="F69" s="17">
        <f t="shared" si="8"/>
        <v>49591.455907336</v>
      </c>
      <c r="G69" s="20"/>
      <c r="H69" s="17">
        <v>23.04</v>
      </c>
      <c r="I69" s="20"/>
      <c r="J69" s="17">
        <f t="shared" si="9"/>
        <v>49614.495907336001</v>
      </c>
      <c r="K69" s="20"/>
      <c r="L69" s="17">
        <v>-4010.3285999999998</v>
      </c>
      <c r="M69" s="20"/>
      <c r="N69" s="17">
        <f t="shared" si="10"/>
        <v>45604.167307336</v>
      </c>
      <c r="O69" s="20"/>
      <c r="P69" s="19">
        <f>+P21*0.015</f>
        <v>3168.5358143727176</v>
      </c>
      <c r="Q69" s="18"/>
      <c r="R69" s="17">
        <f t="shared" si="11"/>
        <v>48772.703121708721</v>
      </c>
      <c r="BM69" s="36"/>
    </row>
    <row r="70" spans="1:65" ht="15" customHeight="1" x14ac:dyDescent="0.3">
      <c r="A70" s="33" t="s">
        <v>29</v>
      </c>
      <c r="B70" s="17">
        <v>92250</v>
      </c>
      <c r="C70" s="20"/>
      <c r="D70" s="32">
        <v>-12000</v>
      </c>
      <c r="E70" s="31"/>
      <c r="F70" s="17">
        <f t="shared" si="8"/>
        <v>80250</v>
      </c>
      <c r="G70" s="20"/>
      <c r="H70" s="17">
        <v>0</v>
      </c>
      <c r="I70" s="20"/>
      <c r="J70" s="17">
        <f t="shared" si="9"/>
        <v>80250</v>
      </c>
      <c r="K70" s="20"/>
      <c r="L70" s="17">
        <v>-5872.6176147449596</v>
      </c>
      <c r="M70" s="20"/>
      <c r="N70" s="17">
        <f t="shared" si="10"/>
        <v>74377.382385255041</v>
      </c>
      <c r="O70" s="20"/>
      <c r="P70" s="19">
        <v>0</v>
      </c>
      <c r="Q70" s="18"/>
      <c r="R70" s="17">
        <f t="shared" si="11"/>
        <v>74377.382385255041</v>
      </c>
      <c r="AE70" s="35"/>
    </row>
    <row r="71" spans="1:65" ht="15" customHeight="1" x14ac:dyDescent="0.3">
      <c r="A71" s="33" t="s">
        <v>28</v>
      </c>
      <c r="B71" s="17">
        <v>660.5</v>
      </c>
      <c r="C71" s="20"/>
      <c r="D71" s="32">
        <v>0</v>
      </c>
      <c r="E71" s="31"/>
      <c r="F71" s="17">
        <f t="shared" si="8"/>
        <v>660.5</v>
      </c>
      <c r="G71" s="20"/>
      <c r="H71" s="17">
        <v>0</v>
      </c>
      <c r="I71" s="20"/>
      <c r="J71" s="17">
        <f t="shared" si="9"/>
        <v>660.5</v>
      </c>
      <c r="K71" s="20"/>
      <c r="L71" s="17">
        <v>-48.334753078368202</v>
      </c>
      <c r="M71" s="20"/>
      <c r="N71" s="17">
        <f t="shared" si="10"/>
        <v>612.16524692163182</v>
      </c>
      <c r="O71" s="20"/>
      <c r="P71" s="19">
        <v>0</v>
      </c>
      <c r="Q71" s="18"/>
      <c r="R71" s="17">
        <f t="shared" si="11"/>
        <v>612.16524692163182</v>
      </c>
      <c r="AE71" s="34"/>
    </row>
    <row r="72" spans="1:65" ht="15" customHeight="1" x14ac:dyDescent="0.3">
      <c r="A72" s="33" t="s">
        <v>27</v>
      </c>
      <c r="B72" s="17">
        <v>30735.03</v>
      </c>
      <c r="C72" s="20"/>
      <c r="D72" s="32">
        <v>-30735.03</v>
      </c>
      <c r="E72" s="31"/>
      <c r="F72" s="17">
        <f t="shared" si="8"/>
        <v>0</v>
      </c>
      <c r="G72" s="20"/>
      <c r="H72" s="17">
        <v>0</v>
      </c>
      <c r="I72" s="20"/>
      <c r="J72" s="17">
        <f t="shared" si="9"/>
        <v>0</v>
      </c>
      <c r="K72" s="20"/>
      <c r="L72" s="17">
        <v>0</v>
      </c>
      <c r="M72" s="20"/>
      <c r="N72" s="17">
        <f t="shared" si="10"/>
        <v>0</v>
      </c>
      <c r="O72" s="20"/>
      <c r="P72" s="19">
        <v>0</v>
      </c>
      <c r="Q72" s="18"/>
      <c r="R72" s="17">
        <f t="shared" si="11"/>
        <v>0</v>
      </c>
      <c r="AE72" s="21"/>
    </row>
    <row r="73" spans="1:65" ht="15" customHeight="1" x14ac:dyDescent="0.3">
      <c r="A73" s="33" t="s">
        <v>26</v>
      </c>
      <c r="B73" s="17">
        <v>57917.94</v>
      </c>
      <c r="C73" s="20"/>
      <c r="D73" s="32">
        <v>-57917.94</v>
      </c>
      <c r="E73" s="31"/>
      <c r="F73" s="17">
        <f t="shared" si="8"/>
        <v>0</v>
      </c>
      <c r="G73" s="20"/>
      <c r="H73" s="17">
        <v>0</v>
      </c>
      <c r="I73" s="20"/>
      <c r="J73" s="17">
        <f t="shared" si="9"/>
        <v>0</v>
      </c>
      <c r="K73" s="20"/>
      <c r="L73" s="17">
        <v>0</v>
      </c>
      <c r="M73" s="20"/>
      <c r="N73" s="17">
        <f t="shared" si="10"/>
        <v>0</v>
      </c>
      <c r="O73" s="20"/>
      <c r="P73" s="19">
        <v>0</v>
      </c>
      <c r="Q73" s="18"/>
      <c r="R73" s="17">
        <f t="shared" si="11"/>
        <v>0</v>
      </c>
      <c r="AE73" s="21"/>
    </row>
    <row r="74" spans="1:65" ht="15" customHeight="1" x14ac:dyDescent="0.3">
      <c r="A74" s="33" t="s">
        <v>25</v>
      </c>
      <c r="B74" s="17">
        <v>28638.799999999999</v>
      </c>
      <c r="C74" s="20"/>
      <c r="D74" s="32">
        <v>-18400</v>
      </c>
      <c r="E74" s="31"/>
      <c r="F74" s="17">
        <f t="shared" si="8"/>
        <v>10238.799999999999</v>
      </c>
      <c r="G74" s="20"/>
      <c r="H74" s="17">
        <v>0</v>
      </c>
      <c r="I74" s="20"/>
      <c r="J74" s="17">
        <f t="shared" si="9"/>
        <v>10238.799999999999</v>
      </c>
      <c r="K74" s="20"/>
      <c r="L74" s="17">
        <v>-379.853425190753</v>
      </c>
      <c r="M74" s="20"/>
      <c r="N74" s="17">
        <f t="shared" si="10"/>
        <v>9858.9465748092462</v>
      </c>
      <c r="O74" s="20"/>
      <c r="P74" s="19">
        <v>0</v>
      </c>
      <c r="Q74" s="18"/>
      <c r="R74" s="17">
        <f t="shared" si="11"/>
        <v>9858.9465748092462</v>
      </c>
      <c r="AE74" s="21"/>
    </row>
    <row r="75" spans="1:65" ht="15" customHeight="1" x14ac:dyDescent="0.3">
      <c r="A75" s="33" t="s">
        <v>24</v>
      </c>
      <c r="B75" s="17">
        <v>792</v>
      </c>
      <c r="C75" s="20"/>
      <c r="D75" s="32">
        <v>-792</v>
      </c>
      <c r="E75" s="31"/>
      <c r="F75" s="17">
        <f t="shared" si="8"/>
        <v>0</v>
      </c>
      <c r="G75" s="20"/>
      <c r="H75" s="17">
        <v>0</v>
      </c>
      <c r="I75" s="20"/>
      <c r="J75" s="17">
        <f t="shared" si="9"/>
        <v>0</v>
      </c>
      <c r="K75" s="20"/>
      <c r="L75" s="17">
        <v>0</v>
      </c>
      <c r="M75" s="20"/>
      <c r="N75" s="17">
        <f t="shared" si="10"/>
        <v>0</v>
      </c>
      <c r="O75" s="20"/>
      <c r="P75" s="19">
        <v>0</v>
      </c>
      <c r="Q75" s="18"/>
      <c r="R75" s="17">
        <f t="shared" si="11"/>
        <v>0</v>
      </c>
      <c r="AE75" s="21"/>
    </row>
    <row r="76" spans="1:65" ht="15" customHeight="1" x14ac:dyDescent="0.3">
      <c r="A76" s="33" t="s">
        <v>23</v>
      </c>
      <c r="B76" s="17">
        <v>617.52</v>
      </c>
      <c r="C76" s="20"/>
      <c r="D76" s="32">
        <v>0</v>
      </c>
      <c r="E76" s="31"/>
      <c r="F76" s="17">
        <f t="shared" si="8"/>
        <v>617.52</v>
      </c>
      <c r="G76" s="20"/>
      <c r="H76" s="17">
        <v>0</v>
      </c>
      <c r="I76" s="20"/>
      <c r="J76" s="17">
        <f t="shared" si="9"/>
        <v>617.52</v>
      </c>
      <c r="K76" s="20"/>
      <c r="L76" s="17">
        <v>-45.189518124078603</v>
      </c>
      <c r="M76" s="20"/>
      <c r="N76" s="17">
        <f t="shared" si="10"/>
        <v>572.33048187592135</v>
      </c>
      <c r="O76" s="20"/>
      <c r="P76" s="19">
        <v>0</v>
      </c>
      <c r="Q76" s="18"/>
      <c r="R76" s="17">
        <f t="shared" si="11"/>
        <v>572.33048187592135</v>
      </c>
      <c r="AE76" s="21"/>
    </row>
    <row r="77" spans="1:65" ht="15" customHeight="1" x14ac:dyDescent="0.3">
      <c r="A77" s="33" t="s">
        <v>22</v>
      </c>
      <c r="B77" s="17">
        <v>93985.09</v>
      </c>
      <c r="C77" s="20"/>
      <c r="D77" s="32">
        <v>-93985.09</v>
      </c>
      <c r="E77" s="31"/>
      <c r="F77" s="17">
        <f t="shared" si="8"/>
        <v>0</v>
      </c>
      <c r="G77" s="20"/>
      <c r="H77" s="17">
        <v>0</v>
      </c>
      <c r="I77" s="20"/>
      <c r="J77" s="17">
        <f t="shared" si="9"/>
        <v>0</v>
      </c>
      <c r="K77" s="20"/>
      <c r="L77" s="17">
        <v>0</v>
      </c>
      <c r="M77" s="20"/>
      <c r="N77" s="17">
        <f t="shared" si="10"/>
        <v>0</v>
      </c>
      <c r="O77" s="20"/>
      <c r="P77" s="19">
        <v>0</v>
      </c>
      <c r="Q77" s="18"/>
      <c r="R77" s="17">
        <f t="shared" si="11"/>
        <v>0</v>
      </c>
      <c r="AE77" s="21"/>
    </row>
    <row r="78" spans="1:65" ht="15" customHeight="1" x14ac:dyDescent="0.3">
      <c r="A78" s="33" t="s">
        <v>21</v>
      </c>
      <c r="B78" s="17">
        <v>13330.42</v>
      </c>
      <c r="C78" s="20"/>
      <c r="D78" s="32">
        <v>0</v>
      </c>
      <c r="E78" s="31"/>
      <c r="F78" s="17">
        <f t="shared" si="8"/>
        <v>13330.42</v>
      </c>
      <c r="G78" s="20"/>
      <c r="H78" s="17">
        <v>-6015.2531114696803</v>
      </c>
      <c r="I78" s="20"/>
      <c r="J78" s="17">
        <f t="shared" si="9"/>
        <v>7315.1668885303197</v>
      </c>
      <c r="K78" s="20"/>
      <c r="L78" s="17">
        <v>-271.388365672757</v>
      </c>
      <c r="M78" s="20"/>
      <c r="N78" s="17">
        <f t="shared" si="10"/>
        <v>7043.7785228575631</v>
      </c>
      <c r="O78" s="20"/>
      <c r="P78" s="19">
        <v>0</v>
      </c>
      <c r="Q78" s="18"/>
      <c r="R78" s="17">
        <f t="shared" si="11"/>
        <v>7043.7785228575631</v>
      </c>
      <c r="S78" s="21"/>
      <c r="AE78" s="21"/>
    </row>
    <row r="79" spans="1:65" ht="15" customHeight="1" x14ac:dyDescent="0.3">
      <c r="A79" s="33" t="s">
        <v>20</v>
      </c>
      <c r="B79" s="17">
        <v>470</v>
      </c>
      <c r="C79" s="20"/>
      <c r="D79" s="32">
        <v>0</v>
      </c>
      <c r="E79" s="31"/>
      <c r="F79" s="17">
        <f t="shared" si="8"/>
        <v>470</v>
      </c>
      <c r="G79" s="20"/>
      <c r="H79" s="17">
        <v>0</v>
      </c>
      <c r="I79" s="20"/>
      <c r="J79" s="17">
        <f t="shared" si="9"/>
        <v>470</v>
      </c>
      <c r="K79" s="20"/>
      <c r="L79" s="17">
        <v>-17.436722061145201</v>
      </c>
      <c r="M79" s="20"/>
      <c r="N79" s="17">
        <f t="shared" si="10"/>
        <v>452.56327793885481</v>
      </c>
      <c r="O79" s="20"/>
      <c r="P79" s="19">
        <v>0</v>
      </c>
      <c r="Q79" s="18"/>
      <c r="R79" s="17">
        <f t="shared" si="11"/>
        <v>452.56327793885481</v>
      </c>
      <c r="S79" s="21"/>
      <c r="AE79" s="21"/>
    </row>
    <row r="80" spans="1:65" ht="15" customHeight="1" x14ac:dyDescent="0.3">
      <c r="A80" s="33" t="s">
        <v>19</v>
      </c>
      <c r="B80" s="17">
        <v>33834.269999999997</v>
      </c>
      <c r="C80" s="20"/>
      <c r="D80" s="32">
        <v>-33834.269999999997</v>
      </c>
      <c r="E80" s="31"/>
      <c r="F80" s="17">
        <f t="shared" si="8"/>
        <v>0</v>
      </c>
      <c r="G80" s="20"/>
      <c r="H80" s="17">
        <v>0</v>
      </c>
      <c r="I80" s="20"/>
      <c r="J80" s="17">
        <f t="shared" si="9"/>
        <v>0</v>
      </c>
      <c r="K80" s="20"/>
      <c r="L80" s="17">
        <v>0</v>
      </c>
      <c r="M80" s="20"/>
      <c r="N80" s="17">
        <f t="shared" si="10"/>
        <v>0</v>
      </c>
      <c r="O80" s="20"/>
      <c r="P80" s="19">
        <v>0</v>
      </c>
      <c r="Q80" s="18"/>
      <c r="R80" s="17">
        <f t="shared" si="11"/>
        <v>0</v>
      </c>
      <c r="S80" s="21"/>
      <c r="AE80" s="21"/>
    </row>
    <row r="81" spans="1:19" ht="15" customHeight="1" x14ac:dyDescent="0.3">
      <c r="A81" s="33" t="s">
        <v>18</v>
      </c>
      <c r="B81" s="17">
        <v>10</v>
      </c>
      <c r="C81" s="20"/>
      <c r="D81" s="32">
        <v>-10</v>
      </c>
      <c r="E81" s="31"/>
      <c r="F81" s="17">
        <f t="shared" si="8"/>
        <v>0</v>
      </c>
      <c r="G81" s="20"/>
      <c r="H81" s="17">
        <v>0</v>
      </c>
      <c r="I81" s="20"/>
      <c r="J81" s="17">
        <f t="shared" si="9"/>
        <v>0</v>
      </c>
      <c r="K81" s="20"/>
      <c r="L81" s="17">
        <v>0</v>
      </c>
      <c r="M81" s="20"/>
      <c r="N81" s="17">
        <f t="shared" si="10"/>
        <v>0</v>
      </c>
      <c r="O81" s="20"/>
      <c r="P81" s="19">
        <v>0</v>
      </c>
      <c r="Q81" s="18"/>
      <c r="R81" s="17">
        <f t="shared" si="11"/>
        <v>0</v>
      </c>
      <c r="S81" s="21"/>
    </row>
    <row r="82" spans="1:19" ht="15" customHeight="1" x14ac:dyDescent="0.3">
      <c r="A82" s="33" t="s">
        <v>17</v>
      </c>
      <c r="B82" s="17">
        <v>44560.01</v>
      </c>
      <c r="C82" s="20"/>
      <c r="D82" s="32">
        <v>-44560.01</v>
      </c>
      <c r="E82" s="31"/>
      <c r="F82" s="17">
        <f t="shared" si="8"/>
        <v>0</v>
      </c>
      <c r="G82" s="20"/>
      <c r="H82" s="17">
        <v>0</v>
      </c>
      <c r="I82" s="20"/>
      <c r="J82" s="17">
        <f t="shared" si="9"/>
        <v>0</v>
      </c>
      <c r="K82" s="20"/>
      <c r="L82" s="17">
        <v>0</v>
      </c>
      <c r="M82" s="20"/>
      <c r="N82" s="17">
        <f t="shared" si="10"/>
        <v>0</v>
      </c>
      <c r="O82" s="20"/>
      <c r="P82" s="19">
        <v>0</v>
      </c>
      <c r="Q82" s="18"/>
      <c r="R82" s="17">
        <f t="shared" si="11"/>
        <v>0</v>
      </c>
      <c r="S82" s="21"/>
    </row>
    <row r="83" spans="1:19" ht="15" customHeight="1" x14ac:dyDescent="0.3">
      <c r="A83" s="33" t="s">
        <v>16</v>
      </c>
      <c r="B83" s="17">
        <v>11.45</v>
      </c>
      <c r="C83" s="20"/>
      <c r="D83" s="32">
        <v>0</v>
      </c>
      <c r="E83" s="31"/>
      <c r="F83" s="17">
        <f t="shared" si="8"/>
        <v>11.45</v>
      </c>
      <c r="G83" s="20"/>
      <c r="H83" s="17">
        <v>0</v>
      </c>
      <c r="I83" s="20"/>
      <c r="J83" s="17">
        <f t="shared" si="9"/>
        <v>11.45</v>
      </c>
      <c r="K83" s="20"/>
      <c r="L83" s="17">
        <v>-0.837899958739312</v>
      </c>
      <c r="M83" s="20"/>
      <c r="N83" s="17">
        <f t="shared" si="10"/>
        <v>10.612100041260687</v>
      </c>
      <c r="O83" s="20"/>
      <c r="P83" s="19">
        <v>0</v>
      </c>
      <c r="Q83" s="18"/>
      <c r="R83" s="17">
        <f t="shared" si="11"/>
        <v>10.612100041260687</v>
      </c>
      <c r="S83" s="21"/>
    </row>
    <row r="84" spans="1:19" ht="15" customHeight="1" x14ac:dyDescent="0.3">
      <c r="A84" s="33" t="s">
        <v>15</v>
      </c>
      <c r="B84" s="17">
        <v>1357.11</v>
      </c>
      <c r="C84" s="20"/>
      <c r="D84" s="32">
        <v>0</v>
      </c>
      <c r="E84" s="31"/>
      <c r="F84" s="17">
        <f t="shared" si="8"/>
        <v>1357.11</v>
      </c>
      <c r="G84" s="20"/>
      <c r="H84" s="17">
        <v>0</v>
      </c>
      <c r="I84" s="20"/>
      <c r="J84" s="17">
        <f t="shared" si="9"/>
        <v>1357.11</v>
      </c>
      <c r="K84" s="20"/>
      <c r="L84" s="17">
        <v>-99.312001135782396</v>
      </c>
      <c r="M84" s="20"/>
      <c r="N84" s="17">
        <f t="shared" si="10"/>
        <v>1257.7979988642176</v>
      </c>
      <c r="O84" s="20"/>
      <c r="P84" s="19">
        <v>0</v>
      </c>
      <c r="Q84" s="18"/>
      <c r="R84" s="17">
        <f t="shared" si="11"/>
        <v>1257.7979988642176</v>
      </c>
      <c r="S84" s="21"/>
    </row>
    <row r="85" spans="1:19" ht="15" customHeight="1" x14ac:dyDescent="0.3">
      <c r="A85" s="33" t="s">
        <v>14</v>
      </c>
      <c r="B85" s="17">
        <v>5375.12</v>
      </c>
      <c r="C85" s="20"/>
      <c r="D85" s="32">
        <v>0</v>
      </c>
      <c r="E85" s="31"/>
      <c r="F85" s="17">
        <f t="shared" si="8"/>
        <v>5375.12</v>
      </c>
      <c r="G85" s="20"/>
      <c r="H85" s="17">
        <v>0</v>
      </c>
      <c r="I85" s="20"/>
      <c r="J85" s="17">
        <f t="shared" si="9"/>
        <v>5375.12</v>
      </c>
      <c r="K85" s="20"/>
      <c r="L85" s="17">
        <v>-393.34609835972498</v>
      </c>
      <c r="M85" s="20"/>
      <c r="N85" s="17">
        <f t="shared" si="10"/>
        <v>4981.7739016402747</v>
      </c>
      <c r="O85" s="20"/>
      <c r="P85" s="19">
        <v>0</v>
      </c>
      <c r="Q85" s="18"/>
      <c r="R85" s="17">
        <f t="shared" si="11"/>
        <v>4981.7739016402747</v>
      </c>
      <c r="S85" s="21"/>
    </row>
    <row r="86" spans="1:19" ht="15" customHeight="1" x14ac:dyDescent="0.3">
      <c r="A86" s="33" t="s">
        <v>13</v>
      </c>
      <c r="B86" s="17">
        <v>5006.0200000000004</v>
      </c>
      <c r="C86" s="20"/>
      <c r="D86" s="32">
        <v>0</v>
      </c>
      <c r="E86" s="31"/>
      <c r="F86" s="17">
        <f t="shared" si="8"/>
        <v>5006.0200000000004</v>
      </c>
      <c r="G86" s="20"/>
      <c r="H86" s="17">
        <v>0</v>
      </c>
      <c r="I86" s="20"/>
      <c r="J86" s="17">
        <f t="shared" si="9"/>
        <v>5006.0200000000004</v>
      </c>
      <c r="K86" s="20"/>
      <c r="L86" s="17">
        <v>0</v>
      </c>
      <c r="M86" s="20"/>
      <c r="N86" s="17">
        <f t="shared" si="10"/>
        <v>5006.0200000000004</v>
      </c>
      <c r="O86" s="20"/>
      <c r="P86" s="19">
        <v>0</v>
      </c>
      <c r="Q86" s="18"/>
      <c r="R86" s="17">
        <f t="shared" si="11"/>
        <v>5006.0200000000004</v>
      </c>
      <c r="S86" s="21"/>
    </row>
    <row r="87" spans="1:19" ht="15" customHeight="1" x14ac:dyDescent="0.3">
      <c r="A87" s="33" t="s">
        <v>12</v>
      </c>
      <c r="B87" s="17">
        <v>245025.63</v>
      </c>
      <c r="C87" s="20"/>
      <c r="D87" s="32">
        <v>-245025.63</v>
      </c>
      <c r="E87" s="31"/>
      <c r="F87" s="17">
        <f t="shared" si="8"/>
        <v>0</v>
      </c>
      <c r="G87" s="20"/>
      <c r="H87" s="17">
        <v>0</v>
      </c>
      <c r="I87" s="20"/>
      <c r="J87" s="17">
        <f t="shared" si="9"/>
        <v>0</v>
      </c>
      <c r="K87" s="20"/>
      <c r="L87" s="17">
        <v>0</v>
      </c>
      <c r="M87" s="20"/>
      <c r="N87" s="17">
        <f t="shared" si="10"/>
        <v>0</v>
      </c>
      <c r="O87" s="20"/>
      <c r="P87" s="19">
        <v>0</v>
      </c>
      <c r="Q87" s="18"/>
      <c r="R87" s="17">
        <f t="shared" si="11"/>
        <v>0</v>
      </c>
      <c r="S87" s="21"/>
    </row>
    <row r="88" spans="1:19" ht="15" customHeight="1" x14ac:dyDescent="0.3">
      <c r="A88" s="33" t="s">
        <v>11</v>
      </c>
      <c r="B88" s="17">
        <v>0</v>
      </c>
      <c r="C88" s="20"/>
      <c r="D88" s="32">
        <v>81473.713600000003</v>
      </c>
      <c r="E88" s="31"/>
      <c r="F88" s="17">
        <f t="shared" ref="F88:F96" si="12">B88+D88</f>
        <v>81473.713600000003</v>
      </c>
      <c r="G88" s="20"/>
      <c r="H88" s="17">
        <v>0</v>
      </c>
      <c r="I88" s="20"/>
      <c r="J88" s="17">
        <f t="shared" ref="J88:J96" si="13">SUM(F88:H88)</f>
        <v>81473.713600000003</v>
      </c>
      <c r="K88" s="20"/>
      <c r="L88" s="17">
        <v>-4238</v>
      </c>
      <c r="M88" s="20"/>
      <c r="N88" s="17">
        <f t="shared" ref="N88:N96" si="14">SUM(J88:L88)</f>
        <v>77235.713600000003</v>
      </c>
      <c r="O88" s="20"/>
      <c r="P88" s="19">
        <v>0</v>
      </c>
      <c r="Q88" s="18"/>
      <c r="R88" s="17">
        <f t="shared" ref="R88:R96" si="15">N88+P88</f>
        <v>77235.713600000003</v>
      </c>
      <c r="S88" s="21"/>
    </row>
    <row r="89" spans="1:19" ht="15" customHeight="1" x14ac:dyDescent="0.3">
      <c r="A89" s="33" t="s">
        <v>10</v>
      </c>
      <c r="B89" s="17">
        <v>0</v>
      </c>
      <c r="C89" s="20"/>
      <c r="D89" s="32">
        <v>22830.0748133333</v>
      </c>
      <c r="E89" s="31"/>
      <c r="F89" s="17">
        <f t="shared" si="12"/>
        <v>22830.0748133333</v>
      </c>
      <c r="G89" s="20"/>
      <c r="H89" s="17">
        <v>0</v>
      </c>
      <c r="I89" s="20"/>
      <c r="J89" s="17">
        <f t="shared" si="13"/>
        <v>22830.0748133333</v>
      </c>
      <c r="K89" s="20"/>
      <c r="L89" s="17">
        <v>-1671</v>
      </c>
      <c r="M89" s="20"/>
      <c r="N89" s="17">
        <f t="shared" si="14"/>
        <v>21159.0748133333</v>
      </c>
      <c r="O89" s="20"/>
      <c r="P89" s="19">
        <v>0</v>
      </c>
      <c r="Q89" s="18"/>
      <c r="R89" s="17">
        <f t="shared" si="15"/>
        <v>21159.0748133333</v>
      </c>
      <c r="S89" s="21"/>
    </row>
    <row r="90" spans="1:19" ht="15" customHeight="1" x14ac:dyDescent="0.3">
      <c r="A90" s="33" t="s">
        <v>9</v>
      </c>
      <c r="B90" s="17">
        <v>0</v>
      </c>
      <c r="C90" s="20"/>
      <c r="D90" s="32">
        <v>201.75</v>
      </c>
      <c r="E90" s="31"/>
      <c r="F90" s="17">
        <f t="shared" si="12"/>
        <v>201.75</v>
      </c>
      <c r="G90" s="20"/>
      <c r="H90" s="17">
        <v>0</v>
      </c>
      <c r="I90" s="20"/>
      <c r="J90" s="17">
        <f t="shared" si="13"/>
        <v>201.75</v>
      </c>
      <c r="K90" s="20"/>
      <c r="L90" s="17">
        <v>-15</v>
      </c>
      <c r="M90" s="20"/>
      <c r="N90" s="17">
        <f t="shared" si="14"/>
        <v>186.75</v>
      </c>
      <c r="O90" s="20"/>
      <c r="P90" s="19">
        <v>0</v>
      </c>
      <c r="Q90" s="18"/>
      <c r="R90" s="17">
        <f t="shared" si="15"/>
        <v>186.75</v>
      </c>
      <c r="S90" s="21"/>
    </row>
    <row r="91" spans="1:19" ht="15" customHeight="1" x14ac:dyDescent="0.3">
      <c r="A91" s="33" t="s">
        <v>8</v>
      </c>
      <c r="B91" s="17">
        <v>0</v>
      </c>
      <c r="C91" s="20"/>
      <c r="D91" s="32">
        <v>3112.4920000000002</v>
      </c>
      <c r="E91" s="31"/>
      <c r="F91" s="17">
        <f t="shared" si="12"/>
        <v>3112.4920000000002</v>
      </c>
      <c r="G91" s="20"/>
      <c r="H91" s="17">
        <v>0</v>
      </c>
      <c r="I91" s="20"/>
      <c r="J91" s="17">
        <f t="shared" si="13"/>
        <v>3112.4920000000002</v>
      </c>
      <c r="K91" s="20"/>
      <c r="L91" s="17">
        <v>-74</v>
      </c>
      <c r="M91" s="20"/>
      <c r="N91" s="17">
        <f t="shared" si="14"/>
        <v>3038.4920000000002</v>
      </c>
      <c r="O91" s="20"/>
      <c r="P91" s="19">
        <v>0</v>
      </c>
      <c r="Q91" s="18"/>
      <c r="R91" s="17">
        <f t="shared" si="15"/>
        <v>3038.4920000000002</v>
      </c>
      <c r="S91" s="21"/>
    </row>
    <row r="92" spans="1:19" ht="15" customHeight="1" x14ac:dyDescent="0.3">
      <c r="A92" s="33" t="s">
        <v>7</v>
      </c>
      <c r="B92" s="17">
        <v>0</v>
      </c>
      <c r="C92" s="20"/>
      <c r="D92" s="32">
        <v>2736.8335000000002</v>
      </c>
      <c r="E92" s="31"/>
      <c r="F92" s="17">
        <f t="shared" si="12"/>
        <v>2736.8335000000002</v>
      </c>
      <c r="G92" s="20"/>
      <c r="H92" s="17">
        <v>0</v>
      </c>
      <c r="I92" s="20"/>
      <c r="J92" s="17">
        <f t="shared" si="13"/>
        <v>2736.8335000000002</v>
      </c>
      <c r="K92" s="20"/>
      <c r="L92" s="17">
        <v>-155</v>
      </c>
      <c r="M92" s="20"/>
      <c r="N92" s="17">
        <f t="shared" si="14"/>
        <v>2581.8335000000002</v>
      </c>
      <c r="O92" s="20"/>
      <c r="P92" s="19">
        <v>0</v>
      </c>
      <c r="Q92" s="18"/>
      <c r="R92" s="17">
        <f t="shared" si="15"/>
        <v>2581.8335000000002</v>
      </c>
      <c r="S92" s="21"/>
    </row>
    <row r="93" spans="1:19" ht="15" customHeight="1" x14ac:dyDescent="0.3">
      <c r="A93" s="33" t="s">
        <v>6</v>
      </c>
      <c r="B93" s="17">
        <v>0</v>
      </c>
      <c r="C93" s="20"/>
      <c r="D93" s="32">
        <v>6824.5261666666702</v>
      </c>
      <c r="E93" s="31"/>
      <c r="F93" s="17">
        <f t="shared" si="12"/>
        <v>6824.5261666666702</v>
      </c>
      <c r="G93" s="20"/>
      <c r="H93" s="17">
        <v>0</v>
      </c>
      <c r="I93" s="20"/>
      <c r="J93" s="17">
        <f t="shared" si="13"/>
        <v>6824.5261666666702</v>
      </c>
      <c r="K93" s="20"/>
      <c r="L93" s="17">
        <v>0</v>
      </c>
      <c r="M93" s="20"/>
      <c r="N93" s="17">
        <f t="shared" si="14"/>
        <v>6824.5261666666702</v>
      </c>
      <c r="O93" s="20"/>
      <c r="P93" s="19">
        <v>0</v>
      </c>
      <c r="Q93" s="18"/>
      <c r="R93" s="17">
        <f t="shared" si="15"/>
        <v>6824.5261666666702</v>
      </c>
      <c r="S93" s="21"/>
    </row>
    <row r="94" spans="1:19" ht="15" customHeight="1" x14ac:dyDescent="0.3">
      <c r="A94" s="33" t="s">
        <v>5</v>
      </c>
      <c r="B94" s="17">
        <v>0</v>
      </c>
      <c r="C94" s="20"/>
      <c r="D94" s="32">
        <v>40417.706666666701</v>
      </c>
      <c r="E94" s="31"/>
      <c r="F94" s="17">
        <f t="shared" si="12"/>
        <v>40417.706666666701</v>
      </c>
      <c r="G94" s="20"/>
      <c r="H94" s="17">
        <v>0</v>
      </c>
      <c r="I94" s="20"/>
      <c r="J94" s="17">
        <f t="shared" si="13"/>
        <v>40417.706666666701</v>
      </c>
      <c r="K94" s="20"/>
      <c r="L94" s="17">
        <v>-9125.7532488699999</v>
      </c>
      <c r="M94" s="20"/>
      <c r="N94" s="17">
        <f t="shared" si="14"/>
        <v>31291.9534177967</v>
      </c>
      <c r="O94" s="20"/>
      <c r="P94" s="19">
        <v>0</v>
      </c>
      <c r="Q94" s="18"/>
      <c r="R94" s="17">
        <f t="shared" si="15"/>
        <v>31291.9534177967</v>
      </c>
      <c r="S94" s="21"/>
    </row>
    <row r="95" spans="1:19" ht="15" customHeight="1" x14ac:dyDescent="0.3">
      <c r="A95" s="33" t="s">
        <v>4</v>
      </c>
      <c r="B95" s="17">
        <v>0</v>
      </c>
      <c r="C95" s="20"/>
      <c r="D95" s="32">
        <v>12177.290199999999</v>
      </c>
      <c r="E95" s="31"/>
      <c r="F95" s="17">
        <f t="shared" si="12"/>
        <v>12177.290199999999</v>
      </c>
      <c r="G95" s="20"/>
      <c r="H95" s="17">
        <v>0</v>
      </c>
      <c r="I95" s="20"/>
      <c r="J95" s="17">
        <f t="shared" si="13"/>
        <v>12177.290199999999</v>
      </c>
      <c r="K95" s="20"/>
      <c r="L95" s="17">
        <v>0</v>
      </c>
      <c r="M95" s="20"/>
      <c r="N95" s="17">
        <f t="shared" si="14"/>
        <v>12177.290199999999</v>
      </c>
      <c r="O95" s="20"/>
      <c r="P95" s="19">
        <v>0</v>
      </c>
      <c r="Q95" s="18"/>
      <c r="R95" s="17">
        <f t="shared" si="15"/>
        <v>12177.290199999999</v>
      </c>
      <c r="S95" s="21"/>
    </row>
    <row r="96" spans="1:19" ht="15" customHeight="1" x14ac:dyDescent="0.3">
      <c r="A96" s="33" t="s">
        <v>3</v>
      </c>
      <c r="B96" s="17">
        <v>0</v>
      </c>
      <c r="C96" s="20"/>
      <c r="D96" s="32">
        <v>5320.2060000000001</v>
      </c>
      <c r="E96" s="31"/>
      <c r="F96" s="17">
        <f t="shared" si="12"/>
        <v>5320.2060000000001</v>
      </c>
      <c r="G96" s="20"/>
      <c r="H96" s="17">
        <v>0</v>
      </c>
      <c r="I96" s="20"/>
      <c r="J96" s="17">
        <f t="shared" si="13"/>
        <v>5320.2060000000001</v>
      </c>
      <c r="K96" s="20"/>
      <c r="L96" s="17">
        <v>0</v>
      </c>
      <c r="M96" s="20"/>
      <c r="N96" s="17">
        <f t="shared" si="14"/>
        <v>5320.2060000000001</v>
      </c>
      <c r="O96" s="20"/>
      <c r="P96" s="19">
        <v>0</v>
      </c>
      <c r="Q96" s="18"/>
      <c r="R96" s="17">
        <f t="shared" si="15"/>
        <v>5320.2060000000001</v>
      </c>
    </row>
    <row r="97" spans="1:37" ht="15" customHeight="1" x14ac:dyDescent="0.3">
      <c r="A97" s="7"/>
      <c r="B97" s="28"/>
      <c r="C97" s="31"/>
      <c r="D97" s="28"/>
      <c r="E97" s="31"/>
      <c r="F97" s="28"/>
      <c r="G97" s="31"/>
      <c r="H97" s="28"/>
      <c r="I97" s="31"/>
      <c r="J97" s="28"/>
      <c r="K97" s="31"/>
      <c r="L97" s="28"/>
      <c r="M97" s="31"/>
      <c r="N97" s="28"/>
      <c r="O97" s="31"/>
      <c r="P97" s="30"/>
      <c r="Q97" s="29"/>
      <c r="R97" s="28"/>
    </row>
    <row r="98" spans="1:37" ht="15" customHeight="1" x14ac:dyDescent="0.3">
      <c r="A98" s="7"/>
      <c r="B98" s="26">
        <f>SUM(B24:B97)</f>
        <v>3431386.0859073359</v>
      </c>
      <c r="C98" s="20"/>
      <c r="D98" s="26">
        <f>SUM(D24:D97)</f>
        <v>-192291.77595695303</v>
      </c>
      <c r="E98" s="20"/>
      <c r="F98" s="26">
        <f>SUM(F24:F97)</f>
        <v>3239094.3099503834</v>
      </c>
      <c r="G98" s="20"/>
      <c r="H98" s="26">
        <f>SUM(H24:H94)</f>
        <v>26199.419556949062</v>
      </c>
      <c r="I98" s="20"/>
      <c r="J98" s="26">
        <f>SUM(J24:J97)</f>
        <v>3265293.7295073331</v>
      </c>
      <c r="K98" s="20"/>
      <c r="L98" s="26">
        <f>SUM(L24:L97)</f>
        <v>-155326.78137544749</v>
      </c>
      <c r="M98" s="20"/>
      <c r="N98" s="26">
        <f>SUM(N24:N97)</f>
        <v>3109966.9481318849</v>
      </c>
      <c r="O98" s="20"/>
      <c r="P98" s="27">
        <f>SUM(P24:P97)</f>
        <v>5914.6001868290732</v>
      </c>
      <c r="Q98" s="18"/>
      <c r="R98" s="26">
        <f>SUM(R24:R97)</f>
        <v>3115881.5483187144</v>
      </c>
      <c r="S98" s="21"/>
      <c r="AF98" s="21">
        <f>SUM(AF23:AF95)</f>
        <v>0</v>
      </c>
      <c r="AG98" s="21">
        <f>SUM(AG23:AG95)</f>
        <v>0</v>
      </c>
      <c r="AH98" s="21">
        <f>SUM(AH23:AH95)</f>
        <v>0</v>
      </c>
      <c r="AI98" s="21">
        <f>SUM(AI29:AI95)</f>
        <v>0</v>
      </c>
      <c r="AJ98" s="21">
        <f>SUM(AJ29:AJ95)</f>
        <v>0</v>
      </c>
      <c r="AK98" s="21">
        <f>SUM(AK29:AK95)</f>
        <v>0</v>
      </c>
    </row>
    <row r="99" spans="1:37" ht="15" customHeight="1" x14ac:dyDescent="0.3">
      <c r="A99" s="7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18"/>
      <c r="Q99" s="18"/>
      <c r="R99" s="20"/>
      <c r="S99" s="21"/>
      <c r="AF99" s="21"/>
      <c r="AG99" s="21"/>
      <c r="AH99" s="21"/>
      <c r="AI99" s="21"/>
      <c r="AJ99" s="21"/>
      <c r="AK99" s="21"/>
    </row>
    <row r="100" spans="1:37" ht="15" customHeight="1" thickBot="1" x14ac:dyDescent="0.35">
      <c r="A100" s="15" t="s">
        <v>2</v>
      </c>
      <c r="B100" s="17">
        <f>B21-B98</f>
        <v>16955.67996679619</v>
      </c>
      <c r="C100" s="20"/>
      <c r="D100" s="23">
        <f>D21-D98</f>
        <v>139641.90591370978</v>
      </c>
      <c r="E100" s="20"/>
      <c r="F100" s="23">
        <f>F21-F98</f>
        <v>156597.58588050539</v>
      </c>
      <c r="G100" s="20"/>
      <c r="H100" s="23">
        <f>H21-H98</f>
        <v>-24663.419556949062</v>
      </c>
      <c r="I100" s="20"/>
      <c r="J100" s="23">
        <f>J21-J98</f>
        <v>131934.16632355563</v>
      </c>
      <c r="K100" s="20"/>
      <c r="L100" s="23">
        <f>+L98-L17</f>
        <v>45189.648624552501</v>
      </c>
      <c r="M100" s="20"/>
      <c r="N100" s="23">
        <f>N21-N98</f>
        <v>86744.517699003685</v>
      </c>
      <c r="O100" s="20"/>
      <c r="P100" s="25">
        <f>P21-P98</f>
        <v>205321.12077135211</v>
      </c>
      <c r="Q100" s="18"/>
      <c r="R100" s="23">
        <f>R21-R98</f>
        <v>292065.63847035496</v>
      </c>
      <c r="S100" s="22"/>
      <c r="AE100" s="21">
        <f>SUM(AE23:AE97)</f>
        <v>0</v>
      </c>
    </row>
    <row r="101" spans="1:37" ht="15" customHeight="1" thickTop="1" x14ac:dyDescent="0.3">
      <c r="A101" s="15" t="s">
        <v>1</v>
      </c>
      <c r="B101" s="24">
        <v>17630.2</v>
      </c>
      <c r="C101" s="20"/>
      <c r="D101" s="17"/>
      <c r="E101" s="20"/>
      <c r="F101" s="17"/>
      <c r="G101" s="20"/>
      <c r="H101" s="17"/>
      <c r="I101" s="20"/>
      <c r="J101" s="17"/>
      <c r="K101" s="20"/>
      <c r="L101" s="17"/>
      <c r="M101" s="20"/>
      <c r="N101" s="17"/>
      <c r="O101" s="20"/>
      <c r="P101" s="19"/>
      <c r="Q101" s="18"/>
      <c r="R101" s="17"/>
      <c r="S101" s="22"/>
      <c r="AE101" s="21"/>
    </row>
    <row r="102" spans="1:37" ht="15" customHeight="1" x14ac:dyDescent="0.3">
      <c r="A102" s="15"/>
      <c r="B102" s="17"/>
      <c r="C102" s="20"/>
      <c r="D102" s="17"/>
      <c r="E102" s="20"/>
      <c r="F102" s="17"/>
      <c r="G102" s="20"/>
      <c r="H102" s="17"/>
      <c r="I102" s="20"/>
      <c r="J102" s="17"/>
      <c r="K102" s="20"/>
      <c r="L102" s="17"/>
      <c r="M102" s="20"/>
      <c r="N102" s="17"/>
      <c r="O102" s="20"/>
      <c r="P102" s="19"/>
      <c r="Q102" s="18"/>
      <c r="R102" s="17"/>
      <c r="S102" s="22"/>
      <c r="AE102" s="21"/>
    </row>
    <row r="103" spans="1:37" ht="15" customHeight="1" thickBot="1" x14ac:dyDescent="0.35">
      <c r="A103" s="15" t="s">
        <v>0</v>
      </c>
      <c r="B103" s="23">
        <f>SUM(B100:B101)</f>
        <v>34585.879966796187</v>
      </c>
      <c r="C103" s="20"/>
      <c r="D103" s="17"/>
      <c r="E103" s="20"/>
      <c r="F103" s="17"/>
      <c r="G103" s="20"/>
      <c r="H103" s="17"/>
      <c r="I103" s="20"/>
      <c r="J103" s="17"/>
      <c r="K103" s="20"/>
      <c r="L103" s="17"/>
      <c r="M103" s="20"/>
      <c r="N103" s="17"/>
      <c r="O103" s="20"/>
      <c r="P103" s="19"/>
      <c r="Q103" s="18"/>
      <c r="R103" s="17"/>
      <c r="S103" s="22"/>
      <c r="AE103" s="21"/>
    </row>
    <row r="104" spans="1:37" ht="15" customHeight="1" thickTop="1" x14ac:dyDescent="0.3">
      <c r="A104" s="16"/>
      <c r="B104" s="12"/>
      <c r="C104" s="11"/>
      <c r="D104" s="12"/>
      <c r="E104" s="11"/>
      <c r="F104" s="14"/>
      <c r="G104" s="13"/>
      <c r="H104" s="14"/>
      <c r="I104" s="13"/>
      <c r="J104" s="14"/>
      <c r="K104" s="13"/>
      <c r="L104" s="14"/>
      <c r="M104" s="13"/>
      <c r="N104" s="14"/>
      <c r="O104" s="13"/>
      <c r="P104" s="12"/>
      <c r="Q104" s="11"/>
      <c r="R104" s="14"/>
    </row>
    <row r="105" spans="1:37" ht="15" customHeight="1" x14ac:dyDescent="0.3"/>
    <row r="108" spans="1:37" x14ac:dyDescent="0.3">
      <c r="L108" s="6"/>
      <c r="M108" s="5"/>
    </row>
  </sheetData>
  <mergeCells count="4">
    <mergeCell ref="A1:R1"/>
    <mergeCell ref="A3:R3"/>
    <mergeCell ref="A5:R5"/>
    <mergeCell ref="A6:R6"/>
  </mergeCells>
  <pageMargins left="0.25" right="0.25" top="0.75" bottom="0.5" header="0" footer="0.25"/>
  <pageSetup fitToHeight="3" orientation="landscape" r:id="rId1"/>
  <headerFooter alignWithMargins="0">
    <oddFooter xml:space="preserve">&amp;C&amp;"Times New Roman,Regular"&amp;10See accompanying summary of significant assumptions and accountants’ compilation report. 
</oddFooter>
  </headerFooter>
  <rowBreaks count="4" manualBreakCount="4">
    <brk id="35" max="17" man="1"/>
    <brk id="60" max="17" man="1"/>
    <brk id="84" max="17" man="1"/>
    <brk id="103" max="17" man="1"/>
  </rowBreaks>
  <colBreaks count="2" manualBreakCount="2">
    <brk id="30" max="99" man="1"/>
    <brk id="45" max="9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2014-04-04T07:00:00+00:00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E6AD1-D169-4E49-B7BB-25E91E0819BB}"/>
</file>

<file path=customXml/itemProps2.xml><?xml version="1.0" encoding="utf-8"?>
<ds:datastoreItem xmlns:ds="http://schemas.openxmlformats.org/officeDocument/2006/customXml" ds:itemID="{DAD622E9-7180-498A-A77D-A340B0F628B1}"/>
</file>

<file path=customXml/itemProps3.xml><?xml version="1.0" encoding="utf-8"?>
<ds:datastoreItem xmlns:ds="http://schemas.openxmlformats.org/officeDocument/2006/customXml" ds:itemID="{5C8334D8-62F1-4837-AED6-2965C28B0449}"/>
</file>

<file path=customXml/itemProps4.xml><?xml version="1.0" encoding="utf-8"?>
<ds:datastoreItem xmlns:ds="http://schemas.openxmlformats.org/officeDocument/2006/customXml" ds:itemID="{3FE51027-FF30-4BD8-9CA0-FF16CD834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Operations</vt:lpstr>
      <vt:lpstr>Lurito</vt:lpstr>
      <vt:lpstr>Operations!Print_Area</vt:lpstr>
      <vt:lpstr>Operations!Print_Titles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2014-02-18T22:01:08Z</dcterms:created>
  <dcterms:modified xsi:type="dcterms:W3CDTF">2014-02-18T22:01:08Z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