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4\2024 WA Elec and Gas GRC\Supplemental Information (Jan 2024)\Anderson\"/>
    </mc:Choice>
  </mc:AlternateContent>
  <xr:revisionPtr revIDLastSave="0" documentId="13_ncr:1_{EF18EF9D-D935-42BF-B440-9AFE881BD500}" xr6:coauthVersionLast="47" xr6:coauthVersionMax="47" xr10:uidLastSave="{00000000-0000-0000-0000-000000000000}"/>
  <bookViews>
    <workbookView xWindow="-31500" yWindow="-16320" windowWidth="29040" windowHeight="15990" tabRatio="796" xr2:uid="{00000000-000D-0000-FFFF-FFFF00000000}"/>
  </bookViews>
  <sheets>
    <sheet name="PF Adjustment JCA-5" sheetId="31" r:id="rId1"/>
    <sheet name="Reconcile ROO to CB" sheetId="32" r:id="rId2"/>
    <sheet name="Pres &amp; Prop Rev" sheetId="1" r:id="rId3"/>
    <sheet name="Rate Design" sheetId="11" r:id="rId4"/>
    <sheet name="RS" sheetId="16" r:id="rId5"/>
    <sheet name="RD" sheetId="13" r:id="rId6"/>
    <sheet name="BFG" sheetId="17" state="hidden" r:id="rId7"/>
    <sheet name="Bill Determ" sheetId="6" r:id="rId8"/>
    <sheet name="Block Usage" sheetId="25" r:id="rId9"/>
    <sheet name="Big Schedules" sheetId="4" r:id="rId10"/>
    <sheet name="12MEJUN23" sheetId="27" r:id="rId11"/>
  </sheets>
  <definedNames>
    <definedName name="Base1_Billing2">'Pres &amp; Prop Rev'!$O$8</definedName>
    <definedName name="_xlnm.Print_Area" localSheetId="10">'12MEJUN23'!$A$3:$P$218</definedName>
    <definedName name="_xlnm.Print_Area" localSheetId="6">BFG!$A$1:$F$19</definedName>
    <definedName name="_xlnm.Print_Area" localSheetId="9">'Big Schedules'!$B$1:$U$112</definedName>
    <definedName name="_xlnm.Print_Area" localSheetId="7">'Bill Determ'!$A$1:$H$55</definedName>
    <definedName name="_xlnm.Print_Area" localSheetId="8">'Block Usage'!$A$1:$O$56</definedName>
    <definedName name="_xlnm.Print_Area" localSheetId="0">'PF Adjustment JCA-5'!$A$1:$G$33</definedName>
    <definedName name="_xlnm.Print_Area" localSheetId="2">'Pres &amp; Prop Rev'!$A$1:$J$249</definedName>
    <definedName name="_xlnm.Print_Area" localSheetId="3">'Rate Design'!$A$47:$H$105</definedName>
    <definedName name="_xlnm.Print_Area" localSheetId="5">RD!$A$1:$K$64</definedName>
    <definedName name="_xlnm.Print_Area" localSheetId="1">'Reconcile ROO to CB'!$A$1:$L$64</definedName>
    <definedName name="_xlnm.Print_Area" localSheetId="4">RS!$A$1:$L$23</definedName>
    <definedName name="PrintHeader" localSheetId="2">'Pres &amp; Prop Rev'!$Q$6</definedName>
    <definedName name="Rates_Base_Present">'Rate Design'!$D$4:$H$11</definedName>
    <definedName name="Rates_Base_Proposed">'Rate Design'!$D$26:$H$33</definedName>
    <definedName name="Rates_Billing_Present">'Rate Design'!$D$14:$H$21</definedName>
    <definedName name="Rates_Billing_Proposed">'Rate Design'!$D$36:$H$43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31" l="1"/>
  <c r="I7" i="32"/>
  <c r="I11" i="32"/>
  <c r="D11" i="32" s="1"/>
  <c r="J11" i="32" s="1"/>
  <c r="G12" i="32"/>
  <c r="I12" i="32" s="1"/>
  <c r="J12" i="32" s="1"/>
  <c r="G13" i="32"/>
  <c r="I13" i="32"/>
  <c r="J13" i="32" s="1"/>
  <c r="G14" i="32"/>
  <c r="I14" i="32"/>
  <c r="J14" i="32" s="1"/>
  <c r="G18" i="32"/>
  <c r="I18" i="32"/>
  <c r="J18" i="32" s="1"/>
  <c r="E20" i="32"/>
  <c r="H20" i="32"/>
  <c r="I22" i="32"/>
  <c r="D23" i="32"/>
  <c r="D22" i="32" s="1"/>
  <c r="J22" i="32" s="1"/>
  <c r="I23" i="32"/>
  <c r="I24" i="32"/>
  <c r="J24" i="32"/>
  <c r="D14" i="31" s="1"/>
  <c r="F14" i="31" s="1"/>
  <c r="G14" i="31" s="1"/>
  <c r="E25" i="32"/>
  <c r="F25" i="32"/>
  <c r="G25" i="32"/>
  <c r="D27" i="32"/>
  <c r="E27" i="32"/>
  <c r="I28" i="32"/>
  <c r="D28" i="32" s="1"/>
  <c r="J28" i="32" s="1"/>
  <c r="I29" i="32"/>
  <c r="I35" i="32" s="1"/>
  <c r="I30" i="32"/>
  <c r="J30" i="32"/>
  <c r="I31" i="32"/>
  <c r="J31" i="32" s="1"/>
  <c r="D19" i="31" s="1"/>
  <c r="F19" i="31" s="1"/>
  <c r="G19" i="31" s="1"/>
  <c r="I32" i="32"/>
  <c r="D32" i="32" s="1"/>
  <c r="J32" i="32" s="1"/>
  <c r="D33" i="32"/>
  <c r="J33" i="32" s="1"/>
  <c r="D20" i="31" s="1"/>
  <c r="F20" i="31" s="1"/>
  <c r="G20" i="31" s="1"/>
  <c r="I33" i="32"/>
  <c r="I34" i="32"/>
  <c r="D35" i="32"/>
  <c r="E35" i="32"/>
  <c r="F35" i="32"/>
  <c r="G35" i="32"/>
  <c r="H35" i="32"/>
  <c r="H36" i="32" s="1"/>
  <c r="E39" i="32"/>
  <c r="I39" i="32" s="1"/>
  <c r="J39" i="32" s="1"/>
  <c r="D40" i="32"/>
  <c r="G41" i="32"/>
  <c r="G40" i="32" s="1"/>
  <c r="I42" i="32"/>
  <c r="J42" i="32"/>
  <c r="D25" i="31" s="1"/>
  <c r="E25" i="31" s="1"/>
  <c r="F25" i="31" s="1"/>
  <c r="G25" i="31" s="1"/>
  <c r="G43" i="32"/>
  <c r="I43" i="32" s="1"/>
  <c r="J43" i="32" s="1"/>
  <c r="G44" i="32"/>
  <c r="I44" i="32" s="1"/>
  <c r="J44" i="32" s="1"/>
  <c r="G45" i="32"/>
  <c r="I45" i="32" s="1"/>
  <c r="J45" i="32" s="1"/>
  <c r="G46" i="32"/>
  <c r="I46" i="32" s="1"/>
  <c r="J46" i="32" s="1"/>
  <c r="G47" i="32"/>
  <c r="G48" i="32"/>
  <c r="G49" i="32"/>
  <c r="I49" i="32" s="1"/>
  <c r="J49" i="32" s="1"/>
  <c r="K50" i="32"/>
  <c r="D50" i="32" s="1"/>
  <c r="K51" i="32"/>
  <c r="D51" i="32" s="1"/>
  <c r="K52" i="32"/>
  <c r="H52" i="32" s="1"/>
  <c r="D59" i="32"/>
  <c r="G59" i="32" s="1"/>
  <c r="F74" i="32"/>
  <c r="F76" i="32"/>
  <c r="F77" i="32"/>
  <c r="F78" i="32"/>
  <c r="F82" i="32"/>
  <c r="F83" i="32"/>
  <c r="F87" i="32"/>
  <c r="F88" i="32"/>
  <c r="F90" i="32"/>
  <c r="F91" i="32"/>
  <c r="F93" i="32"/>
  <c r="F94" i="32"/>
  <c r="F95" i="32"/>
  <c r="F96" i="32"/>
  <c r="D18" i="31"/>
  <c r="F18" i="31" s="1"/>
  <c r="G18" i="31" s="1"/>
  <c r="H29" i="31"/>
  <c r="H36" i="31" s="1"/>
  <c r="F98" i="32" l="1"/>
  <c r="E53" i="32"/>
  <c r="D52" i="32"/>
  <c r="E36" i="32"/>
  <c r="E55" i="32" s="1"/>
  <c r="I25" i="32"/>
  <c r="F79" i="32"/>
  <c r="F84" i="32" s="1"/>
  <c r="F99" i="32" s="1"/>
  <c r="D12" i="31"/>
  <c r="D15" i="31" s="1"/>
  <c r="F80" i="32"/>
  <c r="I40" i="32"/>
  <c r="D53" i="32"/>
  <c r="D29" i="32"/>
  <c r="J29" i="32" s="1"/>
  <c r="K53" i="32"/>
  <c r="K54" i="32" s="1"/>
  <c r="G17" i="32" s="1"/>
  <c r="I17" i="32" s="1"/>
  <c r="D17" i="32" s="1"/>
  <c r="J17" i="32" s="1"/>
  <c r="D36" i="32"/>
  <c r="D55" i="32" s="1"/>
  <c r="J23" i="32"/>
  <c r="J25" i="32" s="1"/>
  <c r="H50" i="32"/>
  <c r="I41" i="32"/>
  <c r="J41" i="32" s="1"/>
  <c r="H51" i="32"/>
  <c r="H53" i="32" l="1"/>
  <c r="H55" i="32" s="1"/>
  <c r="F8" i="32"/>
  <c r="G16" i="32"/>
  <c r="I16" i="32" s="1"/>
  <c r="D16" i="32" s="1"/>
  <c r="J16" i="32" s="1"/>
  <c r="G19" i="32"/>
  <c r="I19" i="32" s="1"/>
  <c r="J19" i="32" s="1"/>
  <c r="D8" i="32"/>
  <c r="J40" i="32"/>
  <c r="G15" i="32"/>
  <c r="I15" i="32" s="1"/>
  <c r="D15" i="32" s="1"/>
  <c r="J15" i="32" s="1"/>
  <c r="G10" i="32"/>
  <c r="D34" i="32"/>
  <c r="J34" i="32" s="1"/>
  <c r="J35" i="32" s="1"/>
  <c r="I10" i="32" l="1"/>
  <c r="D10" i="32" s="1"/>
  <c r="J10" i="32" s="1"/>
  <c r="G20" i="32"/>
  <c r="G27" i="32" s="1"/>
  <c r="D24" i="31"/>
  <c r="F24" i="31" s="1"/>
  <c r="G24" i="31" s="1"/>
  <c r="I8" i="32"/>
  <c r="J8" i="32" s="1"/>
  <c r="D7" i="31" s="1"/>
  <c r="F7" i="31" s="1"/>
  <c r="G7" i="31" s="1"/>
  <c r="F9" i="32"/>
  <c r="I9" i="32" s="1"/>
  <c r="J9" i="32" s="1"/>
  <c r="D9" i="31"/>
  <c r="F20" i="32" l="1"/>
  <c r="F27" i="32" s="1"/>
  <c r="G36" i="32"/>
  <c r="G52" i="32"/>
  <c r="G50" i="32"/>
  <c r="G51" i="32"/>
  <c r="I20" i="32"/>
  <c r="D7" i="32"/>
  <c r="J7" i="32" s="1"/>
  <c r="J20" i="32" s="1"/>
  <c r="J27" i="32" s="1"/>
  <c r="J36" i="32" s="1"/>
  <c r="D8" i="31"/>
  <c r="G53" i="32" l="1"/>
  <c r="G55" i="32" s="1"/>
  <c r="F52" i="32"/>
  <c r="I52" i="32" s="1"/>
  <c r="J52" i="32" s="1"/>
  <c r="F36" i="32"/>
  <c r="F51" i="32"/>
  <c r="I51" i="32" s="1"/>
  <c r="J51" i="32" s="1"/>
  <c r="F50" i="32"/>
  <c r="I27" i="32"/>
  <c r="I36" i="32" s="1"/>
  <c r="D6" i="31"/>
  <c r="F55" i="32" l="1"/>
  <c r="I55" i="32" s="1"/>
  <c r="F53" i="32"/>
  <c r="I50" i="32"/>
  <c r="G58" i="32"/>
  <c r="D10" i="31"/>
  <c r="D58" i="32" l="1"/>
  <c r="G60" i="32"/>
  <c r="G62" i="32" s="1"/>
  <c r="J50" i="32"/>
  <c r="J53" i="32" s="1"/>
  <c r="J55" i="32" s="1"/>
  <c r="I53" i="32"/>
  <c r="D17" i="31"/>
  <c r="D21" i="31" s="1"/>
  <c r="H15" i="16" l="1"/>
  <c r="H14" i="16"/>
  <c r="P15" i="16" l="1"/>
  <c r="Q15" i="16" s="1"/>
  <c r="N38" i="6" l="1"/>
  <c r="N12" i="6"/>
  <c r="B74" i="6"/>
  <c r="I10" i="11"/>
  <c r="M38" i="6"/>
  <c r="M12" i="6"/>
  <c r="M7" i="6"/>
  <c r="E179" i="1"/>
  <c r="M51" i="6"/>
  <c r="M41" i="6"/>
  <c r="K51" i="6"/>
  <c r="K45" i="6"/>
  <c r="K41" i="6"/>
  <c r="K38" i="6"/>
  <c r="K12" i="6"/>
  <c r="K7" i="6"/>
  <c r="K55" i="6" s="1"/>
  <c r="N55" i="6" l="1"/>
  <c r="M55" i="6"/>
  <c r="B84" i="6"/>
  <c r="B88" i="6"/>
  <c r="G38" i="6"/>
  <c r="K46" i="13" l="1"/>
  <c r="X5" i="4" l="1"/>
  <c r="Z5" i="4"/>
  <c r="H56" i="4"/>
  <c r="S52" i="4" a="1"/>
  <c r="S52" i="4" s="1"/>
  <c r="U52" i="4" s="1" a="1"/>
  <c r="U52" i="4" s="1"/>
  <c r="T51" i="4" a="1"/>
  <c r="T51" i="4" s="1"/>
  <c r="O53" i="4"/>
  <c r="Q84" i="4" a="1"/>
  <c r="Q84" i="4" s="1"/>
  <c r="O50" i="4"/>
  <c r="O51" i="4"/>
  <c r="O52" i="4"/>
  <c r="O79" i="4"/>
  <c r="O77" i="4"/>
  <c r="O86" i="4"/>
  <c r="Q56" i="4" l="1"/>
  <c r="C137" i="1" l="1"/>
  <c r="H20" i="16" l="1"/>
  <c r="G39" i="11"/>
  <c r="G40" i="11"/>
  <c r="G41" i="11"/>
  <c r="G38" i="11"/>
  <c r="G17" i="11"/>
  <c r="G18" i="11"/>
  <c r="G19" i="11"/>
  <c r="G16" i="11"/>
  <c r="M40" i="16"/>
  <c r="C88" i="4" l="1"/>
  <c r="P29" i="27"/>
  <c r="O31" i="27"/>
  <c r="O30" i="27"/>
  <c r="P15" i="27"/>
  <c r="F7" i="6" l="1"/>
  <c r="E7" i="6"/>
  <c r="Q86" i="4"/>
  <c r="U85" i="4" a="1"/>
  <c r="U85" i="4" s="1"/>
  <c r="T85" i="4" a="1"/>
  <c r="T85" i="4" s="1"/>
  <c r="S85" i="4" a="1"/>
  <c r="S85" i="4" s="1"/>
  <c r="R85" i="4" a="1"/>
  <c r="R85" i="4" s="1"/>
  <c r="Q85" i="4" a="1"/>
  <c r="Q85" i="4" s="1"/>
  <c r="R84" i="4" a="1"/>
  <c r="R84" i="4" s="1"/>
  <c r="U81" i="4"/>
  <c r="T81" i="4"/>
  <c r="S81" i="4"/>
  <c r="R81" i="4"/>
  <c r="P137" i="27"/>
  <c r="H14" i="6"/>
  <c r="H17" i="6" s="1"/>
  <c r="G14" i="6"/>
  <c r="B45" i="6"/>
  <c r="L45" i="6" s="1"/>
  <c r="C112" i="4"/>
  <c r="E26" i="1" l="1"/>
  <c r="R86" i="4"/>
  <c r="S84" i="4" a="1"/>
  <c r="S84" i="4" s="1"/>
  <c r="S86" i="4" s="1"/>
  <c r="T84" i="4" l="1" a="1"/>
  <c r="T84" i="4" s="1"/>
  <c r="T86" i="4" s="1"/>
  <c r="E23" i="25"/>
  <c r="D23" i="25"/>
  <c r="C100" i="4"/>
  <c r="O102" i="4"/>
  <c r="C98" i="4"/>
  <c r="O85" i="4"/>
  <c r="G76" i="4"/>
  <c r="G74" i="4"/>
  <c r="Q74" i="4" s="1" a="1"/>
  <c r="Q74" i="4" s="1"/>
  <c r="N5" i="25"/>
  <c r="J5" i="25"/>
  <c r="I5" i="25"/>
  <c r="E5" i="25"/>
  <c r="D5" i="25"/>
  <c r="C5" i="25"/>
  <c r="H42" i="6"/>
  <c r="C79" i="4"/>
  <c r="G84" i="4"/>
  <c r="Q51" i="4" a="1"/>
  <c r="Q51" i="4" s="1"/>
  <c r="O54" i="4"/>
  <c r="O39" i="4"/>
  <c r="C44" i="4"/>
  <c r="B87" i="6" l="1"/>
  <c r="N41" i="6"/>
  <c r="U84" i="4" a="1"/>
  <c r="U84" i="4" s="1"/>
  <c r="U86" i="4" s="1"/>
  <c r="O84" i="4"/>
  <c r="O6" i="4" l="1"/>
  <c r="O7" i="4"/>
  <c r="O8" i="4"/>
  <c r="O9" i="4"/>
  <c r="O10" i="4"/>
  <c r="O11" i="4"/>
  <c r="W11" i="4" s="1"/>
  <c r="O12" i="4"/>
  <c r="W12" i="4" s="1"/>
  <c r="O13" i="4"/>
  <c r="X13" i="4" s="1"/>
  <c r="O14" i="4"/>
  <c r="X14" i="4" s="1"/>
  <c r="O15" i="4"/>
  <c r="W15" i="4" s="1"/>
  <c r="O16" i="4"/>
  <c r="W16" i="4" s="1"/>
  <c r="O17" i="4"/>
  <c r="W17" i="4" s="1"/>
  <c r="O18" i="4"/>
  <c r="X18" i="4" s="1"/>
  <c r="O19" i="4"/>
  <c r="X19" i="4" s="1"/>
  <c r="O20" i="4"/>
  <c r="X20" i="4" s="1"/>
  <c r="O21" i="4"/>
  <c r="W21" i="4" s="1"/>
  <c r="O22" i="4"/>
  <c r="O23" i="4"/>
  <c r="W23" i="4" s="1"/>
  <c r="O24" i="4"/>
  <c r="O25" i="4"/>
  <c r="O26" i="4"/>
  <c r="O27" i="4"/>
  <c r="W27" i="4" s="1"/>
  <c r="O28" i="4"/>
  <c r="W28" i="4" s="1"/>
  <c r="O29" i="4"/>
  <c r="X29" i="4" s="1"/>
  <c r="O30" i="4"/>
  <c r="X30" i="4" s="1"/>
  <c r="O31" i="4"/>
  <c r="W31" i="4" s="1"/>
  <c r="O32" i="4"/>
  <c r="X32" i="4" s="1"/>
  <c r="O33" i="4"/>
  <c r="W33" i="4" s="1"/>
  <c r="O34" i="4"/>
  <c r="W34" i="4" s="1"/>
  <c r="O35" i="4"/>
  <c r="X35" i="4" s="1"/>
  <c r="O36" i="4"/>
  <c r="W36" i="4" s="1"/>
  <c r="O37" i="4"/>
  <c r="X37" i="4" s="1"/>
  <c r="O38" i="4"/>
  <c r="Q6" i="4" a="1"/>
  <c r="Q6" i="4" s="1"/>
  <c r="Q7" i="4" a="1"/>
  <c r="Q7" i="4" s="1"/>
  <c r="Q8" i="4" a="1"/>
  <c r="Q8" i="4" s="1"/>
  <c r="Q9" i="4" a="1"/>
  <c r="Q9" i="4" s="1"/>
  <c r="R9" i="4" s="1"/>
  <c r="S9" i="4" s="1"/>
  <c r="Q10" i="4" a="1"/>
  <c r="Q10" i="4" s="1"/>
  <c r="R10" i="4" s="1"/>
  <c r="S10" i="4" s="1"/>
  <c r="Q11" i="4" a="1"/>
  <c r="Q11" i="4" s="1"/>
  <c r="Q12" i="4" a="1"/>
  <c r="Q12" i="4" s="1"/>
  <c r="Q13" i="4" a="1"/>
  <c r="Q13" i="4" s="1"/>
  <c r="R13" i="4" s="1"/>
  <c r="Q14" i="4" a="1"/>
  <c r="Q14" i="4" s="1"/>
  <c r="Q15" i="4" a="1"/>
  <c r="Q15" i="4" s="1"/>
  <c r="R15" i="4" s="1"/>
  <c r="Q16" i="4" a="1"/>
  <c r="Q16" i="4" s="1"/>
  <c r="Q17" i="4" a="1"/>
  <c r="Q17" i="4" s="1"/>
  <c r="R17" i="4" s="1"/>
  <c r="Q18" i="4" a="1"/>
  <c r="Q18" i="4" s="1"/>
  <c r="R18" i="4" s="1"/>
  <c r="S18" i="4" s="1"/>
  <c r="T18" i="4" s="1"/>
  <c r="U18" i="4" s="1"/>
  <c r="Q19" i="4" a="1"/>
  <c r="Q19" i="4" s="1"/>
  <c r="R19" i="4" s="1"/>
  <c r="S19" i="4" s="1"/>
  <c r="T19" i="4" s="1"/>
  <c r="U19" i="4" s="1"/>
  <c r="Q20" i="4" a="1"/>
  <c r="Q20" i="4" s="1"/>
  <c r="Q21" i="4" a="1"/>
  <c r="Q21" i="4" s="1"/>
  <c r="R21" i="4" s="1"/>
  <c r="Q22" i="4" a="1"/>
  <c r="Q22" i="4" s="1"/>
  <c r="Q23" i="4" a="1"/>
  <c r="Q23" i="4" s="1"/>
  <c r="R23" i="4" s="1"/>
  <c r="S23" i="4" s="1"/>
  <c r="T23" i="4" s="1"/>
  <c r="Q24" i="4" a="1"/>
  <c r="Q24" i="4" s="1"/>
  <c r="Q25" i="4" a="1"/>
  <c r="Q25" i="4" s="1"/>
  <c r="R25" i="4" s="1"/>
  <c r="S25" i="4" s="1"/>
  <c r="Q26" i="4" a="1"/>
  <c r="Q26" i="4" s="1"/>
  <c r="R26" i="4" s="1"/>
  <c r="S26" i="4" s="1"/>
  <c r="T26" i="4" s="1"/>
  <c r="U26" i="4" s="1"/>
  <c r="Q27" i="4" a="1"/>
  <c r="Q27" i="4" s="1"/>
  <c r="Q28" i="4" a="1"/>
  <c r="Q28" i="4" s="1"/>
  <c r="Q29" i="4" a="1"/>
  <c r="Q29" i="4" s="1"/>
  <c r="R29" i="4" s="1"/>
  <c r="S29" i="4" s="1"/>
  <c r="Q30" i="4" a="1"/>
  <c r="Q30" i="4" s="1"/>
  <c r="Q31" i="4" a="1"/>
  <c r="Q31" i="4" s="1"/>
  <c r="R31" i="4" s="1"/>
  <c r="S31" i="4" s="1"/>
  <c r="Q32" i="4" a="1"/>
  <c r="Q32" i="4" s="1"/>
  <c r="Q33" i="4" a="1"/>
  <c r="Q33" i="4" s="1"/>
  <c r="Q34" i="4" a="1"/>
  <c r="Q34" i="4" s="1"/>
  <c r="R34" i="4" s="1"/>
  <c r="S34" i="4" s="1"/>
  <c r="T34" i="4" s="1"/>
  <c r="U34" i="4" s="1"/>
  <c r="Q35" i="4" a="1"/>
  <c r="Q35" i="4" s="1"/>
  <c r="R35" i="4" s="1"/>
  <c r="S35" i="4" s="1"/>
  <c r="T35" i="4" s="1"/>
  <c r="U35" i="4" s="1"/>
  <c r="Q36" i="4" a="1"/>
  <c r="Q36" i="4" s="1"/>
  <c r="Q37" i="4" a="1"/>
  <c r="Q37" i="4" s="1"/>
  <c r="R37" i="4" s="1"/>
  <c r="Q38" i="4" a="1"/>
  <c r="Q38" i="4" s="1"/>
  <c r="Q39" i="4" a="1"/>
  <c r="Q39" i="4" s="1"/>
  <c r="R39" i="4" s="1"/>
  <c r="S39" i="4" s="1"/>
  <c r="X6" i="4"/>
  <c r="X7" i="4"/>
  <c r="X8" i="4"/>
  <c r="X9" i="4"/>
  <c r="X10" i="4"/>
  <c r="X11" i="4"/>
  <c r="X12" i="4"/>
  <c r="X22" i="4"/>
  <c r="X24" i="4"/>
  <c r="X25" i="4"/>
  <c r="X26" i="4"/>
  <c r="X27" i="4"/>
  <c r="X28" i="4"/>
  <c r="X38" i="4"/>
  <c r="X39" i="4"/>
  <c r="W6" i="4"/>
  <c r="W7" i="4"/>
  <c r="W8" i="4"/>
  <c r="W9" i="4"/>
  <c r="W10" i="4"/>
  <c r="W22" i="4"/>
  <c r="W24" i="4"/>
  <c r="W25" i="4"/>
  <c r="W26" i="4"/>
  <c r="W38" i="4"/>
  <c r="W39" i="4"/>
  <c r="Q5" i="4" a="1"/>
  <c r="Q5" i="4" s="1"/>
  <c r="Q52" i="4" a="1"/>
  <c r="Q52" i="4" s="1"/>
  <c r="Q54" i="4" l="1"/>
  <c r="B15" i="6" s="1"/>
  <c r="R7" i="4"/>
  <c r="S7" i="4" s="1"/>
  <c r="T7" i="4" s="1"/>
  <c r="U7" i="4" s="1"/>
  <c r="X23" i="4"/>
  <c r="R51" i="4" a="1"/>
  <c r="R51" i="4" s="1"/>
  <c r="W37" i="4"/>
  <c r="W35" i="4"/>
  <c r="X36" i="4"/>
  <c r="W32" i="4"/>
  <c r="X17" i="4"/>
  <c r="X21" i="4"/>
  <c r="W18" i="4"/>
  <c r="Y18" i="4" s="1"/>
  <c r="W30" i="4"/>
  <c r="X16" i="4"/>
  <c r="W13" i="4"/>
  <c r="X31" i="4"/>
  <c r="X15" i="4"/>
  <c r="W20" i="4"/>
  <c r="W19" i="4"/>
  <c r="Y19" i="4" s="1"/>
  <c r="X34" i="4"/>
  <c r="X33" i="4"/>
  <c r="W14" i="4"/>
  <c r="W29" i="4"/>
  <c r="R12" i="4"/>
  <c r="S12" i="4" s="1"/>
  <c r="R11" i="4"/>
  <c r="S11" i="4" s="1"/>
  <c r="R38" i="4"/>
  <c r="S38" i="4" s="1"/>
  <c r="R27" i="4"/>
  <c r="R16" i="4"/>
  <c r="S16" i="4" s="1"/>
  <c r="R24" i="4"/>
  <c r="S24" i="4" s="1"/>
  <c r="R36" i="4"/>
  <c r="R20" i="4"/>
  <c r="R22" i="4"/>
  <c r="S22" i="4" s="1"/>
  <c r="R8" i="4"/>
  <c r="R14" i="4"/>
  <c r="S14" i="4" s="1"/>
  <c r="R30" i="4"/>
  <c r="S30" i="4" s="1"/>
  <c r="R28" i="4"/>
  <c r="S28" i="4" s="1"/>
  <c r="R6" i="4"/>
  <c r="S6" i="4" s="1"/>
  <c r="S17" i="4"/>
  <c r="T17" i="4" s="1"/>
  <c r="R33" i="4"/>
  <c r="S33" i="4" s="1"/>
  <c r="R32" i="4"/>
  <c r="S32" i="4" s="1"/>
  <c r="T32" i="4" s="1"/>
  <c r="S37" i="4"/>
  <c r="S15" i="4"/>
  <c r="T15" i="4" s="1"/>
  <c r="U15" i="4" s="1"/>
  <c r="S13" i="4"/>
  <c r="T13" i="4" s="1"/>
  <c r="U13" i="4" s="1"/>
  <c r="S21" i="4"/>
  <c r="T21" i="4" s="1"/>
  <c r="U21" i="4" s="1"/>
  <c r="T39" i="4"/>
  <c r="U39" i="4" s="1"/>
  <c r="Y39" i="4" s="1"/>
  <c r="T31" i="4"/>
  <c r="T29" i="4"/>
  <c r="U29" i="4" s="1"/>
  <c r="T10" i="4"/>
  <c r="U10" i="4" s="1"/>
  <c r="T9" i="4"/>
  <c r="U9" i="4" s="1"/>
  <c r="T25" i="4"/>
  <c r="U25" i="4" s="1"/>
  <c r="U23" i="4"/>
  <c r="Y26" i="4"/>
  <c r="Y35" i="4"/>
  <c r="Y34" i="4"/>
  <c r="Y25" i="4" l="1"/>
  <c r="T33" i="4"/>
  <c r="U33" i="4" s="1"/>
  <c r="Y33" i="4" s="1"/>
  <c r="T11" i="4"/>
  <c r="U11" i="4" s="1"/>
  <c r="Y11" i="4" s="1"/>
  <c r="S36" i="4"/>
  <c r="T36" i="4" s="1"/>
  <c r="U36" i="4" s="1"/>
  <c r="Y36" i="4" s="1"/>
  <c r="T12" i="4"/>
  <c r="U12" i="4" s="1"/>
  <c r="Y12" i="4" s="1"/>
  <c r="S51" i="4" a="1"/>
  <c r="S51" i="4" s="1"/>
  <c r="T22" i="4"/>
  <c r="U22" i="4" s="1"/>
  <c r="Y22" i="4" s="1"/>
  <c r="S20" i="4"/>
  <c r="Y7" i="4"/>
  <c r="T6" i="4"/>
  <c r="U6" i="4" s="1"/>
  <c r="Y6" i="4" s="1"/>
  <c r="T24" i="4"/>
  <c r="U24" i="4" s="1"/>
  <c r="T30" i="4"/>
  <c r="U30" i="4" s="1"/>
  <c r="T37" i="4"/>
  <c r="U37" i="4" s="1"/>
  <c r="Y37" i="4" s="1"/>
  <c r="Y23" i="4"/>
  <c r="Y21" i="4"/>
  <c r="T16" i="4"/>
  <c r="U16" i="4" s="1"/>
  <c r="Y16" i="4" s="1"/>
  <c r="S27" i="4"/>
  <c r="U17" i="4"/>
  <c r="Y17" i="4" s="1"/>
  <c r="Y15" i="4"/>
  <c r="T38" i="4"/>
  <c r="U38" i="4" s="1"/>
  <c r="T28" i="4"/>
  <c r="U28" i="4" s="1"/>
  <c r="Y28" i="4" s="1"/>
  <c r="T14" i="4"/>
  <c r="U14" i="4" s="1"/>
  <c r="Y14" i="4" s="1"/>
  <c r="U32" i="4"/>
  <c r="Y32" i="4" s="1"/>
  <c r="S8" i="4"/>
  <c r="T8" i="4" s="1"/>
  <c r="Y29" i="4"/>
  <c r="U31" i="4"/>
  <c r="Y13" i="4"/>
  <c r="Y9" i="4"/>
  <c r="Y10" i="4"/>
  <c r="Y38" i="4" l="1"/>
  <c r="T20" i="4"/>
  <c r="U20" i="4" s="1"/>
  <c r="Y24" i="4"/>
  <c r="T27" i="4"/>
  <c r="U27" i="4" s="1"/>
  <c r="U8" i="4"/>
  <c r="Y30" i="4"/>
  <c r="Y31" i="4"/>
  <c r="Y27" i="4" l="1"/>
  <c r="Y20" i="4"/>
  <c r="Y8" i="4"/>
  <c r="C86" i="4" l="1"/>
  <c r="C89" i="4" s="1"/>
  <c r="C46" i="4"/>
  <c r="C55" i="4" s="1"/>
  <c r="X52" i="4"/>
  <c r="R52" i="4" a="1"/>
  <c r="R52" i="4" s="1"/>
  <c r="T52" i="4" a="1"/>
  <c r="T52" i="4" s="1"/>
  <c r="R54" i="4" l="1"/>
  <c r="C15" i="6" s="1"/>
  <c r="R56" i="4"/>
  <c r="C56" i="4"/>
  <c r="W52" i="4"/>
  <c r="Y52" i="4" l="1"/>
  <c r="H39" i="11" l="1"/>
  <c r="H40" i="11"/>
  <c r="H41" i="11"/>
  <c r="H42" i="11"/>
  <c r="H38" i="11"/>
  <c r="E39" i="11"/>
  <c r="E40" i="11"/>
  <c r="E41" i="11"/>
  <c r="E42" i="11"/>
  <c r="E16" i="11"/>
  <c r="D39" i="11"/>
  <c r="D38" i="11"/>
  <c r="H17" i="11"/>
  <c r="H18" i="11"/>
  <c r="H19" i="11"/>
  <c r="H20" i="11"/>
  <c r="H16" i="11"/>
  <c r="E17" i="11"/>
  <c r="E18" i="11"/>
  <c r="E19" i="11"/>
  <c r="E20" i="11"/>
  <c r="E15" i="11"/>
  <c r="D17" i="11"/>
  <c r="D16" i="11"/>
  <c r="D26" i="11"/>
  <c r="D14" i="11" l="1"/>
  <c r="E67" i="11" l="1"/>
  <c r="E77" i="11" s="1"/>
  <c r="E82" i="11" s="1"/>
  <c r="E28" i="11" s="1"/>
  <c r="E38" i="11" s="1"/>
  <c r="Q61" i="4" l="1" a="1"/>
  <c r="Q61" i="4" s="1"/>
  <c r="C58" i="4"/>
  <c r="O49" i="4" l="1"/>
  <c r="W85" i="4" l="1"/>
  <c r="C110" i="4" l="1"/>
  <c r="C116" i="4" s="1"/>
  <c r="C103" i="4" l="1"/>
  <c r="D137" i="27" l="1"/>
  <c r="Q75" i="4"/>
  <c r="O76" i="4"/>
  <c r="O75" i="4"/>
  <c r="O74" i="4"/>
  <c r="D79" i="4"/>
  <c r="E79" i="4"/>
  <c r="F79" i="4"/>
  <c r="G79" i="4"/>
  <c r="H79" i="4"/>
  <c r="I79" i="4"/>
  <c r="J79" i="4"/>
  <c r="K79" i="4"/>
  <c r="L79" i="4"/>
  <c r="M79" i="4"/>
  <c r="N79" i="4"/>
  <c r="L88" i="4" l="1"/>
  <c r="J88" i="4"/>
  <c r="K88" i="4"/>
  <c r="I88" i="4"/>
  <c r="H88" i="4"/>
  <c r="G88" i="4"/>
  <c r="N88" i="4"/>
  <c r="M88" i="4"/>
  <c r="F88" i="4"/>
  <c r="D88" i="4"/>
  <c r="E88" i="4"/>
  <c r="R75" i="4"/>
  <c r="S75" i="4" s="1"/>
  <c r="R74" i="4"/>
  <c r="O88" i="4"/>
  <c r="T75" i="4" l="1"/>
  <c r="S74" i="4"/>
  <c r="T74" i="4" s="1"/>
  <c r="D4" i="4" l="1"/>
  <c r="E4" i="4" s="1"/>
  <c r="F4" i="4" s="1"/>
  <c r="G4" i="4" s="1"/>
  <c r="H4" i="4" s="1"/>
  <c r="I4" i="4" s="1"/>
  <c r="J4" i="4" s="1"/>
  <c r="K4" i="4" s="1"/>
  <c r="L4" i="4" s="1"/>
  <c r="M4" i="4" s="1"/>
  <c r="N4" i="4" s="1"/>
  <c r="D170" i="27"/>
  <c r="N58" i="4" l="1"/>
  <c r="F20" i="11" l="1"/>
  <c r="D20" i="11"/>
  <c r="F19" i="11"/>
  <c r="F18" i="11"/>
  <c r="F17" i="11"/>
  <c r="F16" i="11"/>
  <c r="H15" i="11"/>
  <c r="G15" i="11"/>
  <c r="F15" i="11"/>
  <c r="D15" i="11"/>
  <c r="H14" i="11"/>
  <c r="G14" i="11"/>
  <c r="F14" i="11"/>
  <c r="E14" i="11"/>
  <c r="C29" i="25" l="1"/>
  <c r="E83" i="27"/>
  <c r="E167" i="27"/>
  <c r="D167" i="27"/>
  <c r="C50" i="25"/>
  <c r="G27" i="27" l="1"/>
  <c r="H27" i="27"/>
  <c r="I27" i="27"/>
  <c r="J27" i="27"/>
  <c r="K27" i="27"/>
  <c r="L27" i="27"/>
  <c r="M27" i="27"/>
  <c r="N27" i="27"/>
  <c r="N26" i="27"/>
  <c r="M26" i="27"/>
  <c r="L26" i="27"/>
  <c r="K26" i="27"/>
  <c r="J26" i="27"/>
  <c r="I26" i="27"/>
  <c r="H26" i="27"/>
  <c r="G26" i="27"/>
  <c r="P190" i="27"/>
  <c r="P152" i="27"/>
  <c r="E97" i="27"/>
  <c r="F97" i="27"/>
  <c r="G97" i="27"/>
  <c r="H97" i="27"/>
  <c r="I97" i="27"/>
  <c r="J97" i="27"/>
  <c r="K97" i="27"/>
  <c r="L97" i="27"/>
  <c r="M97" i="27"/>
  <c r="N97" i="27"/>
  <c r="O97" i="27"/>
  <c r="D97" i="27"/>
  <c r="P91" i="27"/>
  <c r="P92" i="27"/>
  <c r="P93" i="27"/>
  <c r="P94" i="27"/>
  <c r="P95" i="27"/>
  <c r="P96" i="27"/>
  <c r="D69" i="27"/>
  <c r="P199" i="27"/>
  <c r="P97" i="27" l="1"/>
  <c r="D208" i="27" l="1"/>
  <c r="D194" i="27"/>
  <c r="D203" i="27"/>
  <c r="P186" i="27"/>
  <c r="I28" i="27"/>
  <c r="C23" i="27"/>
  <c r="D23" i="27"/>
  <c r="E23" i="27"/>
  <c r="F23" i="27"/>
  <c r="H23" i="27"/>
  <c r="I23" i="27"/>
  <c r="J23" i="27"/>
  <c r="K23" i="27"/>
  <c r="L23" i="27"/>
  <c r="M23" i="27"/>
  <c r="P21" i="27"/>
  <c r="O14" i="27"/>
  <c r="P14" i="27"/>
  <c r="D204" i="27" l="1"/>
  <c r="H67" i="11" l="1"/>
  <c r="F42" i="11" l="1"/>
  <c r="D42" i="11"/>
  <c r="F41" i="11"/>
  <c r="F40" i="11"/>
  <c r="F39" i="11"/>
  <c r="F38" i="11"/>
  <c r="I8" i="11" l="1"/>
  <c r="I7" i="11"/>
  <c r="G29" i="6"/>
  <c r="G30" i="6"/>
  <c r="G33" i="6" s="1"/>
  <c r="B31" i="6"/>
  <c r="C31" i="6"/>
  <c r="D31" i="6"/>
  <c r="E31" i="6"/>
  <c r="F31" i="6"/>
  <c r="N27" i="25"/>
  <c r="N26" i="25"/>
  <c r="N25" i="25"/>
  <c r="N24" i="25"/>
  <c r="N23" i="25"/>
  <c r="M27" i="25"/>
  <c r="M26" i="25"/>
  <c r="M25" i="25"/>
  <c r="M24" i="25"/>
  <c r="M23" i="25"/>
  <c r="M28" i="25" s="1"/>
  <c r="L27" i="25"/>
  <c r="L26" i="25"/>
  <c r="L25" i="25"/>
  <c r="L24" i="25"/>
  <c r="L23" i="25"/>
  <c r="K27" i="25"/>
  <c r="K26" i="25"/>
  <c r="K25" i="25"/>
  <c r="K24" i="25"/>
  <c r="K23" i="25"/>
  <c r="K28" i="25" s="1"/>
  <c r="J27" i="25"/>
  <c r="J26" i="25"/>
  <c r="J25" i="25"/>
  <c r="J24" i="25"/>
  <c r="J23" i="25"/>
  <c r="I27" i="25"/>
  <c r="I26" i="25"/>
  <c r="I25" i="25"/>
  <c r="I24" i="25"/>
  <c r="I23" i="25"/>
  <c r="I28" i="25" s="1"/>
  <c r="H27" i="25"/>
  <c r="H26" i="25"/>
  <c r="H25" i="25"/>
  <c r="H24" i="25"/>
  <c r="H23" i="25"/>
  <c r="H28" i="25" s="1"/>
  <c r="G27" i="25"/>
  <c r="G26" i="25"/>
  <c r="G25" i="25"/>
  <c r="G24" i="25"/>
  <c r="G23" i="25"/>
  <c r="F27" i="25"/>
  <c r="F26" i="25"/>
  <c r="F25" i="25"/>
  <c r="F24" i="25"/>
  <c r="F23" i="25"/>
  <c r="E27" i="25"/>
  <c r="E26" i="25"/>
  <c r="E25" i="25"/>
  <c r="E24" i="25"/>
  <c r="E28" i="25"/>
  <c r="D27" i="25"/>
  <c r="D26" i="25"/>
  <c r="D25" i="25"/>
  <c r="D24" i="25"/>
  <c r="C27" i="25"/>
  <c r="C26" i="25"/>
  <c r="C25" i="25"/>
  <c r="C24" i="25"/>
  <c r="C23" i="25"/>
  <c r="D56" i="27"/>
  <c r="L28" i="25" l="1"/>
  <c r="F28" i="25"/>
  <c r="C28" i="25"/>
  <c r="J28" i="25"/>
  <c r="G28" i="25"/>
  <c r="D28" i="25"/>
  <c r="N28" i="25"/>
  <c r="D166" i="27"/>
  <c r="G31" i="6"/>
  <c r="O27" i="25"/>
  <c r="O26" i="25"/>
  <c r="E44" i="4" l="1"/>
  <c r="O94" i="4" l="1"/>
  <c r="B49" i="6" s="1"/>
  <c r="O111" i="27" l="1"/>
  <c r="L111" i="27"/>
  <c r="M111" i="27"/>
  <c r="N111" i="27"/>
  <c r="K111" i="27"/>
  <c r="P113" i="27"/>
  <c r="P114" i="27"/>
  <c r="P115" i="27"/>
  <c r="P116" i="27"/>
  <c r="P117" i="27"/>
  <c r="P118" i="27"/>
  <c r="P119" i="27"/>
  <c r="P120" i="27"/>
  <c r="P121" i="27"/>
  <c r="P122" i="27"/>
  <c r="P123" i="27"/>
  <c r="P124" i="27"/>
  <c r="D125" i="27"/>
  <c r="E125" i="27"/>
  <c r="F125" i="27"/>
  <c r="G125" i="27"/>
  <c r="H125" i="27"/>
  <c r="I125" i="27"/>
  <c r="J125" i="27"/>
  <c r="K125" i="27"/>
  <c r="L125" i="27"/>
  <c r="M125" i="27"/>
  <c r="N125" i="27"/>
  <c r="O125" i="27"/>
  <c r="P78" i="27"/>
  <c r="P82" i="27"/>
  <c r="P81" i="27"/>
  <c r="O83" i="27"/>
  <c r="F83" i="27"/>
  <c r="G83" i="27"/>
  <c r="H83" i="27"/>
  <c r="I83" i="27"/>
  <c r="J83" i="27"/>
  <c r="K83" i="27"/>
  <c r="L83" i="27"/>
  <c r="M83" i="27"/>
  <c r="N83" i="27"/>
  <c r="D83" i="27"/>
  <c r="D28" i="27"/>
  <c r="E28" i="27"/>
  <c r="F28" i="27"/>
  <c r="G28" i="27"/>
  <c r="H28" i="27"/>
  <c r="J28" i="27"/>
  <c r="K28" i="27"/>
  <c r="L28" i="27"/>
  <c r="M28" i="27"/>
  <c r="N28" i="27"/>
  <c r="C28" i="27"/>
  <c r="G42" i="27"/>
  <c r="D42" i="27"/>
  <c r="G165" i="27"/>
  <c r="D165" i="27"/>
  <c r="G184" i="27"/>
  <c r="D184" i="27"/>
  <c r="E42" i="27"/>
  <c r="P125" i="27" l="1"/>
  <c r="P83" i="27"/>
  <c r="H184" i="27"/>
  <c r="H165" i="27"/>
  <c r="I165" i="27"/>
  <c r="I184" i="27"/>
  <c r="I42" i="27"/>
  <c r="H42" i="27"/>
  <c r="E165" i="27"/>
  <c r="E184" i="27"/>
  <c r="F42" i="27" l="1"/>
  <c r="F184" i="27"/>
  <c r="F165" i="27"/>
  <c r="J165" i="27"/>
  <c r="J184" i="27"/>
  <c r="J42" i="27"/>
  <c r="H51" i="13"/>
  <c r="H53" i="13" s="1"/>
  <c r="H42" i="13"/>
  <c r="H45" i="13" s="1"/>
  <c r="H19" i="13"/>
  <c r="H20" i="13" s="1"/>
  <c r="H15" i="13"/>
  <c r="H16" i="13" s="1"/>
  <c r="H54" i="13" l="1"/>
  <c r="H21" i="13"/>
  <c r="H52" i="13"/>
  <c r="H55" i="13"/>
  <c r="H43" i="13"/>
  <c r="H44" i="13"/>
  <c r="H23" i="13"/>
  <c r="H22" i="13"/>
  <c r="K184" i="27"/>
  <c r="K165" i="27"/>
  <c r="K42" i="27"/>
  <c r="L42" i="27" l="1"/>
  <c r="L165" i="27"/>
  <c r="L184" i="27"/>
  <c r="M42" i="27" l="1"/>
  <c r="M165" i="27"/>
  <c r="M184" i="27"/>
  <c r="N42" i="27" l="1"/>
  <c r="N184" i="27"/>
  <c r="N165" i="27"/>
  <c r="O184" i="27" l="1"/>
  <c r="O42" i="27"/>
  <c r="O165" i="27"/>
  <c r="D22" i="13" l="1"/>
  <c r="D23" i="13"/>
  <c r="F22" i="13" l="1"/>
  <c r="F23" i="13"/>
  <c r="E22" i="13" l="1"/>
  <c r="E23" i="13"/>
  <c r="B23" i="6"/>
  <c r="B22" i="6" l="1"/>
  <c r="U46" i="4"/>
  <c r="T46" i="4"/>
  <c r="S46" i="4"/>
  <c r="R46" i="4"/>
  <c r="C23" i="6" l="1"/>
  <c r="U51" i="4" l="1" a="1"/>
  <c r="U51" i="4" s="1"/>
  <c r="U56" i="4" s="1"/>
  <c r="D22" i="6"/>
  <c r="C22" i="6"/>
  <c r="D23" i="6"/>
  <c r="E22" i="6" l="1"/>
  <c r="F23" i="6" l="1"/>
  <c r="E23" i="6"/>
  <c r="G23" i="6" l="1"/>
  <c r="C27" i="27" l="1"/>
  <c r="E70" i="11"/>
  <c r="E80" i="11" s="1"/>
  <c r="E71" i="11"/>
  <c r="A23" i="13" l="1"/>
  <c r="A22" i="13" l="1"/>
  <c r="A21" i="13"/>
  <c r="E16" i="16" l="1"/>
  <c r="I16" i="16" s="1"/>
  <c r="E185" i="1"/>
  <c r="K16" i="16" l="1"/>
  <c r="L16" i="16" s="1"/>
  <c r="M16" i="16"/>
  <c r="E81" i="11"/>
  <c r="E86" i="11" s="1"/>
  <c r="F27" i="11"/>
  <c r="E85" i="11" l="1"/>
  <c r="E31" i="11" s="1"/>
  <c r="P17" i="16" l="1"/>
  <c r="Q17" i="16" s="1"/>
  <c r="M43" i="16"/>
  <c r="M41" i="16"/>
  <c r="P195" i="27" l="1"/>
  <c r="E212" i="27"/>
  <c r="F212" i="27"/>
  <c r="G212" i="27"/>
  <c r="H212" i="27"/>
  <c r="I212" i="27"/>
  <c r="J212" i="27"/>
  <c r="K212" i="27"/>
  <c r="L212" i="27"/>
  <c r="M212" i="27"/>
  <c r="N212" i="27"/>
  <c r="O212" i="27"/>
  <c r="D212" i="27"/>
  <c r="E208" i="27"/>
  <c r="F208" i="27"/>
  <c r="G208" i="27"/>
  <c r="H208" i="27"/>
  <c r="I208" i="27"/>
  <c r="J208" i="27"/>
  <c r="K208" i="27"/>
  <c r="L208" i="27"/>
  <c r="M208" i="27"/>
  <c r="N208" i="27"/>
  <c r="O208" i="27"/>
  <c r="E209" i="27"/>
  <c r="F209" i="27"/>
  <c r="G209" i="27"/>
  <c r="H209" i="27"/>
  <c r="I209" i="27"/>
  <c r="J209" i="27"/>
  <c r="K209" i="27"/>
  <c r="L209" i="27"/>
  <c r="M209" i="27"/>
  <c r="N209" i="27"/>
  <c r="O209" i="27"/>
  <c r="E210" i="27"/>
  <c r="F210" i="27"/>
  <c r="G210" i="27"/>
  <c r="H210" i="27"/>
  <c r="I210" i="27"/>
  <c r="J210" i="27"/>
  <c r="K210" i="27"/>
  <c r="L210" i="27"/>
  <c r="M210" i="27"/>
  <c r="N210" i="27"/>
  <c r="O210" i="27"/>
  <c r="E211" i="27"/>
  <c r="F211" i="27"/>
  <c r="G211" i="27"/>
  <c r="H211" i="27"/>
  <c r="I211" i="27"/>
  <c r="J211" i="27"/>
  <c r="K211" i="27"/>
  <c r="L211" i="27"/>
  <c r="M211" i="27"/>
  <c r="N211" i="27"/>
  <c r="O211" i="27"/>
  <c r="E213" i="27"/>
  <c r="F213" i="27"/>
  <c r="G213" i="27"/>
  <c r="H213" i="27"/>
  <c r="I213" i="27"/>
  <c r="J213" i="27"/>
  <c r="K213" i="27"/>
  <c r="L213" i="27"/>
  <c r="M213" i="27"/>
  <c r="N213" i="27"/>
  <c r="O213" i="27"/>
  <c r="D210" i="27"/>
  <c r="D209" i="27"/>
  <c r="E203" i="27"/>
  <c r="F203" i="27"/>
  <c r="G203" i="27"/>
  <c r="H203" i="27"/>
  <c r="I203" i="27"/>
  <c r="J203" i="27"/>
  <c r="K203" i="27"/>
  <c r="L203" i="27"/>
  <c r="M203" i="27"/>
  <c r="N203" i="27"/>
  <c r="O203" i="27"/>
  <c r="E194" i="27"/>
  <c r="F194" i="27"/>
  <c r="G194" i="27"/>
  <c r="H194" i="27"/>
  <c r="I194" i="27"/>
  <c r="J194" i="27"/>
  <c r="K194" i="27"/>
  <c r="L194" i="27"/>
  <c r="M194" i="27"/>
  <c r="N194" i="27"/>
  <c r="O194" i="27"/>
  <c r="P187" i="27"/>
  <c r="P188" i="27"/>
  <c r="P189" i="27"/>
  <c r="P191" i="27"/>
  <c r="P192" i="27"/>
  <c r="P193" i="27"/>
  <c r="P196" i="27"/>
  <c r="P197" i="27"/>
  <c r="P198" i="27"/>
  <c r="P200" i="27"/>
  <c r="P201" i="27"/>
  <c r="P202" i="27"/>
  <c r="P153" i="27"/>
  <c r="P154" i="27"/>
  <c r="E155" i="27"/>
  <c r="F155" i="27"/>
  <c r="G155" i="27"/>
  <c r="H155" i="27"/>
  <c r="I155" i="27"/>
  <c r="J155" i="27"/>
  <c r="K155" i="27"/>
  <c r="L155" i="27"/>
  <c r="M155" i="27"/>
  <c r="N155" i="27"/>
  <c r="O155" i="27"/>
  <c r="D155" i="27"/>
  <c r="D172" i="27" s="1"/>
  <c r="P150" i="27"/>
  <c r="E151" i="27"/>
  <c r="F151" i="27"/>
  <c r="G151" i="27"/>
  <c r="H151" i="27"/>
  <c r="I151" i="27"/>
  <c r="J151" i="27"/>
  <c r="K151" i="27"/>
  <c r="L151" i="27"/>
  <c r="M151" i="27"/>
  <c r="N151" i="27"/>
  <c r="O151" i="27"/>
  <c r="D151" i="27"/>
  <c r="P139" i="27"/>
  <c r="P140" i="27"/>
  <c r="P141" i="27"/>
  <c r="P142" i="27"/>
  <c r="P143" i="27"/>
  <c r="P144" i="27"/>
  <c r="P145" i="27"/>
  <c r="P146" i="27"/>
  <c r="P147" i="27"/>
  <c r="P138" i="27"/>
  <c r="E148" i="27"/>
  <c r="F148" i="27"/>
  <c r="G148" i="27"/>
  <c r="H148" i="27"/>
  <c r="I148" i="27"/>
  <c r="J148" i="27"/>
  <c r="K148" i="27"/>
  <c r="L148" i="27"/>
  <c r="M148" i="27"/>
  <c r="N148" i="27"/>
  <c r="O148" i="27"/>
  <c r="O170" i="27" s="1"/>
  <c r="D148" i="27"/>
  <c r="E137" i="27"/>
  <c r="F137" i="27"/>
  <c r="G137" i="27"/>
  <c r="H137" i="27"/>
  <c r="I137" i="27"/>
  <c r="J137" i="27"/>
  <c r="K137" i="27"/>
  <c r="L137" i="27"/>
  <c r="M137" i="27"/>
  <c r="N137" i="27"/>
  <c r="O137" i="27"/>
  <c r="D169" i="27"/>
  <c r="P127" i="27"/>
  <c r="P128" i="27"/>
  <c r="P129" i="27"/>
  <c r="P130" i="27"/>
  <c r="P131" i="27"/>
  <c r="P132" i="27"/>
  <c r="P133" i="27"/>
  <c r="P134" i="27"/>
  <c r="P135" i="27"/>
  <c r="P136" i="27"/>
  <c r="P126" i="27"/>
  <c r="O11" i="27"/>
  <c r="O13" i="27"/>
  <c r="O15" i="27"/>
  <c r="O16" i="27"/>
  <c r="O17" i="27"/>
  <c r="O18" i="27"/>
  <c r="E111" i="27"/>
  <c r="F111" i="27"/>
  <c r="G111" i="27"/>
  <c r="H111" i="27"/>
  <c r="I111" i="27"/>
  <c r="J111" i="27"/>
  <c r="D111" i="27"/>
  <c r="P99" i="27"/>
  <c r="P100" i="27"/>
  <c r="P101" i="27"/>
  <c r="P102" i="27"/>
  <c r="P103" i="27"/>
  <c r="P104" i="27"/>
  <c r="P105" i="27"/>
  <c r="P106" i="27"/>
  <c r="P107" i="27"/>
  <c r="P108" i="27"/>
  <c r="P109" i="27"/>
  <c r="P110" i="27"/>
  <c r="P90" i="27"/>
  <c r="P89" i="27"/>
  <c r="P88" i="27"/>
  <c r="P87" i="27"/>
  <c r="P86" i="27"/>
  <c r="P85" i="27"/>
  <c r="P71" i="27"/>
  <c r="P72" i="27"/>
  <c r="P73" i="27"/>
  <c r="P74" i="27"/>
  <c r="P75" i="27"/>
  <c r="P76" i="27"/>
  <c r="P77" i="27"/>
  <c r="P79" i="27"/>
  <c r="P80" i="27"/>
  <c r="P70" i="27"/>
  <c r="P57" i="27"/>
  <c r="P58" i="27"/>
  <c r="P59" i="27"/>
  <c r="P60" i="27"/>
  <c r="P61" i="27"/>
  <c r="P62" i="27"/>
  <c r="P63" i="27"/>
  <c r="P64" i="27"/>
  <c r="P65" i="27"/>
  <c r="P66" i="27"/>
  <c r="P67" i="27"/>
  <c r="P68" i="27"/>
  <c r="E69" i="27"/>
  <c r="F69" i="27"/>
  <c r="G69" i="27"/>
  <c r="H69" i="27"/>
  <c r="I69" i="27"/>
  <c r="J69" i="27"/>
  <c r="K69" i="27"/>
  <c r="L69" i="27"/>
  <c r="M69" i="27"/>
  <c r="N69" i="27"/>
  <c r="O69" i="27"/>
  <c r="E56" i="27"/>
  <c r="F56" i="27"/>
  <c r="G56" i="27"/>
  <c r="H56" i="27"/>
  <c r="I56" i="27"/>
  <c r="J56" i="27"/>
  <c r="K56" i="27"/>
  <c r="L56" i="27"/>
  <c r="M56" i="27"/>
  <c r="N56" i="27"/>
  <c r="O56" i="27"/>
  <c r="P47" i="27"/>
  <c r="P48" i="27"/>
  <c r="P49" i="27"/>
  <c r="P50" i="27"/>
  <c r="P51" i="27"/>
  <c r="P52" i="27"/>
  <c r="P53" i="27"/>
  <c r="P44" i="27"/>
  <c r="P45" i="27"/>
  <c r="P46" i="27"/>
  <c r="P55" i="27"/>
  <c r="P54" i="27"/>
  <c r="D27" i="27"/>
  <c r="E27" i="27"/>
  <c r="F27" i="27"/>
  <c r="P11" i="27"/>
  <c r="P13" i="27"/>
  <c r="P16" i="27"/>
  <c r="P17" i="27"/>
  <c r="P18" i="27"/>
  <c r="P19" i="27"/>
  <c r="P20" i="27"/>
  <c r="P22" i="27"/>
  <c r="D168" i="27" l="1"/>
  <c r="D163" i="27"/>
  <c r="I204" i="27"/>
  <c r="J163" i="27"/>
  <c r="I163" i="27"/>
  <c r="H163" i="27"/>
  <c r="F163" i="27"/>
  <c r="M163" i="27"/>
  <c r="E163" i="27"/>
  <c r="G163" i="27"/>
  <c r="L163" i="27"/>
  <c r="K163" i="27"/>
  <c r="P213" i="27"/>
  <c r="P194" i="27"/>
  <c r="P204" i="27" s="1"/>
  <c r="J167" i="27"/>
  <c r="P151" i="27"/>
  <c r="M167" i="27"/>
  <c r="F167" i="27"/>
  <c r="P203" i="27"/>
  <c r="P212" i="27"/>
  <c r="P211" i="27"/>
  <c r="K204" i="27"/>
  <c r="M204" i="27"/>
  <c r="E204" i="27"/>
  <c r="L204" i="27"/>
  <c r="N167" i="27"/>
  <c r="I167" i="27"/>
  <c r="P210" i="27"/>
  <c r="K167" i="27"/>
  <c r="N163" i="27"/>
  <c r="P208" i="27"/>
  <c r="L167" i="27"/>
  <c r="P209" i="27"/>
  <c r="O204" i="27"/>
  <c r="G204" i="27"/>
  <c r="P69" i="27"/>
  <c r="H204" i="27"/>
  <c r="G167" i="27"/>
  <c r="N204" i="27"/>
  <c r="F204" i="27"/>
  <c r="H167" i="27"/>
  <c r="O163" i="27"/>
  <c r="O167" i="27"/>
  <c r="J204" i="27"/>
  <c r="P155" i="27"/>
  <c r="P148" i="27"/>
  <c r="P111" i="27"/>
  <c r="P56" i="27"/>
  <c r="P163" i="27" l="1"/>
  <c r="P214" i="27"/>
  <c r="E126" i="1"/>
  <c r="H46" i="16"/>
  <c r="H40" i="16"/>
  <c r="H47" i="16"/>
  <c r="M42" i="16"/>
  <c r="P167" i="27"/>
  <c r="AA42" i="13" l="1"/>
  <c r="AA30" i="13"/>
  <c r="AA19" i="13"/>
  <c r="Z20" i="13"/>
  <c r="Z21" i="13"/>
  <c r="Z26" i="13"/>
  <c r="Z31" i="13"/>
  <c r="Z32" i="13"/>
  <c r="Z33" i="13"/>
  <c r="Z34" i="13"/>
  <c r="Z37" i="13"/>
  <c r="Z43" i="13"/>
  <c r="Z45" i="13" s="1"/>
  <c r="Z44" i="13"/>
  <c r="H51" i="16" l="1"/>
  <c r="M51" i="16" s="1"/>
  <c r="D50" i="25" l="1"/>
  <c r="E50" i="25"/>
  <c r="F50" i="25"/>
  <c r="G50" i="25"/>
  <c r="H50" i="25"/>
  <c r="I50" i="25"/>
  <c r="J50" i="25"/>
  <c r="K50" i="25"/>
  <c r="L50" i="25"/>
  <c r="M50" i="25"/>
  <c r="N50" i="25"/>
  <c r="D51" i="25"/>
  <c r="E51" i="25"/>
  <c r="F51" i="25"/>
  <c r="G51" i="25"/>
  <c r="H51" i="25"/>
  <c r="I51" i="25"/>
  <c r="J51" i="25"/>
  <c r="K51" i="25"/>
  <c r="L51" i="25"/>
  <c r="M51" i="25"/>
  <c r="N51" i="25"/>
  <c r="D52" i="25"/>
  <c r="E52" i="25"/>
  <c r="F52" i="25"/>
  <c r="G52" i="25"/>
  <c r="H52" i="25"/>
  <c r="I52" i="25"/>
  <c r="J52" i="25"/>
  <c r="K52" i="25"/>
  <c r="L52" i="25"/>
  <c r="M52" i="25"/>
  <c r="N52" i="25"/>
  <c r="D53" i="25"/>
  <c r="E53" i="25"/>
  <c r="F53" i="25"/>
  <c r="G53" i="25"/>
  <c r="H53" i="25"/>
  <c r="I53" i="25"/>
  <c r="J53" i="25"/>
  <c r="K53" i="25"/>
  <c r="L53" i="25"/>
  <c r="M53" i="25"/>
  <c r="N53" i="25"/>
  <c r="D54" i="25"/>
  <c r="E54" i="25"/>
  <c r="F54" i="25"/>
  <c r="G54" i="25"/>
  <c r="H54" i="25"/>
  <c r="I54" i="25"/>
  <c r="J54" i="25"/>
  <c r="K54" i="25"/>
  <c r="L54" i="25"/>
  <c r="M54" i="25"/>
  <c r="N54" i="25"/>
  <c r="C51" i="25"/>
  <c r="C52" i="25"/>
  <c r="C53" i="25"/>
  <c r="C54" i="25"/>
  <c r="D7" i="25"/>
  <c r="E7" i="25"/>
  <c r="F5" i="25"/>
  <c r="F7" i="25" s="1"/>
  <c r="G5" i="25"/>
  <c r="G7" i="25" s="1"/>
  <c r="H5" i="25"/>
  <c r="H7" i="25" s="1"/>
  <c r="K5" i="25"/>
  <c r="L5" i="25"/>
  <c r="M5" i="25"/>
  <c r="D6" i="25"/>
  <c r="E6" i="25"/>
  <c r="F6" i="25"/>
  <c r="G6" i="25"/>
  <c r="H6" i="25"/>
  <c r="I6" i="25"/>
  <c r="J6" i="25"/>
  <c r="K6" i="25"/>
  <c r="L6" i="25"/>
  <c r="M6" i="25"/>
  <c r="N6" i="25"/>
  <c r="N7" i="25" s="1"/>
  <c r="C6" i="25"/>
  <c r="F214" i="27"/>
  <c r="F216" i="27" s="1"/>
  <c r="E214" i="27"/>
  <c r="E216" i="27" s="1"/>
  <c r="H214" i="27"/>
  <c r="H216" i="27" s="1"/>
  <c r="D211" i="27"/>
  <c r="D213" i="27"/>
  <c r="E166" i="27"/>
  <c r="D10" i="25" s="1"/>
  <c r="F166" i="27"/>
  <c r="E10" i="25" s="1"/>
  <c r="G166" i="27"/>
  <c r="F10" i="25" s="1"/>
  <c r="H166" i="27"/>
  <c r="G10" i="25" s="1"/>
  <c r="I166" i="27"/>
  <c r="H10" i="25" s="1"/>
  <c r="J166" i="27"/>
  <c r="I10" i="25" s="1"/>
  <c r="K166" i="27"/>
  <c r="J10" i="25" s="1"/>
  <c r="L166" i="27"/>
  <c r="K10" i="25" s="1"/>
  <c r="M166" i="27"/>
  <c r="L10" i="25" s="1"/>
  <c r="N166" i="27"/>
  <c r="M10" i="25" s="1"/>
  <c r="O166" i="27"/>
  <c r="N10" i="25" s="1"/>
  <c r="P166" i="27"/>
  <c r="G8" i="6" s="1"/>
  <c r="D29" i="25"/>
  <c r="E29" i="25"/>
  <c r="F29" i="25"/>
  <c r="G29" i="25"/>
  <c r="H29" i="25"/>
  <c r="I29" i="25"/>
  <c r="J29" i="25"/>
  <c r="K29" i="25"/>
  <c r="L29" i="25"/>
  <c r="M29" i="25"/>
  <c r="N29" i="25"/>
  <c r="E168" i="27"/>
  <c r="F168" i="27"/>
  <c r="G168" i="27"/>
  <c r="H168" i="27"/>
  <c r="I168" i="27"/>
  <c r="J168" i="27"/>
  <c r="K168" i="27"/>
  <c r="L168" i="27"/>
  <c r="M168" i="27"/>
  <c r="N168" i="27"/>
  <c r="O168" i="27"/>
  <c r="P168" i="27"/>
  <c r="G32" i="6" s="1"/>
  <c r="G34" i="6" s="1"/>
  <c r="G35" i="6" s="1"/>
  <c r="E169" i="27"/>
  <c r="D86" i="4" s="1"/>
  <c r="D89" i="4" s="1"/>
  <c r="F169" i="27"/>
  <c r="E86" i="4" s="1"/>
  <c r="E89" i="4" s="1"/>
  <c r="G169" i="27"/>
  <c r="F86" i="4" s="1"/>
  <c r="F89" i="4" s="1"/>
  <c r="H169" i="27"/>
  <c r="G86" i="4" s="1"/>
  <c r="G89" i="4" s="1"/>
  <c r="I169" i="27"/>
  <c r="H86" i="4" s="1"/>
  <c r="H89" i="4" s="1"/>
  <c r="J169" i="27"/>
  <c r="I86" i="4" s="1"/>
  <c r="I89" i="4" s="1"/>
  <c r="K169" i="27"/>
  <c r="J86" i="4" s="1"/>
  <c r="J89" i="4" s="1"/>
  <c r="L169" i="27"/>
  <c r="K86" i="4" s="1"/>
  <c r="K89" i="4" s="1"/>
  <c r="M169" i="27"/>
  <c r="L86" i="4" s="1"/>
  <c r="L89" i="4" s="1"/>
  <c r="N169" i="27"/>
  <c r="M86" i="4" s="1"/>
  <c r="M89" i="4" s="1"/>
  <c r="O169" i="27"/>
  <c r="N86" i="4" s="1"/>
  <c r="N89" i="4" s="1"/>
  <c r="P169" i="27"/>
  <c r="E170" i="27"/>
  <c r="D46" i="4" s="1"/>
  <c r="D55" i="4" s="1"/>
  <c r="F170" i="27"/>
  <c r="E46" i="4" s="1"/>
  <c r="G170" i="27"/>
  <c r="F46" i="4" s="1"/>
  <c r="F55" i="4" s="1"/>
  <c r="H170" i="27"/>
  <c r="G46" i="4" s="1"/>
  <c r="G55" i="4" s="1"/>
  <c r="I170" i="27"/>
  <c r="H46" i="4" s="1"/>
  <c r="H55" i="4" s="1"/>
  <c r="J170" i="27"/>
  <c r="I46" i="4" s="1"/>
  <c r="I55" i="4" s="1"/>
  <c r="K170" i="27"/>
  <c r="J46" i="4" s="1"/>
  <c r="J55" i="4" s="1"/>
  <c r="L170" i="27"/>
  <c r="K46" i="4" s="1"/>
  <c r="K55" i="4" s="1"/>
  <c r="M170" i="27"/>
  <c r="L46" i="4" s="1"/>
  <c r="L55" i="4" s="1"/>
  <c r="N170" i="27"/>
  <c r="M46" i="4" s="1"/>
  <c r="M55" i="4" s="1"/>
  <c r="N46" i="4"/>
  <c r="N55" i="4" s="1"/>
  <c r="P170" i="27"/>
  <c r="E171" i="27"/>
  <c r="D112" i="4" s="1"/>
  <c r="F171" i="27"/>
  <c r="E112" i="4" s="1"/>
  <c r="G171" i="27"/>
  <c r="F112" i="4" s="1"/>
  <c r="H171" i="27"/>
  <c r="G112" i="4" s="1"/>
  <c r="I171" i="27"/>
  <c r="H112" i="4" s="1"/>
  <c r="J171" i="27"/>
  <c r="I112" i="4" s="1"/>
  <c r="K171" i="27"/>
  <c r="J112" i="4" s="1"/>
  <c r="L171" i="27"/>
  <c r="K112" i="4" s="1"/>
  <c r="M171" i="27"/>
  <c r="L112" i="4" s="1"/>
  <c r="N171" i="27"/>
  <c r="M112" i="4" s="1"/>
  <c r="O171" i="27"/>
  <c r="N112" i="4" s="1"/>
  <c r="P171" i="27"/>
  <c r="E172" i="27"/>
  <c r="D100" i="4" s="1"/>
  <c r="F172" i="27"/>
  <c r="E100" i="4" s="1"/>
  <c r="G172" i="27"/>
  <c r="F100" i="4" s="1"/>
  <c r="H172" i="27"/>
  <c r="G100" i="4" s="1"/>
  <c r="I172" i="27"/>
  <c r="H100" i="4" s="1"/>
  <c r="J172" i="27"/>
  <c r="I100" i="4" s="1"/>
  <c r="K172" i="27"/>
  <c r="J100" i="4" s="1"/>
  <c r="L172" i="27"/>
  <c r="K100" i="4" s="1"/>
  <c r="M172" i="27"/>
  <c r="L100" i="4" s="1"/>
  <c r="N172" i="27"/>
  <c r="M100" i="4" s="1"/>
  <c r="O172" i="27"/>
  <c r="N100" i="4" s="1"/>
  <c r="P172" i="27"/>
  <c r="D171" i="27"/>
  <c r="C10" i="25"/>
  <c r="D26" i="27"/>
  <c r="D8" i="25" s="1"/>
  <c r="E26" i="27"/>
  <c r="E8" i="25" s="1"/>
  <c r="F26" i="27"/>
  <c r="F8" i="25" s="1"/>
  <c r="G8" i="25"/>
  <c r="H8" i="25"/>
  <c r="I8" i="25"/>
  <c r="J8" i="25"/>
  <c r="K8" i="25"/>
  <c r="L8" i="25"/>
  <c r="M8" i="25"/>
  <c r="D29" i="27"/>
  <c r="E29" i="27"/>
  <c r="F29" i="27"/>
  <c r="G29" i="27"/>
  <c r="H29" i="27"/>
  <c r="I29" i="27"/>
  <c r="J29" i="27"/>
  <c r="K29" i="27"/>
  <c r="L29" i="27"/>
  <c r="M29" i="27"/>
  <c r="N29" i="27"/>
  <c r="D30" i="27"/>
  <c r="E30" i="27"/>
  <c r="F30" i="27"/>
  <c r="G30" i="27"/>
  <c r="H30" i="27"/>
  <c r="I30" i="27"/>
  <c r="J30" i="27"/>
  <c r="K30" i="27"/>
  <c r="L30" i="27"/>
  <c r="M30" i="27"/>
  <c r="N30" i="27"/>
  <c r="D31" i="27"/>
  <c r="E31" i="27"/>
  <c r="F31" i="27"/>
  <c r="G31" i="27"/>
  <c r="H31" i="27"/>
  <c r="I31" i="27"/>
  <c r="J31" i="27"/>
  <c r="K31" i="27"/>
  <c r="L31" i="27"/>
  <c r="M31" i="27"/>
  <c r="N31" i="27"/>
  <c r="D32" i="27"/>
  <c r="E32" i="27"/>
  <c r="F32" i="27"/>
  <c r="G32" i="27"/>
  <c r="H32" i="27"/>
  <c r="I32" i="27"/>
  <c r="J32" i="27"/>
  <c r="K32" i="27"/>
  <c r="L32" i="27"/>
  <c r="M32" i="27"/>
  <c r="N32" i="27"/>
  <c r="C32" i="27"/>
  <c r="C31" i="27"/>
  <c r="C30" i="27"/>
  <c r="C29" i="27"/>
  <c r="C26" i="27"/>
  <c r="E55" i="4" l="1"/>
  <c r="E56" i="4" s="1"/>
  <c r="O46" i="4"/>
  <c r="O55" i="4" s="1"/>
  <c r="O29" i="25"/>
  <c r="M7" i="25"/>
  <c r="L7" i="25"/>
  <c r="K7" i="25"/>
  <c r="C7" i="25"/>
  <c r="J7" i="25"/>
  <c r="I7" i="25"/>
  <c r="D214" i="27"/>
  <c r="D216" i="27" s="1"/>
  <c r="G173" i="27"/>
  <c r="G175" i="27" s="1"/>
  <c r="E173" i="27"/>
  <c r="E175" i="27" s="1"/>
  <c r="H173" i="27"/>
  <c r="H175" i="27" s="1"/>
  <c r="F173" i="27"/>
  <c r="F175" i="27" s="1"/>
  <c r="M173" i="27"/>
  <c r="M175" i="27" s="1"/>
  <c r="O173" i="27"/>
  <c r="O175" i="27" s="1"/>
  <c r="N173" i="27"/>
  <c r="N175" i="27" s="1"/>
  <c r="I173" i="27"/>
  <c r="I175" i="27" s="1"/>
  <c r="O28" i="27"/>
  <c r="H29" i="6" s="1"/>
  <c r="O29" i="27"/>
  <c r="L173" i="27"/>
  <c r="L175" i="27" s="1"/>
  <c r="K173" i="27"/>
  <c r="K175" i="27" s="1"/>
  <c r="C8" i="25"/>
  <c r="J173" i="27"/>
  <c r="J175" i="27" s="1"/>
  <c r="O32" i="27"/>
  <c r="E174" i="1"/>
  <c r="L214" i="27"/>
  <c r="L216" i="27" s="1"/>
  <c r="P216" i="27"/>
  <c r="N214" i="27"/>
  <c r="N216" i="27" s="1"/>
  <c r="M214" i="27"/>
  <c r="M216" i="27" s="1"/>
  <c r="J214" i="27"/>
  <c r="J216" i="27" s="1"/>
  <c r="I214" i="27"/>
  <c r="I216" i="27" s="1"/>
  <c r="O214" i="27"/>
  <c r="O216" i="27" s="1"/>
  <c r="K214" i="27"/>
  <c r="K216" i="27" s="1"/>
  <c r="G214" i="27"/>
  <c r="G216" i="27" s="1"/>
  <c r="K56" i="25"/>
  <c r="G56" i="25"/>
  <c r="C56" i="25"/>
  <c r="P173" i="27"/>
  <c r="B65" i="6" s="1"/>
  <c r="P31" i="27"/>
  <c r="N56" i="25"/>
  <c r="J56" i="25"/>
  <c r="F56" i="25"/>
  <c r="M56" i="25"/>
  <c r="I56" i="25"/>
  <c r="E56" i="25"/>
  <c r="D126" i="1"/>
  <c r="L56" i="25"/>
  <c r="H56" i="25"/>
  <c r="D56" i="25"/>
  <c r="B7" i="6"/>
  <c r="P28" i="27"/>
  <c r="P32" i="27"/>
  <c r="P30" i="27"/>
  <c r="K33" i="27"/>
  <c r="K35" i="27" s="1"/>
  <c r="C33" i="27"/>
  <c r="C35" i="27" s="1"/>
  <c r="J33" i="27"/>
  <c r="J35" i="27" s="1"/>
  <c r="F33" i="27"/>
  <c r="F35" i="27" s="1"/>
  <c r="M33" i="27"/>
  <c r="M35" i="27" s="1"/>
  <c r="I33" i="27"/>
  <c r="I35" i="27" s="1"/>
  <c r="E33" i="27"/>
  <c r="E35" i="27" s="1"/>
  <c r="L33" i="27"/>
  <c r="L35" i="27" s="1"/>
  <c r="H33" i="27"/>
  <c r="H35" i="27" s="1"/>
  <c r="D33" i="27"/>
  <c r="D35" i="27" s="1"/>
  <c r="D173" i="27"/>
  <c r="D175" i="27" s="1"/>
  <c r="H31" i="6" l="1"/>
  <c r="B24" i="6"/>
  <c r="B25" i="6" s="1"/>
  <c r="P175" i="27"/>
  <c r="P18" i="16" l="1"/>
  <c r="Q18" i="16" s="1"/>
  <c r="H24" i="6"/>
  <c r="P16" i="16" l="1"/>
  <c r="Q16" i="16" s="1"/>
  <c r="Y44" i="13" l="1"/>
  <c r="X44" i="13"/>
  <c r="Y43" i="13"/>
  <c r="Y45" i="13" s="1"/>
  <c r="X43" i="13"/>
  <c r="Y31" i="13"/>
  <c r="Y34" i="13"/>
  <c r="Y33" i="13"/>
  <c r="X34" i="13"/>
  <c r="X33" i="13"/>
  <c r="Y37" i="13"/>
  <c r="X37" i="13"/>
  <c r="Y32" i="13"/>
  <c r="X32" i="13"/>
  <c r="AA32" i="13" s="1"/>
  <c r="X31" i="13"/>
  <c r="Y26" i="13"/>
  <c r="Y21" i="13"/>
  <c r="Y20" i="13"/>
  <c r="X26" i="13"/>
  <c r="X21" i="13"/>
  <c r="X20" i="13"/>
  <c r="W21" i="13"/>
  <c r="W20" i="13"/>
  <c r="W19" i="13"/>
  <c r="AA34" i="13" l="1"/>
  <c r="AA33" i="13"/>
  <c r="AA21" i="13"/>
  <c r="AA37" i="13"/>
  <c r="AA44" i="13"/>
  <c r="X45" i="13"/>
  <c r="AA45" i="13" s="1"/>
  <c r="AA43" i="13"/>
  <c r="AA31" i="13"/>
  <c r="AA26" i="13"/>
  <c r="AA20" i="13"/>
  <c r="B97" i="1" l="1"/>
  <c r="M46" i="16"/>
  <c r="G58" i="4"/>
  <c r="H58" i="4"/>
  <c r="I58" i="4"/>
  <c r="J58" i="4"/>
  <c r="K58" i="4"/>
  <c r="L58" i="4"/>
  <c r="M58" i="4"/>
  <c r="E58" i="4"/>
  <c r="D58" i="4"/>
  <c r="F58" i="4"/>
  <c r="Q66" i="4" l="1"/>
  <c r="R66" i="4" s="1"/>
  <c r="S66" i="4" l="1"/>
  <c r="M71" i="4"/>
  <c r="N71" i="4"/>
  <c r="L71" i="4"/>
  <c r="T66" i="4" l="1"/>
  <c r="X63" i="4"/>
  <c r="AP63" i="4"/>
  <c r="AJ63" i="4"/>
  <c r="AD63" i="4"/>
  <c r="O51" i="25"/>
  <c r="O52" i="25"/>
  <c r="N55" i="25"/>
  <c r="M55" i="25"/>
  <c r="L55" i="25"/>
  <c r="K55" i="25"/>
  <c r="J55" i="25"/>
  <c r="I55" i="25"/>
  <c r="H55" i="25"/>
  <c r="G55" i="25"/>
  <c r="E55" i="25"/>
  <c r="D55" i="25"/>
  <c r="C55" i="25"/>
  <c r="O54" i="25"/>
  <c r="O53" i="25"/>
  <c r="Y63" i="4" l="1"/>
  <c r="K69" i="4"/>
  <c r="C69" i="4"/>
  <c r="N69" i="4"/>
  <c r="F69" i="4"/>
  <c r="L69" i="4"/>
  <c r="H69" i="4"/>
  <c r="D69" i="4"/>
  <c r="G69" i="4"/>
  <c r="J69" i="4"/>
  <c r="M69" i="4"/>
  <c r="I69" i="4"/>
  <c r="E69" i="4"/>
  <c r="L57" i="25"/>
  <c r="D57" i="25"/>
  <c r="D61" i="25" s="1"/>
  <c r="D68" i="25" s="1"/>
  <c r="U66" i="4"/>
  <c r="Z63" i="4"/>
  <c r="AQ63" i="4"/>
  <c r="AK63" i="4"/>
  <c r="AE63" i="4"/>
  <c r="I57" i="25"/>
  <c r="M57" i="25"/>
  <c r="J57" i="25"/>
  <c r="G57" i="25"/>
  <c r="K57" i="25"/>
  <c r="N57" i="25"/>
  <c r="H57" i="25"/>
  <c r="E57" i="25"/>
  <c r="O56" i="25"/>
  <c r="C57" i="25"/>
  <c r="C59" i="25" s="1"/>
  <c r="O50" i="25"/>
  <c r="O55" i="25" s="1"/>
  <c r="F55" i="25"/>
  <c r="F57" i="25" s="1"/>
  <c r="D59" i="25" l="1"/>
  <c r="D63" i="25"/>
  <c r="D60" i="25"/>
  <c r="D67" i="25" s="1"/>
  <c r="D62" i="25"/>
  <c r="AF63" i="4"/>
  <c r="AR63" i="4"/>
  <c r="AA63" i="4"/>
  <c r="AB63" i="4"/>
  <c r="AL63" i="4"/>
  <c r="AM63" i="4"/>
  <c r="F62" i="25"/>
  <c r="F61" i="25"/>
  <c r="F68" i="25" s="1"/>
  <c r="F63" i="25"/>
  <c r="F59" i="25"/>
  <c r="F60" i="25"/>
  <c r="F67" i="25" s="1"/>
  <c r="E63" i="25"/>
  <c r="E59" i="25"/>
  <c r="E60" i="25"/>
  <c r="E67" i="25" s="1"/>
  <c r="E61" i="25"/>
  <c r="E68" i="25" s="1"/>
  <c r="E62" i="25"/>
  <c r="K60" i="25"/>
  <c r="K67" i="25" s="1"/>
  <c r="K61" i="25"/>
  <c r="K68" i="25" s="1"/>
  <c r="K63" i="25"/>
  <c r="K59" i="25"/>
  <c r="K62" i="25"/>
  <c r="N62" i="25"/>
  <c r="N60" i="25"/>
  <c r="N67" i="25" s="1"/>
  <c r="N61" i="25"/>
  <c r="N68" i="25" s="1"/>
  <c r="N63" i="25"/>
  <c r="N59" i="25"/>
  <c r="H61" i="25"/>
  <c r="H68" i="25" s="1"/>
  <c r="H59" i="25"/>
  <c r="H62" i="25"/>
  <c r="H60" i="25"/>
  <c r="H67" i="25" s="1"/>
  <c r="H63" i="25"/>
  <c r="J62" i="25"/>
  <c r="J63" i="25"/>
  <c r="J59" i="25"/>
  <c r="J60" i="25"/>
  <c r="J67" i="25" s="1"/>
  <c r="J61" i="25"/>
  <c r="J68" i="25" s="1"/>
  <c r="I63" i="25"/>
  <c r="I59" i="25"/>
  <c r="I60" i="25"/>
  <c r="I67" i="25" s="1"/>
  <c r="I61" i="25"/>
  <c r="I68" i="25" s="1"/>
  <c r="I62" i="25"/>
  <c r="L61" i="25"/>
  <c r="L68" i="25" s="1"/>
  <c r="L60" i="25"/>
  <c r="L67" i="25" s="1"/>
  <c r="L63" i="25"/>
  <c r="L59" i="25"/>
  <c r="L62" i="25"/>
  <c r="G60" i="25"/>
  <c r="G67" i="25" s="1"/>
  <c r="G62" i="25"/>
  <c r="G61" i="25"/>
  <c r="G68" i="25" s="1"/>
  <c r="G63" i="25"/>
  <c r="G59" i="25"/>
  <c r="M63" i="25"/>
  <c r="M59" i="25"/>
  <c r="M62" i="25"/>
  <c r="M61" i="25"/>
  <c r="M68" i="25" s="1"/>
  <c r="M60" i="25"/>
  <c r="M67" i="25" s="1"/>
  <c r="C60" i="25"/>
  <c r="C63" i="25"/>
  <c r="C62" i="25"/>
  <c r="C61" i="25"/>
  <c r="C66" i="25"/>
  <c r="O57" i="25"/>
  <c r="P57" i="25" s="1"/>
  <c r="AG63" i="4" l="1"/>
  <c r="AT63" i="4"/>
  <c r="AS63" i="4"/>
  <c r="AN63" i="4"/>
  <c r="AH63" i="4"/>
  <c r="O61" i="25"/>
  <c r="C68" i="25"/>
  <c r="O68" i="25" s="1"/>
  <c r="C67" i="25"/>
  <c r="O67" i="25" s="1"/>
  <c r="O60" i="25"/>
  <c r="N94" i="11"/>
  <c r="M11" i="11" l="1"/>
  <c r="M12" i="11" s="1"/>
  <c r="M47" i="16" l="1"/>
  <c r="C9" i="25" l="1"/>
  <c r="L95" i="11" l="1"/>
  <c r="N95" i="11" l="1"/>
  <c r="F15" i="13" l="1"/>
  <c r="D16" i="13" l="1"/>
  <c r="O24" i="25"/>
  <c r="D11" i="25" l="1"/>
  <c r="D13" i="25" s="1"/>
  <c r="D9" i="25"/>
  <c r="E9" i="25"/>
  <c r="F9" i="25"/>
  <c r="G9" i="25"/>
  <c r="H9" i="25"/>
  <c r="I9" i="25"/>
  <c r="J9" i="25"/>
  <c r="K9" i="25"/>
  <c r="L9" i="25"/>
  <c r="M9" i="25"/>
  <c r="O10" i="25"/>
  <c r="O25" i="25"/>
  <c r="O23" i="25"/>
  <c r="N11" i="25"/>
  <c r="N13" i="25" s="1"/>
  <c r="M11" i="25"/>
  <c r="L11" i="25"/>
  <c r="L13" i="25" s="1"/>
  <c r="K11" i="25"/>
  <c r="K13" i="25" s="1"/>
  <c r="J11" i="25"/>
  <c r="I11" i="25"/>
  <c r="I14" i="25" s="1"/>
  <c r="H11" i="25"/>
  <c r="G11" i="25"/>
  <c r="G14" i="25" s="1"/>
  <c r="F11" i="25"/>
  <c r="F13" i="25" s="1"/>
  <c r="E11" i="25"/>
  <c r="E14" i="25" s="1"/>
  <c r="C11" i="25"/>
  <c r="O6" i="25"/>
  <c r="O5" i="25"/>
  <c r="O7" i="25" s="1"/>
  <c r="Q77" i="4"/>
  <c r="O28" i="25" l="1"/>
  <c r="C13" i="25"/>
  <c r="C17" i="25" s="1"/>
  <c r="C19" i="25" s="1"/>
  <c r="M13" i="25"/>
  <c r="M14" i="25"/>
  <c r="F14" i="25"/>
  <c r="H13" i="25"/>
  <c r="N14" i="25"/>
  <c r="H14" i="25"/>
  <c r="J13" i="25"/>
  <c r="J14" i="25"/>
  <c r="L14" i="25"/>
  <c r="D14" i="25"/>
  <c r="K14" i="25"/>
  <c r="I13" i="25"/>
  <c r="G13" i="25"/>
  <c r="E13" i="25"/>
  <c r="C14" i="25"/>
  <c r="C18" i="25" s="1"/>
  <c r="F30" i="25"/>
  <c r="N30" i="25"/>
  <c r="G30" i="25"/>
  <c r="K30" i="25"/>
  <c r="J30" i="25"/>
  <c r="E30" i="25"/>
  <c r="I30" i="25"/>
  <c r="M30" i="25"/>
  <c r="D30" i="25"/>
  <c r="D32" i="25" s="1"/>
  <c r="H30" i="25"/>
  <c r="L30" i="25"/>
  <c r="C30" i="25"/>
  <c r="O30" i="25" s="1"/>
  <c r="O11" i="25"/>
  <c r="P11" i="25" s="1"/>
  <c r="R77" i="4"/>
  <c r="C35" i="25" l="1"/>
  <c r="C36" i="25"/>
  <c r="I35" i="25"/>
  <c r="I42" i="25" s="1"/>
  <c r="I36" i="25"/>
  <c r="I43" i="25" s="1"/>
  <c r="J35" i="25"/>
  <c r="J42" i="25" s="1"/>
  <c r="J36" i="25"/>
  <c r="J43" i="25" s="1"/>
  <c r="L35" i="25"/>
  <c r="L42" i="25" s="1"/>
  <c r="L36" i="25"/>
  <c r="L43" i="25" s="1"/>
  <c r="K35" i="25"/>
  <c r="K42" i="25" s="1"/>
  <c r="K36" i="25"/>
  <c r="K43" i="25" s="1"/>
  <c r="H36" i="25"/>
  <c r="H43" i="25" s="1"/>
  <c r="H35" i="25"/>
  <c r="H42" i="25" s="1"/>
  <c r="D35" i="25"/>
  <c r="D42" i="25" s="1"/>
  <c r="D36" i="25"/>
  <c r="D43" i="25" s="1"/>
  <c r="M35" i="25"/>
  <c r="M42" i="25" s="1"/>
  <c r="M36" i="25"/>
  <c r="M43" i="25" s="1"/>
  <c r="E36" i="25"/>
  <c r="E43" i="25" s="1"/>
  <c r="E35" i="25"/>
  <c r="E42" i="25" s="1"/>
  <c r="G36" i="25"/>
  <c r="G35" i="25"/>
  <c r="G42" i="25" s="1"/>
  <c r="N36" i="25"/>
  <c r="N43" i="25" s="1"/>
  <c r="N35" i="25"/>
  <c r="N42" i="25" s="1"/>
  <c r="F36" i="25"/>
  <c r="F43" i="25" s="1"/>
  <c r="F35" i="25"/>
  <c r="F42" i="25" s="1"/>
  <c r="C70" i="25"/>
  <c r="M34" i="25"/>
  <c r="M41" i="25" s="1"/>
  <c r="M70" i="25"/>
  <c r="M69" i="25"/>
  <c r="K34" i="25"/>
  <c r="K41" i="25" s="1"/>
  <c r="K70" i="25"/>
  <c r="K69" i="25"/>
  <c r="N33" i="25"/>
  <c r="N40" i="25" s="1"/>
  <c r="N69" i="25"/>
  <c r="N70" i="25"/>
  <c r="D33" i="25"/>
  <c r="D40" i="25" s="1"/>
  <c r="D70" i="25"/>
  <c r="D69" i="25"/>
  <c r="J33" i="25"/>
  <c r="J40" i="25" s="1"/>
  <c r="J70" i="25"/>
  <c r="J69" i="25"/>
  <c r="H33" i="25"/>
  <c r="H40" i="25" s="1"/>
  <c r="H69" i="25"/>
  <c r="H70" i="25"/>
  <c r="E33" i="25"/>
  <c r="E40" i="25" s="1"/>
  <c r="E70" i="25"/>
  <c r="E69" i="25"/>
  <c r="L33" i="25"/>
  <c r="L40" i="25" s="1"/>
  <c r="L69" i="25"/>
  <c r="L70" i="25"/>
  <c r="I32" i="25"/>
  <c r="I70" i="25"/>
  <c r="I69" i="25"/>
  <c r="G32" i="25"/>
  <c r="G39" i="25" s="1"/>
  <c r="G70" i="25"/>
  <c r="G69" i="25"/>
  <c r="F32" i="25"/>
  <c r="F69" i="25"/>
  <c r="I34" i="25"/>
  <c r="I41" i="25" s="1"/>
  <c r="N34" i="25"/>
  <c r="N41" i="25" s="1"/>
  <c r="N32" i="25"/>
  <c r="M33" i="25"/>
  <c r="M40" i="25" s="1"/>
  <c r="M32" i="25"/>
  <c r="L34" i="25"/>
  <c r="L41" i="25" s="1"/>
  <c r="L32" i="25"/>
  <c r="K32" i="25"/>
  <c r="K33" i="25"/>
  <c r="K40" i="25" s="1"/>
  <c r="J32" i="25"/>
  <c r="J34" i="25"/>
  <c r="J41" i="25" s="1"/>
  <c r="I33" i="25"/>
  <c r="I40" i="25" s="1"/>
  <c r="H34" i="25"/>
  <c r="H41" i="25" s="1"/>
  <c r="H32" i="25"/>
  <c r="G34" i="25"/>
  <c r="G41" i="25" s="1"/>
  <c r="G33" i="25"/>
  <c r="G40" i="25" s="1"/>
  <c r="F33" i="25"/>
  <c r="F40" i="25" s="1"/>
  <c r="F34" i="25"/>
  <c r="F41" i="25" s="1"/>
  <c r="E34" i="25"/>
  <c r="E41" i="25" s="1"/>
  <c r="E32" i="25"/>
  <c r="D34" i="25"/>
  <c r="D41" i="25" s="1"/>
  <c r="C32" i="25"/>
  <c r="C34" i="25"/>
  <c r="C41" i="25" s="1"/>
  <c r="C33" i="25"/>
  <c r="P30" i="25"/>
  <c r="S77" i="4"/>
  <c r="T77" i="4" s="1"/>
  <c r="M39" i="25" l="1"/>
  <c r="M44" i="25" s="1"/>
  <c r="M37" i="25"/>
  <c r="C39" i="25"/>
  <c r="C37" i="25"/>
  <c r="N39" i="25"/>
  <c r="N44" i="25" s="1"/>
  <c r="N37" i="25"/>
  <c r="L39" i="25"/>
  <c r="L44" i="25" s="1"/>
  <c r="L37" i="25"/>
  <c r="E39" i="25"/>
  <c r="E44" i="25" s="1"/>
  <c r="E37" i="25"/>
  <c r="G37" i="25"/>
  <c r="G43" i="25"/>
  <c r="G44" i="25" s="1"/>
  <c r="F39" i="25"/>
  <c r="F44" i="25" s="1"/>
  <c r="F37" i="25"/>
  <c r="O36" i="25"/>
  <c r="C43" i="25"/>
  <c r="D39" i="25"/>
  <c r="D37" i="25"/>
  <c r="H39" i="25"/>
  <c r="H44" i="25" s="1"/>
  <c r="H37" i="25"/>
  <c r="J39" i="25"/>
  <c r="J44" i="25" s="1"/>
  <c r="J37" i="25"/>
  <c r="I39" i="25"/>
  <c r="I44" i="25" s="1"/>
  <c r="I37" i="25"/>
  <c r="K39" i="25"/>
  <c r="K44" i="25" s="1"/>
  <c r="K37" i="25"/>
  <c r="C42" i="25"/>
  <c r="O42" i="25" s="1"/>
  <c r="E12" i="6" s="1"/>
  <c r="E13" i="6" s="1"/>
  <c r="O35" i="25"/>
  <c r="F64" i="25"/>
  <c r="F66" i="25"/>
  <c r="L64" i="25"/>
  <c r="L66" i="25"/>
  <c r="L71" i="25" s="1"/>
  <c r="L72" i="25" s="1"/>
  <c r="J66" i="25"/>
  <c r="J71" i="25" s="1"/>
  <c r="J72" i="25" s="1"/>
  <c r="J64" i="25"/>
  <c r="N66" i="25"/>
  <c r="N71" i="25" s="1"/>
  <c r="N72" i="25" s="1"/>
  <c r="N64" i="25"/>
  <c r="C64" i="25"/>
  <c r="O59" i="25"/>
  <c r="I64" i="25"/>
  <c r="I66" i="25"/>
  <c r="I71" i="25" s="1"/>
  <c r="I72" i="25" s="1"/>
  <c r="E66" i="25"/>
  <c r="E71" i="25" s="1"/>
  <c r="E72" i="25" s="1"/>
  <c r="E64" i="25"/>
  <c r="H66" i="25"/>
  <c r="H71" i="25" s="1"/>
  <c r="H72" i="25" s="1"/>
  <c r="H64" i="25"/>
  <c r="D64" i="25"/>
  <c r="D66" i="25"/>
  <c r="D71" i="25" s="1"/>
  <c r="D72" i="25" s="1"/>
  <c r="M64" i="25"/>
  <c r="M66" i="25"/>
  <c r="M71" i="25" s="1"/>
  <c r="M72" i="25" s="1"/>
  <c r="O63" i="25"/>
  <c r="F70" i="25"/>
  <c r="O70" i="25" s="1"/>
  <c r="G64" i="25"/>
  <c r="G66" i="25"/>
  <c r="G71" i="25" s="1"/>
  <c r="G72" i="25" s="1"/>
  <c r="K64" i="25"/>
  <c r="K66" i="25"/>
  <c r="K71" i="25" s="1"/>
  <c r="K72" i="25" s="1"/>
  <c r="C69" i="25"/>
  <c r="O69" i="25" s="1"/>
  <c r="O62" i="25"/>
  <c r="C40" i="25"/>
  <c r="O40" i="25" s="1"/>
  <c r="C12" i="6" s="1"/>
  <c r="C13" i="6" s="1"/>
  <c r="O33" i="25"/>
  <c r="D68" i="11"/>
  <c r="D78" i="11" s="1"/>
  <c r="D83" i="11" s="1"/>
  <c r="C44" i="25" l="1"/>
  <c r="C45" i="25" s="1"/>
  <c r="D44" i="25"/>
  <c r="D45" i="25" s="1"/>
  <c r="O43" i="25"/>
  <c r="F12" i="6" s="1"/>
  <c r="F13" i="6" s="1"/>
  <c r="F71" i="25"/>
  <c r="F72" i="25" s="1"/>
  <c r="C71" i="25"/>
  <c r="C72" i="25" s="1"/>
  <c r="O66" i="25"/>
  <c r="G24" i="6" s="1"/>
  <c r="O64" i="25"/>
  <c r="O71" i="25" l="1"/>
  <c r="O72" i="25" s="1"/>
  <c r="O5" i="4" l="1"/>
  <c r="W5" i="4" s="1"/>
  <c r="O40" i="4"/>
  <c r="Q40" i="4"/>
  <c r="Q44" i="4" s="1"/>
  <c r="O87" i="4"/>
  <c r="I63" i="4"/>
  <c r="J63" i="4"/>
  <c r="K63" i="4"/>
  <c r="L63" i="4"/>
  <c r="M63" i="4"/>
  <c r="N63" i="4"/>
  <c r="G63" i="4"/>
  <c r="H63" i="4"/>
  <c r="C63" i="4"/>
  <c r="R61" i="4"/>
  <c r="O61" i="4"/>
  <c r="B67" i="6" l="1"/>
  <c r="R5" i="4"/>
  <c r="R40" i="4"/>
  <c r="S61" i="4"/>
  <c r="S5" i="4" l="1"/>
  <c r="T5" i="4" s="1"/>
  <c r="U5" i="4" s="1"/>
  <c r="S40" i="4"/>
  <c r="T40" i="4" s="1"/>
  <c r="T61" i="4"/>
  <c r="U61" i="4" s="1"/>
  <c r="Y5" i="4" l="1"/>
  <c r="U40" i="4"/>
  <c r="I9" i="11" l="1"/>
  <c r="N89" i="11" l="1"/>
  <c r="L89" i="11"/>
  <c r="I44" i="4" l="1"/>
  <c r="I56" i="4" s="1"/>
  <c r="O67" i="4" l="1"/>
  <c r="O62" i="4" l="1"/>
  <c r="Q62" i="4"/>
  <c r="O65" i="4" l="1"/>
  <c r="R62" i="4"/>
  <c r="S62" i="4" s="1"/>
  <c r="T62" i="4" l="1"/>
  <c r="U62" i="4" s="1"/>
  <c r="O66" i="4" l="1"/>
  <c r="H35" i="16" a="1"/>
  <c r="E110" i="4" l="1"/>
  <c r="D44" i="4" l="1"/>
  <c r="F44" i="4"/>
  <c r="F56" i="4" s="1"/>
  <c r="G44" i="4"/>
  <c r="G56" i="4" s="1"/>
  <c r="H44" i="4"/>
  <c r="J44" i="4"/>
  <c r="J56" i="4" s="1"/>
  <c r="K44" i="4"/>
  <c r="K56" i="4" s="1"/>
  <c r="L44" i="4"/>
  <c r="L56" i="4" s="1"/>
  <c r="M44" i="4"/>
  <c r="M56" i="4" s="1"/>
  <c r="N44" i="4"/>
  <c r="N56" i="4" s="1"/>
  <c r="D56" i="4" l="1"/>
  <c r="O44" i="4"/>
  <c r="H25" i="6" l="1"/>
  <c r="N11" i="11"/>
  <c r="F70" i="11" l="1"/>
  <c r="F85" i="11" s="1"/>
  <c r="O115" i="4" l="1"/>
  <c r="O112" i="4"/>
  <c r="N110" i="4"/>
  <c r="N116" i="4" s="1"/>
  <c r="I110" i="4"/>
  <c r="I113" i="4" s="1"/>
  <c r="H110" i="4"/>
  <c r="H116" i="4" s="1"/>
  <c r="G110" i="4"/>
  <c r="G116" i="4" s="1"/>
  <c r="F110" i="4"/>
  <c r="F116" i="4" s="1"/>
  <c r="E116" i="4"/>
  <c r="D110" i="4"/>
  <c r="D116" i="4" s="1"/>
  <c r="M110" i="4"/>
  <c r="M116" i="4" s="1"/>
  <c r="L110" i="4"/>
  <c r="L116" i="4" s="1"/>
  <c r="K110" i="4"/>
  <c r="K116" i="4" s="1"/>
  <c r="J110" i="4"/>
  <c r="J116" i="4" s="1"/>
  <c r="O107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O100" i="4"/>
  <c r="N98" i="4"/>
  <c r="N103" i="4" s="1"/>
  <c r="M98" i="4"/>
  <c r="M103" i="4" s="1"/>
  <c r="L98" i="4"/>
  <c r="L103" i="4" s="1"/>
  <c r="K98" i="4"/>
  <c r="K103" i="4" s="1"/>
  <c r="J98" i="4"/>
  <c r="J103" i="4" s="1"/>
  <c r="I98" i="4"/>
  <c r="I103" i="4" s="1"/>
  <c r="H98" i="4"/>
  <c r="H103" i="4" s="1"/>
  <c r="G98" i="4"/>
  <c r="G103" i="4" s="1"/>
  <c r="F98" i="4"/>
  <c r="F103" i="4" s="1"/>
  <c r="E98" i="4"/>
  <c r="E103" i="4" s="1"/>
  <c r="D98" i="4"/>
  <c r="D103" i="4" s="1"/>
  <c r="O96" i="4"/>
  <c r="O95" i="4"/>
  <c r="B51" i="6" s="1"/>
  <c r="O93" i="4"/>
  <c r="B48" i="6" s="1"/>
  <c r="B52" i="6" s="1"/>
  <c r="N92" i="4"/>
  <c r="M92" i="4"/>
  <c r="L92" i="4"/>
  <c r="K92" i="4"/>
  <c r="J92" i="4"/>
  <c r="I92" i="4"/>
  <c r="H92" i="4"/>
  <c r="G92" i="4"/>
  <c r="F92" i="4"/>
  <c r="E92" i="4"/>
  <c r="D92" i="4"/>
  <c r="C92" i="4"/>
  <c r="Q76" i="4"/>
  <c r="Q79" i="4" s="1"/>
  <c r="N73" i="4"/>
  <c r="M73" i="4"/>
  <c r="L73" i="4"/>
  <c r="K73" i="4"/>
  <c r="J73" i="4"/>
  <c r="I73" i="4"/>
  <c r="H73" i="4"/>
  <c r="G73" i="4"/>
  <c r="F73" i="4"/>
  <c r="E73" i="4"/>
  <c r="D73" i="4"/>
  <c r="C73" i="4"/>
  <c r="F63" i="4"/>
  <c r="E63" i="4"/>
  <c r="D63" i="4"/>
  <c r="N60" i="4"/>
  <c r="M60" i="4"/>
  <c r="L60" i="4"/>
  <c r="K60" i="4"/>
  <c r="J60" i="4"/>
  <c r="I60" i="4"/>
  <c r="H60" i="4"/>
  <c r="G60" i="4"/>
  <c r="F60" i="4"/>
  <c r="E60" i="4"/>
  <c r="D60" i="4"/>
  <c r="C60" i="4"/>
  <c r="U58" i="4"/>
  <c r="T58" i="4"/>
  <c r="S58" i="4"/>
  <c r="R58" i="4"/>
  <c r="C113" i="4" l="1"/>
  <c r="Y67" i="4"/>
  <c r="O63" i="4"/>
  <c r="O68" i="4"/>
  <c r="O69" i="4" s="1"/>
  <c r="O98" i="4"/>
  <c r="I116" i="4"/>
  <c r="Q63" i="4"/>
  <c r="H113" i="4"/>
  <c r="G113" i="4" s="1"/>
  <c r="F113" i="4" s="1"/>
  <c r="E113" i="4" s="1"/>
  <c r="D113" i="4" s="1"/>
  <c r="B38" i="6"/>
  <c r="O108" i="4"/>
  <c r="O70" i="4" l="1"/>
  <c r="O116" i="4"/>
  <c r="O110" i="4"/>
  <c r="O113" i="4" s="1"/>
  <c r="N113" i="4" s="1"/>
  <c r="M113" i="4" s="1"/>
  <c r="L113" i="4" s="1"/>
  <c r="K113" i="4" s="1"/>
  <c r="J113" i="4" s="1"/>
  <c r="R63" i="4"/>
  <c r="C17" i="6" l="1"/>
  <c r="C25" i="6"/>
  <c r="S63" i="4"/>
  <c r="E9" i="1" l="1"/>
  <c r="E32" i="1"/>
  <c r="U2" i="4"/>
  <c r="T2" i="4"/>
  <c r="S2" i="4"/>
  <c r="R2" i="4"/>
  <c r="B54" i="6" l="1"/>
  <c r="L51" i="6" s="1"/>
  <c r="C52" i="6"/>
  <c r="I10" i="1"/>
  <c r="I25" i="1" l="1"/>
  <c r="I106" i="1" s="1"/>
  <c r="D55" i="13" l="1"/>
  <c r="A55" i="13"/>
  <c r="D54" i="13"/>
  <c r="A54" i="13"/>
  <c r="D53" i="13"/>
  <c r="A53" i="13"/>
  <c r="D52" i="13"/>
  <c r="A52" i="13"/>
  <c r="D51" i="13"/>
  <c r="A51" i="13"/>
  <c r="D49" i="13"/>
  <c r="D45" i="13"/>
  <c r="A45" i="13"/>
  <c r="D44" i="13"/>
  <c r="A44" i="13"/>
  <c r="D43" i="13"/>
  <c r="A43" i="13"/>
  <c r="D42" i="13"/>
  <c r="A42" i="13"/>
  <c r="D37" i="13"/>
  <c r="D36" i="13"/>
  <c r="Y85" i="4" l="1"/>
  <c r="D34" i="13"/>
  <c r="A34" i="13"/>
  <c r="D33" i="13"/>
  <c r="A33" i="13"/>
  <c r="D32" i="13"/>
  <c r="A32" i="13"/>
  <c r="D31" i="13"/>
  <c r="A31" i="13"/>
  <c r="D30" i="13"/>
  <c r="A30" i="13"/>
  <c r="D26" i="13"/>
  <c r="D25" i="13"/>
  <c r="D21" i="13"/>
  <c r="D20" i="13"/>
  <c r="O91" i="11" s="1"/>
  <c r="A20" i="13"/>
  <c r="D19" i="13"/>
  <c r="A19" i="13"/>
  <c r="D15" i="13"/>
  <c r="D13" i="13"/>
  <c r="T16" i="13" l="1"/>
  <c r="R16" i="13"/>
  <c r="R19" i="13"/>
  <c r="R30" i="13"/>
  <c r="P113" i="11" l="1"/>
  <c r="O113" i="11"/>
  <c r="N113" i="11"/>
  <c r="M113" i="11"/>
  <c r="K113" i="11"/>
  <c r="I113" i="11"/>
  <c r="P112" i="11"/>
  <c r="O112" i="11"/>
  <c r="N112" i="11"/>
  <c r="M112" i="11"/>
  <c r="K112" i="11"/>
  <c r="I112" i="11"/>
  <c r="P111" i="11"/>
  <c r="O111" i="11"/>
  <c r="N111" i="11"/>
  <c r="M111" i="11"/>
  <c r="K111" i="11"/>
  <c r="I111" i="11"/>
  <c r="P110" i="11"/>
  <c r="O110" i="11"/>
  <c r="N110" i="11"/>
  <c r="M110" i="11"/>
  <c r="K110" i="11"/>
  <c r="I110" i="11"/>
  <c r="P109" i="11"/>
  <c r="O109" i="11"/>
  <c r="N109" i="11"/>
  <c r="M109" i="11"/>
  <c r="K109" i="11"/>
  <c r="I109" i="11"/>
  <c r="K108" i="11"/>
  <c r="I108" i="11"/>
  <c r="F106" i="11"/>
  <c r="C106" i="11"/>
  <c r="C108" i="11" l="1"/>
  <c r="C109" i="11"/>
  <c r="C113" i="11"/>
  <c r="C114" i="11"/>
  <c r="C110" i="11"/>
  <c r="C111" i="11"/>
  <c r="C112" i="11"/>
  <c r="C115" i="11"/>
  <c r="C116" i="11"/>
  <c r="C117" i="11"/>
  <c r="C118" i="11"/>
  <c r="C119" i="11"/>
  <c r="C120" i="11"/>
  <c r="C121" i="11"/>
  <c r="C122" i="11"/>
  <c r="K74" i="11" l="1"/>
  <c r="H71" i="11"/>
  <c r="H81" i="11" s="1"/>
  <c r="H86" i="11" s="1"/>
  <c r="G71" i="11"/>
  <c r="F71" i="11"/>
  <c r="D71" i="11"/>
  <c r="H70" i="11"/>
  <c r="G70" i="11"/>
  <c r="G80" i="11" s="1"/>
  <c r="D70" i="11"/>
  <c r="D80" i="11" s="1"/>
  <c r="H69" i="11"/>
  <c r="G69" i="11"/>
  <c r="G79" i="11" s="1"/>
  <c r="F69" i="11"/>
  <c r="F84" i="11" s="1"/>
  <c r="E69" i="11"/>
  <c r="E79" i="11" s="1"/>
  <c r="E84" i="11" s="1"/>
  <c r="D69" i="11"/>
  <c r="D79" i="11" s="1"/>
  <c r="H68" i="11"/>
  <c r="G68" i="11"/>
  <c r="F68" i="11"/>
  <c r="E68" i="11"/>
  <c r="E78" i="11" s="1"/>
  <c r="E83" i="11" s="1"/>
  <c r="G67" i="11"/>
  <c r="F67" i="11"/>
  <c r="F77" i="11" s="1"/>
  <c r="D67" i="11"/>
  <c r="J63" i="11"/>
  <c r="I63" i="11"/>
  <c r="H62" i="11"/>
  <c r="H64" i="11" s="1"/>
  <c r="G62" i="11"/>
  <c r="G64" i="11" s="1"/>
  <c r="F62" i="11"/>
  <c r="E62" i="11"/>
  <c r="D62" i="11"/>
  <c r="V42" i="11"/>
  <c r="U42" i="11"/>
  <c r="T42" i="11"/>
  <c r="S42" i="11"/>
  <c r="P42" i="11"/>
  <c r="O42" i="11"/>
  <c r="N42" i="11"/>
  <c r="M42" i="11"/>
  <c r="L42" i="11"/>
  <c r="V41" i="11"/>
  <c r="U41" i="11"/>
  <c r="T41" i="11"/>
  <c r="S41" i="11"/>
  <c r="P41" i="11"/>
  <c r="O41" i="11"/>
  <c r="N41" i="11"/>
  <c r="M41" i="11"/>
  <c r="L41" i="11"/>
  <c r="V40" i="11"/>
  <c r="U40" i="11"/>
  <c r="T40" i="11"/>
  <c r="S40" i="11"/>
  <c r="P40" i="11"/>
  <c r="O40" i="11"/>
  <c r="N40" i="11"/>
  <c r="M40" i="11"/>
  <c r="L40" i="11"/>
  <c r="V39" i="11"/>
  <c r="U39" i="11"/>
  <c r="T39" i="11"/>
  <c r="S39" i="11"/>
  <c r="P39" i="11"/>
  <c r="O39" i="11"/>
  <c r="N39" i="11"/>
  <c r="M39" i="11"/>
  <c r="L39" i="11"/>
  <c r="P38" i="11"/>
  <c r="O38" i="11"/>
  <c r="N38" i="11"/>
  <c r="M38" i="11"/>
  <c r="L38" i="11"/>
  <c r="H34" i="11"/>
  <c r="G34" i="11"/>
  <c r="D32" i="11"/>
  <c r="J113" i="11" s="1"/>
  <c r="D31" i="11"/>
  <c r="J112" i="11" s="1"/>
  <c r="D30" i="11"/>
  <c r="J111" i="11" s="1"/>
  <c r="H27" i="11"/>
  <c r="G27" i="11"/>
  <c r="D27" i="11"/>
  <c r="D37" i="11" s="1"/>
  <c r="H26" i="11"/>
  <c r="K49" i="13" s="1"/>
  <c r="G26" i="11"/>
  <c r="F26" i="11"/>
  <c r="F36" i="11" s="1"/>
  <c r="E26" i="11"/>
  <c r="H24" i="11"/>
  <c r="G24" i="11"/>
  <c r="P20" i="11"/>
  <c r="O20" i="11"/>
  <c r="N20" i="11"/>
  <c r="M20" i="11"/>
  <c r="L20" i="11"/>
  <c r="P19" i="11"/>
  <c r="O19" i="11"/>
  <c r="N19" i="11"/>
  <c r="M19" i="11"/>
  <c r="L19" i="11"/>
  <c r="F54" i="13"/>
  <c r="P18" i="11"/>
  <c r="O18" i="11"/>
  <c r="N18" i="11"/>
  <c r="M18" i="11"/>
  <c r="L18" i="11"/>
  <c r="P17" i="11"/>
  <c r="O17" i="11"/>
  <c r="N17" i="11"/>
  <c r="M17" i="11"/>
  <c r="L17" i="11"/>
  <c r="F52" i="13"/>
  <c r="F43" i="13"/>
  <c r="F16" i="13"/>
  <c r="P16" i="11"/>
  <c r="O16" i="11"/>
  <c r="N16" i="11"/>
  <c r="M16" i="11"/>
  <c r="M21" i="11" s="1"/>
  <c r="L16" i="11"/>
  <c r="F49" i="13"/>
  <c r="E49" i="13" s="1"/>
  <c r="F13" i="13"/>
  <c r="E13" i="13" s="1"/>
  <c r="N12" i="11"/>
  <c r="H12" i="11"/>
  <c r="G12" i="11"/>
  <c r="Z35" i="4" l="1"/>
  <c r="AA35" i="4" s="1"/>
  <c r="Z26" i="4"/>
  <c r="AA26" i="4" s="1"/>
  <c r="Z18" i="4"/>
  <c r="AA18" i="4" s="1"/>
  <c r="Z19" i="4"/>
  <c r="AA19" i="4" s="1"/>
  <c r="Z25" i="4"/>
  <c r="AA25" i="4" s="1"/>
  <c r="Z23" i="4"/>
  <c r="AA23" i="4" s="1"/>
  <c r="Z33" i="4"/>
  <c r="AA33" i="4" s="1"/>
  <c r="Z21" i="4"/>
  <c r="AA21" i="4" s="1"/>
  <c r="Z9" i="4"/>
  <c r="AA9" i="4" s="1"/>
  <c r="Z13" i="4"/>
  <c r="AA13" i="4" s="1"/>
  <c r="Z39" i="4"/>
  <c r="AA39" i="4" s="1"/>
  <c r="Z10" i="4"/>
  <c r="AA10" i="4" s="1"/>
  <c r="Z34" i="4"/>
  <c r="AA34" i="4" s="1"/>
  <c r="Z7" i="4"/>
  <c r="AA7" i="4" s="1"/>
  <c r="Z15" i="4"/>
  <c r="AA15" i="4" s="1"/>
  <c r="Z29" i="4"/>
  <c r="AA29" i="4" s="1"/>
  <c r="Z30" i="4"/>
  <c r="AA30" i="4" s="1"/>
  <c r="Z28" i="4"/>
  <c r="AA28" i="4" s="1"/>
  <c r="Z14" i="4"/>
  <c r="AA14" i="4" s="1"/>
  <c r="Z36" i="4"/>
  <c r="AA36" i="4" s="1"/>
  <c r="Z37" i="4"/>
  <c r="AA37" i="4" s="1"/>
  <c r="Z6" i="4"/>
  <c r="AA6" i="4" s="1"/>
  <c r="Z22" i="4"/>
  <c r="AA22" i="4" s="1"/>
  <c r="Z17" i="4"/>
  <c r="AA17" i="4" s="1"/>
  <c r="Z12" i="4"/>
  <c r="AA12" i="4" s="1"/>
  <c r="Z38" i="4"/>
  <c r="AA38" i="4" s="1"/>
  <c r="Z16" i="4"/>
  <c r="AA16" i="4" s="1"/>
  <c r="Z31" i="4"/>
  <c r="AA31" i="4" s="1"/>
  <c r="Z32" i="4"/>
  <c r="AA32" i="4" s="1"/>
  <c r="Z24" i="4"/>
  <c r="AA24" i="4" s="1"/>
  <c r="Z11" i="4"/>
  <c r="AA11" i="4" s="1"/>
  <c r="Z27" i="4"/>
  <c r="AA27" i="4" s="1"/>
  <c r="Z20" i="4"/>
  <c r="AA20" i="4" s="1"/>
  <c r="Z8" i="4"/>
  <c r="AA8" i="4" s="1"/>
  <c r="Z52" i="4"/>
  <c r="AA52" i="4" s="1"/>
  <c r="D77" i="11"/>
  <c r="D82" i="11" s="1"/>
  <c r="D28" i="11" s="1"/>
  <c r="F83" i="11"/>
  <c r="J83" i="11" s="1"/>
  <c r="E29" i="11"/>
  <c r="E54" i="13"/>
  <c r="E52" i="13"/>
  <c r="E43" i="13"/>
  <c r="J84" i="11"/>
  <c r="F82" i="11"/>
  <c r="H78" i="11"/>
  <c r="H83" i="11" s="1"/>
  <c r="K83" i="11" s="1"/>
  <c r="D64" i="11"/>
  <c r="E15" i="13"/>
  <c r="E16" i="13" s="1"/>
  <c r="F86" i="11"/>
  <c r="D36" i="11"/>
  <c r="F34" i="13"/>
  <c r="F55" i="13"/>
  <c r="F44" i="13"/>
  <c r="F53" i="13"/>
  <c r="H79" i="11"/>
  <c r="H84" i="11" s="1"/>
  <c r="F42" i="13"/>
  <c r="F51" i="13"/>
  <c r="H77" i="11"/>
  <c r="H82" i="11" s="1"/>
  <c r="F33" i="13"/>
  <c r="F45" i="13"/>
  <c r="G78" i="11"/>
  <c r="G77" i="11"/>
  <c r="G82" i="11" s="1"/>
  <c r="F21" i="13"/>
  <c r="F32" i="13"/>
  <c r="F20" i="13"/>
  <c r="F31" i="13"/>
  <c r="F26" i="13"/>
  <c r="F37" i="13"/>
  <c r="N21" i="11"/>
  <c r="F36" i="13"/>
  <c r="F25" i="13"/>
  <c r="H36" i="11"/>
  <c r="G36" i="11" s="1"/>
  <c r="L49" i="13"/>
  <c r="E36" i="11"/>
  <c r="K13" i="13"/>
  <c r="J108" i="11"/>
  <c r="J190" i="1"/>
  <c r="I190" i="1"/>
  <c r="H190" i="1"/>
  <c r="G190" i="1"/>
  <c r="D185" i="1"/>
  <c r="L90" i="11" l="1"/>
  <c r="E26" i="13"/>
  <c r="E30" i="11"/>
  <c r="J82" i="11"/>
  <c r="P94" i="11"/>
  <c r="P95" i="11" s="1"/>
  <c r="P96" i="11" s="1"/>
  <c r="P90" i="11"/>
  <c r="O90" i="11"/>
  <c r="M94" i="11"/>
  <c r="E51" i="13"/>
  <c r="E31" i="13"/>
  <c r="E33" i="13"/>
  <c r="E34" i="13"/>
  <c r="E32" i="13"/>
  <c r="E44" i="13"/>
  <c r="E21" i="13"/>
  <c r="E45" i="13"/>
  <c r="E42" i="13"/>
  <c r="E55" i="13"/>
  <c r="E37" i="13"/>
  <c r="E20" i="13"/>
  <c r="E53" i="13"/>
  <c r="E36" i="13"/>
  <c r="G84" i="11"/>
  <c r="G30" i="11" s="1"/>
  <c r="G83" i="11"/>
  <c r="G29" i="11" s="1"/>
  <c r="L82" i="11"/>
  <c r="J86" i="11"/>
  <c r="C185" i="1"/>
  <c r="G89" i="11"/>
  <c r="H89" i="11"/>
  <c r="K20" i="13"/>
  <c r="J49" i="13"/>
  <c r="G49" i="13" s="1"/>
  <c r="F28" i="11"/>
  <c r="F30" i="13"/>
  <c r="N30" i="13" s="1"/>
  <c r="N22" i="11"/>
  <c r="E25" i="13"/>
  <c r="F19" i="13"/>
  <c r="M22" i="11"/>
  <c r="H29" i="11"/>
  <c r="H28" i="11"/>
  <c r="K82" i="11"/>
  <c r="H30" i="11"/>
  <c r="K84" i="11"/>
  <c r="G81" i="11"/>
  <c r="G86" i="11" s="1"/>
  <c r="G28" i="11"/>
  <c r="E32" i="11"/>
  <c r="L110" i="11"/>
  <c r="D81" i="11"/>
  <c r="H80" i="11" s="1"/>
  <c r="J13" i="13"/>
  <c r="G13" i="13" s="1"/>
  <c r="L13" i="13"/>
  <c r="K23" i="13" l="1"/>
  <c r="O94" i="11"/>
  <c r="O95" i="11" s="1"/>
  <c r="M95" i="11"/>
  <c r="M96" i="11" s="1"/>
  <c r="E30" i="13"/>
  <c r="AB31" i="13"/>
  <c r="N90" i="11"/>
  <c r="I29" i="11"/>
  <c r="I30" i="11"/>
  <c r="L20" i="13"/>
  <c r="G20" i="13"/>
  <c r="K43" i="13"/>
  <c r="K44" i="13"/>
  <c r="G44" i="13" s="1"/>
  <c r="K53" i="13"/>
  <c r="K52" i="13"/>
  <c r="K56" i="13" s="1"/>
  <c r="K51" i="13"/>
  <c r="K21" i="13"/>
  <c r="L111" i="11"/>
  <c r="K42" i="13"/>
  <c r="AB32" i="13"/>
  <c r="L37" i="13"/>
  <c r="E19" i="13"/>
  <c r="H32" i="11"/>
  <c r="K86" i="11"/>
  <c r="H37" i="11"/>
  <c r="G37" i="11" s="1"/>
  <c r="G32" i="11"/>
  <c r="G85" i="11"/>
  <c r="H85" i="11"/>
  <c r="F178" i="1"/>
  <c r="E178" i="1"/>
  <c r="E182" i="1" s="1"/>
  <c r="D178" i="1"/>
  <c r="X85" i="4" l="1"/>
  <c r="I20" i="13"/>
  <c r="J20" i="13" s="1"/>
  <c r="N20" i="13" s="1"/>
  <c r="I44" i="13"/>
  <c r="L23" i="13"/>
  <c r="G23" i="13"/>
  <c r="K22" i="13"/>
  <c r="M44" i="13"/>
  <c r="M20" i="13"/>
  <c r="L51" i="13"/>
  <c r="K26" i="13"/>
  <c r="J109" i="11"/>
  <c r="K15" i="13"/>
  <c r="G52" i="13"/>
  <c r="L53" i="13"/>
  <c r="G53" i="13"/>
  <c r="G51" i="13"/>
  <c r="L109" i="11"/>
  <c r="L113" i="11"/>
  <c r="L42" i="13"/>
  <c r="G42" i="13"/>
  <c r="L43" i="13"/>
  <c r="G43" i="13"/>
  <c r="L44" i="13"/>
  <c r="L21" i="13"/>
  <c r="G21" i="13"/>
  <c r="D29" i="11"/>
  <c r="L31" i="13"/>
  <c r="L32" i="13"/>
  <c r="L91" i="11"/>
  <c r="J67" i="11"/>
  <c r="L52" i="13"/>
  <c r="G31" i="11"/>
  <c r="K55" i="13"/>
  <c r="AB34" i="13"/>
  <c r="C178" i="1"/>
  <c r="H31" i="11"/>
  <c r="K85" i="11"/>
  <c r="J85" i="11"/>
  <c r="F182" i="1"/>
  <c r="D174" i="1"/>
  <c r="D182" i="1" s="1"/>
  <c r="J44" i="13" l="1"/>
  <c r="N44" i="13" s="1"/>
  <c r="I52" i="13"/>
  <c r="J52" i="13" s="1"/>
  <c r="N52" i="13" s="1"/>
  <c r="I42" i="13"/>
  <c r="J42" i="13" s="1"/>
  <c r="I23" i="13"/>
  <c r="J23" i="13" s="1"/>
  <c r="N23" i="13" s="1"/>
  <c r="I21" i="13"/>
  <c r="J21" i="13"/>
  <c r="N21" i="13" s="1"/>
  <c r="I51" i="13"/>
  <c r="J51" i="13" s="1"/>
  <c r="N51" i="13" s="1"/>
  <c r="L46" i="13"/>
  <c r="I43" i="13"/>
  <c r="J43" i="13"/>
  <c r="N43" i="13" s="1"/>
  <c r="I53" i="13"/>
  <c r="J53" i="13" s="1"/>
  <c r="AB44" i="13"/>
  <c r="AB20" i="13"/>
  <c r="S53" i="13"/>
  <c r="S51" i="13"/>
  <c r="S52" i="13"/>
  <c r="G22" i="13"/>
  <c r="L22" i="13"/>
  <c r="M23" i="13"/>
  <c r="G26" i="13"/>
  <c r="M26" i="13" s="1"/>
  <c r="N91" i="11"/>
  <c r="N92" i="11" s="1"/>
  <c r="L92" i="11"/>
  <c r="M52" i="13"/>
  <c r="M32" i="13"/>
  <c r="N32" i="13"/>
  <c r="M51" i="13"/>
  <c r="M37" i="13"/>
  <c r="M31" i="13"/>
  <c r="N31" i="13"/>
  <c r="M42" i="13"/>
  <c r="L56" i="13"/>
  <c r="M43" i="13"/>
  <c r="M21" i="13"/>
  <c r="M53" i="13"/>
  <c r="M35" i="11"/>
  <c r="L38" i="13"/>
  <c r="N35" i="11"/>
  <c r="K16" i="13"/>
  <c r="U16" i="13" s="1"/>
  <c r="I32" i="11"/>
  <c r="AB33" i="13"/>
  <c r="L55" i="13"/>
  <c r="G55" i="13"/>
  <c r="I31" i="11"/>
  <c r="L112" i="11"/>
  <c r="L34" i="13"/>
  <c r="J110" i="11"/>
  <c r="D121" i="11" s="1"/>
  <c r="E121" i="11" s="1"/>
  <c r="F121" i="11" s="1"/>
  <c r="K45" i="13"/>
  <c r="K54" i="13"/>
  <c r="C174" i="1"/>
  <c r="C182" i="1" s="1"/>
  <c r="Z85" i="4" l="1"/>
  <c r="AA85" i="4" s="1"/>
  <c r="N42" i="13"/>
  <c r="AB42" i="13"/>
  <c r="I22" i="13"/>
  <c r="J22" i="13" s="1"/>
  <c r="N22" i="13" s="1"/>
  <c r="N53" i="13"/>
  <c r="I55" i="13"/>
  <c r="J55" i="13" s="1"/>
  <c r="S55" i="13"/>
  <c r="M22" i="13"/>
  <c r="AB43" i="13"/>
  <c r="AB21" i="13"/>
  <c r="N37" i="13"/>
  <c r="AB37" i="13"/>
  <c r="M34" i="13"/>
  <c r="N34" i="13"/>
  <c r="M55" i="13"/>
  <c r="S16" i="13"/>
  <c r="L54" i="13"/>
  <c r="G54" i="13"/>
  <c r="D122" i="11"/>
  <c r="E122" i="11" s="1"/>
  <c r="F122" i="11" s="1"/>
  <c r="D118" i="11"/>
  <c r="E118" i="11" s="1"/>
  <c r="F118" i="11" s="1"/>
  <c r="D113" i="11"/>
  <c r="E113" i="11" s="1"/>
  <c r="F113" i="11" s="1"/>
  <c r="D115" i="11"/>
  <c r="E115" i="11" s="1"/>
  <c r="F115" i="11" s="1"/>
  <c r="D117" i="11"/>
  <c r="E117" i="11" s="1"/>
  <c r="F117" i="11" s="1"/>
  <c r="D116" i="11"/>
  <c r="E116" i="11" s="1"/>
  <c r="F116" i="11" s="1"/>
  <c r="D120" i="11"/>
  <c r="E120" i="11" s="1"/>
  <c r="F120" i="11" s="1"/>
  <c r="D119" i="11"/>
  <c r="E119" i="11" s="1"/>
  <c r="F119" i="11" s="1"/>
  <c r="L45" i="13"/>
  <c r="G45" i="13"/>
  <c r="G16" i="13"/>
  <c r="L16" i="13"/>
  <c r="L33" i="13"/>
  <c r="J156" i="1"/>
  <c r="I156" i="1"/>
  <c r="N55" i="13" l="1"/>
  <c r="I54" i="13"/>
  <c r="J54" i="13" s="1"/>
  <c r="N54" i="13" s="1"/>
  <c r="I45" i="13"/>
  <c r="I16" i="13"/>
  <c r="S54" i="13"/>
  <c r="M45" i="13"/>
  <c r="M16" i="13"/>
  <c r="M33" i="13"/>
  <c r="N33" i="13"/>
  <c r="M54" i="13"/>
  <c r="AA5" i="4"/>
  <c r="J142" i="1"/>
  <c r="I142" i="1"/>
  <c r="H142" i="1"/>
  <c r="H101" i="11" s="1"/>
  <c r="G142" i="1"/>
  <c r="G101" i="11" s="1"/>
  <c r="J45" i="13" l="1"/>
  <c r="N45" i="13" s="1"/>
  <c r="J16" i="13"/>
  <c r="N16" i="13" s="1"/>
  <c r="AB45" i="13"/>
  <c r="F134" i="1" l="1"/>
  <c r="E134" i="1"/>
  <c r="E21" i="1" s="1"/>
  <c r="D134" i="1"/>
  <c r="D21" i="1" s="1"/>
  <c r="C130" i="1"/>
  <c r="C126" i="1" l="1"/>
  <c r="C134" i="1" s="1"/>
  <c r="J119" i="1" l="1"/>
  <c r="I119" i="1"/>
  <c r="J112" i="1" l="1"/>
  <c r="J111" i="1" l="1"/>
  <c r="J110" i="1"/>
  <c r="J109" i="1"/>
  <c r="J107" i="1"/>
  <c r="I107" i="1"/>
  <c r="M53" i="1"/>
  <c r="D49" i="1"/>
  <c r="F48" i="1"/>
  <c r="E48" i="1"/>
  <c r="J41" i="1" l="1"/>
  <c r="J168" i="1" s="1"/>
  <c r="I41" i="1"/>
  <c r="I168" i="1" s="1"/>
  <c r="H41" i="1"/>
  <c r="G41" i="1"/>
  <c r="G55" i="11" s="1"/>
  <c r="J38" i="1"/>
  <c r="I38" i="1"/>
  <c r="H38" i="1"/>
  <c r="G38" i="1"/>
  <c r="F38" i="1"/>
  <c r="E38" i="1"/>
  <c r="D38" i="1"/>
  <c r="C38" i="1" l="1"/>
  <c r="H55" i="11"/>
  <c r="J35" i="1"/>
  <c r="J161" i="1" s="1"/>
  <c r="G35" i="1"/>
  <c r="G54" i="11" s="1"/>
  <c r="D35" i="1"/>
  <c r="D54" i="11" s="1"/>
  <c r="J34" i="1"/>
  <c r="J160" i="1" s="1"/>
  <c r="D34" i="1"/>
  <c r="J33" i="1"/>
  <c r="J159" i="1" s="1"/>
  <c r="D33" i="1"/>
  <c r="D52" i="11" s="1"/>
  <c r="J32" i="1"/>
  <c r="J158" i="1" s="1"/>
  <c r="D53" i="11" l="1"/>
  <c r="J25" i="1"/>
  <c r="J106" i="1" s="1"/>
  <c r="H25" i="1"/>
  <c r="G25" i="1"/>
  <c r="J48" i="1" l="1"/>
  <c r="J21" i="1"/>
  <c r="J44" i="1" s="1"/>
  <c r="I21" i="1"/>
  <c r="I44" i="1" s="1"/>
  <c r="H21" i="1"/>
  <c r="H44" i="1" s="1"/>
  <c r="H56" i="11" s="1"/>
  <c r="G21" i="1"/>
  <c r="F21" i="1" l="1"/>
  <c r="G44" i="1"/>
  <c r="G56" i="11" s="1"/>
  <c r="I48" i="1"/>
  <c r="J155" i="1"/>
  <c r="I12" i="1"/>
  <c r="O10" i="1"/>
  <c r="O9" i="1"/>
  <c r="Q6" i="1" s="1"/>
  <c r="F56" i="11" l="1"/>
  <c r="E44" i="1"/>
  <c r="E56" i="11" s="1"/>
  <c r="D44" i="1"/>
  <c r="C21" i="1"/>
  <c r="I9" i="1"/>
  <c r="B170" i="1"/>
  <c r="B191" i="1" s="1"/>
  <c r="B154" i="1"/>
  <c r="B121" i="1"/>
  <c r="B143" i="1" s="1"/>
  <c r="B105" i="1"/>
  <c r="I112" i="1"/>
  <c r="I35" i="1"/>
  <c r="I161" i="1" s="1"/>
  <c r="M54" i="1"/>
  <c r="J8" i="1"/>
  <c r="J108" i="1" s="1"/>
  <c r="O20" i="13"/>
  <c r="H48" i="1"/>
  <c r="O49" i="13" s="1"/>
  <c r="I155" i="1"/>
  <c r="I110" i="1" l="1"/>
  <c r="I33" i="1"/>
  <c r="I159" i="1" s="1"/>
  <c r="D56" i="11"/>
  <c r="C56" i="11" s="1"/>
  <c r="C44" i="1"/>
  <c r="I11" i="1"/>
  <c r="E51" i="11"/>
  <c r="M55" i="1"/>
  <c r="M56" i="1"/>
  <c r="O31" i="13"/>
  <c r="I109" i="1"/>
  <c r="I32" i="1"/>
  <c r="I158" i="1" s="1"/>
  <c r="G48" i="1"/>
  <c r="H58" i="11"/>
  <c r="I8" i="1"/>
  <c r="J31" i="1"/>
  <c r="J14" i="1"/>
  <c r="F56" i="1"/>
  <c r="G63" i="1"/>
  <c r="G81" i="1"/>
  <c r="F60" i="1"/>
  <c r="G161" i="1" l="1"/>
  <c r="G112" i="1"/>
  <c r="F109" i="1"/>
  <c r="F106" i="1"/>
  <c r="G58" i="11"/>
  <c r="G65" i="11" s="1"/>
  <c r="I111" i="1"/>
  <c r="I34" i="1"/>
  <c r="I160" i="1" s="1"/>
  <c r="J157" i="1"/>
  <c r="J37" i="1"/>
  <c r="I108" i="1"/>
  <c r="I31" i="1"/>
  <c r="I14" i="1"/>
  <c r="I17" i="1" s="1"/>
  <c r="O37" i="13"/>
  <c r="F51" i="11"/>
  <c r="H81" i="1"/>
  <c r="G74" i="1"/>
  <c r="E77" i="1"/>
  <c r="D80" i="1"/>
  <c r="D60" i="1"/>
  <c r="E81" i="1"/>
  <c r="G59" i="1"/>
  <c r="H78" i="1"/>
  <c r="H79" i="1"/>
  <c r="D56" i="1"/>
  <c r="F62" i="1"/>
  <c r="G57" i="1"/>
  <c r="G62" i="1"/>
  <c r="H74" i="1"/>
  <c r="G56" i="1"/>
  <c r="F80" i="1"/>
  <c r="E80" i="1"/>
  <c r="D81" i="1"/>
  <c r="D79" i="1"/>
  <c r="F74" i="1"/>
  <c r="G61" i="1"/>
  <c r="G77" i="1"/>
  <c r="H61" i="1"/>
  <c r="D62" i="1"/>
  <c r="E79" i="1"/>
  <c r="F78" i="1"/>
  <c r="F57" i="1"/>
  <c r="F79" i="1"/>
  <c r="E63" i="1"/>
  <c r="H77" i="1"/>
  <c r="G79" i="1"/>
  <c r="G80" i="1"/>
  <c r="D59" i="1"/>
  <c r="H56" i="1"/>
  <c r="F61" i="1"/>
  <c r="H80" i="1"/>
  <c r="E61" i="1"/>
  <c r="D61" i="1"/>
  <c r="H59" i="1"/>
  <c r="D74" i="1"/>
  <c r="E60" i="1"/>
  <c r="H75" i="1"/>
  <c r="D57" i="1"/>
  <c r="E78" i="1"/>
  <c r="F59" i="1"/>
  <c r="E56" i="1"/>
  <c r="F63" i="1"/>
  <c r="H60" i="1"/>
  <c r="D77" i="1"/>
  <c r="E59" i="1"/>
  <c r="E74" i="1"/>
  <c r="F81" i="1"/>
  <c r="F77" i="1"/>
  <c r="G75" i="1"/>
  <c r="H62" i="1"/>
  <c r="H63" i="1"/>
  <c r="D75" i="1"/>
  <c r="E57" i="1"/>
  <c r="G60" i="1"/>
  <c r="E62" i="1"/>
  <c r="G78" i="1"/>
  <c r="D63" i="1"/>
  <c r="D78" i="1"/>
  <c r="D186" i="1" l="1"/>
  <c r="D138" i="1"/>
  <c r="I37" i="1"/>
  <c r="I40" i="1" s="1"/>
  <c r="I43" i="1" s="1"/>
  <c r="I46" i="1" s="1"/>
  <c r="F108" i="1"/>
  <c r="E155" i="1"/>
  <c r="F155" i="1"/>
  <c r="G107" i="1"/>
  <c r="D159" i="1"/>
  <c r="D161" i="1"/>
  <c r="D107" i="1"/>
  <c r="G155" i="1"/>
  <c r="D160" i="1"/>
  <c r="F107" i="1"/>
  <c r="D179" i="1"/>
  <c r="D180" i="1" s="1"/>
  <c r="E238" i="1"/>
  <c r="E158" i="1"/>
  <c r="D156" i="1"/>
  <c r="D110" i="1"/>
  <c r="E106" i="1"/>
  <c r="G106" i="1"/>
  <c r="H155" i="1"/>
  <c r="E226" i="1"/>
  <c r="E109" i="1"/>
  <c r="D111" i="1"/>
  <c r="D112" i="1"/>
  <c r="H106" i="1"/>
  <c r="D131" i="1"/>
  <c r="G156" i="1"/>
  <c r="I20" i="1"/>
  <c r="I23" i="1" s="1"/>
  <c r="F50" i="11"/>
  <c r="F58" i="11"/>
  <c r="I157" i="1"/>
  <c r="G99" i="11" l="1"/>
  <c r="I115" i="1" l="1"/>
  <c r="I118" i="1" s="1"/>
  <c r="D132" i="1"/>
  <c r="I164" i="1" l="1"/>
  <c r="I167" i="1" s="1"/>
  <c r="I170" i="1" s="1"/>
  <c r="I191" i="1" s="1"/>
  <c r="I192" i="1" s="1"/>
  <c r="I121" i="1"/>
  <c r="I143" i="1" s="1"/>
  <c r="I145" i="1" s="1"/>
  <c r="J40" i="1"/>
  <c r="J43" i="1" s="1"/>
  <c r="J46" i="1" s="1"/>
  <c r="J17" i="1"/>
  <c r="J20" i="1" s="1"/>
  <c r="J23" i="1" s="1"/>
  <c r="S19" i="16" s="1"/>
  <c r="U19" i="16" s="1"/>
  <c r="D114" i="11"/>
  <c r="E114" i="11" s="1"/>
  <c r="F114" i="11" s="1"/>
  <c r="D112" i="11"/>
  <c r="E112" i="11" s="1"/>
  <c r="F112" i="11" s="1"/>
  <c r="D111" i="11"/>
  <c r="E111" i="11" s="1"/>
  <c r="F111" i="11" s="1"/>
  <c r="D110" i="11"/>
  <c r="E110" i="11" s="1"/>
  <c r="F110" i="11" s="1"/>
  <c r="D109" i="11"/>
  <c r="E109" i="11" s="1"/>
  <c r="F109" i="11" s="1"/>
  <c r="D108" i="11"/>
  <c r="E108" i="11" s="1"/>
  <c r="F108" i="11" s="1"/>
  <c r="I193" i="1" l="1"/>
  <c r="I195" i="1" s="1"/>
  <c r="J162" i="1"/>
  <c r="J113" i="1"/>
  <c r="C113" i="1" l="1"/>
  <c r="J115" i="1"/>
  <c r="J118" i="1" s="1"/>
  <c r="J121" i="1" s="1"/>
  <c r="J143" i="1" s="1"/>
  <c r="J145" i="1" s="1"/>
  <c r="D19" i="16" s="1"/>
  <c r="I196" i="1"/>
  <c r="J164" i="1"/>
  <c r="J167" i="1" s="1"/>
  <c r="J170" i="1" s="1"/>
  <c r="J191" i="1" s="1"/>
  <c r="J192" i="1" s="1"/>
  <c r="C162" i="1"/>
  <c r="F24" i="17"/>
  <c r="W19" i="16" l="1"/>
  <c r="F19" i="16"/>
  <c r="J193" i="1"/>
  <c r="J195" i="1" s="1"/>
  <c r="E19" i="16" l="1"/>
  <c r="I19" i="16" s="1"/>
  <c r="J196" i="1"/>
  <c r="K19" i="16" l="1"/>
  <c r="L19" i="16" s="1"/>
  <c r="M19" i="16"/>
  <c r="G19" i="16"/>
  <c r="S54" i="4" l="1"/>
  <c r="D15" i="6" l="1"/>
  <c r="F22" i="6"/>
  <c r="S56" i="4"/>
  <c r="F110" i="1" l="1"/>
  <c r="O32" i="13"/>
  <c r="U54" i="4"/>
  <c r="T54" i="4"/>
  <c r="T56" i="4"/>
  <c r="V56" i="4" s="1"/>
  <c r="F15" i="6" l="1"/>
  <c r="E15" i="6"/>
  <c r="F25" i="6"/>
  <c r="F52" i="11"/>
  <c r="F159" i="1"/>
  <c r="G15" i="6" l="1"/>
  <c r="F17" i="6"/>
  <c r="E35" i="1" s="1"/>
  <c r="E17" i="6"/>
  <c r="E25" i="6"/>
  <c r="G22" i="6"/>
  <c r="B68" i="6"/>
  <c r="B71" i="6" s="1"/>
  <c r="F41" i="1"/>
  <c r="E12" i="1" l="1"/>
  <c r="E112" i="1" s="1"/>
  <c r="E34" i="1"/>
  <c r="E11" i="1"/>
  <c r="E241" i="1"/>
  <c r="O23" i="13"/>
  <c r="E54" i="11"/>
  <c r="E161" i="1"/>
  <c r="E229" i="1"/>
  <c r="O22" i="13"/>
  <c r="F55" i="11"/>
  <c r="G8" i="1"/>
  <c r="R76" i="4"/>
  <c r="R79" i="4" l="1"/>
  <c r="E240" i="1"/>
  <c r="E53" i="11"/>
  <c r="E160" i="1"/>
  <c r="E228" i="1"/>
  <c r="E111" i="1"/>
  <c r="G31" i="1"/>
  <c r="G108" i="1"/>
  <c r="S76" i="4"/>
  <c r="S79" i="4" s="1"/>
  <c r="U63" i="4"/>
  <c r="T63" i="4"/>
  <c r="C38" i="6" l="1"/>
  <c r="D38" i="6"/>
  <c r="G157" i="1"/>
  <c r="O42" i="13"/>
  <c r="F111" i="1"/>
  <c r="O33" i="13"/>
  <c r="G50" i="11"/>
  <c r="T76" i="4"/>
  <c r="U64" i="4"/>
  <c r="G9" i="1"/>
  <c r="G10" i="1" l="1"/>
  <c r="T79" i="4"/>
  <c r="T88" i="4" s="1"/>
  <c r="G110" i="1"/>
  <c r="G33" i="1"/>
  <c r="G159" i="1" s="1"/>
  <c r="F53" i="11"/>
  <c r="F160" i="1"/>
  <c r="O34" i="13"/>
  <c r="F112" i="1"/>
  <c r="F14" i="1"/>
  <c r="F17" i="1" s="1"/>
  <c r="F20" i="1" s="1"/>
  <c r="F23" i="1" s="1"/>
  <c r="S16" i="16" s="1"/>
  <c r="U16" i="16" s="1"/>
  <c r="G109" i="1"/>
  <c r="G32" i="1"/>
  <c r="O43" i="13" s="1"/>
  <c r="E38" i="6" l="1"/>
  <c r="O44" i="13"/>
  <c r="G52" i="11"/>
  <c r="F115" i="1"/>
  <c r="F118" i="1" s="1"/>
  <c r="F161" i="1"/>
  <c r="F54" i="11"/>
  <c r="F87" i="11" s="1"/>
  <c r="F37" i="1"/>
  <c r="F40" i="1" s="1"/>
  <c r="F43" i="1" s="1"/>
  <c r="F46" i="1" s="1"/>
  <c r="G158" i="1"/>
  <c r="G51" i="11"/>
  <c r="F38" i="6" l="1"/>
  <c r="L38" i="6" s="1"/>
  <c r="G11" i="1"/>
  <c r="G14" i="1" s="1"/>
  <c r="F57" i="11"/>
  <c r="F105" i="11" s="1"/>
  <c r="F102" i="11"/>
  <c r="G34" i="1"/>
  <c r="O45" i="13" s="1"/>
  <c r="O46" i="13" s="1"/>
  <c r="G111" i="1"/>
  <c r="F121" i="1" l="1"/>
  <c r="F128" i="1"/>
  <c r="G115" i="1"/>
  <c r="G17" i="1"/>
  <c r="G53" i="11"/>
  <c r="G160" i="1"/>
  <c r="G37" i="1"/>
  <c r="G102" i="11" l="1"/>
  <c r="G164" i="1"/>
  <c r="G118" i="1"/>
  <c r="G65" i="1" s="1"/>
  <c r="G40" i="1"/>
  <c r="G87" i="11"/>
  <c r="G57" i="11"/>
  <c r="G20" i="1"/>
  <c r="F139" i="1" l="1"/>
  <c r="F187" i="1"/>
  <c r="G105" i="11"/>
  <c r="G119" i="1"/>
  <c r="G23" i="1"/>
  <c r="S17" i="16" s="1"/>
  <c r="U17" i="16" s="1"/>
  <c r="G43" i="1"/>
  <c r="G167" i="1"/>
  <c r="G121" i="1" l="1"/>
  <c r="G83" i="1"/>
  <c r="G168" i="1" s="1"/>
  <c r="G46" i="1"/>
  <c r="J17" i="16" l="1"/>
  <c r="G143" i="1"/>
  <c r="G170" i="1"/>
  <c r="G88" i="11"/>
  <c r="G100" i="11"/>
  <c r="W16" i="16" l="1"/>
  <c r="G145" i="1"/>
  <c r="G191" i="1"/>
  <c r="D17" i="16" l="1"/>
  <c r="G193" i="1"/>
  <c r="G192" i="1"/>
  <c r="W17" i="16" l="1"/>
  <c r="F17" i="16"/>
  <c r="G195" i="1"/>
  <c r="E17" i="16" s="1"/>
  <c r="G96" i="11"/>
  <c r="G103" i="11"/>
  <c r="P46" i="13" l="1"/>
  <c r="I17" i="16"/>
  <c r="G196" i="1"/>
  <c r="M17" i="16" l="1"/>
  <c r="K17" i="16"/>
  <c r="L17" i="16" s="1"/>
  <c r="G17" i="16"/>
  <c r="C15" i="25" l="1"/>
  <c r="C20" i="25" l="1"/>
  <c r="E15" i="25"/>
  <c r="I15" i="25"/>
  <c r="G15" i="25"/>
  <c r="J17" i="25"/>
  <c r="H15" i="25"/>
  <c r="H18" i="25"/>
  <c r="J18" i="25"/>
  <c r="F17" i="25"/>
  <c r="H17" i="25"/>
  <c r="H19" i="25" s="1"/>
  <c r="I17" i="25"/>
  <c r="F15" i="25"/>
  <c r="F18" i="25"/>
  <c r="G17" i="25"/>
  <c r="E17" i="25"/>
  <c r="D17" i="25"/>
  <c r="D19" i="25" s="1"/>
  <c r="D18" i="25"/>
  <c r="F19" i="25" l="1"/>
  <c r="J19" i="25"/>
  <c r="H20" i="25"/>
  <c r="F20" i="25"/>
  <c r="J20" i="25"/>
  <c r="D20" i="25"/>
  <c r="J15" i="25"/>
  <c r="I18" i="25"/>
  <c r="I19" i="25" s="1"/>
  <c r="E18" i="25"/>
  <c r="E19" i="25" s="1"/>
  <c r="G18" i="25"/>
  <c r="G19" i="25" s="1"/>
  <c r="D15" i="25"/>
  <c r="L15" i="25"/>
  <c r="K15" i="25"/>
  <c r="N18" i="25"/>
  <c r="N15" i="25"/>
  <c r="M15" i="25"/>
  <c r="L18" i="25"/>
  <c r="K17" i="25"/>
  <c r="O14" i="25"/>
  <c r="K18" i="25"/>
  <c r="M18" i="25"/>
  <c r="M17" i="25"/>
  <c r="M19" i="25" s="1"/>
  <c r="N17" i="25"/>
  <c r="L17" i="25"/>
  <c r="L19" i="25" s="1"/>
  <c r="O13" i="25"/>
  <c r="N19" i="25" l="1"/>
  <c r="K19" i="25"/>
  <c r="O18" i="25"/>
  <c r="E20" i="25"/>
  <c r="I20" i="25"/>
  <c r="G20" i="25"/>
  <c r="M20" i="25"/>
  <c r="N20" i="25"/>
  <c r="O17" i="25"/>
  <c r="O19" i="25" s="1"/>
  <c r="L20" i="25"/>
  <c r="O15" i="25"/>
  <c r="K20" i="25"/>
  <c r="O20" i="25" l="1"/>
  <c r="D9" i="1"/>
  <c r="D32" i="1"/>
  <c r="O16" i="13" s="1"/>
  <c r="D8" i="1"/>
  <c r="D108" i="1" s="1"/>
  <c r="D31" i="1"/>
  <c r="G7" i="6"/>
  <c r="G9" i="6" l="1"/>
  <c r="L7" i="6"/>
  <c r="D18" i="1"/>
  <c r="E205" i="1"/>
  <c r="D109" i="1"/>
  <c r="D14" i="1"/>
  <c r="D51" i="11"/>
  <c r="D158" i="1"/>
  <c r="D37" i="1"/>
  <c r="D50" i="11"/>
  <c r="D157" i="1"/>
  <c r="O34" i="25"/>
  <c r="J45" i="25"/>
  <c r="O32" i="25"/>
  <c r="E45" i="25"/>
  <c r="K45" i="25"/>
  <c r="H45" i="25"/>
  <c r="O41" i="25"/>
  <c r="D12" i="6" s="1"/>
  <c r="D13" i="6" s="1"/>
  <c r="F45" i="25"/>
  <c r="M45" i="25"/>
  <c r="N45" i="25"/>
  <c r="O39" i="25"/>
  <c r="O44" i="25" s="1"/>
  <c r="L45" i="25"/>
  <c r="G45" i="25"/>
  <c r="I45" i="25"/>
  <c r="O37" i="25" l="1"/>
  <c r="B12" i="6"/>
  <c r="B13" i="6" s="1"/>
  <c r="O45" i="25"/>
  <c r="D17" i="6"/>
  <c r="D207" i="1"/>
  <c r="E204" i="1"/>
  <c r="E207" i="1" s="1"/>
  <c r="E214" i="1"/>
  <c r="D87" i="11"/>
  <c r="D102" i="11"/>
  <c r="D216" i="1"/>
  <c r="E213" i="1"/>
  <c r="D41" i="1"/>
  <c r="D40" i="1"/>
  <c r="D17" i="1"/>
  <c r="G12" i="6" l="1"/>
  <c r="G13" i="6" s="1"/>
  <c r="G17" i="6" s="1"/>
  <c r="B17" i="6"/>
  <c r="E33" i="1"/>
  <c r="E10" i="1"/>
  <c r="D25" i="6"/>
  <c r="E216" i="1"/>
  <c r="D43" i="1"/>
  <c r="D55" i="11"/>
  <c r="D20" i="1"/>
  <c r="L15" i="13"/>
  <c r="G15" i="13"/>
  <c r="E18" i="1" l="1"/>
  <c r="L12" i="6"/>
  <c r="E31" i="1"/>
  <c r="E8" i="1"/>
  <c r="E108" i="1" s="1"/>
  <c r="I15" i="13"/>
  <c r="J15" i="13" s="1"/>
  <c r="N15" i="13" s="1"/>
  <c r="E63" i="11"/>
  <c r="M89" i="11" s="1"/>
  <c r="E227" i="1"/>
  <c r="O15" i="13"/>
  <c r="M15" i="13"/>
  <c r="D57" i="11"/>
  <c r="D46" i="1"/>
  <c r="J14" i="16" s="1"/>
  <c r="D23" i="1"/>
  <c r="S14" i="16" s="1"/>
  <c r="E41" i="1" l="1"/>
  <c r="C18" i="1"/>
  <c r="E27" i="11"/>
  <c r="E159" i="1"/>
  <c r="O21" i="13"/>
  <c r="E239" i="1"/>
  <c r="E110" i="1"/>
  <c r="E52" i="11"/>
  <c r="G21" i="6"/>
  <c r="G25" i="6" s="1"/>
  <c r="E14" i="1"/>
  <c r="E17" i="1" s="1"/>
  <c r="U14" i="16"/>
  <c r="E27" i="16" s="1"/>
  <c r="M82" i="11"/>
  <c r="E55" i="11"/>
  <c r="C55" i="11" s="1"/>
  <c r="C41" i="1"/>
  <c r="O89" i="11"/>
  <c r="O92" i="11" s="1"/>
  <c r="E64" i="11"/>
  <c r="M92" i="11"/>
  <c r="M98" i="11" s="1"/>
  <c r="P89" i="11"/>
  <c r="P92" i="11" s="1"/>
  <c r="P98" i="11" s="1"/>
  <c r="F64" i="11"/>
  <c r="P82" i="11"/>
  <c r="F65" i="11"/>
  <c r="F75" i="1"/>
  <c r="E75" i="1"/>
  <c r="E225" i="1" l="1"/>
  <c r="E231" i="1" s="1"/>
  <c r="D231" i="1"/>
  <c r="D243" i="1"/>
  <c r="E50" i="11"/>
  <c r="E157" i="1"/>
  <c r="O26" i="13"/>
  <c r="E37" i="1"/>
  <c r="E237" i="1"/>
  <c r="E243" i="1" s="1"/>
  <c r="E20" i="1"/>
  <c r="L108" i="11"/>
  <c r="G113" i="11" s="1"/>
  <c r="H113" i="11" s="1"/>
  <c r="M33" i="11"/>
  <c r="K19" i="13" s="1"/>
  <c r="K25" i="13"/>
  <c r="E37" i="11"/>
  <c r="F156" i="1"/>
  <c r="N33" i="11"/>
  <c r="F37" i="11"/>
  <c r="E57" i="11" l="1"/>
  <c r="E87" i="11"/>
  <c r="E40" i="1"/>
  <c r="E43" i="1" s="1"/>
  <c r="E102" i="11"/>
  <c r="S19" i="13"/>
  <c r="L18" i="13"/>
  <c r="G19" i="13"/>
  <c r="E23" i="1"/>
  <c r="S15" i="16" s="1"/>
  <c r="M34" i="11"/>
  <c r="G114" i="11"/>
  <c r="H114" i="11" s="1"/>
  <c r="G109" i="11"/>
  <c r="H109" i="11" s="1"/>
  <c r="G116" i="11"/>
  <c r="H116" i="11" s="1"/>
  <c r="G120" i="11"/>
  <c r="H120" i="11" s="1"/>
  <c r="G108" i="11"/>
  <c r="H108" i="11" s="1"/>
  <c r="G118" i="11"/>
  <c r="H118" i="11" s="1"/>
  <c r="G115" i="11"/>
  <c r="H115" i="11" s="1"/>
  <c r="G112" i="11"/>
  <c r="H112" i="11" s="1"/>
  <c r="G110" i="11"/>
  <c r="H110" i="11" s="1"/>
  <c r="G119" i="11"/>
  <c r="H119" i="11" s="1"/>
  <c r="G121" i="11"/>
  <c r="H121" i="11" s="1"/>
  <c r="G117" i="11"/>
  <c r="H117" i="11" s="1"/>
  <c r="G122" i="11"/>
  <c r="H122" i="11" s="1"/>
  <c r="G111" i="11"/>
  <c r="H111" i="11" s="1"/>
  <c r="L25" i="13"/>
  <c r="J25" i="13"/>
  <c r="G25" i="13" s="1"/>
  <c r="L36" i="13"/>
  <c r="N34" i="11"/>
  <c r="F164" i="1"/>
  <c r="F167" i="1" s="1"/>
  <c r="F99" i="11"/>
  <c r="N43" i="11"/>
  <c r="L19" i="13"/>
  <c r="I19" i="13" l="1"/>
  <c r="J26" i="13" s="1"/>
  <c r="N26" i="13" s="1"/>
  <c r="N25" i="13"/>
  <c r="U15" i="16"/>
  <c r="M25" i="13"/>
  <c r="M19" i="13"/>
  <c r="L29" i="13"/>
  <c r="S30" i="13"/>
  <c r="E46" i="1"/>
  <c r="AB30" i="13"/>
  <c r="N44" i="11"/>
  <c r="L30" i="13"/>
  <c r="J19" i="13" l="1"/>
  <c r="M30" i="13"/>
  <c r="O36" i="13"/>
  <c r="O38" i="13" s="1"/>
  <c r="P38" i="13" s="1"/>
  <c r="F176" i="1"/>
  <c r="F179" i="1"/>
  <c r="F180" i="1" s="1"/>
  <c r="N19" i="13" l="1"/>
  <c r="AB19" i="13"/>
  <c r="J15" i="16"/>
  <c r="AB26" i="13"/>
  <c r="F190" i="1"/>
  <c r="F101" i="11" s="1"/>
  <c r="F100" i="11"/>
  <c r="F88" i="11"/>
  <c r="F170" i="1"/>
  <c r="F191" i="1" s="1"/>
  <c r="F192" i="1" l="1"/>
  <c r="F16" i="16" s="1"/>
  <c r="F89" i="11"/>
  <c r="F96" i="11" l="1"/>
  <c r="F103" i="11"/>
  <c r="H35" i="16" l="1"/>
  <c r="M43" i="11" l="1"/>
  <c r="M44" i="11" s="1"/>
  <c r="H36" i="16"/>
  <c r="F95" i="11" l="1"/>
  <c r="F97" i="11" s="1"/>
  <c r="F91" i="11"/>
  <c r="F92" i="11" s="1"/>
  <c r="F93" i="11" l="1"/>
  <c r="O10" i="27" l="1"/>
  <c r="P10" i="27"/>
  <c r="N23" i="27"/>
  <c r="O26" i="27"/>
  <c r="P26" i="27"/>
  <c r="N33" i="27"/>
  <c r="N35" i="27" s="1"/>
  <c r="C7" i="6"/>
  <c r="N7" i="6" s="1"/>
  <c r="N8" i="25"/>
  <c r="O8" i="25" s="1"/>
  <c r="P14" i="16" l="1"/>
  <c r="B80" i="6"/>
  <c r="N9" i="25"/>
  <c r="O9" i="25" s="1"/>
  <c r="D25" i="1"/>
  <c r="D48" i="1" l="1"/>
  <c r="D106" i="1"/>
  <c r="C106" i="1" s="1"/>
  <c r="O13" i="13"/>
  <c r="O17" i="13" s="1"/>
  <c r="D115" i="1" l="1"/>
  <c r="D155" i="1"/>
  <c r="D58" i="11"/>
  <c r="F204" i="1"/>
  <c r="F205" i="1" s="1"/>
  <c r="F216" i="1"/>
  <c r="B221" i="1"/>
  <c r="D118" i="1" l="1"/>
  <c r="D65" i="1" s="1"/>
  <c r="H205" i="1"/>
  <c r="G205" i="1"/>
  <c r="Q14" i="16"/>
  <c r="D164" i="1"/>
  <c r="D99" i="11"/>
  <c r="C155" i="1"/>
  <c r="F213" i="1"/>
  <c r="F214" i="1" s="1"/>
  <c r="G204" i="1"/>
  <c r="H204" i="1"/>
  <c r="D105" i="11"/>
  <c r="D65" i="11"/>
  <c r="G207" i="1" l="1"/>
  <c r="G214" i="1"/>
  <c r="H214" i="1"/>
  <c r="I214" i="1" s="1"/>
  <c r="I204" i="1"/>
  <c r="H207" i="1"/>
  <c r="K204" i="1" s="1"/>
  <c r="D167" i="1"/>
  <c r="D119" i="1"/>
  <c r="D127" i="1"/>
  <c r="D128" i="1" s="1"/>
  <c r="G213" i="1"/>
  <c r="H213" i="1"/>
  <c r="I205" i="1"/>
  <c r="K205" i="1"/>
  <c r="G216" i="1" l="1"/>
  <c r="D121" i="1"/>
  <c r="D143" i="1" s="1"/>
  <c r="H216" i="1"/>
  <c r="I213" i="1"/>
  <c r="I216" i="1" s="1"/>
  <c r="D187" i="1" s="1"/>
  <c r="I207" i="1"/>
  <c r="D139" i="1" s="1"/>
  <c r="D135" i="1"/>
  <c r="D83" i="1"/>
  <c r="D175" i="1" l="1"/>
  <c r="D176" i="1" s="1"/>
  <c r="D168" i="1"/>
  <c r="D142" i="1"/>
  <c r="D145" i="1" l="1"/>
  <c r="D88" i="11"/>
  <c r="D100" i="11"/>
  <c r="D170" i="1"/>
  <c r="D183" i="1"/>
  <c r="D190" i="1" s="1"/>
  <c r="D101" i="11" l="1"/>
  <c r="D89" i="11"/>
  <c r="D191" i="1"/>
  <c r="D193" i="1"/>
  <c r="D14" i="16"/>
  <c r="E26" i="16" s="1"/>
  <c r="N14" i="16" l="1"/>
  <c r="W14" i="16"/>
  <c r="E28" i="16"/>
  <c r="D192" i="1"/>
  <c r="D195" i="1" l="1"/>
  <c r="D103" i="11"/>
  <c r="D96" i="11"/>
  <c r="F14" i="16"/>
  <c r="D196" i="1" l="1"/>
  <c r="E14" i="16"/>
  <c r="P17" i="13"/>
  <c r="I14" i="16" l="1"/>
  <c r="G14" i="16"/>
  <c r="Y14" i="16" l="1"/>
  <c r="M14" i="16"/>
  <c r="K14" i="16"/>
  <c r="L14" i="16" s="1"/>
  <c r="E30" i="16"/>
  <c r="E31" i="16" s="1"/>
  <c r="O12" i="27" l="1"/>
  <c r="P12" i="27"/>
  <c r="G23" i="27"/>
  <c r="P23" i="27" s="1"/>
  <c r="O27" i="27"/>
  <c r="P27" i="27"/>
  <c r="G33" i="27"/>
  <c r="G35" i="27" s="1"/>
  <c r="E49" i="1" l="1"/>
  <c r="O33" i="27"/>
  <c r="B82" i="6" s="1"/>
  <c r="B90" i="6" s="1"/>
  <c r="B91" i="6" l="1"/>
  <c r="E156" i="1"/>
  <c r="E58" i="11"/>
  <c r="O25" i="13"/>
  <c r="O27" i="13" s="1"/>
  <c r="B93" i="6" l="1"/>
  <c r="B94" i="6" s="1"/>
  <c r="B248" i="1"/>
  <c r="E107" i="1"/>
  <c r="E99" i="11" s="1"/>
  <c r="E65" i="11"/>
  <c r="E105" i="11"/>
  <c r="E164" i="1"/>
  <c r="F243" i="1" l="1"/>
  <c r="F237" i="1" s="1"/>
  <c r="G237" i="1" s="1"/>
  <c r="F225" i="1"/>
  <c r="E115" i="1"/>
  <c r="E167" i="1"/>
  <c r="F238" i="1" l="1"/>
  <c r="F239" i="1" s="1"/>
  <c r="G239" i="1" s="1"/>
  <c r="H237" i="1"/>
  <c r="H225" i="1"/>
  <c r="I225" i="1" s="1"/>
  <c r="F226" i="1"/>
  <c r="F227" i="1" s="1"/>
  <c r="G227" i="1" s="1"/>
  <c r="G225" i="1"/>
  <c r="E118" i="1"/>
  <c r="E83" i="1"/>
  <c r="E186" i="1" s="1"/>
  <c r="I237" i="1"/>
  <c r="G238" i="1" l="1"/>
  <c r="H238" i="1"/>
  <c r="I238" i="1" s="1"/>
  <c r="F240" i="1"/>
  <c r="H240" i="1" s="1"/>
  <c r="H239" i="1"/>
  <c r="I239" i="1" s="1"/>
  <c r="H227" i="1"/>
  <c r="I227" i="1" s="1"/>
  <c r="E65" i="1"/>
  <c r="G243" i="1"/>
  <c r="G226" i="1"/>
  <c r="H226" i="1"/>
  <c r="I226" i="1" s="1"/>
  <c r="F228" i="1"/>
  <c r="F229" i="1" s="1"/>
  <c r="F241" i="1"/>
  <c r="E168" i="1"/>
  <c r="E175" i="1"/>
  <c r="E176" i="1" s="1"/>
  <c r="G240" i="1" l="1"/>
  <c r="E138" i="1"/>
  <c r="E119" i="1"/>
  <c r="E100" i="11" s="1"/>
  <c r="H229" i="1"/>
  <c r="G229" i="1"/>
  <c r="G231" i="1" s="1"/>
  <c r="E127" i="1"/>
  <c r="E128" i="1" s="1"/>
  <c r="C128" i="1" s="1"/>
  <c r="E9" i="31" s="1"/>
  <c r="F9" i="31" s="1"/>
  <c r="G9" i="31" s="1"/>
  <c r="H228" i="1"/>
  <c r="I228" i="1" s="1"/>
  <c r="G228" i="1"/>
  <c r="I229" i="1"/>
  <c r="H231" i="1"/>
  <c r="C176" i="1"/>
  <c r="E88" i="11"/>
  <c r="E170" i="1"/>
  <c r="H241" i="1"/>
  <c r="I241" i="1" s="1"/>
  <c r="G241" i="1"/>
  <c r="I240" i="1"/>
  <c r="I231" i="1" l="1"/>
  <c r="E121" i="1"/>
  <c r="E143" i="1" s="1"/>
  <c r="H243" i="1"/>
  <c r="E191" i="1"/>
  <c r="I243" i="1"/>
  <c r="E187" i="1" l="1"/>
  <c r="E131" i="1"/>
  <c r="E132" i="1" s="1"/>
  <c r="E139" i="1"/>
  <c r="C139" i="1" s="1"/>
  <c r="E8" i="31" s="1"/>
  <c r="F8" i="31" s="1"/>
  <c r="G8" i="31" s="1"/>
  <c r="E180" i="1" l="1"/>
  <c r="C187" i="1"/>
  <c r="C132" i="1"/>
  <c r="E135" i="1"/>
  <c r="C180" i="1" l="1"/>
  <c r="C183" i="1" s="1"/>
  <c r="E183" i="1"/>
  <c r="C135" i="1"/>
  <c r="E142" i="1"/>
  <c r="E190" i="1" l="1"/>
  <c r="C190" i="1" s="1"/>
  <c r="E145" i="1"/>
  <c r="C142" i="1"/>
  <c r="E89" i="11" l="1"/>
  <c r="C89" i="11" s="1"/>
  <c r="E101" i="11"/>
  <c r="E192" i="1"/>
  <c r="F15" i="16" s="1"/>
  <c r="P27" i="13"/>
  <c r="C101" i="11"/>
  <c r="P62" i="13"/>
  <c r="D15" i="16"/>
  <c r="E193" i="1"/>
  <c r="E96" i="11" l="1"/>
  <c r="E195" i="1"/>
  <c r="E103" i="11"/>
  <c r="W15" i="16"/>
  <c r="N15" i="16"/>
  <c r="E196" i="1" l="1"/>
  <c r="E15" i="16"/>
  <c r="G15" i="16" l="1"/>
  <c r="I15" i="16"/>
  <c r="K15" i="16" l="1"/>
  <c r="M15" i="16"/>
  <c r="L15" i="16" l="1"/>
  <c r="L35" i="16" s="1" a="1"/>
  <c r="L35" i="16" s="1"/>
  <c r="W44" i="4" l="1"/>
  <c r="H107" i="1" s="1"/>
  <c r="X44" i="4"/>
  <c r="H156" i="1" s="1"/>
  <c r="O56" i="4" l="1"/>
  <c r="C107" i="1"/>
  <c r="C156" i="1"/>
  <c r="H99" i="11"/>
  <c r="H65" i="11"/>
  <c r="C65" i="11" s="1"/>
  <c r="O57" i="13"/>
  <c r="P63" i="13" s="1"/>
  <c r="R44" i="4"/>
  <c r="C42" i="6" s="1"/>
  <c r="H9" i="1" s="1"/>
  <c r="S44" i="4" l="1"/>
  <c r="D42" i="6" s="1"/>
  <c r="H10" i="1" s="1"/>
  <c r="H33" i="1" s="1"/>
  <c r="C99" i="11"/>
  <c r="H109" i="1"/>
  <c r="C109" i="1" s="1"/>
  <c r="H32" i="1"/>
  <c r="B42" i="6"/>
  <c r="H110" i="1" l="1"/>
  <c r="C110" i="1" s="1"/>
  <c r="U44" i="4"/>
  <c r="F42" i="6" s="1"/>
  <c r="H12" i="1" s="1"/>
  <c r="H51" i="11"/>
  <c r="C51" i="11" s="1"/>
  <c r="H158" i="1"/>
  <c r="C158" i="1" s="1"/>
  <c r="O52" i="13"/>
  <c r="H8" i="1"/>
  <c r="H52" i="11"/>
  <c r="C52" i="11" s="1"/>
  <c r="O53" i="13"/>
  <c r="H159" i="1"/>
  <c r="C159" i="1" s="1"/>
  <c r="H112" i="1" l="1"/>
  <c r="C112" i="1" s="1"/>
  <c r="H35" i="1"/>
  <c r="T44" i="4"/>
  <c r="Y44" i="4"/>
  <c r="H31" i="1"/>
  <c r="H108" i="1"/>
  <c r="Z44" i="4" l="1"/>
  <c r="AA44" i="4" s="1"/>
  <c r="E42" i="6"/>
  <c r="U45" i="4"/>
  <c r="O55" i="13"/>
  <c r="H54" i="11"/>
  <c r="C54" i="11" s="1"/>
  <c r="H161" i="1"/>
  <c r="C161" i="1" s="1"/>
  <c r="C108" i="1"/>
  <c r="H50" i="11"/>
  <c r="O51" i="13"/>
  <c r="H157" i="1"/>
  <c r="H11" i="1" l="1"/>
  <c r="G42" i="6"/>
  <c r="C50" i="11"/>
  <c r="C157" i="1"/>
  <c r="L41" i="6" l="1"/>
  <c r="L55" i="6" s="1"/>
  <c r="B63" i="6"/>
  <c r="B75" i="6" s="1"/>
  <c r="H34" i="1"/>
  <c r="H111" i="1"/>
  <c r="H14" i="1"/>
  <c r="B72" i="6" l="1"/>
  <c r="C111" i="1"/>
  <c r="H115" i="1"/>
  <c r="C14" i="1"/>
  <c r="H17" i="1"/>
  <c r="O54" i="13"/>
  <c r="O56" i="13" s="1"/>
  <c r="O61" i="13" s="1"/>
  <c r="H160" i="1"/>
  <c r="H53" i="11"/>
  <c r="H37" i="1"/>
  <c r="C115" i="1" l="1"/>
  <c r="H40" i="1"/>
  <c r="C37" i="1"/>
  <c r="C53" i="11"/>
  <c r="H57" i="11"/>
  <c r="H87" i="11"/>
  <c r="C87" i="11" s="1"/>
  <c r="H118" i="1"/>
  <c r="C160" i="1"/>
  <c r="C102" i="11" s="1"/>
  <c r="H102" i="11"/>
  <c r="H164" i="1"/>
  <c r="C17" i="1"/>
  <c r="H20" i="1"/>
  <c r="B76" i="6" s="1"/>
  <c r="C20" i="1" l="1"/>
  <c r="H23" i="1"/>
  <c r="S18" i="16" s="1"/>
  <c r="H167" i="1"/>
  <c r="C164" i="1"/>
  <c r="H65" i="1"/>
  <c r="C118" i="1"/>
  <c r="H105" i="11"/>
  <c r="C57" i="11"/>
  <c r="C40" i="1"/>
  <c r="H43" i="1"/>
  <c r="H119" i="1" l="1"/>
  <c r="H127" i="1"/>
  <c r="H83" i="1"/>
  <c r="C167" i="1"/>
  <c r="U18" i="16"/>
  <c r="U20" i="16" s="1"/>
  <c r="S20" i="16"/>
  <c r="C43" i="1"/>
  <c r="H46" i="1"/>
  <c r="C23" i="1"/>
  <c r="C46" i="1" l="1"/>
  <c r="H168" i="1"/>
  <c r="H175" i="1"/>
  <c r="C119" i="1"/>
  <c r="H121" i="1"/>
  <c r="H143" i="1" l="1"/>
  <c r="H145" i="1" s="1"/>
  <c r="E12" i="31"/>
  <c r="C121" i="1"/>
  <c r="E6" i="31" s="1"/>
  <c r="J18" i="16"/>
  <c r="J20" i="16" s="1"/>
  <c r="H100" i="11"/>
  <c r="H88" i="11"/>
  <c r="C88" i="11" s="1"/>
  <c r="C168" i="1"/>
  <c r="C100" i="11" s="1"/>
  <c r="H170" i="1"/>
  <c r="C143" i="1" l="1"/>
  <c r="C145" i="1" s="1"/>
  <c r="F12" i="31"/>
  <c r="G12" i="31" s="1"/>
  <c r="G15" i="31" s="1"/>
  <c r="E15" i="31"/>
  <c r="E10" i="31"/>
  <c r="F6" i="31"/>
  <c r="G6" i="31" s="1"/>
  <c r="G10" i="31" s="1"/>
  <c r="C170" i="1"/>
  <c r="H191" i="1"/>
  <c r="H193" i="1"/>
  <c r="C193" i="1" s="1"/>
  <c r="D18" i="16"/>
  <c r="G17" i="31" l="1"/>
  <c r="F15" i="31"/>
  <c r="E37" i="31"/>
  <c r="G26" i="31"/>
  <c r="G21" i="31"/>
  <c r="H35" i="31"/>
  <c r="H37" i="31" s="1"/>
  <c r="G27" i="31"/>
  <c r="G28" i="31"/>
  <c r="E17" i="31"/>
  <c r="E21" i="31" s="1"/>
  <c r="F10" i="31"/>
  <c r="W18" i="16"/>
  <c r="D35" i="16" a="1"/>
  <c r="D35" i="16" s="1"/>
  <c r="Y45" i="4"/>
  <c r="D20" i="16"/>
  <c r="H192" i="1"/>
  <c r="C191" i="1"/>
  <c r="F17" i="31" l="1"/>
  <c r="F21" i="31" s="1"/>
  <c r="G29" i="31"/>
  <c r="G31" i="31" s="1"/>
  <c r="G32" i="31" s="1"/>
  <c r="G33" i="31" s="1"/>
  <c r="H38" i="31"/>
  <c r="H39" i="31" s="1"/>
  <c r="F18" i="16"/>
  <c r="H103" i="11"/>
  <c r="H195" i="1"/>
  <c r="C192" i="1"/>
  <c r="H96" i="11"/>
  <c r="D21" i="16"/>
  <c r="W20" i="16"/>
  <c r="D36" i="16"/>
  <c r="P56" i="13" l="1"/>
  <c r="P61" i="13" s="1"/>
  <c r="P64" i="13" s="1"/>
  <c r="E18" i="16"/>
  <c r="C195" i="1"/>
  <c r="H196" i="1"/>
  <c r="F20" i="16"/>
  <c r="C103" i="11"/>
  <c r="C96" i="11"/>
  <c r="F35" i="16" a="1"/>
  <c r="F35" i="16" s="1"/>
  <c r="Z45" i="4"/>
  <c r="H60" i="11" l="1"/>
  <c r="G60" i="11"/>
  <c r="E20" i="16"/>
  <c r="C196" i="1"/>
  <c r="E35" i="16" a="1"/>
  <c r="E35" i="16" s="1"/>
  <c r="G18" i="16"/>
  <c r="I18" i="16"/>
  <c r="F36" i="16"/>
  <c r="F21" i="16"/>
  <c r="E60" i="11" l="1"/>
  <c r="E91" i="11" s="1"/>
  <c r="E92" i="11" s="1"/>
  <c r="K18" i="16"/>
  <c r="K20" i="16" s="1"/>
  <c r="K21" i="16" s="1"/>
  <c r="M18" i="16"/>
  <c r="I20" i="16"/>
  <c r="G91" i="11"/>
  <c r="G92" i="11" s="1"/>
  <c r="G95" i="11"/>
  <c r="G97" i="11" s="1"/>
  <c r="H91" i="11"/>
  <c r="H92" i="11" s="1"/>
  <c r="H95" i="11"/>
  <c r="H97" i="11" s="1"/>
  <c r="E36" i="16"/>
  <c r="G20" i="16"/>
  <c r="D60" i="11"/>
  <c r="E95" i="11" l="1"/>
  <c r="E97" i="11" s="1"/>
  <c r="L18" i="16"/>
  <c r="G93" i="11"/>
  <c r="H93" i="11"/>
  <c r="E93" i="11"/>
  <c r="M20" i="16"/>
  <c r="L20" i="16"/>
  <c r="L36" i="16" s="1"/>
  <c r="C60" i="11"/>
  <c r="D95" i="11"/>
  <c r="D91" i="11"/>
  <c r="D92" i="11" s="1"/>
  <c r="D93" i="11" l="1"/>
  <c r="C93" i="11" s="1"/>
  <c r="C91" i="11"/>
  <c r="C92" i="11" s="1"/>
  <c r="D97" i="11"/>
  <c r="C97" i="11" s="1"/>
  <c r="C95" i="11"/>
  <c r="X84" i="4"/>
  <c r="Z84" i="4" s="1"/>
  <c r="W84" i="4"/>
  <c r="Y84" i="4" s="1"/>
  <c r="O89" i="4"/>
  <c r="AA8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Garbarino, Marcus</author>
  </authors>
  <commentList>
    <comment ref="D8" authorId="0" shapeId="0" xr:uid="{117E14CC-E792-4974-ADC0-9C2C18373658}">
      <text>
        <r>
          <rPr>
            <sz val="9"/>
            <color indexed="81"/>
            <rFont val="Tahoma"/>
            <family val="2"/>
          </rPr>
          <t>$1k rounding to agree to EAS</t>
        </r>
      </text>
    </comment>
    <comment ref="E11" authorId="0" shapeId="0" xr:uid="{79B14448-B69F-400C-977B-8D386B329B28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2024 WA Elec and Gas GRC &gt;&gt; Adjustments &gt;&gt; 2.01 B&amp;O TAXES &gt;&gt; "06.2023 - Eliminate B-O Tax" &gt;&gt; Tab G-EBO-1, Cell E11</t>
        </r>
      </text>
    </comment>
    <comment ref="G16" authorId="1" shapeId="0" xr:uid="{D59CB788-5E99-4B30-93C5-53755420B92A}">
      <text>
        <r>
          <rPr>
            <sz val="9"/>
            <color indexed="81"/>
            <rFont val="Tahoma"/>
            <family val="2"/>
          </rPr>
          <t xml:space="preserve">
$1k rounding</t>
        </r>
      </text>
    </comment>
    <comment ref="G20" authorId="0" shapeId="0" xr:uid="{2647A5E8-81FB-466F-972D-D553458FF98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-$26,674</t>
        </r>
      </text>
    </comment>
    <comment ref="E23" authorId="0" shapeId="0" xr:uid="{A1EC09D2-E2C0-43D9-B217-675001985053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2024 WA Elec and Gas GRC &gt;&gt; Adjustments &gt;&gt; 2.01 B&amp;O TAXES &gt;&gt; "06.2023 - Eliminate B-O Tax" &gt;&gt; Tab G-EBO-1, Cell E16</t>
        </r>
      </text>
    </comment>
    <comment ref="G25" authorId="0" shapeId="0" xr:uid="{03B966C3-8E39-4A49-AA31-D54401CF2D0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-$33,904</t>
        </r>
      </text>
    </comment>
    <comment ref="G27" authorId="0" shapeId="0" xr:uid="{F3DBFC1E-4BE2-4538-82FB-A28D38E2D49F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-$60,578</t>
        </r>
      </text>
    </comment>
    <comment ref="G28" authorId="0" shapeId="0" xr:uid="{B51C2F6B-614C-4296-9CA7-93C5C1EDB67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C20</t>
        </r>
      </text>
    </comment>
    <comment ref="G29" authorId="0" shapeId="0" xr:uid="{3D0A7B7D-69C3-4123-9448-63D2BEFE5C68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C21</t>
        </r>
      </text>
    </comment>
    <comment ref="G32" authorId="0" shapeId="0" xr:uid="{AAB5B117-E377-4708-8126-82FFEBFD63E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C15+C16</t>
        </r>
      </text>
    </comment>
    <comment ref="G33" authorId="0" shapeId="0" xr:uid="{AAE2F3BB-93AE-4630-9E92-646F4502785E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C14</t>
        </r>
      </text>
    </comment>
    <comment ref="D39" authorId="0" shapeId="0" xr:uid="{8966B19C-7A5C-4E2C-A8F4-90D0B556756C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2024 WA Elec and Gas GRC &gt;&gt; Adjustments &gt;&gt; 2.01 B&amp;O TAXES &gt;&gt; "06.2023 - Eliminate B-O Tax" &gt;&gt; Tab G-EBO-1, Cell F26</t>
        </r>
      </text>
    </comment>
    <comment ref="D40" authorId="0" shapeId="0" xr:uid="{A757B586-3191-4B38-842F-FFD2279B2AEA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C24</t>
        </r>
      </text>
    </comment>
    <comment ref="G40" authorId="0" shapeId="0" xr:uid="{FCCC8989-BC7A-4AA8-8307-D001E04CC42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Q17</t>
        </r>
      </text>
    </comment>
    <comment ref="D41" authorId="0" shapeId="0" xr:uid="{716E3DF2-9AD5-4959-A97D-C1900E7581F3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C25</t>
        </r>
      </text>
    </comment>
    <comment ref="D43" authorId="0" shapeId="0" xr:uid="{3F33238F-CC3C-45F2-BE3B-13CD118CA9C5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C26</t>
        </r>
      </text>
    </comment>
    <comment ref="D44" authorId="0" shapeId="0" xr:uid="{7DE150AE-9F1B-4FA1-AF1A-4AA251302D8D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C27</t>
        </r>
      </text>
    </comment>
    <comment ref="D45" authorId="0" shapeId="0" xr:uid="{D54BD083-4F32-451B-88C6-6774A1F2917A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Hard-coded value: 
M Drive &gt;&gt; 2024 &gt;&gt; 2034 WA Elec and Gas GRC &gt;&gt; Adjustments &gt;&gt; 2.11 Eliminate Adder Schedules &gt;&gt; "1)WA Eliminate Adder Schedule 202306 - GLW" &gt;&gt; Tab G-EAS-2, Cell C12</t>
        </r>
      </text>
    </comment>
    <comment ref="D46" authorId="0" shapeId="0" xr:uid="{EBB44868-FDB4-41A5-A673-6E3A00E944FB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 Drive &gt;&gt; 2024 &gt;&gt; 2034 WA Elec and Gas GRC &gt;&gt; Adjustments &gt;&gt; 2.11 Eliminate Adder Schedules &gt;&gt; "1)WA Eliminate Adder Schedule 202306 - GLW" &gt;&gt; Tab G-EAS-2, Cell C13</t>
        </r>
      </text>
    </comment>
    <comment ref="D49" authorId="0" shapeId="0" xr:uid="{B0AF751B-17B1-4729-AAA5-43B6105D8D64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Not located on G-EAS-2 in 2023. I believe this value is $0</t>
        </r>
      </text>
    </comment>
    <comment ref="G53" authorId="0" shapeId="0" xr:uid="{B7BA4A0D-4AED-4F56-856A-E63D461ECDD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-$72,771</t>
        </r>
      </text>
    </comment>
    <comment ref="G55" authorId="0" shapeId="0" xr:uid="{ED77444F-280D-41DD-B7DF-DC5080D763F9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Should be $12,193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  <author>Moon, Lindsey</author>
  </authors>
  <commentList>
    <comment ref="J8" authorId="0" shapeId="0" xr:uid="{00000000-0006-0000-0000-000001000000}">
      <text>
        <r>
          <rPr>
            <sz val="9"/>
            <color indexed="81"/>
            <rFont val="Tahoma"/>
            <family val="2"/>
          </rPr>
          <t>WSU, 8 million annual minimum</t>
        </r>
      </text>
    </comment>
    <comment ref="J56" authorId="0" shapeId="0" xr:uid="{00000000-0006-0000-0000-000002000000}">
      <text>
        <r>
          <rPr>
            <sz val="9"/>
            <color indexed="81"/>
            <rFont val="Tahoma"/>
            <family val="2"/>
          </rPr>
          <t>WSU
Fixed Charge - $200/mo.
Capital Charge - $26,132/mo.
Total - $26,332/mo.
Collected over 20 yrs; effective 8/1/2003</t>
        </r>
      </text>
    </comment>
    <comment ref="J5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$.01 for first 10 million therms/year; $.005 for all therms over 10 million</t>
        </r>
      </text>
    </comment>
    <comment ref="I61" authorId="2" shapeId="0" xr:uid="{E837BADB-9196-4CFD-83A9-93FE842381B2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I6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if usage in prior year greater than 4M therms, rate for next year is $0.025 per therm.
100K annual minimum</t>
        </r>
      </text>
    </comment>
    <comment ref="I79" authorId="2" shapeId="0" xr:uid="{0736A071-C7D4-4FFB-8E9B-147C6432CB0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MM shifted to Sch 146</t>
        </r>
      </text>
    </comment>
    <comment ref="B90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Rate dependent upon prior year usage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KZX5DR</author>
    <author>Joe Miller</author>
  </authors>
  <commentList>
    <comment ref="H13" authorId="0" shapeId="0" xr:uid="{00000000-0006-0000-0200-000001000000}">
      <text>
        <r>
          <rPr>
            <sz val="8"/>
            <color indexed="81"/>
            <rFont val="Tahoma"/>
            <family val="2"/>
          </rPr>
          <t>Change the cell range named Bill1Base2 to '2'.
Copy the values from col. D to this column.
Change the cell range named Bill1Base2 back to '1'.</t>
        </r>
      </text>
    </comment>
    <comment ref="K39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39" authorId="1" shapeId="0" xr:uid="{00000000-0006-0000-0200-000003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45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45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  <comment ref="K50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Subtract Sch 155 rate for Sch 111 that includes Sch 112 above.  Also include actual Sch 155 rate for Sch 112
</t>
        </r>
      </text>
    </comment>
    <comment ref="M50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manually add to present billing revenue above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Moon, Lindsey</author>
    <author>KZX5DR</author>
  </authors>
  <commentList>
    <comment ref="B50" authorId="0" shapeId="0" xr:uid="{BE45D0C4-F8A8-407A-A2A5-7C7AE27310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Moved to 146</t>
        </r>
      </text>
    </comment>
    <comment ref="B54" authorId="1" shapeId="0" xr:uid="{00000000-0006-0000-0B00-000001000000}">
      <text>
        <r>
          <rPr>
            <sz val="11"/>
            <color indexed="81"/>
            <rFont val="Tahoma"/>
            <family val="2"/>
          </rPr>
          <t>Annual minimum is 8M therms.</t>
        </r>
      </text>
    </comment>
    <comment ref="D87" authorId="0" shapeId="0" xr:uid="{9D93344A-BEEB-4461-A4ED-F48F0F0CF64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D88" authorId="0" shapeId="0" xr:uid="{D0747B32-208C-4400-B558-0D90C19D7BE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89" authorId="0" shapeId="0" xr:uid="{C61BAC2D-300A-4899-996F-ADDB5E2B305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Mutual Materials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Forsyth, Grant</author>
    <author>Moon, Lindsey</author>
    <author>Joe Miller</author>
  </authors>
  <commentList>
    <comment ref="H49" authorId="0" shapeId="0" xr:uid="{0A4CCA0C-2676-455E-8182-121F49A4D30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50" authorId="0" shapeId="0" xr:uid="{F993E8F2-3B4E-461B-8FA0-F165412F4928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B51" authorId="1" shapeId="0" xr:uid="{3B178071-691F-4E54-AAF7-68AAC3E24F37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went to 112…the blocks in Q-U, when we pull in whiteowrth usage in 146 to 112, bring in here and calculate block usage and it will be the amt pulled over to bill determ for 112.</t>
        </r>
      </text>
    </comment>
    <comment ref="G51" authorId="0" shapeId="0" xr:uid="{052634D4-C57C-43C7-B282-820D6F8684B6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112</t>
        </r>
      </text>
    </comment>
    <comment ref="B52" authorId="1" shapeId="0" xr:uid="{5444FDCB-70A8-40D3-B956-68F29255F2C6}">
      <text>
        <r>
          <rPr>
            <b/>
            <sz val="9"/>
            <color indexed="81"/>
            <rFont val="Tahoma"/>
            <family val="2"/>
          </rPr>
          <t>Moon, Lindsey:</t>
        </r>
        <r>
          <rPr>
            <sz val="9"/>
            <color indexed="81"/>
            <rFont val="Tahoma"/>
            <family val="2"/>
          </rPr>
          <t xml:space="preserve">
Per Grant: FAFB Moving to Sch. 112 on October 1st, 2023</t>
        </r>
      </text>
    </comment>
    <comment ref="B72" authorId="2" shapeId="0" xr:uid="{00000000-0006-0000-0D00-000003000000}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250,000 minimum</t>
        </r>
      </text>
    </comment>
    <comment ref="H84" authorId="0" shapeId="0" xr:uid="{A8A7A9D8-2C1C-4EFF-9B65-DB9CE72425B2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  <comment ref="H85" authorId="0" shapeId="0" xr:uid="{D98810B2-34A3-4A2B-93EA-BB08C6A1FFD0}">
      <text>
        <r>
          <rPr>
            <b/>
            <sz val="9"/>
            <color indexed="81"/>
            <rFont val="Tahoma"/>
            <family val="2"/>
          </rPr>
          <t>Forsyth, Grant:</t>
        </r>
        <r>
          <rPr>
            <sz val="9"/>
            <color indexed="81"/>
            <rFont val="Tahoma"/>
            <family val="2"/>
          </rPr>
          <t xml:space="preserve">
Moved to sch. 132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<sst xmlns="http://schemas.openxmlformats.org/spreadsheetml/2006/main" count="1303" uniqueCount="651">
  <si>
    <t xml:space="preserve"> </t>
  </si>
  <si>
    <t>GEN SERVICE</t>
  </si>
  <si>
    <t>LRG GEN SVC</t>
  </si>
  <si>
    <t>EX LRG GEN SVC</t>
  </si>
  <si>
    <t>INTERRUPTIBLE</t>
  </si>
  <si>
    <t>TRANSPORT</t>
  </si>
  <si>
    <t>TOTAL</t>
  </si>
  <si>
    <t>SCHEDULE 101</t>
  </si>
  <si>
    <t>SCH. 111&amp;112</t>
  </si>
  <si>
    <t>SCH. 121&amp;122</t>
  </si>
  <si>
    <t>SCH. 131&amp;132</t>
  </si>
  <si>
    <t>SCHEDULE 146</t>
  </si>
  <si>
    <t>THERMS</t>
  </si>
  <si>
    <t>BLOCK 1</t>
  </si>
  <si>
    <t>BLOCK 2</t>
  </si>
  <si>
    <t>BLOCK 3</t>
  </si>
  <si>
    <t>BLOCK 4</t>
  </si>
  <si>
    <t>SUBTOTAL</t>
  </si>
  <si>
    <t>NET SHIFTING ADJUSTMENT</t>
  </si>
  <si>
    <t>ADJUSTMENT TO ACTUAL</t>
  </si>
  <si>
    <t>TOTAL BEFORE ADJUSTMENT</t>
  </si>
  <si>
    <t>WEATHER &amp; UNBILLED REV. ADJ.</t>
  </si>
  <si>
    <t>TOTAL PROFORMA THERMS</t>
  </si>
  <si>
    <t>TOTAL BILLS</t>
  </si>
  <si>
    <t>SCHEDULE 111</t>
  </si>
  <si>
    <t>SCHEDULE 121</t>
  </si>
  <si>
    <t>SCHEDULE 131</t>
  </si>
  <si>
    <t>PRESENT RATES</t>
  </si>
  <si>
    <t>BASIC CHARGE</t>
  </si>
  <si>
    <t>MONTHLY MINIMUM</t>
  </si>
  <si>
    <t>BLOCK 1 PER THERM</t>
  </si>
  <si>
    <t>BLOCK 2 PER THERM</t>
  </si>
  <si>
    <t>BLOCK 3 PER THERM</t>
  </si>
  <si>
    <t>BLOCK 4 PER THERM</t>
  </si>
  <si>
    <t>ADJUST TO ACTUAL PER THERM</t>
  </si>
  <si>
    <t>PROPOSED RATES</t>
  </si>
  <si>
    <t>PRESENT REVENUE</t>
  </si>
  <si>
    <t>ADJUST TO ACTUAL</t>
  </si>
  <si>
    <t>ADJUSTMENT REVENUE</t>
  </si>
  <si>
    <t>UNBILLED REVENUE ADJUSTMENT</t>
  </si>
  <si>
    <t>WEATHER NORMALIZATION ADJ</t>
  </si>
  <si>
    <t>OTHER ADJUSTMENTS</t>
  </si>
  <si>
    <t>TOTAL ADJUSTMENT REVENUE</t>
  </si>
  <si>
    <t>TOTAL PRESENT REVENUE</t>
  </si>
  <si>
    <t>PROPOSED REVENUE</t>
  </si>
  <si>
    <t>TOTAL PROPOSED REVENUE</t>
  </si>
  <si>
    <t>TOTAL INCREASED REVENUE</t>
  </si>
  <si>
    <t>PERCENT REVENUE INCREASE</t>
  </si>
  <si>
    <t>BASE LOAD</t>
  </si>
  <si>
    <t>WTHR-SENS.</t>
  </si>
  <si>
    <t>RATES</t>
  </si>
  <si>
    <t>REVENUE</t>
  </si>
  <si>
    <t>THERMS(1)</t>
  </si>
  <si>
    <t>AVERAGE RATE</t>
  </si>
  <si>
    <t>SCHEDULE 148</t>
  </si>
  <si>
    <t>BLOCK 5</t>
  </si>
  <si>
    <t>BLOCK 5 PER THERM</t>
  </si>
  <si>
    <t>ANN. MINIMUM</t>
  </si>
  <si>
    <t>Washington</t>
  </si>
  <si>
    <t>Total</t>
  </si>
  <si>
    <t>Sch 111</t>
  </si>
  <si>
    <t>Sch 121</t>
  </si>
  <si>
    <t>Sch 131</t>
  </si>
  <si>
    <t>Proposed Revenue</t>
  </si>
  <si>
    <t>Schedule 101</t>
  </si>
  <si>
    <t>Total therms</t>
  </si>
  <si>
    <t>0-200 thms</t>
  </si>
  <si>
    <t>201-1000 thms</t>
  </si>
  <si>
    <t>therms</t>
  </si>
  <si>
    <t>therms by block(2)</t>
  </si>
  <si>
    <t>1001-10000</t>
  </si>
  <si>
    <t>10000-</t>
  </si>
  <si>
    <t>0-500 thms</t>
  </si>
  <si>
    <t>501-1000 thms</t>
  </si>
  <si>
    <t>25000 thms</t>
  </si>
  <si>
    <t>&gt;25000 thms</t>
  </si>
  <si>
    <t>therms by block(3)</t>
  </si>
  <si>
    <t>first</t>
  </si>
  <si>
    <t>next</t>
  </si>
  <si>
    <t>over</t>
  </si>
  <si>
    <t>10000 thms</t>
  </si>
  <si>
    <t>15000 thms</t>
  </si>
  <si>
    <t>50000 thms</t>
  </si>
  <si>
    <t>billed/pro forma therms(4)</t>
  </si>
  <si>
    <t>Schedule 146</t>
  </si>
  <si>
    <t>20000 thms</t>
  </si>
  <si>
    <t>30000 thms</t>
  </si>
  <si>
    <t>250000 thms</t>
  </si>
  <si>
    <t>200000 thms</t>
  </si>
  <si>
    <t>500000 thms</t>
  </si>
  <si>
    <t>thms/mo</t>
  </si>
  <si>
    <t>1st</t>
  </si>
  <si>
    <t>ANNUAL USAGE, Sch 148</t>
  </si>
  <si>
    <t>Washington Potato</t>
  </si>
  <si>
    <t>Lamb-Weston</t>
  </si>
  <si>
    <t>Meters</t>
  </si>
  <si>
    <t>check</t>
  </si>
  <si>
    <t>AVISTA UTILITIES</t>
  </si>
  <si>
    <t>CUSTOMERS</t>
  </si>
  <si>
    <t>Revenue Runs</t>
  </si>
  <si>
    <t>Total Sch 146</t>
  </si>
  <si>
    <t>Total WA Sch 146</t>
  </si>
  <si>
    <t>ANNUAL USAGE, Sch 146</t>
  </si>
  <si>
    <t>Total WA Sch 148</t>
  </si>
  <si>
    <t>ANNUAL USAGE, Sch 147</t>
  </si>
  <si>
    <t>Total WA Sch 147</t>
  </si>
  <si>
    <t>billed/pro forma therms</t>
  </si>
  <si>
    <t>less:</t>
  </si>
  <si>
    <t>Diff</t>
  </si>
  <si>
    <t>Schedule 131,132</t>
  </si>
  <si>
    <t>PRESENT BILL DETERMINANTS</t>
  </si>
  <si>
    <t>PROPOSED BILL DETERMINANTS</t>
  </si>
  <si>
    <t>Tiers - used for bill comparisons</t>
  </si>
  <si>
    <t>Range Name</t>
  </si>
  <si>
    <t>Base Tariff Rates</t>
  </si>
  <si>
    <t>Rates_Base_Present</t>
  </si>
  <si>
    <t>Billing Rates</t>
  </si>
  <si>
    <t>Rates_Billing_Present</t>
  </si>
  <si>
    <t>Rates_Base_Proposed</t>
  </si>
  <si>
    <t>Rates_Billing_Proposed</t>
  </si>
  <si>
    <t>Proposed Rate Workup - from Pres &amp; Prop Rev tab</t>
  </si>
  <si>
    <t>ADJ. TO ACTUAL</t>
  </si>
  <si>
    <t>Proposed rates:</t>
  </si>
  <si>
    <t>Formulas to copy</t>
  </si>
  <si>
    <t>same as current</t>
  </si>
  <si>
    <t>FLOOR</t>
  </si>
  <si>
    <t>CEILING</t>
  </si>
  <si>
    <t>OTHER</t>
  </si>
  <si>
    <t>diff than current</t>
  </si>
  <si>
    <t>Basic Charge Revenue</t>
  </si>
  <si>
    <t>Present Block 1 Rate</t>
  </si>
  <si>
    <t>Present Block 2 Rate</t>
  </si>
  <si>
    <t>Present Block 3 Rate</t>
  </si>
  <si>
    <t>1) Flat Rate Increase</t>
  </si>
  <si>
    <t>2) % Rate Increase</t>
  </si>
  <si>
    <t>Method ---&gt;</t>
  </si>
  <si>
    <t>Calculated</t>
  </si>
  <si>
    <t>Input</t>
  </si>
  <si>
    <t>Adj. to Actual Revenue</t>
  </si>
  <si>
    <t>Weather &amp; U/B Revenue</t>
  </si>
  <si>
    <t>Revenue Remaining</t>
  </si>
  <si>
    <t>check - &lt; $4k is rounding</t>
  </si>
  <si>
    <t>Overall Revenue</t>
  </si>
  <si>
    <t>Avg. Usage</t>
  </si>
  <si>
    <t>Bill Compare:</t>
  </si>
  <si>
    <t>Pres</t>
  </si>
  <si>
    <t>Prop</t>
  </si>
  <si>
    <t>% Incr</t>
  </si>
  <si>
    <r>
      <t xml:space="preserve">%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 xml:space="preserve"> in Basic Charge</t>
    </r>
  </si>
  <si>
    <r>
      <t xml:space="preserve">Rate </t>
    </r>
    <r>
      <rPr>
        <u/>
        <sz val="10"/>
        <rFont val="Symbol"/>
        <family val="1"/>
        <charset val="2"/>
      </rPr>
      <t>D</t>
    </r>
    <r>
      <rPr>
        <u/>
        <sz val="10"/>
        <rFont val="Arial"/>
        <family val="2"/>
      </rPr>
      <t xml:space="preserve"> Check</t>
    </r>
  </si>
  <si>
    <t>SCH. 101</t>
  </si>
  <si>
    <t>SCH. 111,112</t>
  </si>
  <si>
    <t>SCH. 121,122</t>
  </si>
  <si>
    <t>SCH. 146</t>
  </si>
  <si>
    <t>SCH. 131,132</t>
  </si>
  <si>
    <t>TOTAL MINIMUM BILLS</t>
  </si>
  <si>
    <t>Present Basic/Min Charge</t>
  </si>
  <si>
    <t>Present Block 4 Rate</t>
  </si>
  <si>
    <t>Present Block 5 Rate</t>
  </si>
  <si>
    <t>Blocks 1-5 Revenue</t>
  </si>
  <si>
    <t>Block Therm Charges</t>
  </si>
  <si>
    <t>BASIC/MIN CHARGE</t>
  </si>
  <si>
    <t>Basic/Min Charge</t>
  </si>
  <si>
    <t>Revenue Remaining - ¢/Th</t>
  </si>
  <si>
    <t>Print Header for all printed pages on this worksheet:</t>
  </si>
  <si>
    <t>Calculate all revenue exhibits using  ____ rates:</t>
  </si>
  <si>
    <t>1)</t>
  </si>
  <si>
    <t>Base Tariff</t>
  </si>
  <si>
    <t>or</t>
  </si>
  <si>
    <t>2)</t>
  </si>
  <si>
    <t>- range name where Present Rates table can be found</t>
  </si>
  <si>
    <t>- range name where Proposed Rates table can be found</t>
  </si>
  <si>
    <t>ANNUAL MINIMUM</t>
  </si>
  <si>
    <t>BASE LOAD THERMS</t>
  </si>
  <si>
    <t>BASE LOAD RATE</t>
  </si>
  <si>
    <t>BASE LOAD REVENUE</t>
  </si>
  <si>
    <t>WEATHER-SENSITIVE THERMS</t>
  </si>
  <si>
    <t>WEATHER-SENSITIVE RATE</t>
  </si>
  <si>
    <t>WEATHER-SENSITIVE REVENUE</t>
  </si>
  <si>
    <t>TOTAL UNBILLED THERM ADJ</t>
  </si>
  <si>
    <t>TOTAL UNBILLED REVENUE ADJ</t>
  </si>
  <si>
    <t>0-200 THERMS</t>
  </si>
  <si>
    <t>201-1,000 THERMS</t>
  </si>
  <si>
    <t>PRESENT BASELOAD AND WEATHER-SENSITIVE RATE</t>
  </si>
  <si>
    <t>PROPOSED BASELOAD AND WEATHER-SENSITIVE RATE</t>
  </si>
  <si>
    <t>WORK PAPER</t>
  </si>
  <si>
    <t>REFERENCE</t>
  </si>
  <si>
    <t>Kaiser -Trentwood</t>
  </si>
  <si>
    <t>Mutual Materials</t>
  </si>
  <si>
    <t>Wash. State Univ.</t>
  </si>
  <si>
    <t>Targeted Rate Increase</t>
  </si>
  <si>
    <t>WEATHER &amp; U/B THERMS</t>
  </si>
  <si>
    <t>Proposed Target</t>
  </si>
  <si>
    <t>Proposed Actual</t>
  </si>
  <si>
    <t>Line</t>
  </si>
  <si>
    <t>No.</t>
  </si>
  <si>
    <t>Schedule</t>
  </si>
  <si>
    <t>(a)</t>
  </si>
  <si>
    <t>(b)</t>
  </si>
  <si>
    <t>(c)</t>
  </si>
  <si>
    <t>(d)</t>
  </si>
  <si>
    <t>(e)</t>
  </si>
  <si>
    <t>(f)</t>
  </si>
  <si>
    <t>General Service</t>
  </si>
  <si>
    <t>Large General Service</t>
  </si>
  <si>
    <t>Transportation Service</t>
  </si>
  <si>
    <t>This worksheet uses Base &amp; Billing rates from 'Rate Design' tab.</t>
  </si>
  <si>
    <t>PRESENT AND PROPOSED RATE COMPONENTS BY SCHEDULE</t>
  </si>
  <si>
    <t>Present</t>
  </si>
  <si>
    <t xml:space="preserve">General </t>
  </si>
  <si>
    <t xml:space="preserve">Proposed </t>
  </si>
  <si>
    <t xml:space="preserve">Present </t>
  </si>
  <si>
    <t xml:space="preserve">Rate </t>
  </si>
  <si>
    <t xml:space="preserve">Billing </t>
  </si>
  <si>
    <t>Increase</t>
  </si>
  <si>
    <t>(g)</t>
  </si>
  <si>
    <t>Basic Charge</t>
  </si>
  <si>
    <t>(000s of Dollars)</t>
  </si>
  <si>
    <t>Revenue</t>
  </si>
  <si>
    <t>Type of</t>
  </si>
  <si>
    <t>Proposed</t>
  </si>
  <si>
    <t>Percent</t>
  </si>
  <si>
    <t>Service</t>
  </si>
  <si>
    <t>Number</t>
  </si>
  <si>
    <t>(h)</t>
  </si>
  <si>
    <t xml:space="preserve">Interruptible Service </t>
  </si>
  <si>
    <t>Special Contracts</t>
  </si>
  <si>
    <t>Base</t>
  </si>
  <si>
    <t>Tariff</t>
  </si>
  <si>
    <t>101</t>
  </si>
  <si>
    <t>111</t>
  </si>
  <si>
    <t>146</t>
  </si>
  <si>
    <t>This worksheet pulls data from 'Pres &amp; Prop Rev' tab.</t>
  </si>
  <si>
    <t>PROPOSED INCREASE BY SERVICE SCHEDULE</t>
  </si>
  <si>
    <t>Total Billed</t>
  </si>
  <si>
    <t xml:space="preserve">Percent </t>
  </si>
  <si>
    <t>Under Present</t>
  </si>
  <si>
    <t>General</t>
  </si>
  <si>
    <t>Under Proposed</t>
  </si>
  <si>
    <t>at Present</t>
  </si>
  <si>
    <t>on Billed</t>
  </si>
  <si>
    <t>148</t>
  </si>
  <si>
    <t>Rates</t>
  </si>
  <si>
    <t>Usage Charge:</t>
  </si>
  <si>
    <t>Large General Service - Schedule 111</t>
  </si>
  <si>
    <t>General Service - Schedule 101</t>
  </si>
  <si>
    <t>Minimum Charge:</t>
  </si>
  <si>
    <t>per month</t>
  </si>
  <si>
    <t>per therm</t>
  </si>
  <si>
    <t>1st block rate</t>
  </si>
  <si>
    <t>High Annual Load Factor Large General Service - Schedule 121</t>
  </si>
  <si>
    <t>Transportation Service - Schedule 146</t>
  </si>
  <si>
    <t>Rate(1)</t>
  </si>
  <si>
    <t>USAGE &amp; BILLINGS BY RATE SCHEDULE</t>
  </si>
  <si>
    <t>BASE TARIFF</t>
  </si>
  <si>
    <t>BILLING</t>
  </si>
  <si>
    <t>Adjust. To Actual</t>
  </si>
  <si>
    <t>Total Billings</t>
  </si>
  <si>
    <t>from Present Rev tab</t>
  </si>
  <si>
    <t>this sheet</t>
  </si>
  <si>
    <t>Rev. Run customers</t>
  </si>
  <si>
    <t>Sch 146 normalize</t>
  </si>
  <si>
    <t>Customers from this sheet</t>
  </si>
  <si>
    <t>Sch 147 customers not billed</t>
  </si>
  <si>
    <t>Sch 147 Revenue from Rev. Runs</t>
  </si>
  <si>
    <t>Annual Minimum per therm</t>
  </si>
  <si>
    <t>Present:</t>
  </si>
  <si>
    <t>Proposed:</t>
  </si>
  <si>
    <t>Per Rev. Run(1)</t>
  </si>
  <si>
    <t>LIRAP increase</t>
  </si>
  <si>
    <t>Rate Schedule Num</t>
  </si>
  <si>
    <t>WASHINGTON GAS</t>
  </si>
  <si>
    <t>Washington Gas Billing Determinants by Customer</t>
  </si>
  <si>
    <t>12-mo ended</t>
  </si>
  <si>
    <t>Sch 131 normalize</t>
  </si>
  <si>
    <t>Sch 148 normalize</t>
  </si>
  <si>
    <t>Revenue Run therms, this sheet</t>
  </si>
  <si>
    <t>actual Revenue Run therms</t>
  </si>
  <si>
    <t>Sch 121/122</t>
  </si>
  <si>
    <t>Basic Charge Calc</t>
  </si>
  <si>
    <t>USAGE</t>
  </si>
  <si>
    <t>UNBILLED LOAD THERMS</t>
  </si>
  <si>
    <t>UNBILLED LOAD RATE</t>
  </si>
  <si>
    <t>UNBILLED LOAD REVENUE</t>
  </si>
  <si>
    <t>LOAD ADJUSTMENT</t>
  </si>
  <si>
    <t>1001-10,000 THERMS</t>
  </si>
  <si>
    <t>10,001-25,000 THERMS</t>
  </si>
  <si>
    <t>OVER 25,000 THERMS</t>
  </si>
  <si>
    <t>Difference</t>
  </si>
  <si>
    <t>WASHINGTON NATURAL GAS</t>
  </si>
  <si>
    <t>Type of Service</t>
  </si>
  <si>
    <t>ANNUAL USAGE, Sch 121/122</t>
  </si>
  <si>
    <t>Total WA Sch 121/122</t>
  </si>
  <si>
    <t>Sch 11/12 Shifting</t>
  </si>
  <si>
    <t>Total therms by block</t>
  </si>
  <si>
    <t>Rate</t>
  </si>
  <si>
    <t>Billing</t>
  </si>
  <si>
    <t>Rate Sch.</t>
  </si>
  <si>
    <t>Therms</t>
  </si>
  <si>
    <t>Sch 155 Rate</t>
  </si>
  <si>
    <t>Billing Impact</t>
  </si>
  <si>
    <t>Basic Charge/Minimum</t>
  </si>
  <si>
    <t>Therm Rate</t>
  </si>
  <si>
    <t>Bill Calculation</t>
  </si>
  <si>
    <t>111/112</t>
  </si>
  <si>
    <t>131/132</t>
  </si>
  <si>
    <t>Breakeven Proof Calc</t>
  </si>
  <si>
    <t>Interruptible Service - Schedule 132</t>
  </si>
  <si>
    <t>billed/pro forma therms(3)</t>
  </si>
  <si>
    <t>Sch. 147-Interdepartmental(3)</t>
  </si>
  <si>
    <t>Sch. 148-Sp. Contracts(3)</t>
  </si>
  <si>
    <t>&gt;70</t>
  </si>
  <si>
    <t>Total Therms</t>
  </si>
  <si>
    <t>Block 1</t>
  </si>
  <si>
    <t>Block 2</t>
  </si>
  <si>
    <t>Schedule 111</t>
  </si>
  <si>
    <t>Block 3</t>
  </si>
  <si>
    <t>0-70</t>
  </si>
  <si>
    <t>SPOKANE COUNTY COURTHOUSE (122 to 132)</t>
  </si>
  <si>
    <t xml:space="preserve">     Total WA Sch 132</t>
  </si>
  <si>
    <t>State Cde:WA</t>
  </si>
  <si>
    <t>Period</t>
  </si>
  <si>
    <t>12 Month Average</t>
  </si>
  <si>
    <t>Total for WA</t>
  </si>
  <si>
    <t>12 Month Total</t>
  </si>
  <si>
    <t xml:space="preserve">   First 70 Therms</t>
  </si>
  <si>
    <t xml:space="preserve">   All over 70 Therms</t>
  </si>
  <si>
    <t>0-70 THERMS</t>
  </si>
  <si>
    <t>OVER 70 THERMS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</si>
  <si>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</si>
  <si>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</si>
  <si>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</si>
  <si>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</si>
  <si>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</si>
  <si>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</si>
  <si>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</si>
  <si>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</si>
  <si>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</si>
  <si>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</si>
  <si>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</si>
  <si>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</si>
  <si>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Annual Total</t>
  </si>
  <si>
    <t>Rate Design Program Monthly Results</t>
  </si>
  <si>
    <t>Billed Customers</t>
  </si>
  <si>
    <t>Block 1 Limit</t>
  </si>
  <si>
    <t>Revenue Run Total</t>
  </si>
  <si>
    <t>WASHINGTON NATURAL GAS SYSTEM</t>
  </si>
  <si>
    <t>Gas Costs</t>
  </si>
  <si>
    <t>Gas Cost Difference</t>
  </si>
  <si>
    <t>Gas Cost Revenue</t>
  </si>
  <si>
    <t>Schedule 121</t>
  </si>
  <si>
    <t>Block 4</t>
  </si>
  <si>
    <t>therms per Revenue Run(1)(2)</t>
  </si>
  <si>
    <t>Present Base</t>
  </si>
  <si>
    <t>Proposed Base</t>
  </si>
  <si>
    <t>ANNUAL USAGE, Sch 132</t>
  </si>
  <si>
    <t>GRC</t>
  </si>
  <si>
    <t xml:space="preserve">Bill </t>
  </si>
  <si>
    <t>Check</t>
  </si>
  <si>
    <t>Minimum</t>
  </si>
  <si>
    <t>Annual</t>
  </si>
  <si>
    <t>MONTHLY/ANNUAL MINIMUM</t>
  </si>
  <si>
    <t>Weather &amp; Unbilled Revenue</t>
  </si>
  <si>
    <t>Annual Minimum Difference</t>
  </si>
  <si>
    <t>Sch 456 Annual Minimum Difference</t>
  </si>
  <si>
    <t>0101</t>
  </si>
  <si>
    <t>0111</t>
  </si>
  <si>
    <t>0132</t>
  </si>
  <si>
    <t>0146</t>
  </si>
  <si>
    <t>0147</t>
  </si>
  <si>
    <t>0148</t>
  </si>
  <si>
    <t>0158</t>
  </si>
  <si>
    <t>0158A</t>
  </si>
  <si>
    <t>0199</t>
  </si>
  <si>
    <t>Block 5</t>
  </si>
  <si>
    <t xml:space="preserve">Base </t>
  </si>
  <si>
    <t>Distribution Revenue</t>
  </si>
  <si>
    <t>Rates (1)</t>
  </si>
  <si>
    <t>111/121</t>
  </si>
  <si>
    <t>112/122</t>
  </si>
  <si>
    <t>Distribution</t>
  </si>
  <si>
    <t>Rate Adj. (1)</t>
  </si>
  <si>
    <t>Billing Rate</t>
  </si>
  <si>
    <t>Source Id</t>
  </si>
  <si>
    <t>REVUNBL-G</t>
  </si>
  <si>
    <t>Total for REVUNBL-G</t>
  </si>
  <si>
    <t>REVUNBL-GR</t>
  </si>
  <si>
    <t>Total for REVUNBL-GR</t>
  </si>
  <si>
    <t>SCH 148 - WSU</t>
  </si>
  <si>
    <t>Large General Service - Schedule 112</t>
  </si>
  <si>
    <t>155 Amort Rate</t>
  </si>
  <si>
    <t xml:space="preserve">Sch 111 </t>
  </si>
  <si>
    <t>Sch 112</t>
  </si>
  <si>
    <t>First 500 therms</t>
  </si>
  <si>
    <t>500 - 1,000 therms</t>
  </si>
  <si>
    <t>1,000 - 10,000 therms</t>
  </si>
  <si>
    <t>10,000 - 25,000 therms</t>
  </si>
  <si>
    <t>All over 25,000 therms</t>
  </si>
  <si>
    <t>First 10,000 therms</t>
  </si>
  <si>
    <t>25,000 - 50,000 therms</t>
  </si>
  <si>
    <t>All over 50,000 therms</t>
  </si>
  <si>
    <t>Sch 122</t>
  </si>
  <si>
    <t>Sch 132</t>
  </si>
  <si>
    <t>Billing Determinant</t>
  </si>
  <si>
    <t>NA</t>
  </si>
  <si>
    <t>BASIC CHARGE GAS</t>
  </si>
  <si>
    <t>RIDER 150</t>
  </si>
  <si>
    <t>RIDER 155</t>
  </si>
  <si>
    <t>RIDER 156</t>
  </si>
  <si>
    <t>RIDER 159</t>
  </si>
  <si>
    <t>RIDER 191</t>
  </si>
  <si>
    <t>RIDER 192</t>
  </si>
  <si>
    <t>THERMS BLOCK 1</t>
  </si>
  <si>
    <t>THERMS BLOCK 2</t>
  </si>
  <si>
    <t>Total for 0101</t>
  </si>
  <si>
    <t>0102</t>
  </si>
  <si>
    <t>RIDER 189</t>
  </si>
  <si>
    <t>Total for 0102</t>
  </si>
  <si>
    <t>THERMS BLOCK 3</t>
  </si>
  <si>
    <t>Total for 0111</t>
  </si>
  <si>
    <t>THERMS BLOCK 4</t>
  </si>
  <si>
    <t>THERMS BLOCK 5</t>
  </si>
  <si>
    <t>Total for 0121</t>
  </si>
  <si>
    <t>Total for 0122</t>
  </si>
  <si>
    <t>Total for 0132</t>
  </si>
  <si>
    <t>Total for 0146</t>
  </si>
  <si>
    <t>Total for 0147</t>
  </si>
  <si>
    <t>Total for 0148</t>
  </si>
  <si>
    <t>RIDER 158</t>
  </si>
  <si>
    <t>Total for 0158</t>
  </si>
  <si>
    <t>Total for 0158A</t>
  </si>
  <si>
    <t>Total for 0199</t>
  </si>
  <si>
    <t>Billings</t>
  </si>
  <si>
    <t>RIDER 175</t>
  </si>
  <si>
    <t>RIDER 197</t>
  </si>
  <si>
    <t>101/102</t>
  </si>
  <si>
    <t>Sch 189 Rate</t>
  </si>
  <si>
    <t>Sch 132 Jan 2016 billing</t>
  </si>
  <si>
    <t>Schedule 121 Shifting</t>
  </si>
  <si>
    <t>Sch 146 Shifting</t>
  </si>
  <si>
    <t>Sch 175</t>
  </si>
  <si>
    <t>Decoupling</t>
  </si>
  <si>
    <t>Avg</t>
  </si>
  <si>
    <t>Schedule 101/102</t>
  </si>
  <si>
    <t>SCH. 101 &amp; 102</t>
  </si>
  <si>
    <t>0112</t>
  </si>
  <si>
    <t>Total for 0112</t>
  </si>
  <si>
    <t>112</t>
  </si>
  <si>
    <t>147</t>
  </si>
  <si>
    <t>less: Closed Acct</t>
  </si>
  <si>
    <t>less: Acct closed (2)</t>
  </si>
  <si>
    <t>SCH. 111,112,116</t>
  </si>
  <si>
    <t>SCH. 121,122,126</t>
  </si>
  <si>
    <t>111/112/116</t>
  </si>
  <si>
    <t>121/122/126</t>
  </si>
  <si>
    <t>SCH. 121,122&amp;126</t>
  </si>
  <si>
    <t>SCH. 111,112&amp;116</t>
  </si>
  <si>
    <t>Sch 175 Rate</t>
  </si>
  <si>
    <t>No 116 in Test Year</t>
  </si>
  <si>
    <t>No 126 in Test Year</t>
  </si>
  <si>
    <t>Base Revenue</t>
  </si>
  <si>
    <t xml:space="preserve">Therm </t>
  </si>
  <si>
    <t>Sch 150</t>
  </si>
  <si>
    <t>plus</t>
  </si>
  <si>
    <t># of Bills</t>
  </si>
  <si>
    <t>Avg Bill</t>
  </si>
  <si>
    <t>Sales</t>
  </si>
  <si>
    <t>PGA Rate</t>
  </si>
  <si>
    <t xml:space="preserve">Per </t>
  </si>
  <si>
    <t>Customer</t>
  </si>
  <si>
    <t>Add:  Sch 121/122</t>
  </si>
  <si>
    <t>Total Usage</t>
  </si>
  <si>
    <t>Large General Svc.-High Annual Load Factor (2)</t>
  </si>
  <si>
    <t>(1) Base load per bill for Schedule 101 is shown on workpaper JDM-G-18 multiplied by total billings from JDM-G-1, or</t>
  </si>
  <si>
    <t>(1) Base load per bill for Schedule 111 is shown on workpaper JDM-G-18 multiplied by total billings from JDM-G-1, or</t>
  </si>
  <si>
    <t>High Annual Load Factor Large General Service - Schedule 121 (Discontinued)</t>
  </si>
  <si>
    <t>**DISCONTINUED**</t>
  </si>
  <si>
    <t>Sch 121/122 disc</t>
  </si>
  <si>
    <t>(UG-190334)</t>
  </si>
  <si>
    <t>Schedule 111,112, 116 - Adjusted</t>
  </si>
  <si>
    <t>Sch 146 to Sch 112</t>
  </si>
  <si>
    <t>Sch 112 to 146</t>
  </si>
  <si>
    <t xml:space="preserve">Schedule 111,112, 116 </t>
  </si>
  <si>
    <t>Schedule 121,122 (Discontinued)</t>
  </si>
  <si>
    <t>Discontinued in UG-190335</t>
  </si>
  <si>
    <t>(1) Includes Schedule 150 (Purchase Gas Cost Adjustment), Schedule 155 (Gas Rate Adjustment), Schedule 194 (Remand Rebate),</t>
  </si>
  <si>
    <t>Credit</t>
  </si>
  <si>
    <t xml:space="preserve">LIRAP </t>
  </si>
  <si>
    <t>Billed</t>
  </si>
  <si>
    <t>Change</t>
  </si>
  <si>
    <t>Tax</t>
  </si>
  <si>
    <t xml:space="preserve">  Schedule 175 (Decoupling), Schedule 191 (DSM Adjustment), Schedule 194 (Remand) and Schedule 192 (LIRAP Adjustment).</t>
  </si>
  <si>
    <t>Sch. 176</t>
  </si>
  <si>
    <t>Tax Credit</t>
  </si>
  <si>
    <t>Decrease</t>
  </si>
  <si>
    <t>(I)</t>
  </si>
  <si>
    <t>(j)</t>
  </si>
  <si>
    <t>LIRAP</t>
  </si>
  <si>
    <t>Sch. 192</t>
  </si>
  <si>
    <t>LIRAP Percentage</t>
  </si>
  <si>
    <t>LIRAP Calculation</t>
  </si>
  <si>
    <t>Sch 150 Gas Cost</t>
  </si>
  <si>
    <t>Total Base Revenue</t>
  </si>
  <si>
    <t>Sch 101 Increase</t>
  </si>
  <si>
    <t>Final</t>
  </si>
  <si>
    <t>Base % Change</t>
  </si>
  <si>
    <t>Sch 192</t>
  </si>
  <si>
    <t>Sch 176</t>
  </si>
  <si>
    <t>n/a</t>
  </si>
  <si>
    <t>Schedule 111/112/116</t>
  </si>
  <si>
    <t>Not Used</t>
  </si>
  <si>
    <t xml:space="preserve">Rev Norm Bill Determinant 12 ME Report for Report Date : '06/30/2023'  </t>
  </si>
  <si>
    <t>12 MONTHS ENDED JUNE 30, 2023</t>
  </si>
  <si>
    <t>pull from compliance filing from prior case</t>
  </si>
  <si>
    <t>SCH. 131 &amp; 132</t>
  </si>
  <si>
    <t>MUTUAL MATERIALS (to Sch 146)</t>
  </si>
  <si>
    <t>Add: Shifted from Sch 146</t>
  </si>
  <si>
    <t>shifted to 146 from 148</t>
  </si>
  <si>
    <t>shifted to 132 from 146</t>
  </si>
  <si>
    <t>shifted to 112 from 146</t>
  </si>
  <si>
    <t>Sch 147</t>
  </si>
  <si>
    <t>(1) Includes Schedule 150 (Purchase Gas Cost Adjustment), Schedule 155 (Gas Rate Adjustment), Schedule 161 (IV Funding), Schedule 166 (Insurance), Schedule 175 (Decoupling),</t>
  </si>
  <si>
    <t xml:space="preserve">  Schedule 178 (Tax Credit), Schedule 191 (DSM Adjustment), and Schedule 192 (LIRAP Adjustment).</t>
  </si>
  <si>
    <t>Customer (to Sch 132)</t>
  </si>
  <si>
    <t>Customer (to Sch 112)</t>
  </si>
  <si>
    <t>Customer (from Sch 148)</t>
  </si>
  <si>
    <t>Customer (from Sch 146)</t>
  </si>
  <si>
    <t xml:space="preserve">Customer   </t>
  </si>
  <si>
    <t>Special Contract</t>
  </si>
  <si>
    <t>(1) Block 1 - Contract</t>
  </si>
  <si>
    <t>Block 2 - Contract</t>
  </si>
  <si>
    <t>Block 4 - Contract</t>
  </si>
  <si>
    <t>Block 5 - Contract</t>
  </si>
  <si>
    <t xml:space="preserve">(2) Monthly minimum / rate per therm </t>
  </si>
  <si>
    <t>Rev related exp.</t>
  </si>
  <si>
    <t>"Total Transp Rev" for COS</t>
  </si>
  <si>
    <t>Conver. Factor b4 FIT</t>
  </si>
  <si>
    <t>** includes Special Contract revenue (Sch 148); moved to "Other Revenue" in Cost of Service</t>
  </si>
  <si>
    <t>* zero in Pro-forma revenues</t>
  </si>
  <si>
    <t>Net Operating Income</t>
  </si>
  <si>
    <t>FIT Expense</t>
  </si>
  <si>
    <t>Operating Income before FIT</t>
  </si>
  <si>
    <t>Nominal Rate</t>
  </si>
  <si>
    <t>Commission Fees</t>
  </si>
  <si>
    <t>Effective Rate</t>
  </si>
  <si>
    <t>Uncollectibles</t>
  </si>
  <si>
    <t>State Excise Tax</t>
  </si>
  <si>
    <t>GTI Funding 813</t>
  </si>
  <si>
    <t>Gas Purchases</t>
  </si>
  <si>
    <t>Expense</t>
  </si>
  <si>
    <t>Total Revenue Adjustment</t>
  </si>
  <si>
    <t>Decoupling Deferred Revenue</t>
  </si>
  <si>
    <t>Provision For Rate Refund - Tax Reform</t>
  </si>
  <si>
    <t>Elim Decoupling Earnings Sharing in Test Period</t>
  </si>
  <si>
    <t>Provision For Rate Refund - Decoupling</t>
  </si>
  <si>
    <t>Calc</t>
  </si>
  <si>
    <t>Tariffed Sales</t>
  </si>
  <si>
    <t>Transportation For Others**</t>
  </si>
  <si>
    <t>Unbilled Revenue Transportation *</t>
  </si>
  <si>
    <t>Base Revenue, Transportation</t>
  </si>
  <si>
    <t>Sales to Ultimate Consumers / Genl Bus. Rev</t>
  </si>
  <si>
    <t>Unbilled Revenue</t>
  </si>
  <si>
    <t>Weather Normalization</t>
  </si>
  <si>
    <t xml:space="preserve">Base Revenue </t>
  </si>
  <si>
    <t>WP Source</t>
  </si>
  <si>
    <t>Norm. Adj.</t>
  </si>
  <si>
    <t>Adjust</t>
  </si>
  <si>
    <t>Pro-Forma</t>
  </si>
  <si>
    <t>CB Restated</t>
  </si>
  <si>
    <t>Rates Effective December 21, 2023</t>
  </si>
  <si>
    <t>WA Gas Normalized Revenue -- 12 months ended June 30, 2023</t>
  </si>
  <si>
    <t>Rate Revenue</t>
  </si>
  <si>
    <t>WSU capital payments charge</t>
  </si>
  <si>
    <t>Schedule 148</t>
  </si>
  <si>
    <t>Schedule 147</t>
  </si>
  <si>
    <t>Schedule 132</t>
  </si>
  <si>
    <t>Schedule 131</t>
  </si>
  <si>
    <t>Schedule 122</t>
  </si>
  <si>
    <t>Schedule 112</t>
  </si>
  <si>
    <t>Includes Adjustment Schedules 150, 155, and 191</t>
  </si>
  <si>
    <t>addback Comm/Ind refund (net of tax)</t>
  </si>
  <si>
    <t>Exclude Sch 158 B&amp;O Taxes</t>
  </si>
  <si>
    <t>General Business Revenue</t>
  </si>
  <si>
    <t>plus: Revenue Recorded by Journal (WSU capital pmts)</t>
  </si>
  <si>
    <t>less: Misc Service Revenues</t>
  </si>
  <si>
    <t>Revenue Run Total Washington</t>
  </si>
  <si>
    <t>Other Gas Revenues</t>
  </si>
  <si>
    <t>Sales for Resale Revenue</t>
  </si>
  <si>
    <t>Rent from Gas Property</t>
  </si>
  <si>
    <t>Misc Service Revenues</t>
  </si>
  <si>
    <t>Total Gas Revenues, WA (Direct + Allocated)</t>
  </si>
  <si>
    <t>WASH</t>
  </si>
  <si>
    <t>* Transportation Unbilled Revenue is included in Sales to Ultimate Consumers per Results of Operations</t>
  </si>
  <si>
    <t>EAS</t>
  </si>
  <si>
    <t>DFIT Amortization</t>
  </si>
  <si>
    <t>FIT @ 21%</t>
  </si>
  <si>
    <t>Less Income Tax (related to EAS - Schedules 176 &amp; 178)</t>
  </si>
  <si>
    <t>Net Revenue Less Gas Costs</t>
  </si>
  <si>
    <t>Expense Gross Up Factor</t>
  </si>
  <si>
    <t xml:space="preserve">    Total Expenses</t>
  </si>
  <si>
    <t>CF</t>
  </si>
  <si>
    <t>2015 Remand Amortization</t>
  </si>
  <si>
    <t>Optional Renewable - Sch 195</t>
  </si>
  <si>
    <t>AFUDC Portion - Sch 176</t>
  </si>
  <si>
    <t>Public Purpose Rider Unbilled</t>
  </si>
  <si>
    <t>Public Purpose Rider</t>
  </si>
  <si>
    <t>Product Extraction sales in PGA</t>
  </si>
  <si>
    <t>Net Natural Gas Storage Transactions</t>
  </si>
  <si>
    <t>ROO</t>
  </si>
  <si>
    <t>GTI Funding 813010</t>
  </si>
  <si>
    <t>Prior Period Gas Cost Amortization</t>
  </si>
  <si>
    <t>B&amp;O</t>
  </si>
  <si>
    <t>B&amp;O Tax</t>
  </si>
  <si>
    <t>Total Gas Revenue</t>
  </si>
  <si>
    <t xml:space="preserve">     Total Other Revenue</t>
  </si>
  <si>
    <t>Other Revenue - Miscellaneous</t>
  </si>
  <si>
    <t xml:space="preserve"> Decoupling Deferred Revenue is net of revenue related expenses that will be incurred upon amortization</t>
  </si>
  <si>
    <t>Other Revenue - Decoupling Deferred Revenue</t>
  </si>
  <si>
    <t>WN/EAS</t>
  </si>
  <si>
    <t>Other Revenue - Decoupling Amortization</t>
  </si>
  <si>
    <t>Provision for Rate Refund - Tax Reform</t>
  </si>
  <si>
    <t>Provision for Rate Refund - Decoupling</t>
  </si>
  <si>
    <t>Deferred Exchange</t>
  </si>
  <si>
    <t>Sales for Resale</t>
  </si>
  <si>
    <t>Transportation For Others</t>
  </si>
  <si>
    <t>B&amp;O Tax, Transportation</t>
  </si>
  <si>
    <t>ROO / Calc</t>
  </si>
  <si>
    <t>Public Purpose Rider - Sch 189/191/192</t>
  </si>
  <si>
    <t>Decoupling Amortization - Sch 175</t>
  </si>
  <si>
    <t>2015 Remand Refund - Sch 194</t>
  </si>
  <si>
    <t>Tax Credits - Sch 178</t>
  </si>
  <si>
    <t>Tax Credit Portion - Sch 176</t>
  </si>
  <si>
    <t>B&amp;O Tax - Sch 158</t>
  </si>
  <si>
    <t>Gas Rate Adjustment - Sch 155</t>
  </si>
  <si>
    <t xml:space="preserve"> Weather Normalization adjustment excluded base rate revenue captured in the Decoupling deferred revenue (mechanism began January 2015)</t>
  </si>
  <si>
    <t>WN</t>
  </si>
  <si>
    <t>Gas Cost Revenue - Sch 150</t>
  </si>
  <si>
    <t xml:space="preserve">Base Rate Revenue </t>
  </si>
  <si>
    <t>and Gas Cost</t>
  </si>
  <si>
    <t>Restating</t>
  </si>
  <si>
    <t>Adder Sched</t>
  </si>
  <si>
    <t>Normalization</t>
  </si>
  <si>
    <t>B&amp;O Taxes</t>
  </si>
  <si>
    <t>Actuals</t>
  </si>
  <si>
    <t>Normalized CB</t>
  </si>
  <si>
    <t>Misc</t>
  </si>
  <si>
    <t>Eliminate</t>
  </si>
  <si>
    <t>Weather</t>
  </si>
  <si>
    <t>$000's</t>
  </si>
  <si>
    <t>WA Gas Normalized Revenue --12 months ended June 30, 2023</t>
  </si>
  <si>
    <t>The amounts below are soursed from the referenced adjustments in each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</si>
</sst>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#,##0.000\¢\ ;\(#,##0.000\¢\)"/>
    <numFmt numFmtId="166" formatCode="_(* #,##0_);_(* \(#,##0\);_(* &quot;-&quot;??_);_(@_)"/>
    <numFmt numFmtId="167" formatCode="#,##0.000"/>
    <numFmt numFmtId="168" formatCode="&quot;$&quot;#,##0"/>
    <numFmt numFmtId="169" formatCode="0.000"/>
    <numFmt numFmtId="170" formatCode="#,##0;;"/>
    <numFmt numFmtId="171" formatCode="&quot;Over&quot;"/>
    <numFmt numFmtId="172" formatCode="&quot;$&quot;#,##0.00000_);\(&quot;$&quot;#,##0.00000\)"/>
    <numFmt numFmtId="173" formatCode="#,##0;\-#,##0;"/>
    <numFmt numFmtId="174" formatCode="&quot;$&quot;#,##0.00"/>
    <numFmt numFmtId="175" formatCode="0.0%"/>
    <numFmt numFmtId="176" formatCode="&quot;$&quot;#,##0.00;\-&quot;$&quot;#,##0.00;"/>
    <numFmt numFmtId="177" formatCode="&quot;$&quot;#,##0;\-&quot;$&quot;#,##0;"/>
    <numFmt numFmtId="178" formatCode=";;;"/>
    <numFmt numFmtId="179" formatCode="#,##0.000\¢\ ;\(#,##0.000\¢\);"/>
    <numFmt numFmtId="180" formatCode="&quot;$&quot;#,##0.00000"/>
    <numFmt numFmtId="181" formatCode="0.0%;\-0.0%;"/>
    <numFmt numFmtId="182" formatCode="&quot;$&quot;#,##0_);\(&quot;$&quot;#,##0\);"/>
    <numFmt numFmtId="183" formatCode="#,##0_);\(#,##0\);"/>
    <numFmt numFmtId="184" formatCode="&quot;$&quot;#,##0.00000_);\(&quot;$&quot;#,##0.00000\);"/>
    <numFmt numFmtId="185" formatCode="0.00000"/>
    <numFmt numFmtId="186" formatCode="mmm\ yy"/>
    <numFmt numFmtId="187" formatCode="#,##0.00000_);\(#,##0.00000\)"/>
    <numFmt numFmtId="188" formatCode="_(* #,##0.00000_);_(* \(#,##0.00000\);_(* &quot;-&quot;?????_);_(@_)"/>
    <numFmt numFmtId="189" formatCode="_(&quot;$&quot;* #,##0_);_(&quot;$&quot;* \(#,##0\);_(&quot;$&quot;* &quot;-&quot;??_);_(@_)"/>
    <numFmt numFmtId="190" formatCode="_(&quot;$&quot;* #,##0.00000_);_(&quot;$&quot;* \(#,##0.00000\);_(&quot;$&quot;* &quot;-&quot;??_);_(@_)"/>
    <numFmt numFmtId="191" formatCode="&quot;$&quot;#,##0.0;\-&quot;$&quot;#,##0;"/>
    <numFmt numFmtId="192" formatCode="0.000000"/>
    <numFmt numFmtId="193" formatCode="0.0000%"/>
    <numFmt numFmtId="194" formatCode="#,##0.000,"/>
  </numFmts>
  <fonts count="9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sz val="11"/>
      <color indexed="81"/>
      <name val="Tahoma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8"/>
      <name val="Courier"/>
      <family val="3"/>
    </font>
    <font>
      <sz val="8"/>
      <name val="Geneva"/>
    </font>
    <font>
      <b/>
      <sz val="11"/>
      <name val="Arial"/>
      <family val="2"/>
    </font>
    <font>
      <sz val="10"/>
      <color indexed="39"/>
      <name val="Arial"/>
      <family val="2"/>
    </font>
    <font>
      <sz val="10"/>
      <name val="Symbol"/>
      <family val="1"/>
      <charset val="2"/>
    </font>
    <font>
      <u/>
      <sz val="10"/>
      <name val="Symbol"/>
      <family val="1"/>
      <charset val="2"/>
    </font>
    <font>
      <u/>
      <sz val="8"/>
      <name val="Geneva"/>
    </font>
    <font>
      <b/>
      <sz val="9"/>
      <name val="Arial"/>
      <family val="2"/>
    </font>
    <font>
      <b/>
      <sz val="8"/>
      <name val="Geneva"/>
    </font>
    <font>
      <sz val="8"/>
      <color indexed="12"/>
      <name val="Arial"/>
      <family val="2"/>
    </font>
    <font>
      <sz val="8"/>
      <color indexed="12"/>
      <name val="Geneva"/>
    </font>
    <font>
      <sz val="8"/>
      <color indexed="81"/>
      <name val="Tahoma"/>
      <family val="2"/>
    </font>
    <font>
      <sz val="9"/>
      <name val="Geneva"/>
    </font>
    <font>
      <sz val="9"/>
      <color indexed="81"/>
      <name val="Tahoma"/>
      <family val="2"/>
    </font>
    <font>
      <b/>
      <sz val="8"/>
      <color indexed="12"/>
      <name val="Geneva"/>
    </font>
    <font>
      <b/>
      <i/>
      <sz val="10"/>
      <name val="Arial"/>
      <family val="2"/>
    </font>
    <font>
      <sz val="8"/>
      <name val="Arial Narrow"/>
      <family val="2"/>
    </font>
    <font>
      <b/>
      <sz val="8"/>
      <color indexed="81"/>
      <name val="Tahoma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Tahoma"/>
      <family val="2"/>
    </font>
    <font>
      <sz val="12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Times New Roman"/>
      <family val="1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4"/>
      <name val="Arial"/>
      <family val="2"/>
    </font>
    <font>
      <sz val="12"/>
      <color indexed="10"/>
      <name val="Times New Roman"/>
      <family val="1"/>
    </font>
    <font>
      <sz val="10"/>
      <color rgb="FF0000F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8"/>
      <color theme="0"/>
      <name val="Tahoma"/>
      <family val="2"/>
    </font>
    <font>
      <sz val="8"/>
      <color theme="6" tint="-0.249977111117893"/>
      <name val="Arial"/>
      <family val="2"/>
    </font>
    <font>
      <b/>
      <sz val="10"/>
      <name val="Calibri"/>
      <family val="2"/>
      <scheme val="minor"/>
    </font>
    <font>
      <u val="singleAccounting"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Arial"/>
      <family val="2"/>
    </font>
    <font>
      <sz val="10"/>
      <color rgb="FF00B050"/>
      <name val="Arial"/>
      <family val="2"/>
    </font>
    <font>
      <b/>
      <u/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86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7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8" fontId="5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3" fillId="0" borderId="0"/>
    <xf numFmtId="0" fontId="52" fillId="0" borderId="0"/>
    <xf numFmtId="0" fontId="27" fillId="0" borderId="0"/>
    <xf numFmtId="0" fontId="51" fillId="0" borderId="0"/>
    <xf numFmtId="0" fontId="27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38" fontId="56" fillId="0" borderId="0" applyNumberFormat="0" applyFont="0" applyFill="0" applyBorder="0">
      <alignment horizontal="left" indent="4"/>
      <protection locked="0"/>
    </xf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12">
      <alignment horizontal="center"/>
    </xf>
    <xf numFmtId="3" fontId="57" fillId="0" borderId="0" applyFont="0" applyFill="0" applyBorder="0" applyAlignment="0" applyProtection="0"/>
    <xf numFmtId="0" fontId="57" fillId="8" borderId="0" applyNumberFormat="0" applyFont="0" applyBorder="0" applyAlignment="0" applyProtection="0"/>
    <xf numFmtId="166" fontId="51" fillId="2" borderId="0" applyFont="0" applyFill="0" applyBorder="0" applyAlignment="0" applyProtection="0">
      <alignment wrapText="1"/>
    </xf>
    <xf numFmtId="0" fontId="13" fillId="9" borderId="0" applyNumberFormat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55" fillId="0" borderId="0"/>
    <xf numFmtId="0" fontId="60" fillId="3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0" applyNumberFormat="0" applyFill="0" applyBorder="0" applyAlignment="0" applyProtection="0"/>
    <xf numFmtId="0" fontId="66" fillId="11" borderId="0" applyNumberFormat="0" applyBorder="0" applyAlignment="0" applyProtection="0"/>
    <xf numFmtId="0" fontId="67" fillId="12" borderId="0" applyNumberFormat="0" applyBorder="0" applyAlignment="0" applyProtection="0"/>
    <xf numFmtId="0" fontId="68" fillId="13" borderId="0" applyNumberFormat="0" applyBorder="0" applyAlignment="0" applyProtection="0"/>
    <xf numFmtId="0" fontId="69" fillId="14" borderId="16" applyNumberFormat="0" applyAlignment="0" applyProtection="0"/>
    <xf numFmtId="0" fontId="70" fillId="15" borderId="17" applyNumberFormat="0" applyAlignment="0" applyProtection="0"/>
    <xf numFmtId="0" fontId="71" fillId="15" borderId="16" applyNumberFormat="0" applyAlignment="0" applyProtection="0"/>
    <xf numFmtId="0" fontId="72" fillId="0" borderId="18" applyNumberFormat="0" applyFill="0" applyAlignment="0" applyProtection="0"/>
    <xf numFmtId="0" fontId="73" fillId="16" borderId="19" applyNumberFormat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1" applyNumberFormat="0" applyFill="0" applyAlignment="0" applyProtection="0"/>
    <xf numFmtId="0" fontId="77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77" fillId="25" borderId="0" applyNumberFormat="0" applyBorder="0" applyAlignment="0" applyProtection="0"/>
    <xf numFmtId="0" fontId="77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77" fillId="29" borderId="0" applyNumberFormat="0" applyBorder="0" applyAlignment="0" applyProtection="0"/>
    <xf numFmtId="0" fontId="77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77" fillId="33" borderId="0" applyNumberFormat="0" applyBorder="0" applyAlignment="0" applyProtection="0"/>
    <xf numFmtId="0" fontId="77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7" fillId="37" borderId="0" applyNumberFormat="0" applyBorder="0" applyAlignment="0" applyProtection="0"/>
    <xf numFmtId="0" fontId="77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77" fillId="41" borderId="0" applyNumberFormat="0" applyBorder="0" applyAlignment="0" applyProtection="0"/>
    <xf numFmtId="0" fontId="52" fillId="0" borderId="0"/>
    <xf numFmtId="9" fontId="13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3" fontId="13" fillId="42" borderId="0" applyFont="0" applyFill="0" applyBorder="0" applyAlignment="0" applyProtection="0"/>
    <xf numFmtId="5" fontId="13" fillId="42" borderId="0" applyFont="0" applyFill="0" applyBorder="0" applyAlignment="0" applyProtection="0"/>
    <xf numFmtId="0" fontId="13" fillId="42" borderId="0" applyFont="0" applyFill="0" applyBorder="0" applyAlignment="0" applyProtection="0"/>
    <xf numFmtId="2" fontId="13" fillId="42" borderId="0" applyFont="0" applyFill="0" applyBorder="0" applyAlignment="0" applyProtection="0"/>
    <xf numFmtId="41" fontId="79" fillId="2" borderId="22">
      <alignment horizontal="left"/>
      <protection locked="0"/>
    </xf>
    <xf numFmtId="0" fontId="27" fillId="0" borderId="0"/>
    <xf numFmtId="44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8" fillId="0" borderId="0"/>
    <xf numFmtId="9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7" fillId="0" borderId="0"/>
    <xf numFmtId="9" fontId="7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8" fillId="0" borderId="0"/>
    <xf numFmtId="43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9" fillId="17" borderId="20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78" fillId="0" borderId="0"/>
    <xf numFmtId="9" fontId="52" fillId="0" borderId="0" applyFont="0" applyFill="0" applyBorder="0" applyAlignment="0" applyProtection="0"/>
    <xf numFmtId="0" fontId="52" fillId="0" borderId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78" fillId="0" borderId="0"/>
    <xf numFmtId="0" fontId="78" fillId="0" borderId="0"/>
    <xf numFmtId="44" fontId="13" fillId="0" borderId="0" applyFont="0" applyFill="0" applyBorder="0" applyAlignment="0" applyProtection="0"/>
    <xf numFmtId="0" fontId="9" fillId="0" borderId="0"/>
    <xf numFmtId="9" fontId="5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9" fillId="0" borderId="0"/>
    <xf numFmtId="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8" fillId="0" borderId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8" fillId="0" borderId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9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2" fillId="0" borderId="0"/>
    <xf numFmtId="43" fontId="27" fillId="0" borderId="0" applyFont="0" applyFill="0" applyBorder="0" applyAlignment="0" applyProtection="0"/>
    <xf numFmtId="0" fontId="27" fillId="0" borderId="0"/>
    <xf numFmtId="0" fontId="13" fillId="0" borderId="0"/>
    <xf numFmtId="43" fontId="52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13" fillId="0" borderId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0" fontId="52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52" fillId="0" borderId="0"/>
    <xf numFmtId="43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8" fillId="0" borderId="0"/>
    <xf numFmtId="9" fontId="78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9" fontId="1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2" fillId="0" borderId="0"/>
    <xf numFmtId="44" fontId="13" fillId="0" borderId="0" applyFont="0" applyFill="0" applyBorder="0" applyAlignment="0" applyProtection="0"/>
    <xf numFmtId="0" fontId="52" fillId="0" borderId="0"/>
    <xf numFmtId="9" fontId="78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78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52" fillId="0" borderId="0"/>
    <xf numFmtId="43" fontId="13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7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13" fillId="0" borderId="0" applyFont="0" applyFill="0" applyBorder="0" applyAlignment="0" applyProtection="0"/>
    <xf numFmtId="0" fontId="52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8" fillId="0" borderId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7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5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13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5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2" fillId="0" borderId="0"/>
    <xf numFmtId="0" fontId="13" fillId="0" borderId="0"/>
    <xf numFmtId="0" fontId="7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52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2" fillId="0" borderId="0"/>
    <xf numFmtId="0" fontId="27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52" fillId="0" borderId="0"/>
    <xf numFmtId="44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8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52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7" fillId="0" borderId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3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7" fillId="0" borderId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3" fillId="0" borderId="0"/>
    <xf numFmtId="9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27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8" fillId="0" borderId="0"/>
    <xf numFmtId="44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52" fillId="0" borderId="0"/>
    <xf numFmtId="44" fontId="27" fillId="0" borderId="0" applyFont="0" applyFill="0" applyBorder="0" applyAlignment="0" applyProtection="0"/>
    <xf numFmtId="0" fontId="52" fillId="0" borderId="0"/>
    <xf numFmtId="43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52" fillId="0" borderId="0"/>
    <xf numFmtId="43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9" fontId="7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52" fillId="0" borderId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43" fontId="52" fillId="0" borderId="0" applyFont="0" applyFill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4" fontId="27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43" fontId="27" fillId="0" borderId="0" applyFont="0" applyFill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78" fillId="0" borderId="0"/>
    <xf numFmtId="44" fontId="13" fillId="0" borderId="0" applyFont="0" applyFill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43" fontId="13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7" fillId="0" borderId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8" fillId="17" borderId="2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3" fillId="0" borderId="0"/>
    <xf numFmtId="0" fontId="13" fillId="0" borderId="0">
      <alignment readingOrder="1"/>
    </xf>
    <xf numFmtId="40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1" fillId="0" borderId="0"/>
    <xf numFmtId="9" fontId="27" fillId="0" borderId="0" applyFont="0" applyFill="0" applyBorder="0" applyAlignment="0" applyProtection="0"/>
    <xf numFmtId="0" fontId="7" fillId="23" borderId="0" applyNumberFormat="0" applyBorder="0" applyAlignment="0" applyProtection="0"/>
    <xf numFmtId="0" fontId="13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3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9" borderId="0" applyNumberFormat="0" applyBorder="0" applyAlignment="0" applyProtection="0"/>
    <xf numFmtId="0" fontId="5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36" borderId="0" applyNumberFormat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8" fillId="0" borderId="0"/>
    <xf numFmtId="9" fontId="1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7" fillId="0" borderId="0"/>
    <xf numFmtId="0" fontId="7" fillId="35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/>
    <xf numFmtId="0" fontId="7" fillId="3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8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20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9" fontId="7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27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7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17" borderId="20" applyNumberFormat="0" applyFont="0" applyAlignment="0" applyProtection="0"/>
    <xf numFmtId="43" fontId="27" fillId="0" borderId="0" applyFont="0" applyFill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9" fontId="78" fillId="0" borderId="0" applyFon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0" borderId="0"/>
    <xf numFmtId="0" fontId="7" fillId="17" borderId="20" applyNumberFormat="0" applyFon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/>
    <xf numFmtId="0" fontId="13" fillId="0" borderId="0"/>
    <xf numFmtId="43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0" borderId="0"/>
    <xf numFmtId="0" fontId="5" fillId="17" borderId="20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" fillId="17" borderId="20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0" borderId="0"/>
    <xf numFmtId="0" fontId="3" fillId="17" borderId="20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0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9">
    <xf numFmtId="0" fontId="0" fillId="0" borderId="0" xfId="0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1" xfId="0" applyFont="1" applyBorder="1"/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5" fontId="14" fillId="0" borderId="0" xfId="0" applyNumberFormat="1" applyFont="1"/>
    <xf numFmtId="6" fontId="14" fillId="0" borderId="0" xfId="2" applyNumberFormat="1" applyFont="1"/>
    <xf numFmtId="5" fontId="14" fillId="0" borderId="1" xfId="0" applyNumberFormat="1" applyFont="1" applyBorder="1"/>
    <xf numFmtId="5" fontId="14" fillId="0" borderId="1" xfId="2" applyNumberFormat="1" applyFont="1" applyBorder="1"/>
    <xf numFmtId="5" fontId="14" fillId="0" borderId="0" xfId="2" applyNumberFormat="1" applyFont="1"/>
    <xf numFmtId="37" fontId="14" fillId="0" borderId="0" xfId="0" applyNumberFormat="1" applyFont="1"/>
    <xf numFmtId="0" fontId="14" fillId="0" borderId="2" xfId="0" applyFont="1" applyBorder="1"/>
    <xf numFmtId="165" fontId="14" fillId="0" borderId="1" xfId="0" applyNumberFormat="1" applyFont="1" applyBorder="1"/>
    <xf numFmtId="167" fontId="14" fillId="0" borderId="1" xfId="0" applyNumberFormat="1" applyFont="1" applyBorder="1"/>
    <xf numFmtId="5" fontId="14" fillId="0" borderId="0" xfId="0" applyNumberFormat="1" applyFont="1" applyBorder="1"/>
    <xf numFmtId="0" fontId="15" fillId="0" borderId="0" xfId="0" applyFont="1" applyAlignment="1">
      <alignment horizontal="left"/>
    </xf>
    <xf numFmtId="5" fontId="15" fillId="0" borderId="0" xfId="0" applyNumberFormat="1" applyFont="1"/>
    <xf numFmtId="10" fontId="15" fillId="0" borderId="0" xfId="0" applyNumberFormat="1" applyFont="1"/>
    <xf numFmtId="10" fontId="14" fillId="0" borderId="0" xfId="0" applyNumberFormat="1" applyFont="1"/>
    <xf numFmtId="37" fontId="14" fillId="0" borderId="0" xfId="2" applyNumberFormat="1" applyFont="1"/>
    <xf numFmtId="6" fontId="14" fillId="0" borderId="3" xfId="2" applyNumberFormat="1" applyFont="1" applyBorder="1"/>
    <xf numFmtId="5" fontId="14" fillId="0" borderId="3" xfId="0" applyNumberFormat="1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170" fontId="0" fillId="0" borderId="0" xfId="0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19" fillId="0" borderId="0" xfId="0" applyFont="1" applyAlignment="1">
      <alignment horizontal="centerContinuous"/>
    </xf>
    <xf numFmtId="0" fontId="21" fillId="0" borderId="0" xfId="0" applyFont="1"/>
    <xf numFmtId="0" fontId="22" fillId="0" borderId="0" xfId="0" applyFont="1" applyAlignment="1">
      <alignment horizontal="center"/>
    </xf>
    <xf numFmtId="37" fontId="21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3" fontId="20" fillId="0" borderId="0" xfId="0" applyNumberFormat="1" applyFont="1"/>
    <xf numFmtId="0" fontId="20" fillId="0" borderId="0" xfId="0" applyFont="1"/>
    <xf numFmtId="3" fontId="19" fillId="0" borderId="0" xfId="0" applyNumberFormat="1" applyFont="1" applyAlignment="1">
      <alignment horizontal="center"/>
    </xf>
    <xf numFmtId="3" fontId="22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71" fontId="24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Continuous"/>
    </xf>
    <xf numFmtId="0" fontId="26" fillId="0" borderId="0" xfId="0" applyFont="1"/>
    <xf numFmtId="0" fontId="0" fillId="0" borderId="0" xfId="0" applyAlignment="1">
      <alignment horizontal="right"/>
    </xf>
    <xf numFmtId="178" fontId="29" fillId="0" borderId="0" xfId="0" applyNumberFormat="1" applyFont="1"/>
    <xf numFmtId="0" fontId="0" fillId="0" borderId="0" xfId="0" applyAlignment="1"/>
    <xf numFmtId="173" fontId="0" fillId="0" borderId="0" xfId="0" applyNumberFormat="1"/>
    <xf numFmtId="173" fontId="0" fillId="0" borderId="3" xfId="0" applyNumberFormat="1" applyBorder="1"/>
    <xf numFmtId="3" fontId="26" fillId="0" borderId="0" xfId="0" applyNumberFormat="1" applyFont="1"/>
    <xf numFmtId="0" fontId="28" fillId="0" borderId="1" xfId="0" applyFont="1" applyBorder="1"/>
    <xf numFmtId="0" fontId="21" fillId="0" borderId="0" xfId="0" applyFont="1" applyFill="1"/>
    <xf numFmtId="0" fontId="21" fillId="0" borderId="0" xfId="0" applyFont="1" applyFill="1" applyAlignment="1">
      <alignment horizontal="left" indent="1"/>
    </xf>
    <xf numFmtId="3" fontId="21" fillId="0" borderId="0" xfId="0" applyNumberFormat="1" applyFont="1" applyFill="1"/>
    <xf numFmtId="3" fontId="13" fillId="0" borderId="0" xfId="0" applyNumberFormat="1" applyFont="1" applyFill="1"/>
    <xf numFmtId="3" fontId="0" fillId="0" borderId="0" xfId="0" applyNumberFormat="1" applyFill="1"/>
    <xf numFmtId="37" fontId="13" fillId="0" borderId="0" xfId="0" applyNumberFormat="1" applyFont="1" applyFill="1"/>
    <xf numFmtId="176" fontId="29" fillId="0" borderId="0" xfId="0" applyNumberFormat="1" applyFont="1"/>
    <xf numFmtId="179" fontId="29" fillId="0" borderId="0" xfId="0" applyNumberFormat="1" applyFont="1"/>
    <xf numFmtId="0" fontId="30" fillId="0" borderId="0" xfId="0" applyFont="1"/>
    <xf numFmtId="0" fontId="26" fillId="0" borderId="0" xfId="0" applyFont="1" applyAlignment="1"/>
    <xf numFmtId="174" fontId="31" fillId="2" borderId="0" xfId="0" applyNumberFormat="1" applyFont="1" applyFill="1"/>
    <xf numFmtId="0" fontId="0" fillId="2" borderId="0" xfId="0" applyFill="1"/>
    <xf numFmtId="165" fontId="31" fillId="2" borderId="0" xfId="0" applyNumberFormat="1" applyFont="1" applyFill="1"/>
    <xf numFmtId="0" fontId="0" fillId="3" borderId="0" xfId="0" applyFill="1"/>
    <xf numFmtId="0" fontId="22" fillId="0" borderId="0" xfId="0" applyFont="1" applyAlignment="1">
      <alignment horizontal="centerContinuous"/>
    </xf>
    <xf numFmtId="168" fontId="0" fillId="0" borderId="0" xfId="0" applyNumberFormat="1"/>
    <xf numFmtId="0" fontId="0" fillId="4" borderId="0" xfId="0" applyFill="1"/>
    <xf numFmtId="175" fontId="19" fillId="0" borderId="0" xfId="0" applyNumberFormat="1" applyFont="1"/>
    <xf numFmtId="0" fontId="0" fillId="5" borderId="0" xfId="0" applyFill="1"/>
    <xf numFmtId="0" fontId="0" fillId="0" borderId="6" xfId="0" applyBorder="1"/>
    <xf numFmtId="0" fontId="0" fillId="0" borderId="3" xfId="0" applyBorder="1"/>
    <xf numFmtId="176" fontId="0" fillId="0" borderId="3" xfId="0" applyNumberFormat="1" applyBorder="1"/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1" xfId="0" applyFill="1" applyBorder="1"/>
    <xf numFmtId="181" fontId="13" fillId="0" borderId="1" xfId="0" applyNumberFormat="1" applyFont="1" applyBorder="1"/>
    <xf numFmtId="177" fontId="0" fillId="0" borderId="0" xfId="0" applyNumberFormat="1"/>
    <xf numFmtId="179" fontId="0" fillId="0" borderId="0" xfId="0" applyNumberFormat="1"/>
    <xf numFmtId="179" fontId="20" fillId="0" borderId="0" xfId="0" applyNumberFormat="1" applyFont="1"/>
    <xf numFmtId="10" fontId="20" fillId="0" borderId="0" xfId="0" applyNumberFormat="1" applyFont="1"/>
    <xf numFmtId="3" fontId="24" fillId="0" borderId="0" xfId="0" applyNumberFormat="1" applyFont="1" applyAlignment="1">
      <alignment horizontal="right"/>
    </xf>
    <xf numFmtId="179" fontId="20" fillId="4" borderId="3" xfId="0" applyNumberFormat="1" applyFont="1" applyFill="1" applyBorder="1"/>
    <xf numFmtId="179" fontId="20" fillId="4" borderId="0" xfId="0" applyNumberFormat="1" applyFont="1" applyFill="1" applyBorder="1"/>
    <xf numFmtId="0" fontId="0" fillId="0" borderId="8" xfId="0" applyBorder="1"/>
    <xf numFmtId="0" fontId="0" fillId="0" borderId="1" xfId="0" applyBorder="1"/>
    <xf numFmtId="179" fontId="20" fillId="4" borderId="1" xfId="0" applyNumberFormat="1" applyFont="1" applyFill="1" applyBorder="1"/>
    <xf numFmtId="0" fontId="19" fillId="0" borderId="0" xfId="0" applyFont="1" applyAlignment="1"/>
    <xf numFmtId="165" fontId="0" fillId="0" borderId="0" xfId="0" applyNumberFormat="1"/>
    <xf numFmtId="175" fontId="0" fillId="0" borderId="0" xfId="0" applyNumberFormat="1"/>
    <xf numFmtId="0" fontId="19" fillId="0" borderId="3" xfId="0" applyFont="1" applyBorder="1" applyAlignment="1">
      <alignment horizontal="left" indent="7"/>
    </xf>
    <xf numFmtId="0" fontId="0" fillId="0" borderId="3" xfId="0" applyBorder="1" applyAlignment="1">
      <alignment horizontal="centerContinuous"/>
    </xf>
    <xf numFmtId="0" fontId="24" fillId="0" borderId="0" xfId="0" applyFont="1"/>
    <xf numFmtId="176" fontId="20" fillId="4" borderId="0" xfId="0" applyNumberFormat="1" applyFont="1" applyFill="1" applyBorder="1"/>
    <xf numFmtId="179" fontId="13" fillId="3" borderId="0" xfId="0" applyNumberFormat="1" applyFont="1" applyFill="1"/>
    <xf numFmtId="179" fontId="31" fillId="6" borderId="0" xfId="0" applyNumberFormat="1" applyFont="1" applyFill="1"/>
    <xf numFmtId="176" fontId="13" fillId="3" borderId="0" xfId="0" applyNumberFormat="1" applyFont="1" applyFill="1"/>
    <xf numFmtId="176" fontId="13" fillId="6" borderId="0" xfId="0" applyNumberFormat="1" applyFont="1" applyFill="1"/>
    <xf numFmtId="0" fontId="29" fillId="0" borderId="0" xfId="0" applyFont="1" applyAlignment="1">
      <alignment horizontal="center"/>
    </xf>
    <xf numFmtId="0" fontId="34" fillId="0" borderId="0" xfId="0" applyFont="1" applyAlignment="1"/>
    <xf numFmtId="0" fontId="29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right"/>
    </xf>
    <xf numFmtId="0" fontId="36" fillId="0" borderId="0" xfId="0" applyFont="1"/>
    <xf numFmtId="0" fontId="29" fillId="0" borderId="0" xfId="0" quotePrefix="1" applyFont="1"/>
    <xf numFmtId="0" fontId="37" fillId="0" borderId="0" xfId="0" applyFont="1"/>
    <xf numFmtId="0" fontId="20" fillId="0" borderId="7" xfId="0" applyFont="1" applyBorder="1"/>
    <xf numFmtId="6" fontId="14" fillId="0" borderId="0" xfId="2" applyNumberFormat="1" applyFont="1" applyBorder="1"/>
    <xf numFmtId="0" fontId="14" fillId="0" borderId="3" xfId="0" applyFont="1" applyBorder="1"/>
    <xf numFmtId="0" fontId="14" fillId="0" borderId="0" xfId="0" applyFont="1" applyAlignment="1">
      <alignment horizontal="left" indent="1"/>
    </xf>
    <xf numFmtId="3" fontId="14" fillId="0" borderId="0" xfId="0" applyNumberFormat="1" applyFont="1" applyAlignment="1">
      <alignment horizontal="left" indent="1"/>
    </xf>
    <xf numFmtId="165" fontId="14" fillId="0" borderId="0" xfId="0" applyNumberFormat="1" applyFont="1" applyAlignment="1">
      <alignment horizontal="left" indent="1"/>
    </xf>
    <xf numFmtId="5" fontId="14" fillId="0" borderId="0" xfId="0" applyNumberFormat="1" applyFont="1" applyAlignment="1">
      <alignment horizontal="left" indent="1"/>
    </xf>
    <xf numFmtId="0" fontId="16" fillId="0" borderId="0" xfId="0" applyFont="1"/>
    <xf numFmtId="0" fontId="29" fillId="0" borderId="0" xfId="0" applyFont="1" applyAlignment="1">
      <alignment horizontal="left"/>
    </xf>
    <xf numFmtId="182" fontId="14" fillId="0" borderId="0" xfId="0" applyNumberFormat="1" applyFont="1"/>
    <xf numFmtId="37" fontId="37" fillId="0" borderId="0" xfId="0" applyNumberFormat="1" applyFont="1"/>
    <xf numFmtId="37" fontId="29" fillId="0" borderId="0" xfId="0" applyNumberFormat="1" applyFont="1"/>
    <xf numFmtId="37" fontId="29" fillId="0" borderId="0" xfId="0" applyNumberFormat="1" applyFont="1" applyBorder="1"/>
    <xf numFmtId="183" fontId="14" fillId="0" borderId="0" xfId="0" applyNumberFormat="1" applyFont="1"/>
    <xf numFmtId="183" fontId="14" fillId="0" borderId="0" xfId="0" applyNumberFormat="1" applyFont="1" applyBorder="1"/>
    <xf numFmtId="183" fontId="14" fillId="0" borderId="3" xfId="0" applyNumberFormat="1" applyFont="1" applyBorder="1"/>
    <xf numFmtId="183" fontId="14" fillId="0" borderId="1" xfId="0" applyNumberFormat="1" applyFont="1" applyBorder="1"/>
    <xf numFmtId="183" fontId="14" fillId="0" borderId="0" xfId="0" applyNumberFormat="1" applyFont="1" applyAlignment="1">
      <alignment horizontal="center"/>
    </xf>
    <xf numFmtId="0" fontId="20" fillId="0" borderId="0" xfId="0" applyNumberFormat="1" applyFont="1" applyFill="1" applyBorder="1"/>
    <xf numFmtId="3" fontId="21" fillId="0" borderId="0" xfId="0" applyNumberFormat="1" applyFont="1"/>
    <xf numFmtId="168" fontId="19" fillId="0" borderId="0" xfId="0" applyNumberFormat="1" applyFont="1"/>
    <xf numFmtId="0" fontId="19" fillId="0" borderId="0" xfId="0" applyFont="1" applyAlignment="1">
      <alignment horizontal="left" indent="1"/>
    </xf>
    <xf numFmtId="0" fontId="22" fillId="0" borderId="0" xfId="0" applyFont="1"/>
    <xf numFmtId="7" fontId="13" fillId="0" borderId="0" xfId="0" applyNumberFormat="1" applyFont="1"/>
    <xf numFmtId="176" fontId="13" fillId="0" borderId="0" xfId="0" applyNumberFormat="1" applyFont="1" applyAlignment="1">
      <alignment horizontal="center"/>
    </xf>
    <xf numFmtId="7" fontId="19" fillId="0" borderId="0" xfId="0" applyNumberFormat="1" applyFont="1"/>
    <xf numFmtId="172" fontId="19" fillId="0" borderId="0" xfId="0" applyNumberFormat="1" applyFont="1"/>
    <xf numFmtId="10" fontId="19" fillId="0" borderId="0" xfId="0" applyNumberFormat="1" applyFont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10" fontId="19" fillId="0" borderId="0" xfId="0" applyNumberFormat="1" applyFont="1"/>
    <xf numFmtId="10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"/>
    </xf>
    <xf numFmtId="5" fontId="19" fillId="0" borderId="0" xfId="0" applyNumberFormat="1" applyFont="1" applyAlignment="1">
      <alignment horizontal="centerContinuous"/>
    </xf>
    <xf numFmtId="5" fontId="19" fillId="0" borderId="0" xfId="0" applyNumberFormat="1" applyFont="1" applyAlignment="1">
      <alignment horizontal="center"/>
    </xf>
    <xf numFmtId="10" fontId="19" fillId="0" borderId="0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9" fontId="13" fillId="0" borderId="0" xfId="0" applyNumberFormat="1" applyFont="1" applyFill="1"/>
    <xf numFmtId="179" fontId="13" fillId="0" borderId="6" xfId="0" applyNumberFormat="1" applyFont="1" applyFill="1" applyBorder="1"/>
    <xf numFmtId="179" fontId="13" fillId="0" borderId="3" xfId="0" applyNumberFormat="1" applyFont="1" applyFill="1" applyBorder="1"/>
    <xf numFmtId="179" fontId="13" fillId="0" borderId="9" xfId="0" applyNumberFormat="1" applyFont="1" applyFill="1" applyBorder="1"/>
    <xf numFmtId="174" fontId="0" fillId="0" borderId="1" xfId="0" applyNumberFormat="1" applyBorder="1"/>
    <xf numFmtId="174" fontId="0" fillId="0" borderId="10" xfId="0" applyNumberFormat="1" applyBorder="1"/>
    <xf numFmtId="184" fontId="19" fillId="0" borderId="0" xfId="0" applyNumberFormat="1" applyFont="1"/>
    <xf numFmtId="184" fontId="13" fillId="0" borderId="0" xfId="0" applyNumberFormat="1" applyFont="1"/>
    <xf numFmtId="0" fontId="0" fillId="0" borderId="0" xfId="0" applyAlignment="1">
      <alignment horizontal="left" indent="2"/>
    </xf>
    <xf numFmtId="168" fontId="0" fillId="0" borderId="3" xfId="0" applyNumberFormat="1" applyBorder="1"/>
    <xf numFmtId="10" fontId="0" fillId="0" borderId="0" xfId="0" applyNumberFormat="1"/>
    <xf numFmtId="180" fontId="0" fillId="0" borderId="0" xfId="0" applyNumberFormat="1"/>
    <xf numFmtId="4" fontId="0" fillId="0" borderId="0" xfId="0" applyNumberFormat="1"/>
    <xf numFmtId="7" fontId="0" fillId="0" borderId="0" xfId="0" applyNumberFormat="1"/>
    <xf numFmtId="0" fontId="23" fillId="0" borderId="0" xfId="0" applyFont="1" applyFill="1"/>
    <xf numFmtId="37" fontId="21" fillId="0" borderId="0" xfId="0" applyNumberFormat="1" applyFont="1" applyFill="1"/>
    <xf numFmtId="166" fontId="21" fillId="0" borderId="3" xfId="0" applyNumberFormat="1" applyFont="1" applyFill="1" applyBorder="1"/>
    <xf numFmtId="166" fontId="21" fillId="0" borderId="0" xfId="0" applyNumberFormat="1" applyFont="1" applyFill="1" applyBorder="1"/>
    <xf numFmtId="0" fontId="40" fillId="0" borderId="0" xfId="0" applyFont="1" applyFill="1"/>
    <xf numFmtId="166" fontId="21" fillId="0" borderId="4" xfId="0" applyNumberFormat="1" applyFont="1" applyFill="1" applyBorder="1"/>
    <xf numFmtId="37" fontId="21" fillId="0" borderId="5" xfId="0" applyNumberFormat="1" applyFont="1" applyBorder="1"/>
    <xf numFmtId="0" fontId="0" fillId="0" borderId="0" xfId="0" applyFill="1" applyAlignment="1">
      <alignment horizontal="centerContinuous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7" fontId="0" fillId="0" borderId="0" xfId="0" applyNumberFormat="1" applyFill="1"/>
    <xf numFmtId="0" fontId="29" fillId="0" borderId="0" xfId="0" applyFont="1" applyFill="1" applyAlignment="1">
      <alignment horizontal="left" indent="1"/>
    </xf>
    <xf numFmtId="180" fontId="17" fillId="0" borderId="0" xfId="0" applyNumberFormat="1" applyFont="1"/>
    <xf numFmtId="37" fontId="14" fillId="0" borderId="1" xfId="2" applyNumberFormat="1" applyFont="1" applyBorder="1"/>
    <xf numFmtId="37" fontId="14" fillId="0" borderId="1" xfId="0" applyNumberFormat="1" applyFont="1" applyBorder="1"/>
    <xf numFmtId="37" fontId="14" fillId="0" borderId="0" xfId="2" applyNumberFormat="1" applyFont="1" applyBorder="1"/>
    <xf numFmtId="0" fontId="22" fillId="0" borderId="0" xfId="0" applyFont="1" applyFill="1"/>
    <xf numFmtId="0" fontId="30" fillId="0" borderId="0" xfId="0" applyFont="1" applyAlignment="1">
      <alignment horizontal="centerContinuous"/>
    </xf>
    <xf numFmtId="183" fontId="14" fillId="0" borderId="0" xfId="2" applyNumberFormat="1" applyFont="1"/>
    <xf numFmtId="179" fontId="31" fillId="0" borderId="0" xfId="0" applyNumberFormat="1" applyFont="1" applyFill="1"/>
    <xf numFmtId="0" fontId="42" fillId="0" borderId="0" xfId="0" applyFont="1" applyAlignment="1">
      <alignment horizontal="left" indent="1"/>
    </xf>
    <xf numFmtId="0" fontId="43" fillId="0" borderId="0" xfId="0" applyFont="1"/>
    <xf numFmtId="169" fontId="0" fillId="0" borderId="0" xfId="0" applyNumberFormat="1"/>
    <xf numFmtId="0" fontId="0" fillId="0" borderId="0" xfId="0" applyFill="1" applyBorder="1"/>
    <xf numFmtId="17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39" fontId="14" fillId="0" borderId="0" xfId="0" applyNumberFormat="1" applyFont="1"/>
    <xf numFmtId="0" fontId="44" fillId="0" borderId="0" xfId="0" applyFont="1" applyAlignment="1">
      <alignment horizontal="left"/>
    </xf>
    <xf numFmtId="0" fontId="13" fillId="0" borderId="0" xfId="0" applyFont="1"/>
    <xf numFmtId="186" fontId="46" fillId="0" borderId="0" xfId="0" applyNumberFormat="1" applyFont="1" applyAlignment="1">
      <alignment horizontal="center"/>
    </xf>
    <xf numFmtId="179" fontId="46" fillId="4" borderId="3" xfId="0" applyNumberFormat="1" applyFont="1" applyFill="1" applyBorder="1"/>
    <xf numFmtId="173" fontId="46" fillId="0" borderId="0" xfId="0" applyNumberFormat="1" applyFont="1"/>
    <xf numFmtId="0" fontId="13" fillId="0" borderId="0" xfId="0" applyFont="1" applyFill="1"/>
    <xf numFmtId="37" fontId="47" fillId="0" borderId="0" xfId="2" applyNumberFormat="1" applyFont="1"/>
    <xf numFmtId="37" fontId="47" fillId="0" borderId="0" xfId="0" applyNumberFormat="1" applyFont="1"/>
    <xf numFmtId="165" fontId="14" fillId="0" borderId="0" xfId="0" applyNumberFormat="1" applyFont="1" applyFill="1"/>
    <xf numFmtId="183" fontId="14" fillId="0" borderId="0" xfId="0" applyNumberFormat="1" applyFont="1" applyFill="1"/>
    <xf numFmtId="0" fontId="48" fillId="0" borderId="0" xfId="0" applyFont="1"/>
    <xf numFmtId="3" fontId="0" fillId="0" borderId="1" xfId="0" applyNumberFormat="1" applyBorder="1"/>
    <xf numFmtId="0" fontId="49" fillId="0" borderId="0" xfId="0" applyFont="1"/>
    <xf numFmtId="3" fontId="14" fillId="7" borderId="0" xfId="0" applyNumberFormat="1" applyFont="1" applyFill="1"/>
    <xf numFmtId="0" fontId="14" fillId="0" borderId="0" xfId="0" applyFont="1" applyFill="1" applyAlignment="1">
      <alignment horizontal="left"/>
    </xf>
    <xf numFmtId="174" fontId="0" fillId="0" borderId="0" xfId="0" applyNumberFormat="1"/>
    <xf numFmtId="0" fontId="13" fillId="0" borderId="0" xfId="0" applyFont="1" applyAlignment="1">
      <alignment horizontal="left" indent="1"/>
    </xf>
    <xf numFmtId="0" fontId="14" fillId="0" borderId="0" xfId="0" applyFont="1" applyFill="1"/>
    <xf numFmtId="179" fontId="20" fillId="4" borderId="9" xfId="0" applyNumberFormat="1" applyFont="1" applyFill="1" applyBorder="1"/>
    <xf numFmtId="179" fontId="20" fillId="4" borderId="11" xfId="0" applyNumberFormat="1" applyFont="1" applyFill="1" applyBorder="1"/>
    <xf numFmtId="179" fontId="20" fillId="4" borderId="10" xfId="0" applyNumberFormat="1" applyFont="1" applyFill="1" applyBorder="1"/>
    <xf numFmtId="188" fontId="0" fillId="0" borderId="0" xfId="0" applyNumberFormat="1"/>
    <xf numFmtId="43" fontId="0" fillId="0" borderId="0" xfId="0" applyNumberFormat="1"/>
    <xf numFmtId="44" fontId="0" fillId="0" borderId="0" xfId="2" applyFont="1"/>
    <xf numFmtId="175" fontId="19" fillId="0" borderId="0" xfId="0" applyNumberFormat="1" applyFont="1" applyAlignment="1">
      <alignment horizontal="center"/>
    </xf>
    <xf numFmtId="5" fontId="23" fillId="0" borderId="0" xfId="0" applyNumberFormat="1" applyFont="1" applyBorder="1" applyAlignment="1">
      <alignment horizontal="center"/>
    </xf>
    <xf numFmtId="5" fontId="23" fillId="0" borderId="0" xfId="0" applyNumberFormat="1" applyFont="1" applyAlignment="1">
      <alignment horizontal="center"/>
    </xf>
    <xf numFmtId="5" fontId="14" fillId="0" borderId="0" xfId="0" applyNumberFormat="1" applyFont="1" applyFill="1"/>
    <xf numFmtId="166" fontId="47" fillId="0" borderId="0" xfId="1" applyNumberFormat="1" applyFont="1" applyFill="1"/>
    <xf numFmtId="37" fontId="13" fillId="0" borderId="0" xfId="0" applyNumberFormat="1" applyFont="1" applyFill="1" applyBorder="1"/>
    <xf numFmtId="37" fontId="23" fillId="0" borderId="0" xfId="0" applyNumberFormat="1" applyFont="1" applyFill="1"/>
    <xf numFmtId="0" fontId="22" fillId="0" borderId="0" xfId="0" applyFont="1" applyBorder="1" applyAlignment="1">
      <alignment horizontal="center"/>
    </xf>
    <xf numFmtId="0" fontId="19" fillId="0" borderId="0" xfId="0" applyFont="1" applyBorder="1"/>
    <xf numFmtId="166" fontId="19" fillId="0" borderId="0" xfId="1" applyNumberFormat="1" applyFont="1"/>
    <xf numFmtId="10" fontId="13" fillId="0" borderId="0" xfId="0" applyNumberFormat="1" applyFont="1"/>
    <xf numFmtId="190" fontId="0" fillId="0" borderId="0" xfId="2" applyNumberFormat="1" applyFont="1"/>
    <xf numFmtId="0" fontId="0" fillId="0" borderId="9" xfId="0" applyFill="1" applyBorder="1"/>
    <xf numFmtId="0" fontId="0" fillId="0" borderId="7" xfId="0" applyFill="1" applyBorder="1"/>
    <xf numFmtId="0" fontId="0" fillId="0" borderId="11" xfId="0" applyFill="1" applyBorder="1"/>
    <xf numFmtId="176" fontId="0" fillId="0" borderId="0" xfId="0" applyNumberFormat="1" applyFill="1" applyBorder="1"/>
    <xf numFmtId="176" fontId="0" fillId="0" borderId="11" xfId="0" applyNumberFormat="1" applyFill="1" applyBorder="1"/>
    <xf numFmtId="190" fontId="0" fillId="0" borderId="0" xfId="2" applyNumberFormat="1" applyFont="1" applyFill="1" applyBorder="1"/>
    <xf numFmtId="190" fontId="0" fillId="0" borderId="11" xfId="2" applyNumberFormat="1" applyFont="1" applyFill="1" applyBorder="1"/>
    <xf numFmtId="0" fontId="0" fillId="0" borderId="3" xfId="0" applyFill="1" applyBorder="1"/>
    <xf numFmtId="174" fontId="0" fillId="0" borderId="1" xfId="0" applyNumberFormat="1" applyFill="1" applyBorder="1"/>
    <xf numFmtId="174" fontId="0" fillId="0" borderId="10" xfId="0" applyNumberFormat="1" applyFill="1" applyBorder="1"/>
    <xf numFmtId="0" fontId="0" fillId="0" borderId="6" xfId="0" applyFill="1" applyBorder="1" applyAlignment="1">
      <alignment horizontal="center"/>
    </xf>
    <xf numFmtId="0" fontId="46" fillId="0" borderId="7" xfId="0" applyFont="1" applyFill="1" applyBorder="1"/>
    <xf numFmtId="176" fontId="0" fillId="0" borderId="7" xfId="0" applyNumberFormat="1" applyFill="1" applyBorder="1"/>
    <xf numFmtId="190" fontId="0" fillId="0" borderId="7" xfId="2" applyNumberFormat="1" applyFont="1" applyFill="1" applyBorder="1"/>
    <xf numFmtId="174" fontId="0" fillId="0" borderId="8" xfId="0" applyNumberFormat="1" applyFill="1" applyBorder="1"/>
    <xf numFmtId="0" fontId="0" fillId="0" borderId="9" xfId="0" applyFill="1" applyBorder="1" applyAlignment="1">
      <alignment horizontal="center"/>
    </xf>
    <xf numFmtId="0" fontId="13" fillId="0" borderId="0" xfId="0" applyFont="1" applyAlignment="1">
      <alignment horizontal="centerContinuous"/>
    </xf>
    <xf numFmtId="5" fontId="13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"/>
    </xf>
    <xf numFmtId="5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5" fontId="13" fillId="0" borderId="0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5" fontId="13" fillId="0" borderId="1" xfId="0" applyNumberFormat="1" applyFont="1" applyBorder="1" applyAlignment="1">
      <alignment horizontal="center"/>
    </xf>
    <xf numFmtId="5" fontId="19" fillId="0" borderId="0" xfId="0" applyNumberFormat="1" applyFont="1"/>
    <xf numFmtId="5" fontId="13" fillId="0" borderId="0" xfId="0" applyNumberFormat="1" applyFont="1"/>
    <xf numFmtId="0" fontId="13" fillId="0" borderId="0" xfId="0" quotePrefix="1" applyFont="1" applyAlignment="1">
      <alignment horizontal="center"/>
    </xf>
    <xf numFmtId="3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indent="3"/>
    </xf>
    <xf numFmtId="173" fontId="13" fillId="0" borderId="0" xfId="0" applyNumberFormat="1" applyFont="1"/>
    <xf numFmtId="37" fontId="13" fillId="0" borderId="0" xfId="0" applyNumberFormat="1" applyFont="1"/>
    <xf numFmtId="189" fontId="13" fillId="0" borderId="0" xfId="2" applyNumberFormat="1" applyFont="1"/>
    <xf numFmtId="0" fontId="13" fillId="0" borderId="0" xfId="0" applyFont="1" applyBorder="1"/>
    <xf numFmtId="175" fontId="13" fillId="0" borderId="0" xfId="0" applyNumberFormat="1" applyFont="1"/>
    <xf numFmtId="172" fontId="13" fillId="0" borderId="0" xfId="0" applyNumberFormat="1" applyFont="1"/>
    <xf numFmtId="185" fontId="13" fillId="0" borderId="0" xfId="0" applyNumberFormat="1" applyFont="1"/>
    <xf numFmtId="4" fontId="13" fillId="0" borderId="0" xfId="0" applyNumberFormat="1" applyFont="1"/>
    <xf numFmtId="187" fontId="13" fillId="0" borderId="0" xfId="0" applyNumberFormat="1" applyFont="1"/>
    <xf numFmtId="0" fontId="13" fillId="0" borderId="0" xfId="0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5" fontId="46" fillId="0" borderId="0" xfId="0" applyNumberFormat="1" applyFont="1"/>
    <xf numFmtId="184" fontId="46" fillId="0" borderId="0" xfId="0" applyNumberFormat="1" applyFont="1" applyFill="1"/>
    <xf numFmtId="3" fontId="19" fillId="0" borderId="0" xfId="0" applyNumberFormat="1" applyFont="1" applyFill="1" applyBorder="1"/>
    <xf numFmtId="0" fontId="19" fillId="0" borderId="8" xfId="0" applyFont="1" applyFill="1" applyBorder="1"/>
    <xf numFmtId="0" fontId="0" fillId="0" borderId="0" xfId="0" applyFill="1"/>
    <xf numFmtId="179" fontId="29" fillId="0" borderId="0" xfId="0" applyNumberFormat="1" applyFont="1"/>
    <xf numFmtId="179" fontId="0" fillId="0" borderId="0" xfId="0" applyNumberFormat="1"/>
    <xf numFmtId="174" fontId="0" fillId="0" borderId="0" xfId="0" applyNumberFormat="1"/>
    <xf numFmtId="190" fontId="0" fillId="0" borderId="7" xfId="2" applyNumberFormat="1" applyFont="1" applyFill="1" applyBorder="1"/>
    <xf numFmtId="0" fontId="23" fillId="0" borderId="0" xfId="0" applyFont="1" applyFill="1" applyBorder="1"/>
    <xf numFmtId="166" fontId="0" fillId="0" borderId="0" xfId="1" applyNumberFormat="1" applyFont="1" applyFill="1"/>
    <xf numFmtId="0" fontId="23" fillId="0" borderId="0" xfId="0" applyFont="1" applyFill="1" applyBorder="1" applyAlignment="1">
      <alignment horizontal="center"/>
    </xf>
    <xf numFmtId="3" fontId="19" fillId="0" borderId="1" xfId="0" applyNumberFormat="1" applyFont="1" applyFill="1" applyBorder="1"/>
    <xf numFmtId="9" fontId="0" fillId="0" borderId="0" xfId="3" applyFont="1"/>
    <xf numFmtId="175" fontId="19" fillId="0" borderId="0" xfId="3" applyNumberFormat="1" applyFont="1"/>
    <xf numFmtId="9" fontId="13" fillId="0" borderId="0" xfId="3" applyNumberFormat="1" applyFont="1" applyFill="1"/>
    <xf numFmtId="190" fontId="0" fillId="0" borderId="7" xfId="0" applyNumberFormat="1" applyFill="1" applyBorder="1"/>
    <xf numFmtId="0" fontId="19" fillId="0" borderId="0" xfId="0" applyFont="1" applyAlignment="1">
      <alignment horizontal="left"/>
    </xf>
    <xf numFmtId="0" fontId="59" fillId="0" borderId="0" xfId="0" applyFont="1" applyBorder="1" applyAlignment="1">
      <alignment horizontal="left"/>
    </xf>
    <xf numFmtId="0" fontId="13" fillId="0" borderId="0" xfId="0" applyFont="1" applyAlignment="1"/>
    <xf numFmtId="166" fontId="61" fillId="0" borderId="0" xfId="48" applyNumberFormat="1" applyFont="1" applyBorder="1" applyAlignment="1">
      <alignment horizontal="right" vertical="top"/>
    </xf>
    <xf numFmtId="166" fontId="61" fillId="0" borderId="0" xfId="48" applyNumberFormat="1" applyFont="1" applyBorder="1" applyAlignment="1">
      <alignment vertical="top"/>
    </xf>
    <xf numFmtId="166" fontId="61" fillId="0" borderId="0" xfId="48" applyNumberFormat="1" applyFont="1" applyBorder="1"/>
    <xf numFmtId="0" fontId="0" fillId="0" borderId="6" xfId="0" applyFill="1" applyBorder="1"/>
    <xf numFmtId="0" fontId="46" fillId="0" borderId="11" xfId="0" applyFont="1" applyFill="1" applyBorder="1"/>
    <xf numFmtId="166" fontId="0" fillId="0" borderId="0" xfId="17" applyNumberFormat="1" applyFont="1"/>
    <xf numFmtId="166" fontId="0" fillId="10" borderId="0" xfId="17" applyNumberFormat="1" applyFont="1" applyFill="1"/>
    <xf numFmtId="166" fontId="0" fillId="0" borderId="3" xfId="17" applyNumberFormat="1" applyFont="1" applyBorder="1"/>
    <xf numFmtId="166" fontId="13" fillId="10" borderId="0" xfId="1" applyNumberFormat="1" applyFill="1"/>
    <xf numFmtId="166" fontId="0" fillId="0" borderId="0" xfId="0" applyNumberFormat="1"/>
    <xf numFmtId="166" fontId="0" fillId="0" borderId="0" xfId="17" applyNumberFormat="1" applyFont="1" applyFill="1"/>
    <xf numFmtId="175" fontId="0" fillId="0" borderId="0" xfId="32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166" fontId="0" fillId="10" borderId="0" xfId="17" applyNumberFormat="1" applyFont="1" applyFill="1" applyBorder="1"/>
    <xf numFmtId="166" fontId="0" fillId="0" borderId="0" xfId="0" applyNumberFormat="1" applyFill="1"/>
    <xf numFmtId="166" fontId="13" fillId="0" borderId="0" xfId="1" applyNumberFormat="1" applyFont="1" applyFill="1"/>
    <xf numFmtId="0" fontId="0" fillId="0" borderId="0" xfId="0" applyAlignment="1">
      <alignment horizontal="left"/>
    </xf>
    <xf numFmtId="10" fontId="14" fillId="0" borderId="0" xfId="3" applyNumberFormat="1" applyFont="1"/>
    <xf numFmtId="174" fontId="0" fillId="0" borderId="4" xfId="0" applyNumberFormat="1" applyBorder="1"/>
    <xf numFmtId="189" fontId="13" fillId="0" borderId="0" xfId="2" applyNumberFormat="1" applyFont="1"/>
    <xf numFmtId="44" fontId="13" fillId="0" borderId="0" xfId="2" applyFont="1"/>
    <xf numFmtId="189" fontId="0" fillId="0" borderId="0" xfId="2" applyNumberFormat="1" applyFont="1"/>
    <xf numFmtId="3" fontId="13" fillId="0" borderId="0" xfId="0" applyNumberFormat="1" applyFont="1" applyAlignment="1">
      <alignment horizontal="center"/>
    </xf>
    <xf numFmtId="0" fontId="80" fillId="0" borderId="0" xfId="8" applyFont="1" applyBorder="1" applyAlignment="1">
      <alignment vertical="top"/>
    </xf>
    <xf numFmtId="0" fontId="81" fillId="0" borderId="0" xfId="8" applyFont="1" applyBorder="1" applyAlignment="1">
      <alignment vertical="top" wrapText="1"/>
    </xf>
    <xf numFmtId="166" fontId="82" fillId="0" borderId="0" xfId="1111" applyNumberFormat="1" applyFont="1" applyBorder="1"/>
    <xf numFmtId="166" fontId="82" fillId="0" borderId="0" xfId="1112" applyNumberFormat="1" applyFont="1" applyBorder="1"/>
    <xf numFmtId="166" fontId="82" fillId="0" borderId="0" xfId="1116" applyNumberFormat="1" applyFont="1" applyBorder="1"/>
    <xf numFmtId="166" fontId="82" fillId="0" borderId="0" xfId="1110" applyNumberFormat="1" applyFont="1" applyBorder="1"/>
    <xf numFmtId="0" fontId="13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43" fontId="13" fillId="0" borderId="0" xfId="1" applyFont="1"/>
    <xf numFmtId="189" fontId="13" fillId="0" borderId="1" xfId="2" applyNumberFormat="1" applyFont="1" applyBorder="1"/>
    <xf numFmtId="189" fontId="13" fillId="0" borderId="0" xfId="2" applyNumberFormat="1" applyFont="1" applyBorder="1"/>
    <xf numFmtId="172" fontId="13" fillId="0" borderId="0" xfId="1" applyNumberFormat="1" applyFont="1"/>
    <xf numFmtId="3" fontId="23" fillId="0" borderId="0" xfId="0" applyNumberFormat="1" applyFont="1" applyAlignment="1">
      <alignment horizontal="center"/>
    </xf>
    <xf numFmtId="191" fontId="29" fillId="0" borderId="0" xfId="0" applyNumberFormat="1" applyFont="1"/>
    <xf numFmtId="5" fontId="13" fillId="0" borderId="0" xfId="0" applyNumberFormat="1" applyFont="1" applyFill="1" applyAlignment="1">
      <alignment horizontal="center"/>
    </xf>
    <xf numFmtId="189" fontId="13" fillId="0" borderId="4" xfId="2" applyNumberFormat="1" applyFont="1" applyBorder="1"/>
    <xf numFmtId="179" fontId="13" fillId="0" borderId="0" xfId="0" applyNumberFormat="1" applyFont="1"/>
    <xf numFmtId="0" fontId="13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3" fontId="13" fillId="0" borderId="0" xfId="0" applyNumberFormat="1" applyFont="1" applyFill="1"/>
    <xf numFmtId="0" fontId="46" fillId="0" borderId="0" xfId="0" applyFont="1"/>
    <xf numFmtId="44" fontId="13" fillId="0" borderId="0" xfId="0" applyNumberFormat="1" applyFont="1" applyBorder="1"/>
    <xf numFmtId="44" fontId="13" fillId="0" borderId="0" xfId="2" applyFont="1" applyBorder="1"/>
    <xf numFmtId="0" fontId="19" fillId="0" borderId="0" xfId="0" applyFont="1" applyFill="1" applyBorder="1" applyAlignment="1">
      <alignment horizontal="center"/>
    </xf>
    <xf numFmtId="189" fontId="13" fillId="0" borderId="0" xfId="2" applyNumberFormat="1" applyFont="1"/>
    <xf numFmtId="175" fontId="13" fillId="0" borderId="0" xfId="3" applyNumberFormat="1" applyFont="1"/>
    <xf numFmtId="0" fontId="29" fillId="0" borderId="0" xfId="0" applyFont="1" applyFill="1"/>
    <xf numFmtId="0" fontId="84" fillId="0" borderId="0" xfId="8" applyFont="1" applyBorder="1" applyAlignment="1">
      <alignment vertical="top"/>
    </xf>
    <xf numFmtId="3" fontId="20" fillId="0" borderId="0" xfId="0" applyNumberFormat="1" applyFont="1" applyFill="1"/>
    <xf numFmtId="166" fontId="61" fillId="0" borderId="0" xfId="1096" applyNumberFormat="1" applyFont="1" applyFill="1" applyBorder="1" applyAlignment="1"/>
    <xf numFmtId="166" fontId="82" fillId="0" borderId="0" xfId="1291" applyNumberFormat="1" applyFont="1" applyBorder="1"/>
    <xf numFmtId="166" fontId="82" fillId="0" borderId="0" xfId="1291" applyNumberFormat="1" applyFont="1" applyFill="1" applyBorder="1"/>
    <xf numFmtId="0" fontId="81" fillId="0" borderId="0" xfId="8" applyFont="1" applyBorder="1" applyAlignment="1">
      <alignment vertical="top"/>
    </xf>
    <xf numFmtId="179" fontId="0" fillId="0" borderId="0" xfId="0" applyNumberFormat="1" applyFill="1"/>
    <xf numFmtId="0" fontId="20" fillId="0" borderId="0" xfId="0" applyFont="1" applyFill="1"/>
    <xf numFmtId="0" fontId="17" fillId="0" borderId="0" xfId="0" applyFont="1" applyFill="1"/>
    <xf numFmtId="0" fontId="85" fillId="0" borderId="0" xfId="0" applyFont="1"/>
    <xf numFmtId="0" fontId="59" fillId="0" borderId="0" xfId="0" applyFont="1" applyAlignment="1">
      <alignment horizontal="left"/>
    </xf>
    <xf numFmtId="7" fontId="13" fillId="0" borderId="0" xfId="0" applyNumberFormat="1" applyFont="1" applyAlignment="1">
      <alignment horizontal="center"/>
    </xf>
    <xf numFmtId="172" fontId="46" fillId="0" borderId="0" xfId="0" applyNumberFormat="1" applyFont="1"/>
    <xf numFmtId="0" fontId="84" fillId="0" borderId="0" xfId="8" applyFont="1" applyFill="1" applyBorder="1" applyAlignment="1">
      <alignment vertical="top"/>
    </xf>
    <xf numFmtId="166" fontId="82" fillId="0" borderId="0" xfId="1384" applyNumberFormat="1" applyFont="1" applyFill="1" applyBorder="1" applyAlignment="1"/>
    <xf numFmtId="166" fontId="82" fillId="0" borderId="1" xfId="1384" applyNumberFormat="1" applyFont="1" applyFill="1" applyBorder="1" applyAlignment="1"/>
    <xf numFmtId="166" fontId="82" fillId="0" borderId="0" xfId="1384" applyNumberFormat="1" applyFont="1" applyFill="1" applyBorder="1"/>
    <xf numFmtId="166" fontId="87" fillId="0" borderId="0" xfId="1" applyNumberFormat="1" applyFont="1" applyFill="1"/>
    <xf numFmtId="37" fontId="47" fillId="0" borderId="0" xfId="0" applyNumberFormat="1" applyFont="1" applyFill="1"/>
    <xf numFmtId="7" fontId="13" fillId="0" borderId="0" xfId="0" applyNumberFormat="1" applyFont="1" applyAlignment="1">
      <alignment horizontal="center"/>
    </xf>
    <xf numFmtId="166" fontId="13" fillId="0" borderId="0" xfId="1" applyNumberFormat="1" applyFont="1"/>
    <xf numFmtId="190" fontId="46" fillId="0" borderId="0" xfId="2" applyNumberFormat="1" applyFont="1"/>
    <xf numFmtId="190" fontId="13" fillId="0" borderId="0" xfId="2" applyNumberFormat="1" applyFont="1"/>
    <xf numFmtId="189" fontId="13" fillId="0" borderId="0" xfId="0" applyNumberFormat="1" applyFont="1"/>
    <xf numFmtId="175" fontId="14" fillId="0" borderId="0" xfId="3" applyNumberFormat="1" applyFont="1"/>
    <xf numFmtId="0" fontId="13" fillId="0" borderId="0" xfId="0" applyFont="1" applyFill="1" applyAlignment="1">
      <alignment horizontal="left" indent="1"/>
    </xf>
    <xf numFmtId="37" fontId="14" fillId="0" borderId="0" xfId="0" applyNumberFormat="1" applyFont="1" applyFill="1"/>
    <xf numFmtId="166" fontId="88" fillId="0" borderId="0" xfId="48" applyNumberFormat="1" applyFont="1" applyBorder="1" applyAlignment="1">
      <alignment vertical="top"/>
    </xf>
    <xf numFmtId="189" fontId="89" fillId="0" borderId="0" xfId="0" applyNumberFormat="1" applyFont="1"/>
    <xf numFmtId="5" fontId="22" fillId="0" borderId="0" xfId="0" applyNumberFormat="1" applyFont="1"/>
    <xf numFmtId="0" fontId="13" fillId="0" borderId="0" xfId="0" applyFont="1" applyAlignment="1">
      <alignment horizontal="left"/>
    </xf>
    <xf numFmtId="0" fontId="13" fillId="7" borderId="0" xfId="0" applyFont="1" applyFill="1"/>
    <xf numFmtId="0" fontId="13" fillId="7" borderId="0" xfId="0" applyFont="1" applyFill="1" applyAlignment="1">
      <alignment horizontal="center"/>
    </xf>
    <xf numFmtId="5" fontId="46" fillId="7" borderId="0" xfId="0" applyNumberFormat="1" applyFont="1" applyFill="1"/>
    <xf numFmtId="10" fontId="13" fillId="7" borderId="0" xfId="3" applyNumberFormat="1" applyFont="1" applyFill="1"/>
    <xf numFmtId="189" fontId="19" fillId="7" borderId="0" xfId="2" applyNumberFormat="1" applyFont="1" applyFill="1"/>
    <xf numFmtId="0" fontId="13" fillId="7" borderId="0" xfId="0" applyFont="1" applyFill="1" applyAlignment="1">
      <alignment horizontal="left" indent="1"/>
    </xf>
    <xf numFmtId="5" fontId="13" fillId="7" borderId="0" xfId="0" applyNumberFormat="1" applyFont="1" applyFill="1"/>
    <xf numFmtId="10" fontId="19" fillId="7" borderId="0" xfId="0" applyNumberFormat="1" applyFont="1" applyFill="1"/>
    <xf numFmtId="0" fontId="90" fillId="0" borderId="0" xfId="0" applyFont="1"/>
    <xf numFmtId="0" fontId="0" fillId="0" borderId="0" xfId="0" quotePrefix="1" applyFill="1"/>
    <xf numFmtId="0" fontId="13" fillId="0" borderId="0" xfId="0" applyFont="1" applyFill="1" applyAlignment="1">
      <alignment horizontal="right"/>
    </xf>
    <xf numFmtId="0" fontId="0" fillId="43" borderId="0" xfId="0" applyFill="1"/>
    <xf numFmtId="166" fontId="0" fillId="0" borderId="0" xfId="1" applyNumberFormat="1" applyFont="1" applyBorder="1"/>
    <xf numFmtId="0" fontId="13" fillId="43" borderId="0" xfId="0" applyFont="1" applyFill="1"/>
    <xf numFmtId="166" fontId="0" fillId="7" borderId="0" xfId="1" applyNumberFormat="1" applyFont="1" applyFill="1"/>
    <xf numFmtId="0" fontId="0" fillId="7" borderId="0" xfId="0" applyFill="1"/>
    <xf numFmtId="0" fontId="91" fillId="0" borderId="0" xfId="0" applyFont="1" applyAlignment="1">
      <alignment horizontal="right"/>
    </xf>
    <xf numFmtId="166" fontId="82" fillId="7" borderId="0" xfId="1384" applyNumberFormat="1" applyFont="1" applyFill="1" applyBorder="1"/>
    <xf numFmtId="0" fontId="85" fillId="7" borderId="0" xfId="0" applyFont="1" applyFill="1"/>
    <xf numFmtId="0" fontId="86" fillId="7" borderId="0" xfId="8" applyFont="1" applyFill="1" applyBorder="1" applyAlignment="1">
      <alignment vertical="top"/>
    </xf>
    <xf numFmtId="0" fontId="84" fillId="7" borderId="0" xfId="8" applyFont="1" applyFill="1" applyBorder="1" applyAlignment="1">
      <alignment vertical="top"/>
    </xf>
    <xf numFmtId="166" fontId="82" fillId="7" borderId="1" xfId="1384" applyNumberFormat="1" applyFont="1" applyFill="1" applyBorder="1"/>
    <xf numFmtId="166" fontId="82" fillId="7" borderId="0" xfId="1110" applyNumberFormat="1" applyFont="1" applyFill="1" applyBorder="1"/>
    <xf numFmtId="0" fontId="0" fillId="7" borderId="0" xfId="0" applyFill="1" applyAlignment="1">
      <alignment horizontal="left" indent="1"/>
    </xf>
    <xf numFmtId="37" fontId="26" fillId="7" borderId="0" xfId="0" applyNumberFormat="1" applyFont="1" applyFill="1"/>
    <xf numFmtId="37" fontId="13" fillId="7" borderId="0" xfId="0" applyNumberFormat="1" applyFont="1" applyFill="1"/>
    <xf numFmtId="0" fontId="0" fillId="7" borderId="0" xfId="0" applyFill="1" applyAlignment="1">
      <alignment horizontal="right"/>
    </xf>
    <xf numFmtId="0" fontId="19" fillId="7" borderId="0" xfId="0" applyFont="1" applyFill="1"/>
    <xf numFmtId="0" fontId="48" fillId="7" borderId="0" xfId="0" applyFont="1" applyFill="1"/>
    <xf numFmtId="10" fontId="0" fillId="7" borderId="0" xfId="0" applyNumberFormat="1" applyFill="1"/>
    <xf numFmtId="5" fontId="13" fillId="43" borderId="0" xfId="0" applyNumberFormat="1" applyFont="1" applyFill="1"/>
    <xf numFmtId="37" fontId="13" fillId="43" borderId="0" xfId="0" applyNumberFormat="1" applyFont="1" applyFill="1"/>
    <xf numFmtId="3" fontId="13" fillId="7" borderId="0" xfId="0" applyNumberFormat="1" applyFont="1" applyFill="1"/>
    <xf numFmtId="0" fontId="20" fillId="7" borderId="0" xfId="0" applyFont="1" applyFill="1"/>
    <xf numFmtId="183" fontId="14" fillId="7" borderId="0" xfId="0" applyNumberFormat="1" applyFont="1" applyFill="1"/>
    <xf numFmtId="183" fontId="14" fillId="7" borderId="0" xfId="0" applyNumberFormat="1" applyFont="1" applyFill="1" applyBorder="1"/>
    <xf numFmtId="0" fontId="21" fillId="43" borderId="0" xfId="0" applyFont="1" applyFill="1" applyAlignment="1">
      <alignment horizontal="left" indent="1"/>
    </xf>
    <xf numFmtId="3" fontId="21" fillId="43" borderId="0" xfId="0" applyNumberFormat="1" applyFont="1" applyFill="1"/>
    <xf numFmtId="166" fontId="82" fillId="7" borderId="0" xfId="1384" applyNumberFormat="1" applyFont="1" applyFill="1" applyBorder="1" applyAlignment="1"/>
    <xf numFmtId="166" fontId="82" fillId="7" borderId="0" xfId="1115" applyNumberFormat="1" applyFont="1" applyFill="1" applyBorder="1"/>
    <xf numFmtId="170" fontId="81" fillId="0" borderId="0" xfId="0" applyNumberFormat="1" applyFont="1"/>
    <xf numFmtId="0" fontId="81" fillId="0" borderId="0" xfId="0" applyFont="1"/>
    <xf numFmtId="5" fontId="81" fillId="0" borderId="0" xfId="0" applyNumberFormat="1" applyFont="1"/>
    <xf numFmtId="175" fontId="81" fillId="0" borderId="0" xfId="3" applyNumberFormat="1" applyFont="1"/>
    <xf numFmtId="189" fontId="81" fillId="0" borderId="0" xfId="2" applyNumberFormat="1" applyFont="1"/>
    <xf numFmtId="9" fontId="81" fillId="0" borderId="0" xfId="3" applyFont="1"/>
    <xf numFmtId="170" fontId="81" fillId="7" borderId="0" xfId="0" applyNumberFormat="1" applyFont="1" applyFill="1" applyAlignment="1"/>
    <xf numFmtId="170" fontId="81" fillId="7" borderId="0" xfId="0" applyNumberFormat="1" applyFont="1" applyFill="1"/>
    <xf numFmtId="0" fontId="81" fillId="7" borderId="0" xfId="0" applyFont="1" applyFill="1"/>
    <xf numFmtId="170" fontId="81" fillId="0" borderId="1" xfId="0" applyNumberFormat="1" applyFont="1" applyFill="1" applyBorder="1"/>
    <xf numFmtId="170" fontId="81" fillId="0" borderId="1" xfId="0" applyNumberFormat="1" applyFont="1" applyBorder="1"/>
    <xf numFmtId="170" fontId="81" fillId="0" borderId="0" xfId="0" applyNumberFormat="1" applyFont="1" applyFill="1"/>
    <xf numFmtId="0" fontId="81" fillId="0" borderId="1" xfId="0" applyFont="1" applyBorder="1"/>
    <xf numFmtId="170" fontId="81" fillId="0" borderId="3" xfId="0" applyNumberFormat="1" applyFont="1" applyBorder="1"/>
    <xf numFmtId="170" fontId="81" fillId="0" borderId="4" xfId="0" applyNumberFormat="1" applyFont="1" applyBorder="1"/>
    <xf numFmtId="170" fontId="88" fillId="0" borderId="3" xfId="0" applyNumberFormat="1" applyFont="1" applyBorder="1"/>
    <xf numFmtId="170" fontId="81" fillId="0" borderId="0" xfId="0" applyNumberFormat="1" applyFont="1" applyBorder="1"/>
    <xf numFmtId="170" fontId="88" fillId="0" borderId="0" xfId="0" applyNumberFormat="1" applyFont="1" applyBorder="1"/>
    <xf numFmtId="0" fontId="88" fillId="0" borderId="0" xfId="0" applyFont="1" applyAlignment="1">
      <alignment horizontal="center"/>
    </xf>
    <xf numFmtId="3" fontId="88" fillId="0" borderId="0" xfId="0" applyNumberFormat="1" applyFont="1" applyAlignment="1">
      <alignment horizontal="center"/>
    </xf>
    <xf numFmtId="173" fontId="92" fillId="0" borderId="0" xfId="0" applyNumberFormat="1" applyFont="1" applyBorder="1"/>
    <xf numFmtId="173" fontId="93" fillId="7" borderId="0" xfId="0" applyNumberFormat="1" applyFont="1" applyFill="1" applyAlignment="1">
      <alignment horizontal="right"/>
    </xf>
    <xf numFmtId="3" fontId="94" fillId="0" borderId="0" xfId="0" applyNumberFormat="1" applyFont="1" applyAlignment="1">
      <alignment horizontal="center"/>
    </xf>
    <xf numFmtId="171" fontId="94" fillId="0" borderId="0" xfId="0" applyNumberFormat="1" applyFont="1" applyAlignment="1">
      <alignment horizontal="center"/>
    </xf>
    <xf numFmtId="43" fontId="81" fillId="7" borderId="0" xfId="1" applyFont="1" applyFill="1"/>
    <xf numFmtId="173" fontId="81" fillId="7" borderId="0" xfId="0" applyNumberFormat="1" applyFont="1" applyFill="1"/>
    <xf numFmtId="170" fontId="88" fillId="7" borderId="0" xfId="0" applyNumberFormat="1" applyFont="1" applyFill="1" applyBorder="1"/>
    <xf numFmtId="170" fontId="81" fillId="7" borderId="6" xfId="0" applyNumberFormat="1" applyFont="1" applyFill="1" applyBorder="1"/>
    <xf numFmtId="170" fontId="81" fillId="7" borderId="3" xfId="0" applyNumberFormat="1" applyFont="1" applyFill="1" applyBorder="1"/>
    <xf numFmtId="170" fontId="81" fillId="7" borderId="9" xfId="0" applyNumberFormat="1" applyFont="1" applyFill="1" applyBorder="1"/>
    <xf numFmtId="170" fontId="81" fillId="7" borderId="7" xfId="0" applyNumberFormat="1" applyFont="1" applyFill="1" applyBorder="1"/>
    <xf numFmtId="170" fontId="81" fillId="7" borderId="0" xfId="0" applyNumberFormat="1" applyFont="1" applyFill="1" applyBorder="1"/>
    <xf numFmtId="170" fontId="81" fillId="7" borderId="11" xfId="0" applyNumberFormat="1" applyFont="1" applyFill="1" applyBorder="1"/>
    <xf numFmtId="5" fontId="81" fillId="7" borderId="0" xfId="0" applyNumberFormat="1" applyFont="1" applyFill="1"/>
    <xf numFmtId="175" fontId="81" fillId="7" borderId="0" xfId="3" applyNumberFormat="1" applyFont="1" applyFill="1"/>
    <xf numFmtId="170" fontId="81" fillId="7" borderId="23" xfId="0" applyNumberFormat="1" applyFont="1" applyFill="1" applyBorder="1"/>
    <xf numFmtId="170" fontId="81" fillId="7" borderId="2" xfId="0" applyNumberFormat="1" applyFont="1" applyFill="1" applyBorder="1"/>
    <xf numFmtId="170" fontId="81" fillId="7" borderId="24" xfId="0" applyNumberFormat="1" applyFont="1" applyFill="1" applyBorder="1"/>
    <xf numFmtId="173" fontId="81" fillId="0" borderId="3" xfId="0" applyNumberFormat="1" applyFont="1" applyBorder="1"/>
    <xf numFmtId="173" fontId="81" fillId="0" borderId="0" xfId="0" applyNumberFormat="1" applyFont="1"/>
    <xf numFmtId="186" fontId="81" fillId="0" borderId="0" xfId="0" applyNumberFormat="1" applyFont="1" applyAlignment="1">
      <alignment horizontal="center"/>
    </xf>
    <xf numFmtId="0" fontId="88" fillId="0" borderId="0" xfId="0" applyFont="1" applyAlignment="1">
      <alignment horizontal="right"/>
    </xf>
    <xf numFmtId="3" fontId="95" fillId="0" borderId="0" xfId="0" applyNumberFormat="1" applyFont="1" applyAlignment="1">
      <alignment horizontal="center"/>
    </xf>
    <xf numFmtId="186" fontId="61" fillId="0" borderId="0" xfId="0" applyNumberFormat="1" applyFont="1" applyAlignment="1">
      <alignment horizontal="center"/>
    </xf>
    <xf numFmtId="170" fontId="81" fillId="0" borderId="0" xfId="0" applyNumberFormat="1" applyFont="1" applyFill="1" applyBorder="1"/>
    <xf numFmtId="3" fontId="81" fillId="0" borderId="0" xfId="0" applyNumberFormat="1" applyFont="1"/>
    <xf numFmtId="173" fontId="92" fillId="0" borderId="0" xfId="0" applyNumberFormat="1" applyFont="1" applyFill="1" applyBorder="1"/>
    <xf numFmtId="173" fontId="61" fillId="0" borderId="0" xfId="0" applyNumberFormat="1" applyFont="1"/>
    <xf numFmtId="3" fontId="81" fillId="0" borderId="3" xfId="0" applyNumberFormat="1" applyFont="1" applyBorder="1"/>
    <xf numFmtId="170" fontId="81" fillId="0" borderId="0" xfId="0" applyNumberFormat="1" applyFont="1" applyAlignment="1">
      <alignment horizontal="center"/>
    </xf>
    <xf numFmtId="0" fontId="81" fillId="0" borderId="0" xfId="0" applyFont="1" applyAlignment="1">
      <alignment horizontal="right"/>
    </xf>
    <xf numFmtId="170" fontId="61" fillId="7" borderId="1" xfId="0" applyNumberFormat="1" applyFont="1" applyFill="1" applyBorder="1"/>
    <xf numFmtId="170" fontId="81" fillId="7" borderId="1" xfId="0" applyNumberFormat="1" applyFont="1" applyFill="1" applyBorder="1"/>
    <xf numFmtId="186" fontId="81" fillId="7" borderId="0" xfId="0" applyNumberFormat="1" applyFont="1" applyFill="1" applyAlignment="1">
      <alignment horizontal="center"/>
    </xf>
    <xf numFmtId="3" fontId="81" fillId="0" borderId="5" xfId="0" applyNumberFormat="1" applyFont="1" applyBorder="1"/>
    <xf numFmtId="168" fontId="81" fillId="0" borderId="0" xfId="0" applyNumberFormat="1" applyFont="1" applyFill="1"/>
    <xf numFmtId="3" fontId="81" fillId="7" borderId="0" xfId="0" applyNumberFormat="1" applyFont="1" applyFill="1"/>
    <xf numFmtId="37" fontId="61" fillId="0" borderId="0" xfId="0" applyNumberFormat="1" applyFont="1" applyFill="1" applyAlignment="1" applyProtection="1">
      <alignment horizontal="right"/>
    </xf>
    <xf numFmtId="0" fontId="81" fillId="7" borderId="0" xfId="0" applyFont="1" applyFill="1" applyAlignment="1">
      <alignment horizontal="right"/>
    </xf>
    <xf numFmtId="166" fontId="81" fillId="7" borderId="0" xfId="1" applyNumberFormat="1" applyFont="1" applyFill="1"/>
    <xf numFmtId="166" fontId="81" fillId="0" borderId="0" xfId="1" applyNumberFormat="1" applyFont="1"/>
    <xf numFmtId="3" fontId="81" fillId="0" borderId="0" xfId="0" applyNumberFormat="1" applyFont="1" applyBorder="1"/>
    <xf numFmtId="168" fontId="92" fillId="7" borderId="0" xfId="0" applyNumberFormat="1" applyFont="1" applyFill="1" applyBorder="1"/>
    <xf numFmtId="37" fontId="19" fillId="0" borderId="0" xfId="0" applyNumberFormat="1" applyFont="1" applyFill="1" applyBorder="1"/>
    <xf numFmtId="37" fontId="46" fillId="7" borderId="0" xfId="0" applyNumberFormat="1" applyFont="1" applyFill="1"/>
    <xf numFmtId="37" fontId="13" fillId="7" borderId="0" xfId="0" applyNumberFormat="1" applyFont="1" applyFill="1" applyBorder="1"/>
    <xf numFmtId="37" fontId="46" fillId="7" borderId="0" xfId="0" applyNumberFormat="1" applyFont="1" applyFill="1" applyBorder="1"/>
    <xf numFmtId="37" fontId="20" fillId="7" borderId="0" xfId="0" applyNumberFormat="1" applyFont="1" applyFill="1"/>
    <xf numFmtId="37" fontId="17" fillId="7" borderId="0" xfId="0" applyNumberFormat="1" applyFont="1" applyFill="1"/>
    <xf numFmtId="166" fontId="0" fillId="0" borderId="6" xfId="1" applyNumberFormat="1" applyFont="1" applyBorder="1"/>
    <xf numFmtId="166" fontId="0" fillId="0" borderId="3" xfId="1" applyNumberFormat="1" applyFont="1" applyBorder="1"/>
    <xf numFmtId="166" fontId="0" fillId="0" borderId="9" xfId="1" applyNumberFormat="1" applyFont="1" applyBorder="1"/>
    <xf numFmtId="166" fontId="0" fillId="0" borderId="8" xfId="1" applyNumberFormat="1" applyFont="1" applyBorder="1"/>
    <xf numFmtId="166" fontId="0" fillId="0" borderId="10" xfId="1" applyNumberFormat="1" applyFont="1" applyBorder="1"/>
    <xf numFmtId="166" fontId="19" fillId="0" borderId="0" xfId="1" applyNumberFormat="1" applyFont="1" applyFill="1"/>
    <xf numFmtId="3" fontId="21" fillId="43" borderId="5" xfId="0" applyNumberFormat="1" applyFont="1" applyFill="1" applyBorder="1"/>
    <xf numFmtId="166" fontId="21" fillId="43" borderId="0" xfId="0" applyNumberFormat="1" applyFont="1" applyFill="1"/>
    <xf numFmtId="3" fontId="21" fillId="43" borderId="4" xfId="0" applyNumberFormat="1" applyFont="1" applyFill="1" applyBorder="1"/>
    <xf numFmtId="166" fontId="21" fillId="43" borderId="3" xfId="0" applyNumberFormat="1" applyFont="1" applyFill="1" applyBorder="1"/>
    <xf numFmtId="3" fontId="20" fillId="7" borderId="0" xfId="0" applyNumberFormat="1" applyFont="1" applyFill="1"/>
    <xf numFmtId="176" fontId="38" fillId="7" borderId="0" xfId="0" applyNumberFormat="1" applyFont="1" applyFill="1"/>
    <xf numFmtId="0" fontId="37" fillId="7" borderId="0" xfId="0" applyFont="1" applyFill="1"/>
    <xf numFmtId="179" fontId="38" fillId="7" borderId="0" xfId="0" applyNumberFormat="1" applyFont="1" applyFill="1"/>
    <xf numFmtId="0" fontId="14" fillId="7" borderId="0" xfId="0" applyFont="1" applyFill="1"/>
    <xf numFmtId="179" fontId="29" fillId="7" borderId="0" xfId="0" applyNumberFormat="1" applyFont="1" applyFill="1"/>
    <xf numFmtId="165" fontId="14" fillId="7" borderId="0" xfId="0" applyNumberFormat="1" applyFont="1" applyFill="1"/>
    <xf numFmtId="5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Continuous"/>
    </xf>
    <xf numFmtId="0" fontId="19" fillId="7" borderId="0" xfId="0" applyFont="1" applyFill="1" applyAlignment="1">
      <alignment horizontal="center"/>
    </xf>
    <xf numFmtId="0" fontId="19" fillId="7" borderId="1" xfId="0" applyFont="1" applyFill="1" applyBorder="1" applyAlignment="1">
      <alignment horizontal="center"/>
    </xf>
    <xf numFmtId="175" fontId="19" fillId="7" borderId="0" xfId="0" applyNumberFormat="1" applyFont="1" applyFill="1" applyAlignment="1">
      <alignment horizontal="center"/>
    </xf>
    <xf numFmtId="173" fontId="19" fillId="7" borderId="0" xfId="0" applyNumberFormat="1" applyFont="1" applyFill="1"/>
    <xf numFmtId="165" fontId="14" fillId="7" borderId="1" xfId="0" applyNumberFormat="1" applyFont="1" applyFill="1" applyBorder="1"/>
    <xf numFmtId="0" fontId="29" fillId="7" borderId="0" xfId="0" applyFont="1" applyFill="1"/>
    <xf numFmtId="5" fontId="14" fillId="7" borderId="0" xfId="0" applyNumberFormat="1" applyFont="1" applyFill="1" applyBorder="1"/>
    <xf numFmtId="3" fontId="14" fillId="7" borderId="0" xfId="0" applyNumberFormat="1" applyFont="1" applyFill="1" applyAlignment="1">
      <alignment horizontal="left" indent="1"/>
    </xf>
    <xf numFmtId="37" fontId="14" fillId="7" borderId="0" xfId="2" applyNumberFormat="1" applyFont="1" applyFill="1"/>
    <xf numFmtId="37" fontId="47" fillId="7" borderId="0" xfId="0" applyNumberFormat="1" applyFont="1" applyFill="1"/>
    <xf numFmtId="37" fontId="0" fillId="0" borderId="0" xfId="0" applyNumberFormat="1"/>
    <xf numFmtId="166" fontId="0" fillId="0" borderId="0" xfId="1" applyNumberFormat="1" applyFont="1" applyAlignment="1">
      <alignment horizontal="center"/>
    </xf>
    <xf numFmtId="37" fontId="37" fillId="7" borderId="0" xfId="0" applyNumberFormat="1" applyFont="1" applyFill="1"/>
    <xf numFmtId="0" fontId="13" fillId="0" borderId="0" xfId="744"/>
    <xf numFmtId="3" fontId="13" fillId="0" borderId="0" xfId="744" applyNumberFormat="1"/>
    <xf numFmtId="3" fontId="20" fillId="0" borderId="0" xfId="744" applyNumberFormat="1" applyFont="1"/>
    <xf numFmtId="0" fontId="13" fillId="0" borderId="0" xfId="744" applyAlignment="1">
      <alignment horizontal="left" indent="1"/>
    </xf>
    <xf numFmtId="0" fontId="13" fillId="0" borderId="0" xfId="744" applyAlignment="1">
      <alignment horizontal="center"/>
    </xf>
    <xf numFmtId="44" fontId="13" fillId="0" borderId="0" xfId="744" applyNumberFormat="1"/>
    <xf numFmtId="180" fontId="20" fillId="0" borderId="0" xfId="744" applyNumberFormat="1" applyFont="1"/>
    <xf numFmtId="168" fontId="13" fillId="0" borderId="0" xfId="744" applyNumberFormat="1"/>
    <xf numFmtId="3" fontId="23" fillId="0" borderId="0" xfId="744" applyNumberFormat="1" applyFont="1"/>
    <xf numFmtId="0" fontId="23" fillId="0" borderId="0" xfId="744" applyFont="1" applyAlignment="1">
      <alignment horizontal="right"/>
    </xf>
    <xf numFmtId="192" fontId="13" fillId="0" borderId="0" xfId="744" applyNumberFormat="1"/>
    <xf numFmtId="0" fontId="13" fillId="0" borderId="25" xfId="744" applyBorder="1"/>
    <xf numFmtId="0" fontId="96" fillId="0" borderId="2" xfId="744" applyFont="1" applyBorder="1"/>
    <xf numFmtId="5" fontId="13" fillId="0" borderId="23" xfId="744" applyNumberFormat="1" applyBorder="1"/>
    <xf numFmtId="0" fontId="96" fillId="0" borderId="0" xfId="744" applyFont="1" applyAlignment="1">
      <alignment horizontal="left" indent="1"/>
    </xf>
    <xf numFmtId="193" fontId="23" fillId="0" borderId="0" xfId="744" applyNumberFormat="1" applyFont="1"/>
    <xf numFmtId="5" fontId="97" fillId="0" borderId="0" xfId="744" applyNumberFormat="1" applyFont="1"/>
    <xf numFmtId="3" fontId="14" fillId="0" borderId="0" xfId="744" applyNumberFormat="1" applyFont="1"/>
    <xf numFmtId="0" fontId="96" fillId="0" borderId="0" xfId="744" applyFont="1"/>
    <xf numFmtId="0" fontId="13" fillId="0" borderId="26" xfId="744" applyBorder="1"/>
    <xf numFmtId="194" fontId="13" fillId="0" borderId="0" xfId="744" applyNumberFormat="1"/>
    <xf numFmtId="3" fontId="13" fillId="0" borderId="27" xfId="744" applyNumberFormat="1" applyBorder="1"/>
    <xf numFmtId="3" fontId="13" fillId="44" borderId="0" xfId="744" applyNumberFormat="1" applyFill="1"/>
    <xf numFmtId="3" fontId="20" fillId="44" borderId="0" xfId="744" applyNumberFormat="1" applyFont="1" applyFill="1"/>
    <xf numFmtId="0" fontId="19" fillId="0" borderId="0" xfId="744" applyFont="1"/>
    <xf numFmtId="3" fontId="13" fillId="0" borderId="28" xfId="744" applyNumberFormat="1" applyBorder="1"/>
    <xf numFmtId="193" fontId="13" fillId="0" borderId="0" xfId="744" applyNumberFormat="1"/>
    <xf numFmtId="3" fontId="13" fillId="0" borderId="29" xfId="744" applyNumberFormat="1" applyBorder="1"/>
    <xf numFmtId="193" fontId="20" fillId="0" borderId="0" xfId="744" applyNumberFormat="1" applyFont="1"/>
    <xf numFmtId="0" fontId="14" fillId="0" borderId="0" xfId="744" applyFont="1" applyAlignment="1">
      <alignment horizontal="center" wrapText="1"/>
    </xf>
    <xf numFmtId="0" fontId="98" fillId="0" borderId="0" xfId="744" applyFont="1" applyAlignment="1">
      <alignment horizontal="center"/>
    </xf>
    <xf numFmtId="0" fontId="22" fillId="0" borderId="0" xfId="744" applyFont="1"/>
    <xf numFmtId="173" fontId="13" fillId="0" borderId="0" xfId="744" applyNumberFormat="1"/>
    <xf numFmtId="0" fontId="14" fillId="0" borderId="0" xfId="744" applyFont="1" applyAlignment="1">
      <alignment horizontal="center"/>
    </xf>
    <xf numFmtId="3" fontId="13" fillId="0" borderId="3" xfId="744" applyNumberFormat="1" applyBorder="1"/>
    <xf numFmtId="3" fontId="14" fillId="0" borderId="0" xfId="744" applyNumberFormat="1" applyFont="1" applyAlignment="1">
      <alignment horizontal="center"/>
    </xf>
    <xf numFmtId="3" fontId="20" fillId="0" borderId="3" xfId="744" applyNumberFormat="1" applyFont="1" applyBorder="1"/>
    <xf numFmtId="3" fontId="97" fillId="0" borderId="0" xfId="744" applyNumberFormat="1" applyFont="1"/>
    <xf numFmtId="0" fontId="13" fillId="0" borderId="0" xfId="744" applyAlignment="1">
      <alignment vertical="center" wrapText="1"/>
    </xf>
    <xf numFmtId="0" fontId="13" fillId="0" borderId="0" xfId="744" applyAlignment="1">
      <alignment horizontal="left" vertical="center" indent="1"/>
    </xf>
    <xf numFmtId="0" fontId="13" fillId="0" borderId="0" xfId="744" applyAlignment="1">
      <alignment wrapText="1"/>
    </xf>
    <xf numFmtId="0" fontId="22" fillId="0" borderId="28" xfId="744" applyFont="1" applyBorder="1" applyAlignment="1">
      <alignment horizontal="center"/>
    </xf>
    <xf numFmtId="0" fontId="43" fillId="0" borderId="28" xfId="744" applyFont="1" applyBorder="1" applyAlignment="1">
      <alignment horizontal="right"/>
    </xf>
    <xf numFmtId="0" fontId="43" fillId="0" borderId="0" xfId="744" applyFont="1" applyAlignment="1">
      <alignment horizontal="right"/>
    </xf>
    <xf numFmtId="0" fontId="43" fillId="0" borderId="29" xfId="744" applyFont="1" applyBorder="1" applyAlignment="1">
      <alignment horizontal="right"/>
    </xf>
    <xf numFmtId="3" fontId="20" fillId="43" borderId="0" xfId="744" applyNumberFormat="1" applyFont="1" applyFill="1"/>
    <xf numFmtId="3" fontId="46" fillId="0" borderId="0" xfId="744" applyNumberFormat="1" applyFont="1"/>
    <xf numFmtId="3" fontId="13" fillId="0" borderId="1" xfId="744" applyNumberFormat="1" applyBorder="1"/>
    <xf numFmtId="3" fontId="20" fillId="0" borderId="1" xfId="744" applyNumberFormat="1" applyFont="1" applyBorder="1"/>
    <xf numFmtId="3" fontId="46" fillId="0" borderId="1" xfId="744" applyNumberFormat="1" applyFont="1" applyBorder="1"/>
    <xf numFmtId="3" fontId="13" fillId="0" borderId="30" xfId="744" applyNumberFormat="1" applyBorder="1"/>
    <xf numFmtId="193" fontId="0" fillId="0" borderId="0" xfId="3" applyNumberFormat="1" applyFont="1"/>
    <xf numFmtId="3" fontId="13" fillId="45" borderId="0" xfId="744" applyNumberFormat="1" applyFill="1"/>
    <xf numFmtId="3" fontId="20" fillId="45" borderId="0" xfId="744" applyNumberFormat="1" applyFont="1" applyFill="1"/>
    <xf numFmtId="0" fontId="98" fillId="0" borderId="0" xfId="744" applyFont="1"/>
    <xf numFmtId="0" fontId="14" fillId="0" borderId="0" xfId="744" applyFont="1"/>
    <xf numFmtId="3" fontId="13" fillId="0" borderId="25" xfId="744" applyNumberFormat="1" applyBorder="1"/>
    <xf numFmtId="3" fontId="13" fillId="0" borderId="2" xfId="744" applyNumberFormat="1" applyBorder="1"/>
    <xf numFmtId="3" fontId="46" fillId="0" borderId="2" xfId="744" applyNumberFormat="1" applyFont="1" applyBorder="1"/>
    <xf numFmtId="0" fontId="14" fillId="0" borderId="0" xfId="744" applyFont="1" applyAlignment="1">
      <alignment horizontal="left" indent="1"/>
    </xf>
    <xf numFmtId="0" fontId="14" fillId="0" borderId="0" xfId="744" applyFont="1" applyAlignment="1">
      <alignment wrapText="1"/>
    </xf>
    <xf numFmtId="0" fontId="13" fillId="0" borderId="0" xfId="744" applyAlignment="1">
      <alignment horizontal="left" wrapText="1"/>
    </xf>
    <xf numFmtId="3" fontId="37" fillId="0" borderId="0" xfId="744" applyNumberFormat="1" applyFont="1"/>
    <xf numFmtId="0" fontId="13" fillId="0" borderId="28" xfId="744" applyBorder="1"/>
    <xf numFmtId="0" fontId="43" fillId="0" borderId="28" xfId="744" applyFont="1" applyBorder="1" applyAlignment="1">
      <alignment horizontal="center"/>
    </xf>
    <xf numFmtId="2" fontId="19" fillId="0" borderId="0" xfId="744" applyNumberFormat="1" applyFont="1" applyAlignment="1">
      <alignment horizontal="center"/>
    </xf>
    <xf numFmtId="0" fontId="19" fillId="0" borderId="0" xfId="744" applyFont="1" applyAlignment="1">
      <alignment horizontal="center"/>
    </xf>
    <xf numFmtId="0" fontId="43" fillId="0" borderId="0" xfId="744" applyFont="1" applyAlignment="1">
      <alignment horizontal="center"/>
    </xf>
    <xf numFmtId="0" fontId="43" fillId="0" borderId="29" xfId="744" applyFont="1" applyBorder="1" applyAlignment="1">
      <alignment horizontal="center"/>
    </xf>
    <xf numFmtId="3" fontId="13" fillId="0" borderId="0" xfId="744" applyNumberFormat="1" applyFont="1"/>
    <xf numFmtId="3" fontId="13" fillId="0" borderId="3" xfId="744" applyNumberFormat="1" applyFont="1" applyBorder="1"/>
    <xf numFmtId="193" fontId="13" fillId="0" borderId="0" xfId="744" applyNumberFormat="1" applyFont="1"/>
    <xf numFmtId="0" fontId="13" fillId="0" borderId="0" xfId="744" applyFont="1"/>
    <xf numFmtId="9" fontId="13" fillId="0" borderId="0" xfId="744" applyNumberFormat="1" applyFont="1"/>
    <xf numFmtId="0" fontId="96" fillId="0" borderId="0" xfId="744" applyFont="1" applyAlignment="1">
      <alignment horizontal="center" wrapText="1"/>
    </xf>
    <xf numFmtId="0" fontId="13" fillId="0" borderId="7" xfId="744" applyBorder="1" applyAlignment="1">
      <alignment horizontal="left" wrapText="1"/>
    </xf>
    <xf numFmtId="0" fontId="13" fillId="0" borderId="0" xfId="744" applyAlignment="1">
      <alignment horizontal="left" wrapText="1"/>
    </xf>
    <xf numFmtId="0" fontId="13" fillId="0" borderId="7" xfId="744" applyBorder="1" applyAlignment="1">
      <alignment horizontal="left" vertical="top" wrapText="1"/>
    </xf>
    <xf numFmtId="0" fontId="13" fillId="0" borderId="0" xfId="744" applyAlignment="1">
      <alignment horizontal="left" vertical="top" wrapText="1"/>
    </xf>
    <xf numFmtId="0" fontId="35" fillId="0" borderId="0" xfId="0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23" fillId="0" borderId="0" xfId="0" applyFont="1" applyBorder="1" applyAlignment="1">
      <alignment horizontal="center"/>
    </xf>
    <xf numFmtId="7" fontId="13" fillId="0" borderId="0" xfId="0" applyNumberFormat="1" applyFont="1" applyAlignment="1">
      <alignment horizontal="center"/>
    </xf>
  </cellXfs>
  <cellStyles count="1386">
    <cellStyle name="20% - Accent1" xfId="89" builtinId="30" customBuiltin="1"/>
    <cellStyle name="20% - Accent1 10" xfId="586" xr:uid="{00000000-0005-0000-0000-000001000000}"/>
    <cellStyle name="20% - Accent1 10 2" xfId="973" xr:uid="{00000000-0005-0000-0000-000002000000}"/>
    <cellStyle name="20% - Accent1 11" xfId="614" xr:uid="{00000000-0005-0000-0000-000003000000}"/>
    <cellStyle name="20% - Accent1 11 2" xfId="991" xr:uid="{00000000-0005-0000-0000-000004000000}"/>
    <cellStyle name="20% - Accent1 12" xfId="640" xr:uid="{00000000-0005-0000-0000-000005000000}"/>
    <cellStyle name="20% - Accent1 12 2" xfId="1007" xr:uid="{00000000-0005-0000-0000-000006000000}"/>
    <cellStyle name="20% - Accent1 13" xfId="665" xr:uid="{00000000-0005-0000-0000-000007000000}"/>
    <cellStyle name="20% - Accent1 13 2" xfId="1023" xr:uid="{00000000-0005-0000-0000-000008000000}"/>
    <cellStyle name="20% - Accent1 14" xfId="687" xr:uid="{00000000-0005-0000-0000-000009000000}"/>
    <cellStyle name="20% - Accent1 14 2" xfId="1039" xr:uid="{00000000-0005-0000-0000-00000A000000}"/>
    <cellStyle name="20% - Accent1 15" xfId="703" xr:uid="{00000000-0005-0000-0000-00000B000000}"/>
    <cellStyle name="20% - Accent1 15 2" xfId="1055" xr:uid="{00000000-0005-0000-0000-00000C000000}"/>
    <cellStyle name="20% - Accent1 16" xfId="732" xr:uid="{00000000-0005-0000-0000-00000D000000}"/>
    <cellStyle name="20% - Accent1 17" xfId="832" xr:uid="{00000000-0005-0000-0000-00000E000000}"/>
    <cellStyle name="20% - Accent1 18" xfId="1122" xr:uid="{00000000-0005-0000-0000-00000F000000}"/>
    <cellStyle name="20% - Accent1 19" xfId="1168" xr:uid="{00000000-0005-0000-0000-000010000000}"/>
    <cellStyle name="20% - Accent1 2" xfId="358" xr:uid="{00000000-0005-0000-0000-000011000000}"/>
    <cellStyle name="20% - Accent1 2 2" xfId="833" xr:uid="{00000000-0005-0000-0000-000012000000}"/>
    <cellStyle name="20% - Accent1 2 2 2" xfId="1156" xr:uid="{00000000-0005-0000-0000-000013000000}"/>
    <cellStyle name="20% - Accent1 2 2 3" xfId="1200" xr:uid="{00000000-0005-0000-0000-000014000000}"/>
    <cellStyle name="20% - Accent1 2 2 4" xfId="1244" xr:uid="{00000000-0005-0000-0000-000015000000}"/>
    <cellStyle name="20% - Accent1 2 2 5" xfId="1342" xr:uid="{00000000-0005-0000-0000-000016000000}"/>
    <cellStyle name="20% - Accent1 2 3" xfId="1138" xr:uid="{00000000-0005-0000-0000-000017000000}"/>
    <cellStyle name="20% - Accent1 2 3 2" xfId="1272" xr:uid="{00000000-0005-0000-0000-000018000000}"/>
    <cellStyle name="20% - Accent1 2 3 3" xfId="1370" xr:uid="{00000000-0005-0000-0000-000019000000}"/>
    <cellStyle name="20% - Accent1 2 4" xfId="1184" xr:uid="{00000000-0005-0000-0000-00001A000000}"/>
    <cellStyle name="20% - Accent1 2 5" xfId="1228" xr:uid="{00000000-0005-0000-0000-00001B000000}"/>
    <cellStyle name="20% - Accent1 2 6" xfId="1326" xr:uid="{00000000-0005-0000-0000-00001C000000}"/>
    <cellStyle name="20% - Accent1 20" xfId="1212" xr:uid="{00000000-0005-0000-0000-00001D000000}"/>
    <cellStyle name="20% - Accent1 21" xfId="1310" xr:uid="{00000000-0005-0000-0000-00001E000000}"/>
    <cellStyle name="20% - Accent1 3" xfId="389" xr:uid="{00000000-0005-0000-0000-00001F000000}"/>
    <cellStyle name="20% - Accent1 3 2" xfId="850" xr:uid="{00000000-0005-0000-0000-000020000000}"/>
    <cellStyle name="20% - Accent1 3 3" xfId="1256" xr:uid="{00000000-0005-0000-0000-000021000000}"/>
    <cellStyle name="20% - Accent1 3 4" xfId="1354" xr:uid="{00000000-0005-0000-0000-000022000000}"/>
    <cellStyle name="20% - Accent1 4" xfId="417" xr:uid="{00000000-0005-0000-0000-000023000000}"/>
    <cellStyle name="20% - Accent1 4 2" xfId="866" xr:uid="{00000000-0005-0000-0000-000024000000}"/>
    <cellStyle name="20% - Accent1 5" xfId="444" xr:uid="{00000000-0005-0000-0000-000025000000}"/>
    <cellStyle name="20% - Accent1 5 2" xfId="883" xr:uid="{00000000-0005-0000-0000-000026000000}"/>
    <cellStyle name="20% - Accent1 6" xfId="471" xr:uid="{00000000-0005-0000-0000-000027000000}"/>
    <cellStyle name="20% - Accent1 6 2" xfId="899" xr:uid="{00000000-0005-0000-0000-000028000000}"/>
    <cellStyle name="20% - Accent1 7" xfId="495" xr:uid="{00000000-0005-0000-0000-000029000000}"/>
    <cellStyle name="20% - Accent1 7 2" xfId="917" xr:uid="{00000000-0005-0000-0000-00002A000000}"/>
    <cellStyle name="20% - Accent1 8" xfId="519" xr:uid="{00000000-0005-0000-0000-00002B000000}"/>
    <cellStyle name="20% - Accent1 8 2" xfId="934" xr:uid="{00000000-0005-0000-0000-00002C000000}"/>
    <cellStyle name="20% - Accent1 9" xfId="557" xr:uid="{00000000-0005-0000-0000-00002D000000}"/>
    <cellStyle name="20% - Accent1 9 2" xfId="957" xr:uid="{00000000-0005-0000-0000-00002E000000}"/>
    <cellStyle name="20% - Accent2" xfId="93" builtinId="34" customBuiltin="1"/>
    <cellStyle name="20% - Accent2 10" xfId="589" xr:uid="{00000000-0005-0000-0000-000030000000}"/>
    <cellStyle name="20% - Accent2 10 2" xfId="975" xr:uid="{00000000-0005-0000-0000-000031000000}"/>
    <cellStyle name="20% - Accent2 11" xfId="617" xr:uid="{00000000-0005-0000-0000-000032000000}"/>
    <cellStyle name="20% - Accent2 11 2" xfId="993" xr:uid="{00000000-0005-0000-0000-000033000000}"/>
    <cellStyle name="20% - Accent2 12" xfId="643" xr:uid="{00000000-0005-0000-0000-000034000000}"/>
    <cellStyle name="20% - Accent2 12 2" xfId="1009" xr:uid="{00000000-0005-0000-0000-000035000000}"/>
    <cellStyle name="20% - Accent2 13" xfId="667" xr:uid="{00000000-0005-0000-0000-000036000000}"/>
    <cellStyle name="20% - Accent2 13 2" xfId="1025" xr:uid="{00000000-0005-0000-0000-000037000000}"/>
    <cellStyle name="20% - Accent2 14" xfId="689" xr:uid="{00000000-0005-0000-0000-000038000000}"/>
    <cellStyle name="20% - Accent2 14 2" xfId="1041" xr:uid="{00000000-0005-0000-0000-000039000000}"/>
    <cellStyle name="20% - Accent2 15" xfId="705" xr:uid="{00000000-0005-0000-0000-00003A000000}"/>
    <cellStyle name="20% - Accent2 15 2" xfId="1057" xr:uid="{00000000-0005-0000-0000-00003B000000}"/>
    <cellStyle name="20% - Accent2 16" xfId="734" xr:uid="{00000000-0005-0000-0000-00003C000000}"/>
    <cellStyle name="20% - Accent2 17" xfId="730" xr:uid="{00000000-0005-0000-0000-00003D000000}"/>
    <cellStyle name="20% - Accent2 18" xfId="1124" xr:uid="{00000000-0005-0000-0000-00003E000000}"/>
    <cellStyle name="20% - Accent2 19" xfId="1170" xr:uid="{00000000-0005-0000-0000-00003F000000}"/>
    <cellStyle name="20% - Accent2 2" xfId="362" xr:uid="{00000000-0005-0000-0000-000040000000}"/>
    <cellStyle name="20% - Accent2 2 2" xfId="835" xr:uid="{00000000-0005-0000-0000-000041000000}"/>
    <cellStyle name="20% - Accent2 2 2 2" xfId="1158" xr:uid="{00000000-0005-0000-0000-000042000000}"/>
    <cellStyle name="20% - Accent2 2 2 3" xfId="1202" xr:uid="{00000000-0005-0000-0000-000043000000}"/>
    <cellStyle name="20% - Accent2 2 2 4" xfId="1246" xr:uid="{00000000-0005-0000-0000-000044000000}"/>
    <cellStyle name="20% - Accent2 2 2 5" xfId="1344" xr:uid="{00000000-0005-0000-0000-000045000000}"/>
    <cellStyle name="20% - Accent2 2 3" xfId="1140" xr:uid="{00000000-0005-0000-0000-000046000000}"/>
    <cellStyle name="20% - Accent2 2 3 2" xfId="1274" xr:uid="{00000000-0005-0000-0000-000047000000}"/>
    <cellStyle name="20% - Accent2 2 3 3" xfId="1372" xr:uid="{00000000-0005-0000-0000-000048000000}"/>
    <cellStyle name="20% - Accent2 2 4" xfId="1186" xr:uid="{00000000-0005-0000-0000-000049000000}"/>
    <cellStyle name="20% - Accent2 2 5" xfId="1230" xr:uid="{00000000-0005-0000-0000-00004A000000}"/>
    <cellStyle name="20% - Accent2 2 6" xfId="1328" xr:uid="{00000000-0005-0000-0000-00004B000000}"/>
    <cellStyle name="20% - Accent2 20" xfId="1214" xr:uid="{00000000-0005-0000-0000-00004C000000}"/>
    <cellStyle name="20% - Accent2 21" xfId="1312" xr:uid="{00000000-0005-0000-0000-00004D000000}"/>
    <cellStyle name="20% - Accent2 3" xfId="392" xr:uid="{00000000-0005-0000-0000-00004E000000}"/>
    <cellStyle name="20% - Accent2 3 2" xfId="852" xr:uid="{00000000-0005-0000-0000-00004F000000}"/>
    <cellStyle name="20% - Accent2 3 3" xfId="1258" xr:uid="{00000000-0005-0000-0000-000050000000}"/>
    <cellStyle name="20% - Accent2 3 4" xfId="1356" xr:uid="{00000000-0005-0000-0000-000051000000}"/>
    <cellStyle name="20% - Accent2 4" xfId="420" xr:uid="{00000000-0005-0000-0000-000052000000}"/>
    <cellStyle name="20% - Accent2 4 2" xfId="868" xr:uid="{00000000-0005-0000-0000-000053000000}"/>
    <cellStyle name="20% - Accent2 5" xfId="447" xr:uid="{00000000-0005-0000-0000-000054000000}"/>
    <cellStyle name="20% - Accent2 5 2" xfId="885" xr:uid="{00000000-0005-0000-0000-000055000000}"/>
    <cellStyle name="20% - Accent2 6" xfId="474" xr:uid="{00000000-0005-0000-0000-000056000000}"/>
    <cellStyle name="20% - Accent2 6 2" xfId="902" xr:uid="{00000000-0005-0000-0000-000057000000}"/>
    <cellStyle name="20% - Accent2 7" xfId="498" xr:uid="{00000000-0005-0000-0000-000058000000}"/>
    <cellStyle name="20% - Accent2 7 2" xfId="919" xr:uid="{00000000-0005-0000-0000-000059000000}"/>
    <cellStyle name="20% - Accent2 8" xfId="522" xr:uid="{00000000-0005-0000-0000-00005A000000}"/>
    <cellStyle name="20% - Accent2 8 2" xfId="936" xr:uid="{00000000-0005-0000-0000-00005B000000}"/>
    <cellStyle name="20% - Accent2 9" xfId="561" xr:uid="{00000000-0005-0000-0000-00005C000000}"/>
    <cellStyle name="20% - Accent2 9 2" xfId="959" xr:uid="{00000000-0005-0000-0000-00005D000000}"/>
    <cellStyle name="20% - Accent3" xfId="97" builtinId="38" customBuiltin="1"/>
    <cellStyle name="20% - Accent3 10" xfId="593" xr:uid="{00000000-0005-0000-0000-00005F000000}"/>
    <cellStyle name="20% - Accent3 10 2" xfId="978" xr:uid="{00000000-0005-0000-0000-000060000000}"/>
    <cellStyle name="20% - Accent3 11" xfId="620" xr:uid="{00000000-0005-0000-0000-000061000000}"/>
    <cellStyle name="20% - Accent3 11 2" xfId="995" xr:uid="{00000000-0005-0000-0000-000062000000}"/>
    <cellStyle name="20% - Accent3 12" xfId="646" xr:uid="{00000000-0005-0000-0000-000063000000}"/>
    <cellStyle name="20% - Accent3 12 2" xfId="1011" xr:uid="{00000000-0005-0000-0000-000064000000}"/>
    <cellStyle name="20% - Accent3 13" xfId="670" xr:uid="{00000000-0005-0000-0000-000065000000}"/>
    <cellStyle name="20% - Accent3 13 2" xfId="1027" xr:uid="{00000000-0005-0000-0000-000066000000}"/>
    <cellStyle name="20% - Accent3 14" xfId="691" xr:uid="{00000000-0005-0000-0000-000067000000}"/>
    <cellStyle name="20% - Accent3 14 2" xfId="1043" xr:uid="{00000000-0005-0000-0000-000068000000}"/>
    <cellStyle name="20% - Accent3 15" xfId="707" xr:uid="{00000000-0005-0000-0000-000069000000}"/>
    <cellStyle name="20% - Accent3 15 2" xfId="1059" xr:uid="{00000000-0005-0000-0000-00006A000000}"/>
    <cellStyle name="20% - Accent3 16" xfId="736" xr:uid="{00000000-0005-0000-0000-00006B000000}"/>
    <cellStyle name="20% - Accent3 17" xfId="831" xr:uid="{00000000-0005-0000-0000-00006C000000}"/>
    <cellStyle name="20% - Accent3 18" xfId="1126" xr:uid="{00000000-0005-0000-0000-00006D000000}"/>
    <cellStyle name="20% - Accent3 19" xfId="1172" xr:uid="{00000000-0005-0000-0000-00006E000000}"/>
    <cellStyle name="20% - Accent3 2" xfId="366" xr:uid="{00000000-0005-0000-0000-00006F000000}"/>
    <cellStyle name="20% - Accent3 2 2" xfId="837" xr:uid="{00000000-0005-0000-0000-000070000000}"/>
    <cellStyle name="20% - Accent3 2 2 2" xfId="1160" xr:uid="{00000000-0005-0000-0000-000071000000}"/>
    <cellStyle name="20% - Accent3 2 2 3" xfId="1204" xr:uid="{00000000-0005-0000-0000-000072000000}"/>
    <cellStyle name="20% - Accent3 2 2 4" xfId="1248" xr:uid="{00000000-0005-0000-0000-000073000000}"/>
    <cellStyle name="20% - Accent3 2 2 5" xfId="1346" xr:uid="{00000000-0005-0000-0000-000074000000}"/>
    <cellStyle name="20% - Accent3 2 3" xfId="1142" xr:uid="{00000000-0005-0000-0000-000075000000}"/>
    <cellStyle name="20% - Accent3 2 3 2" xfId="1276" xr:uid="{00000000-0005-0000-0000-000076000000}"/>
    <cellStyle name="20% - Accent3 2 3 3" xfId="1374" xr:uid="{00000000-0005-0000-0000-000077000000}"/>
    <cellStyle name="20% - Accent3 2 4" xfId="1188" xr:uid="{00000000-0005-0000-0000-000078000000}"/>
    <cellStyle name="20% - Accent3 2 5" xfId="1232" xr:uid="{00000000-0005-0000-0000-000079000000}"/>
    <cellStyle name="20% - Accent3 2 6" xfId="1330" xr:uid="{00000000-0005-0000-0000-00007A000000}"/>
    <cellStyle name="20% - Accent3 20" xfId="1216" xr:uid="{00000000-0005-0000-0000-00007B000000}"/>
    <cellStyle name="20% - Accent3 21" xfId="1314" xr:uid="{00000000-0005-0000-0000-00007C000000}"/>
    <cellStyle name="20% - Accent3 3" xfId="396" xr:uid="{00000000-0005-0000-0000-00007D000000}"/>
    <cellStyle name="20% - Accent3 3 2" xfId="854" xr:uid="{00000000-0005-0000-0000-00007E000000}"/>
    <cellStyle name="20% - Accent3 3 3" xfId="1260" xr:uid="{00000000-0005-0000-0000-00007F000000}"/>
    <cellStyle name="20% - Accent3 3 4" xfId="1358" xr:uid="{00000000-0005-0000-0000-000080000000}"/>
    <cellStyle name="20% - Accent3 4" xfId="423" xr:uid="{00000000-0005-0000-0000-000081000000}"/>
    <cellStyle name="20% - Accent3 4 2" xfId="870" xr:uid="{00000000-0005-0000-0000-000082000000}"/>
    <cellStyle name="20% - Accent3 5" xfId="451" xr:uid="{00000000-0005-0000-0000-000083000000}"/>
    <cellStyle name="20% - Accent3 5 2" xfId="887" xr:uid="{00000000-0005-0000-0000-000084000000}"/>
    <cellStyle name="20% - Accent3 6" xfId="477" xr:uid="{00000000-0005-0000-0000-000085000000}"/>
    <cellStyle name="20% - Accent3 6 2" xfId="905" xr:uid="{00000000-0005-0000-0000-000086000000}"/>
    <cellStyle name="20% - Accent3 7" xfId="501" xr:uid="{00000000-0005-0000-0000-000087000000}"/>
    <cellStyle name="20% - Accent3 7 2" xfId="921" xr:uid="{00000000-0005-0000-0000-000088000000}"/>
    <cellStyle name="20% - Accent3 8" xfId="526" xr:uid="{00000000-0005-0000-0000-000089000000}"/>
    <cellStyle name="20% - Accent3 8 2" xfId="939" xr:uid="{00000000-0005-0000-0000-00008A000000}"/>
    <cellStyle name="20% - Accent3 9" xfId="565" xr:uid="{00000000-0005-0000-0000-00008B000000}"/>
    <cellStyle name="20% - Accent3 9 2" xfId="961" xr:uid="{00000000-0005-0000-0000-00008C000000}"/>
    <cellStyle name="20% - Accent4" xfId="101" builtinId="42" customBuiltin="1"/>
    <cellStyle name="20% - Accent4 10" xfId="597" xr:uid="{00000000-0005-0000-0000-00008E000000}"/>
    <cellStyle name="20% - Accent4 10 2" xfId="980" xr:uid="{00000000-0005-0000-0000-00008F000000}"/>
    <cellStyle name="20% - Accent4 11" xfId="624" xr:uid="{00000000-0005-0000-0000-000090000000}"/>
    <cellStyle name="20% - Accent4 11 2" xfId="997" xr:uid="{00000000-0005-0000-0000-000091000000}"/>
    <cellStyle name="20% - Accent4 12" xfId="650" xr:uid="{00000000-0005-0000-0000-000092000000}"/>
    <cellStyle name="20% - Accent4 12 2" xfId="1013" xr:uid="{00000000-0005-0000-0000-000093000000}"/>
    <cellStyle name="20% - Accent4 13" xfId="674" xr:uid="{00000000-0005-0000-0000-000094000000}"/>
    <cellStyle name="20% - Accent4 13 2" xfId="1029" xr:uid="{00000000-0005-0000-0000-000095000000}"/>
    <cellStyle name="20% - Accent4 14" xfId="693" xr:uid="{00000000-0005-0000-0000-000096000000}"/>
    <cellStyle name="20% - Accent4 14 2" xfId="1045" xr:uid="{00000000-0005-0000-0000-000097000000}"/>
    <cellStyle name="20% - Accent4 15" xfId="709" xr:uid="{00000000-0005-0000-0000-000098000000}"/>
    <cellStyle name="20% - Accent4 15 2" xfId="1061" xr:uid="{00000000-0005-0000-0000-000099000000}"/>
    <cellStyle name="20% - Accent4 16" xfId="738" xr:uid="{00000000-0005-0000-0000-00009A000000}"/>
    <cellStyle name="20% - Accent4 17" xfId="805" xr:uid="{00000000-0005-0000-0000-00009B000000}"/>
    <cellStyle name="20% - Accent4 18" xfId="1128" xr:uid="{00000000-0005-0000-0000-00009C000000}"/>
    <cellStyle name="20% - Accent4 19" xfId="1174" xr:uid="{00000000-0005-0000-0000-00009D000000}"/>
    <cellStyle name="20% - Accent4 2" xfId="370" xr:uid="{00000000-0005-0000-0000-00009E000000}"/>
    <cellStyle name="20% - Accent4 2 2" xfId="839" xr:uid="{00000000-0005-0000-0000-00009F000000}"/>
    <cellStyle name="20% - Accent4 2 2 2" xfId="1162" xr:uid="{00000000-0005-0000-0000-0000A0000000}"/>
    <cellStyle name="20% - Accent4 2 2 3" xfId="1206" xr:uid="{00000000-0005-0000-0000-0000A1000000}"/>
    <cellStyle name="20% - Accent4 2 2 4" xfId="1250" xr:uid="{00000000-0005-0000-0000-0000A2000000}"/>
    <cellStyle name="20% - Accent4 2 2 5" xfId="1348" xr:uid="{00000000-0005-0000-0000-0000A3000000}"/>
    <cellStyle name="20% - Accent4 2 3" xfId="1144" xr:uid="{00000000-0005-0000-0000-0000A4000000}"/>
    <cellStyle name="20% - Accent4 2 3 2" xfId="1278" xr:uid="{00000000-0005-0000-0000-0000A5000000}"/>
    <cellStyle name="20% - Accent4 2 3 3" xfId="1376" xr:uid="{00000000-0005-0000-0000-0000A6000000}"/>
    <cellStyle name="20% - Accent4 2 4" xfId="1190" xr:uid="{00000000-0005-0000-0000-0000A7000000}"/>
    <cellStyle name="20% - Accent4 2 5" xfId="1234" xr:uid="{00000000-0005-0000-0000-0000A8000000}"/>
    <cellStyle name="20% - Accent4 2 6" xfId="1332" xr:uid="{00000000-0005-0000-0000-0000A9000000}"/>
    <cellStyle name="20% - Accent4 20" xfId="1218" xr:uid="{00000000-0005-0000-0000-0000AA000000}"/>
    <cellStyle name="20% - Accent4 21" xfId="1316" xr:uid="{00000000-0005-0000-0000-0000AB000000}"/>
    <cellStyle name="20% - Accent4 3" xfId="400" xr:uid="{00000000-0005-0000-0000-0000AC000000}"/>
    <cellStyle name="20% - Accent4 3 2" xfId="856" xr:uid="{00000000-0005-0000-0000-0000AD000000}"/>
    <cellStyle name="20% - Accent4 3 3" xfId="1262" xr:uid="{00000000-0005-0000-0000-0000AE000000}"/>
    <cellStyle name="20% - Accent4 3 4" xfId="1360" xr:uid="{00000000-0005-0000-0000-0000AF000000}"/>
    <cellStyle name="20% - Accent4 4" xfId="427" xr:uid="{00000000-0005-0000-0000-0000B0000000}"/>
    <cellStyle name="20% - Accent4 4 2" xfId="872" xr:uid="{00000000-0005-0000-0000-0000B1000000}"/>
    <cellStyle name="20% - Accent4 5" xfId="455" xr:uid="{00000000-0005-0000-0000-0000B2000000}"/>
    <cellStyle name="20% - Accent4 5 2" xfId="889" xr:uid="{00000000-0005-0000-0000-0000B3000000}"/>
    <cellStyle name="20% - Accent4 6" xfId="480" xr:uid="{00000000-0005-0000-0000-0000B4000000}"/>
    <cellStyle name="20% - Accent4 6 2" xfId="907" xr:uid="{00000000-0005-0000-0000-0000B5000000}"/>
    <cellStyle name="20% - Accent4 7" xfId="505" xr:uid="{00000000-0005-0000-0000-0000B6000000}"/>
    <cellStyle name="20% - Accent4 7 2" xfId="923" xr:uid="{00000000-0005-0000-0000-0000B7000000}"/>
    <cellStyle name="20% - Accent4 8" xfId="530" xr:uid="{00000000-0005-0000-0000-0000B8000000}"/>
    <cellStyle name="20% - Accent4 8 2" xfId="943" xr:uid="{00000000-0005-0000-0000-0000B9000000}"/>
    <cellStyle name="20% - Accent4 9" xfId="569" xr:uid="{00000000-0005-0000-0000-0000BA000000}"/>
    <cellStyle name="20% - Accent4 9 2" xfId="963" xr:uid="{00000000-0005-0000-0000-0000BB000000}"/>
    <cellStyle name="20% - Accent5" xfId="105" builtinId="46" customBuiltin="1"/>
    <cellStyle name="20% - Accent5 10" xfId="601" xr:uid="{00000000-0005-0000-0000-0000BD000000}"/>
    <cellStyle name="20% - Accent5 10 2" xfId="982" xr:uid="{00000000-0005-0000-0000-0000BE000000}"/>
    <cellStyle name="20% - Accent5 11" xfId="627" xr:uid="{00000000-0005-0000-0000-0000BF000000}"/>
    <cellStyle name="20% - Accent5 11 2" xfId="999" xr:uid="{00000000-0005-0000-0000-0000C0000000}"/>
    <cellStyle name="20% - Accent5 12" xfId="653" xr:uid="{00000000-0005-0000-0000-0000C1000000}"/>
    <cellStyle name="20% - Accent5 12 2" xfId="1015" xr:uid="{00000000-0005-0000-0000-0000C2000000}"/>
    <cellStyle name="20% - Accent5 13" xfId="677" xr:uid="{00000000-0005-0000-0000-0000C3000000}"/>
    <cellStyle name="20% - Accent5 13 2" xfId="1031" xr:uid="{00000000-0005-0000-0000-0000C4000000}"/>
    <cellStyle name="20% - Accent5 14" xfId="695" xr:uid="{00000000-0005-0000-0000-0000C5000000}"/>
    <cellStyle name="20% - Accent5 14 2" xfId="1047" xr:uid="{00000000-0005-0000-0000-0000C6000000}"/>
    <cellStyle name="20% - Accent5 15" xfId="711" xr:uid="{00000000-0005-0000-0000-0000C7000000}"/>
    <cellStyle name="20% - Accent5 15 2" xfId="1063" xr:uid="{00000000-0005-0000-0000-0000C8000000}"/>
    <cellStyle name="20% - Accent5 16" xfId="740" xr:uid="{00000000-0005-0000-0000-0000C9000000}"/>
    <cellStyle name="20% - Accent5 17" xfId="794" xr:uid="{00000000-0005-0000-0000-0000CA000000}"/>
    <cellStyle name="20% - Accent5 18" xfId="1130" xr:uid="{00000000-0005-0000-0000-0000CB000000}"/>
    <cellStyle name="20% - Accent5 19" xfId="1176" xr:uid="{00000000-0005-0000-0000-0000CC000000}"/>
    <cellStyle name="20% - Accent5 2" xfId="374" xr:uid="{00000000-0005-0000-0000-0000CD000000}"/>
    <cellStyle name="20% - Accent5 2 2" xfId="841" xr:uid="{00000000-0005-0000-0000-0000CE000000}"/>
    <cellStyle name="20% - Accent5 2 2 2" xfId="1164" xr:uid="{00000000-0005-0000-0000-0000CF000000}"/>
    <cellStyle name="20% - Accent5 2 2 3" xfId="1208" xr:uid="{00000000-0005-0000-0000-0000D0000000}"/>
    <cellStyle name="20% - Accent5 2 2 4" xfId="1252" xr:uid="{00000000-0005-0000-0000-0000D1000000}"/>
    <cellStyle name="20% - Accent5 2 2 5" xfId="1350" xr:uid="{00000000-0005-0000-0000-0000D2000000}"/>
    <cellStyle name="20% - Accent5 2 3" xfId="1146" xr:uid="{00000000-0005-0000-0000-0000D3000000}"/>
    <cellStyle name="20% - Accent5 2 3 2" xfId="1280" xr:uid="{00000000-0005-0000-0000-0000D4000000}"/>
    <cellStyle name="20% - Accent5 2 3 3" xfId="1378" xr:uid="{00000000-0005-0000-0000-0000D5000000}"/>
    <cellStyle name="20% - Accent5 2 4" xfId="1192" xr:uid="{00000000-0005-0000-0000-0000D6000000}"/>
    <cellStyle name="20% - Accent5 2 5" xfId="1236" xr:uid="{00000000-0005-0000-0000-0000D7000000}"/>
    <cellStyle name="20% - Accent5 2 6" xfId="1334" xr:uid="{00000000-0005-0000-0000-0000D8000000}"/>
    <cellStyle name="20% - Accent5 20" xfId="1220" xr:uid="{00000000-0005-0000-0000-0000D9000000}"/>
    <cellStyle name="20% - Accent5 21" xfId="1318" xr:uid="{00000000-0005-0000-0000-0000DA000000}"/>
    <cellStyle name="20% - Accent5 3" xfId="404" xr:uid="{00000000-0005-0000-0000-0000DB000000}"/>
    <cellStyle name="20% - Accent5 3 2" xfId="858" xr:uid="{00000000-0005-0000-0000-0000DC000000}"/>
    <cellStyle name="20% - Accent5 3 3" xfId="1264" xr:uid="{00000000-0005-0000-0000-0000DD000000}"/>
    <cellStyle name="20% - Accent5 3 4" xfId="1362" xr:uid="{00000000-0005-0000-0000-0000DE000000}"/>
    <cellStyle name="20% - Accent5 4" xfId="431" xr:uid="{00000000-0005-0000-0000-0000DF000000}"/>
    <cellStyle name="20% - Accent5 4 2" xfId="874" xr:uid="{00000000-0005-0000-0000-0000E0000000}"/>
    <cellStyle name="20% - Accent5 5" xfId="458" xr:uid="{00000000-0005-0000-0000-0000E1000000}"/>
    <cellStyle name="20% - Accent5 5 2" xfId="891" xr:uid="{00000000-0005-0000-0000-0000E2000000}"/>
    <cellStyle name="20% - Accent5 6" xfId="484" xr:uid="{00000000-0005-0000-0000-0000E3000000}"/>
    <cellStyle name="20% - Accent5 6 2" xfId="909" xr:uid="{00000000-0005-0000-0000-0000E4000000}"/>
    <cellStyle name="20% - Accent5 7" xfId="508" xr:uid="{00000000-0005-0000-0000-0000E5000000}"/>
    <cellStyle name="20% - Accent5 7 2" xfId="925" xr:uid="{00000000-0005-0000-0000-0000E6000000}"/>
    <cellStyle name="20% - Accent5 8" xfId="533" xr:uid="{00000000-0005-0000-0000-0000E7000000}"/>
    <cellStyle name="20% - Accent5 8 2" xfId="945" xr:uid="{00000000-0005-0000-0000-0000E8000000}"/>
    <cellStyle name="20% - Accent5 9" xfId="573" xr:uid="{00000000-0005-0000-0000-0000E9000000}"/>
    <cellStyle name="20% - Accent5 9 2" xfId="965" xr:uid="{00000000-0005-0000-0000-0000EA000000}"/>
    <cellStyle name="20% - Accent6" xfId="109" builtinId="50" customBuiltin="1"/>
    <cellStyle name="20% - Accent6 10" xfId="605" xr:uid="{00000000-0005-0000-0000-0000EC000000}"/>
    <cellStyle name="20% - Accent6 10 2" xfId="984" xr:uid="{00000000-0005-0000-0000-0000ED000000}"/>
    <cellStyle name="20% - Accent6 11" xfId="631" xr:uid="{00000000-0005-0000-0000-0000EE000000}"/>
    <cellStyle name="20% - Accent6 11 2" xfId="1001" xr:uid="{00000000-0005-0000-0000-0000EF000000}"/>
    <cellStyle name="20% - Accent6 12" xfId="656" xr:uid="{00000000-0005-0000-0000-0000F0000000}"/>
    <cellStyle name="20% - Accent6 12 2" xfId="1017" xr:uid="{00000000-0005-0000-0000-0000F1000000}"/>
    <cellStyle name="20% - Accent6 13" xfId="680" xr:uid="{00000000-0005-0000-0000-0000F2000000}"/>
    <cellStyle name="20% - Accent6 13 2" xfId="1033" xr:uid="{00000000-0005-0000-0000-0000F3000000}"/>
    <cellStyle name="20% - Accent6 14" xfId="697" xr:uid="{00000000-0005-0000-0000-0000F4000000}"/>
    <cellStyle name="20% - Accent6 14 2" xfId="1049" xr:uid="{00000000-0005-0000-0000-0000F5000000}"/>
    <cellStyle name="20% - Accent6 15" xfId="713" xr:uid="{00000000-0005-0000-0000-0000F6000000}"/>
    <cellStyle name="20% - Accent6 15 2" xfId="1065" xr:uid="{00000000-0005-0000-0000-0000F7000000}"/>
    <cellStyle name="20% - Accent6 16" xfId="742" xr:uid="{00000000-0005-0000-0000-0000F8000000}"/>
    <cellStyle name="20% - Accent6 17" xfId="755" xr:uid="{00000000-0005-0000-0000-0000F9000000}"/>
    <cellStyle name="20% - Accent6 18" xfId="1132" xr:uid="{00000000-0005-0000-0000-0000FA000000}"/>
    <cellStyle name="20% - Accent6 19" xfId="1178" xr:uid="{00000000-0005-0000-0000-0000FB000000}"/>
    <cellStyle name="20% - Accent6 2" xfId="378" xr:uid="{00000000-0005-0000-0000-0000FC000000}"/>
    <cellStyle name="20% - Accent6 2 2" xfId="843" xr:uid="{00000000-0005-0000-0000-0000FD000000}"/>
    <cellStyle name="20% - Accent6 2 2 2" xfId="1166" xr:uid="{00000000-0005-0000-0000-0000FE000000}"/>
    <cellStyle name="20% - Accent6 2 2 3" xfId="1210" xr:uid="{00000000-0005-0000-0000-0000FF000000}"/>
    <cellStyle name="20% - Accent6 2 2 4" xfId="1254" xr:uid="{00000000-0005-0000-0000-000000010000}"/>
    <cellStyle name="20% - Accent6 2 2 5" xfId="1352" xr:uid="{00000000-0005-0000-0000-000001010000}"/>
    <cellStyle name="20% - Accent6 2 3" xfId="1148" xr:uid="{00000000-0005-0000-0000-000002010000}"/>
    <cellStyle name="20% - Accent6 2 3 2" xfId="1282" xr:uid="{00000000-0005-0000-0000-000003010000}"/>
    <cellStyle name="20% - Accent6 2 3 3" xfId="1380" xr:uid="{00000000-0005-0000-0000-000004010000}"/>
    <cellStyle name="20% - Accent6 2 4" xfId="1194" xr:uid="{00000000-0005-0000-0000-000005010000}"/>
    <cellStyle name="20% - Accent6 2 5" xfId="1238" xr:uid="{00000000-0005-0000-0000-000006010000}"/>
    <cellStyle name="20% - Accent6 2 6" xfId="1336" xr:uid="{00000000-0005-0000-0000-000007010000}"/>
    <cellStyle name="20% - Accent6 20" xfId="1222" xr:uid="{00000000-0005-0000-0000-000008010000}"/>
    <cellStyle name="20% - Accent6 21" xfId="1320" xr:uid="{00000000-0005-0000-0000-000009010000}"/>
    <cellStyle name="20% - Accent6 3" xfId="408" xr:uid="{00000000-0005-0000-0000-00000A010000}"/>
    <cellStyle name="20% - Accent6 3 2" xfId="860" xr:uid="{00000000-0005-0000-0000-00000B010000}"/>
    <cellStyle name="20% - Accent6 3 3" xfId="1266" xr:uid="{00000000-0005-0000-0000-00000C010000}"/>
    <cellStyle name="20% - Accent6 3 4" xfId="1364" xr:uid="{00000000-0005-0000-0000-00000D010000}"/>
    <cellStyle name="20% - Accent6 4" xfId="435" xr:uid="{00000000-0005-0000-0000-00000E010000}"/>
    <cellStyle name="20% - Accent6 4 2" xfId="877" xr:uid="{00000000-0005-0000-0000-00000F010000}"/>
    <cellStyle name="20% - Accent6 5" xfId="461" xr:uid="{00000000-0005-0000-0000-000010010000}"/>
    <cellStyle name="20% - Accent6 5 2" xfId="893" xr:uid="{00000000-0005-0000-0000-000011010000}"/>
    <cellStyle name="20% - Accent6 6" xfId="488" xr:uid="{00000000-0005-0000-0000-000012010000}"/>
    <cellStyle name="20% - Accent6 6 2" xfId="911" xr:uid="{00000000-0005-0000-0000-000013010000}"/>
    <cellStyle name="20% - Accent6 7" xfId="512" xr:uid="{00000000-0005-0000-0000-000014010000}"/>
    <cellStyle name="20% - Accent6 7 2" xfId="927" xr:uid="{00000000-0005-0000-0000-000015010000}"/>
    <cellStyle name="20% - Accent6 8" xfId="537" xr:uid="{00000000-0005-0000-0000-000016010000}"/>
    <cellStyle name="20% - Accent6 8 2" xfId="947" xr:uid="{00000000-0005-0000-0000-000017010000}"/>
    <cellStyle name="20% - Accent6 9" xfId="577" xr:uid="{00000000-0005-0000-0000-000018010000}"/>
    <cellStyle name="20% - Accent6 9 2" xfId="967" xr:uid="{00000000-0005-0000-0000-000019010000}"/>
    <cellStyle name="40% - Accent1" xfId="90" builtinId="31" customBuiltin="1"/>
    <cellStyle name="40% - Accent1 10" xfId="587" xr:uid="{00000000-0005-0000-0000-00001B010000}"/>
    <cellStyle name="40% - Accent1 10 2" xfId="974" xr:uid="{00000000-0005-0000-0000-00001C010000}"/>
    <cellStyle name="40% - Accent1 11" xfId="615" xr:uid="{00000000-0005-0000-0000-00001D010000}"/>
    <cellStyle name="40% - Accent1 11 2" xfId="992" xr:uid="{00000000-0005-0000-0000-00001E010000}"/>
    <cellStyle name="40% - Accent1 12" xfId="641" xr:uid="{00000000-0005-0000-0000-00001F010000}"/>
    <cellStyle name="40% - Accent1 12 2" xfId="1008" xr:uid="{00000000-0005-0000-0000-000020010000}"/>
    <cellStyle name="40% - Accent1 13" xfId="666" xr:uid="{00000000-0005-0000-0000-000021010000}"/>
    <cellStyle name="40% - Accent1 13 2" xfId="1024" xr:uid="{00000000-0005-0000-0000-000022010000}"/>
    <cellStyle name="40% - Accent1 14" xfId="688" xr:uid="{00000000-0005-0000-0000-000023010000}"/>
    <cellStyle name="40% - Accent1 14 2" xfId="1040" xr:uid="{00000000-0005-0000-0000-000024010000}"/>
    <cellStyle name="40% - Accent1 15" xfId="704" xr:uid="{00000000-0005-0000-0000-000025010000}"/>
    <cellStyle name="40% - Accent1 15 2" xfId="1056" xr:uid="{00000000-0005-0000-0000-000026010000}"/>
    <cellStyle name="40% - Accent1 16" xfId="733" xr:uid="{00000000-0005-0000-0000-000027010000}"/>
    <cellStyle name="40% - Accent1 17" xfId="876" xr:uid="{00000000-0005-0000-0000-000028010000}"/>
    <cellStyle name="40% - Accent1 18" xfId="1123" xr:uid="{00000000-0005-0000-0000-000029010000}"/>
    <cellStyle name="40% - Accent1 19" xfId="1169" xr:uid="{00000000-0005-0000-0000-00002A010000}"/>
    <cellStyle name="40% - Accent1 2" xfId="359" xr:uid="{00000000-0005-0000-0000-00002B010000}"/>
    <cellStyle name="40% - Accent1 2 2" xfId="834" xr:uid="{00000000-0005-0000-0000-00002C010000}"/>
    <cellStyle name="40% - Accent1 2 2 2" xfId="1157" xr:uid="{00000000-0005-0000-0000-00002D010000}"/>
    <cellStyle name="40% - Accent1 2 2 3" xfId="1201" xr:uid="{00000000-0005-0000-0000-00002E010000}"/>
    <cellStyle name="40% - Accent1 2 2 4" xfId="1245" xr:uid="{00000000-0005-0000-0000-00002F010000}"/>
    <cellStyle name="40% - Accent1 2 2 5" xfId="1343" xr:uid="{00000000-0005-0000-0000-000030010000}"/>
    <cellStyle name="40% - Accent1 2 3" xfId="1139" xr:uid="{00000000-0005-0000-0000-000031010000}"/>
    <cellStyle name="40% - Accent1 2 3 2" xfId="1273" xr:uid="{00000000-0005-0000-0000-000032010000}"/>
    <cellStyle name="40% - Accent1 2 3 3" xfId="1371" xr:uid="{00000000-0005-0000-0000-000033010000}"/>
    <cellStyle name="40% - Accent1 2 4" xfId="1185" xr:uid="{00000000-0005-0000-0000-000034010000}"/>
    <cellStyle name="40% - Accent1 2 5" xfId="1229" xr:uid="{00000000-0005-0000-0000-000035010000}"/>
    <cellStyle name="40% - Accent1 2 6" xfId="1327" xr:uid="{00000000-0005-0000-0000-000036010000}"/>
    <cellStyle name="40% - Accent1 20" xfId="1213" xr:uid="{00000000-0005-0000-0000-000037010000}"/>
    <cellStyle name="40% - Accent1 21" xfId="1311" xr:uid="{00000000-0005-0000-0000-000038010000}"/>
    <cellStyle name="40% - Accent1 3" xfId="390" xr:uid="{00000000-0005-0000-0000-000039010000}"/>
    <cellStyle name="40% - Accent1 3 2" xfId="851" xr:uid="{00000000-0005-0000-0000-00003A010000}"/>
    <cellStyle name="40% - Accent1 3 3" xfId="1257" xr:uid="{00000000-0005-0000-0000-00003B010000}"/>
    <cellStyle name="40% - Accent1 3 4" xfId="1355" xr:uid="{00000000-0005-0000-0000-00003C010000}"/>
    <cellStyle name="40% - Accent1 4" xfId="418" xr:uid="{00000000-0005-0000-0000-00003D010000}"/>
    <cellStyle name="40% - Accent1 4 2" xfId="867" xr:uid="{00000000-0005-0000-0000-00003E010000}"/>
    <cellStyle name="40% - Accent1 5" xfId="445" xr:uid="{00000000-0005-0000-0000-00003F010000}"/>
    <cellStyle name="40% - Accent1 5 2" xfId="884" xr:uid="{00000000-0005-0000-0000-000040010000}"/>
    <cellStyle name="40% - Accent1 6" xfId="472" xr:uid="{00000000-0005-0000-0000-000041010000}"/>
    <cellStyle name="40% - Accent1 6 2" xfId="900" xr:uid="{00000000-0005-0000-0000-000042010000}"/>
    <cellStyle name="40% - Accent1 7" xfId="496" xr:uid="{00000000-0005-0000-0000-000043010000}"/>
    <cellStyle name="40% - Accent1 7 2" xfId="918" xr:uid="{00000000-0005-0000-0000-000044010000}"/>
    <cellStyle name="40% - Accent1 8" xfId="520" xr:uid="{00000000-0005-0000-0000-000045010000}"/>
    <cellStyle name="40% - Accent1 8 2" xfId="935" xr:uid="{00000000-0005-0000-0000-000046010000}"/>
    <cellStyle name="40% - Accent1 9" xfId="558" xr:uid="{00000000-0005-0000-0000-000047010000}"/>
    <cellStyle name="40% - Accent1 9 2" xfId="958" xr:uid="{00000000-0005-0000-0000-000048010000}"/>
    <cellStyle name="40% - Accent2" xfId="94" builtinId="35" customBuiltin="1"/>
    <cellStyle name="40% - Accent2 10" xfId="590" xr:uid="{00000000-0005-0000-0000-00004A010000}"/>
    <cellStyle name="40% - Accent2 10 2" xfId="976" xr:uid="{00000000-0005-0000-0000-00004B010000}"/>
    <cellStyle name="40% - Accent2 11" xfId="618" xr:uid="{00000000-0005-0000-0000-00004C010000}"/>
    <cellStyle name="40% - Accent2 11 2" xfId="994" xr:uid="{00000000-0005-0000-0000-00004D010000}"/>
    <cellStyle name="40% - Accent2 12" xfId="644" xr:uid="{00000000-0005-0000-0000-00004E010000}"/>
    <cellStyle name="40% - Accent2 12 2" xfId="1010" xr:uid="{00000000-0005-0000-0000-00004F010000}"/>
    <cellStyle name="40% - Accent2 13" xfId="668" xr:uid="{00000000-0005-0000-0000-000050010000}"/>
    <cellStyle name="40% - Accent2 13 2" xfId="1026" xr:uid="{00000000-0005-0000-0000-000051010000}"/>
    <cellStyle name="40% - Accent2 14" xfId="690" xr:uid="{00000000-0005-0000-0000-000052010000}"/>
    <cellStyle name="40% - Accent2 14 2" xfId="1042" xr:uid="{00000000-0005-0000-0000-000053010000}"/>
    <cellStyle name="40% - Accent2 15" xfId="706" xr:uid="{00000000-0005-0000-0000-000054010000}"/>
    <cellStyle name="40% - Accent2 15 2" xfId="1058" xr:uid="{00000000-0005-0000-0000-000055010000}"/>
    <cellStyle name="40% - Accent2 16" xfId="735" xr:uid="{00000000-0005-0000-0000-000056010000}"/>
    <cellStyle name="40% - Accent2 17" xfId="849" xr:uid="{00000000-0005-0000-0000-000057010000}"/>
    <cellStyle name="40% - Accent2 18" xfId="1125" xr:uid="{00000000-0005-0000-0000-000058010000}"/>
    <cellStyle name="40% - Accent2 19" xfId="1171" xr:uid="{00000000-0005-0000-0000-000059010000}"/>
    <cellStyle name="40% - Accent2 2" xfId="363" xr:uid="{00000000-0005-0000-0000-00005A010000}"/>
    <cellStyle name="40% - Accent2 2 2" xfId="836" xr:uid="{00000000-0005-0000-0000-00005B010000}"/>
    <cellStyle name="40% - Accent2 2 2 2" xfId="1159" xr:uid="{00000000-0005-0000-0000-00005C010000}"/>
    <cellStyle name="40% - Accent2 2 2 3" xfId="1203" xr:uid="{00000000-0005-0000-0000-00005D010000}"/>
    <cellStyle name="40% - Accent2 2 2 4" xfId="1247" xr:uid="{00000000-0005-0000-0000-00005E010000}"/>
    <cellStyle name="40% - Accent2 2 2 5" xfId="1345" xr:uid="{00000000-0005-0000-0000-00005F010000}"/>
    <cellStyle name="40% - Accent2 2 3" xfId="1141" xr:uid="{00000000-0005-0000-0000-000060010000}"/>
    <cellStyle name="40% - Accent2 2 3 2" xfId="1275" xr:uid="{00000000-0005-0000-0000-000061010000}"/>
    <cellStyle name="40% - Accent2 2 3 3" xfId="1373" xr:uid="{00000000-0005-0000-0000-000062010000}"/>
    <cellStyle name="40% - Accent2 2 4" xfId="1187" xr:uid="{00000000-0005-0000-0000-000063010000}"/>
    <cellStyle name="40% - Accent2 2 5" xfId="1231" xr:uid="{00000000-0005-0000-0000-000064010000}"/>
    <cellStyle name="40% - Accent2 2 6" xfId="1329" xr:uid="{00000000-0005-0000-0000-000065010000}"/>
    <cellStyle name="40% - Accent2 20" xfId="1215" xr:uid="{00000000-0005-0000-0000-000066010000}"/>
    <cellStyle name="40% - Accent2 21" xfId="1313" xr:uid="{00000000-0005-0000-0000-000067010000}"/>
    <cellStyle name="40% - Accent2 3" xfId="393" xr:uid="{00000000-0005-0000-0000-000068010000}"/>
    <cellStyle name="40% - Accent2 3 2" xfId="853" xr:uid="{00000000-0005-0000-0000-000069010000}"/>
    <cellStyle name="40% - Accent2 3 3" xfId="1259" xr:uid="{00000000-0005-0000-0000-00006A010000}"/>
    <cellStyle name="40% - Accent2 3 4" xfId="1357" xr:uid="{00000000-0005-0000-0000-00006B010000}"/>
    <cellStyle name="40% - Accent2 4" xfId="421" xr:uid="{00000000-0005-0000-0000-00006C010000}"/>
    <cellStyle name="40% - Accent2 4 2" xfId="869" xr:uid="{00000000-0005-0000-0000-00006D010000}"/>
    <cellStyle name="40% - Accent2 5" xfId="448" xr:uid="{00000000-0005-0000-0000-00006E010000}"/>
    <cellStyle name="40% - Accent2 5 2" xfId="886" xr:uid="{00000000-0005-0000-0000-00006F010000}"/>
    <cellStyle name="40% - Accent2 6" xfId="475" xr:uid="{00000000-0005-0000-0000-000070010000}"/>
    <cellStyle name="40% - Accent2 6 2" xfId="903" xr:uid="{00000000-0005-0000-0000-000071010000}"/>
    <cellStyle name="40% - Accent2 7" xfId="499" xr:uid="{00000000-0005-0000-0000-000072010000}"/>
    <cellStyle name="40% - Accent2 7 2" xfId="920" xr:uid="{00000000-0005-0000-0000-000073010000}"/>
    <cellStyle name="40% - Accent2 8" xfId="523" xr:uid="{00000000-0005-0000-0000-000074010000}"/>
    <cellStyle name="40% - Accent2 8 2" xfId="937" xr:uid="{00000000-0005-0000-0000-000075010000}"/>
    <cellStyle name="40% - Accent2 9" xfId="562" xr:uid="{00000000-0005-0000-0000-000076010000}"/>
    <cellStyle name="40% - Accent2 9 2" xfId="960" xr:uid="{00000000-0005-0000-0000-000077010000}"/>
    <cellStyle name="40% - Accent3" xfId="98" builtinId="39" customBuiltin="1"/>
    <cellStyle name="40% - Accent3 10" xfId="594" xr:uid="{00000000-0005-0000-0000-000079010000}"/>
    <cellStyle name="40% - Accent3 10 2" xfId="979" xr:uid="{00000000-0005-0000-0000-00007A010000}"/>
    <cellStyle name="40% - Accent3 11" xfId="621" xr:uid="{00000000-0005-0000-0000-00007B010000}"/>
    <cellStyle name="40% - Accent3 11 2" xfId="996" xr:uid="{00000000-0005-0000-0000-00007C010000}"/>
    <cellStyle name="40% - Accent3 12" xfId="647" xr:uid="{00000000-0005-0000-0000-00007D010000}"/>
    <cellStyle name="40% - Accent3 12 2" xfId="1012" xr:uid="{00000000-0005-0000-0000-00007E010000}"/>
    <cellStyle name="40% - Accent3 13" xfId="671" xr:uid="{00000000-0005-0000-0000-00007F010000}"/>
    <cellStyle name="40% - Accent3 13 2" xfId="1028" xr:uid="{00000000-0005-0000-0000-000080010000}"/>
    <cellStyle name="40% - Accent3 14" xfId="692" xr:uid="{00000000-0005-0000-0000-000081010000}"/>
    <cellStyle name="40% - Accent3 14 2" xfId="1044" xr:uid="{00000000-0005-0000-0000-000082010000}"/>
    <cellStyle name="40% - Accent3 15" xfId="708" xr:uid="{00000000-0005-0000-0000-000083010000}"/>
    <cellStyle name="40% - Accent3 15 2" xfId="1060" xr:uid="{00000000-0005-0000-0000-000084010000}"/>
    <cellStyle name="40% - Accent3 16" xfId="737" xr:uid="{00000000-0005-0000-0000-000085010000}"/>
    <cellStyle name="40% - Accent3 17" xfId="809" xr:uid="{00000000-0005-0000-0000-000086010000}"/>
    <cellStyle name="40% - Accent3 18" xfId="1127" xr:uid="{00000000-0005-0000-0000-000087010000}"/>
    <cellStyle name="40% - Accent3 19" xfId="1173" xr:uid="{00000000-0005-0000-0000-000088010000}"/>
    <cellStyle name="40% - Accent3 2" xfId="367" xr:uid="{00000000-0005-0000-0000-000089010000}"/>
    <cellStyle name="40% - Accent3 2 2" xfId="838" xr:uid="{00000000-0005-0000-0000-00008A010000}"/>
    <cellStyle name="40% - Accent3 2 2 2" xfId="1161" xr:uid="{00000000-0005-0000-0000-00008B010000}"/>
    <cellStyle name="40% - Accent3 2 2 3" xfId="1205" xr:uid="{00000000-0005-0000-0000-00008C010000}"/>
    <cellStyle name="40% - Accent3 2 2 4" xfId="1249" xr:uid="{00000000-0005-0000-0000-00008D010000}"/>
    <cellStyle name="40% - Accent3 2 2 5" xfId="1347" xr:uid="{00000000-0005-0000-0000-00008E010000}"/>
    <cellStyle name="40% - Accent3 2 3" xfId="1143" xr:uid="{00000000-0005-0000-0000-00008F010000}"/>
    <cellStyle name="40% - Accent3 2 3 2" xfId="1277" xr:uid="{00000000-0005-0000-0000-000090010000}"/>
    <cellStyle name="40% - Accent3 2 3 3" xfId="1375" xr:uid="{00000000-0005-0000-0000-000091010000}"/>
    <cellStyle name="40% - Accent3 2 4" xfId="1189" xr:uid="{00000000-0005-0000-0000-000092010000}"/>
    <cellStyle name="40% - Accent3 2 5" xfId="1233" xr:uid="{00000000-0005-0000-0000-000093010000}"/>
    <cellStyle name="40% - Accent3 2 6" xfId="1331" xr:uid="{00000000-0005-0000-0000-000094010000}"/>
    <cellStyle name="40% - Accent3 20" xfId="1217" xr:uid="{00000000-0005-0000-0000-000095010000}"/>
    <cellStyle name="40% - Accent3 21" xfId="1315" xr:uid="{00000000-0005-0000-0000-000096010000}"/>
    <cellStyle name="40% - Accent3 3" xfId="397" xr:uid="{00000000-0005-0000-0000-000097010000}"/>
    <cellStyle name="40% - Accent3 3 2" xfId="855" xr:uid="{00000000-0005-0000-0000-000098010000}"/>
    <cellStyle name="40% - Accent3 3 3" xfId="1261" xr:uid="{00000000-0005-0000-0000-000099010000}"/>
    <cellStyle name="40% - Accent3 3 4" xfId="1359" xr:uid="{00000000-0005-0000-0000-00009A010000}"/>
    <cellStyle name="40% - Accent3 4" xfId="424" xr:uid="{00000000-0005-0000-0000-00009B010000}"/>
    <cellStyle name="40% - Accent3 4 2" xfId="871" xr:uid="{00000000-0005-0000-0000-00009C010000}"/>
    <cellStyle name="40% - Accent3 5" xfId="452" xr:uid="{00000000-0005-0000-0000-00009D010000}"/>
    <cellStyle name="40% - Accent3 5 2" xfId="888" xr:uid="{00000000-0005-0000-0000-00009E010000}"/>
    <cellStyle name="40% - Accent3 6" xfId="478" xr:uid="{00000000-0005-0000-0000-00009F010000}"/>
    <cellStyle name="40% - Accent3 6 2" xfId="906" xr:uid="{00000000-0005-0000-0000-0000A0010000}"/>
    <cellStyle name="40% - Accent3 7" xfId="502" xr:uid="{00000000-0005-0000-0000-0000A1010000}"/>
    <cellStyle name="40% - Accent3 7 2" xfId="922" xr:uid="{00000000-0005-0000-0000-0000A2010000}"/>
    <cellStyle name="40% - Accent3 8" xfId="527" xr:uid="{00000000-0005-0000-0000-0000A3010000}"/>
    <cellStyle name="40% - Accent3 8 2" xfId="940" xr:uid="{00000000-0005-0000-0000-0000A4010000}"/>
    <cellStyle name="40% - Accent3 9" xfId="566" xr:uid="{00000000-0005-0000-0000-0000A5010000}"/>
    <cellStyle name="40% - Accent3 9 2" xfId="962" xr:uid="{00000000-0005-0000-0000-0000A6010000}"/>
    <cellStyle name="40% - Accent4" xfId="102" builtinId="43" customBuiltin="1"/>
    <cellStyle name="40% - Accent4 10" xfId="598" xr:uid="{00000000-0005-0000-0000-0000A8010000}"/>
    <cellStyle name="40% - Accent4 10 2" xfId="981" xr:uid="{00000000-0005-0000-0000-0000A9010000}"/>
    <cellStyle name="40% - Accent4 11" xfId="625" xr:uid="{00000000-0005-0000-0000-0000AA010000}"/>
    <cellStyle name="40% - Accent4 11 2" xfId="998" xr:uid="{00000000-0005-0000-0000-0000AB010000}"/>
    <cellStyle name="40% - Accent4 12" xfId="651" xr:uid="{00000000-0005-0000-0000-0000AC010000}"/>
    <cellStyle name="40% - Accent4 12 2" xfId="1014" xr:uid="{00000000-0005-0000-0000-0000AD010000}"/>
    <cellStyle name="40% - Accent4 13" xfId="675" xr:uid="{00000000-0005-0000-0000-0000AE010000}"/>
    <cellStyle name="40% - Accent4 13 2" xfId="1030" xr:uid="{00000000-0005-0000-0000-0000AF010000}"/>
    <cellStyle name="40% - Accent4 14" xfId="694" xr:uid="{00000000-0005-0000-0000-0000B0010000}"/>
    <cellStyle name="40% - Accent4 14 2" xfId="1046" xr:uid="{00000000-0005-0000-0000-0000B1010000}"/>
    <cellStyle name="40% - Accent4 15" xfId="710" xr:uid="{00000000-0005-0000-0000-0000B2010000}"/>
    <cellStyle name="40% - Accent4 15 2" xfId="1062" xr:uid="{00000000-0005-0000-0000-0000B3010000}"/>
    <cellStyle name="40% - Accent4 16" xfId="739" xr:uid="{00000000-0005-0000-0000-0000B4010000}"/>
    <cellStyle name="40% - Accent4 17" xfId="801" xr:uid="{00000000-0005-0000-0000-0000B5010000}"/>
    <cellStyle name="40% - Accent4 18" xfId="1129" xr:uid="{00000000-0005-0000-0000-0000B6010000}"/>
    <cellStyle name="40% - Accent4 19" xfId="1175" xr:uid="{00000000-0005-0000-0000-0000B7010000}"/>
    <cellStyle name="40% - Accent4 2" xfId="371" xr:uid="{00000000-0005-0000-0000-0000B8010000}"/>
    <cellStyle name="40% - Accent4 2 2" xfId="840" xr:uid="{00000000-0005-0000-0000-0000B9010000}"/>
    <cellStyle name="40% - Accent4 2 2 2" xfId="1163" xr:uid="{00000000-0005-0000-0000-0000BA010000}"/>
    <cellStyle name="40% - Accent4 2 2 3" xfId="1207" xr:uid="{00000000-0005-0000-0000-0000BB010000}"/>
    <cellStyle name="40% - Accent4 2 2 4" xfId="1251" xr:uid="{00000000-0005-0000-0000-0000BC010000}"/>
    <cellStyle name="40% - Accent4 2 2 5" xfId="1349" xr:uid="{00000000-0005-0000-0000-0000BD010000}"/>
    <cellStyle name="40% - Accent4 2 3" xfId="1145" xr:uid="{00000000-0005-0000-0000-0000BE010000}"/>
    <cellStyle name="40% - Accent4 2 3 2" xfId="1279" xr:uid="{00000000-0005-0000-0000-0000BF010000}"/>
    <cellStyle name="40% - Accent4 2 3 3" xfId="1377" xr:uid="{00000000-0005-0000-0000-0000C0010000}"/>
    <cellStyle name="40% - Accent4 2 4" xfId="1191" xr:uid="{00000000-0005-0000-0000-0000C1010000}"/>
    <cellStyle name="40% - Accent4 2 5" xfId="1235" xr:uid="{00000000-0005-0000-0000-0000C2010000}"/>
    <cellStyle name="40% - Accent4 2 6" xfId="1333" xr:uid="{00000000-0005-0000-0000-0000C3010000}"/>
    <cellStyle name="40% - Accent4 20" xfId="1219" xr:uid="{00000000-0005-0000-0000-0000C4010000}"/>
    <cellStyle name="40% - Accent4 21" xfId="1317" xr:uid="{00000000-0005-0000-0000-0000C5010000}"/>
    <cellStyle name="40% - Accent4 3" xfId="401" xr:uid="{00000000-0005-0000-0000-0000C6010000}"/>
    <cellStyle name="40% - Accent4 3 2" xfId="857" xr:uid="{00000000-0005-0000-0000-0000C7010000}"/>
    <cellStyle name="40% - Accent4 3 3" xfId="1263" xr:uid="{00000000-0005-0000-0000-0000C8010000}"/>
    <cellStyle name="40% - Accent4 3 4" xfId="1361" xr:uid="{00000000-0005-0000-0000-0000C9010000}"/>
    <cellStyle name="40% - Accent4 4" xfId="428" xr:uid="{00000000-0005-0000-0000-0000CA010000}"/>
    <cellStyle name="40% - Accent4 4 2" xfId="873" xr:uid="{00000000-0005-0000-0000-0000CB010000}"/>
    <cellStyle name="40% - Accent4 5" xfId="456" xr:uid="{00000000-0005-0000-0000-0000CC010000}"/>
    <cellStyle name="40% - Accent4 5 2" xfId="890" xr:uid="{00000000-0005-0000-0000-0000CD010000}"/>
    <cellStyle name="40% - Accent4 6" xfId="481" xr:uid="{00000000-0005-0000-0000-0000CE010000}"/>
    <cellStyle name="40% - Accent4 6 2" xfId="908" xr:uid="{00000000-0005-0000-0000-0000CF010000}"/>
    <cellStyle name="40% - Accent4 7" xfId="506" xr:uid="{00000000-0005-0000-0000-0000D0010000}"/>
    <cellStyle name="40% - Accent4 7 2" xfId="924" xr:uid="{00000000-0005-0000-0000-0000D1010000}"/>
    <cellStyle name="40% - Accent4 8" xfId="531" xr:uid="{00000000-0005-0000-0000-0000D2010000}"/>
    <cellStyle name="40% - Accent4 8 2" xfId="944" xr:uid="{00000000-0005-0000-0000-0000D3010000}"/>
    <cellStyle name="40% - Accent4 9" xfId="570" xr:uid="{00000000-0005-0000-0000-0000D4010000}"/>
    <cellStyle name="40% - Accent4 9 2" xfId="964" xr:uid="{00000000-0005-0000-0000-0000D5010000}"/>
    <cellStyle name="40% - Accent5" xfId="106" builtinId="47" customBuiltin="1"/>
    <cellStyle name="40% - Accent5 10" xfId="602" xr:uid="{00000000-0005-0000-0000-0000D7010000}"/>
    <cellStyle name="40% - Accent5 10 2" xfId="983" xr:uid="{00000000-0005-0000-0000-0000D8010000}"/>
    <cellStyle name="40% - Accent5 11" xfId="628" xr:uid="{00000000-0005-0000-0000-0000D9010000}"/>
    <cellStyle name="40% - Accent5 11 2" xfId="1000" xr:uid="{00000000-0005-0000-0000-0000DA010000}"/>
    <cellStyle name="40% - Accent5 12" xfId="654" xr:uid="{00000000-0005-0000-0000-0000DB010000}"/>
    <cellStyle name="40% - Accent5 12 2" xfId="1016" xr:uid="{00000000-0005-0000-0000-0000DC010000}"/>
    <cellStyle name="40% - Accent5 13" xfId="678" xr:uid="{00000000-0005-0000-0000-0000DD010000}"/>
    <cellStyle name="40% - Accent5 13 2" xfId="1032" xr:uid="{00000000-0005-0000-0000-0000DE010000}"/>
    <cellStyle name="40% - Accent5 14" xfId="696" xr:uid="{00000000-0005-0000-0000-0000DF010000}"/>
    <cellStyle name="40% - Accent5 14 2" xfId="1048" xr:uid="{00000000-0005-0000-0000-0000E0010000}"/>
    <cellStyle name="40% - Accent5 15" xfId="712" xr:uid="{00000000-0005-0000-0000-0000E1010000}"/>
    <cellStyle name="40% - Accent5 15 2" xfId="1064" xr:uid="{00000000-0005-0000-0000-0000E2010000}"/>
    <cellStyle name="40% - Accent5 16" xfId="741" xr:uid="{00000000-0005-0000-0000-0000E3010000}"/>
    <cellStyle name="40% - Accent5 17" xfId="779" xr:uid="{00000000-0005-0000-0000-0000E4010000}"/>
    <cellStyle name="40% - Accent5 18" xfId="1131" xr:uid="{00000000-0005-0000-0000-0000E5010000}"/>
    <cellStyle name="40% - Accent5 19" xfId="1177" xr:uid="{00000000-0005-0000-0000-0000E6010000}"/>
    <cellStyle name="40% - Accent5 2" xfId="375" xr:uid="{00000000-0005-0000-0000-0000E7010000}"/>
    <cellStyle name="40% - Accent5 2 2" xfId="842" xr:uid="{00000000-0005-0000-0000-0000E8010000}"/>
    <cellStyle name="40% - Accent5 2 2 2" xfId="1165" xr:uid="{00000000-0005-0000-0000-0000E9010000}"/>
    <cellStyle name="40% - Accent5 2 2 3" xfId="1209" xr:uid="{00000000-0005-0000-0000-0000EA010000}"/>
    <cellStyle name="40% - Accent5 2 2 4" xfId="1253" xr:uid="{00000000-0005-0000-0000-0000EB010000}"/>
    <cellStyle name="40% - Accent5 2 2 5" xfId="1351" xr:uid="{00000000-0005-0000-0000-0000EC010000}"/>
    <cellStyle name="40% - Accent5 2 3" xfId="1147" xr:uid="{00000000-0005-0000-0000-0000ED010000}"/>
    <cellStyle name="40% - Accent5 2 3 2" xfId="1281" xr:uid="{00000000-0005-0000-0000-0000EE010000}"/>
    <cellStyle name="40% - Accent5 2 3 3" xfId="1379" xr:uid="{00000000-0005-0000-0000-0000EF010000}"/>
    <cellStyle name="40% - Accent5 2 4" xfId="1193" xr:uid="{00000000-0005-0000-0000-0000F0010000}"/>
    <cellStyle name="40% - Accent5 2 5" xfId="1237" xr:uid="{00000000-0005-0000-0000-0000F1010000}"/>
    <cellStyle name="40% - Accent5 2 6" xfId="1335" xr:uid="{00000000-0005-0000-0000-0000F2010000}"/>
    <cellStyle name="40% - Accent5 20" xfId="1221" xr:uid="{00000000-0005-0000-0000-0000F3010000}"/>
    <cellStyle name="40% - Accent5 21" xfId="1319" xr:uid="{00000000-0005-0000-0000-0000F4010000}"/>
    <cellStyle name="40% - Accent5 3" xfId="405" xr:uid="{00000000-0005-0000-0000-0000F5010000}"/>
    <cellStyle name="40% - Accent5 3 2" xfId="859" xr:uid="{00000000-0005-0000-0000-0000F6010000}"/>
    <cellStyle name="40% - Accent5 3 3" xfId="1265" xr:uid="{00000000-0005-0000-0000-0000F7010000}"/>
    <cellStyle name="40% - Accent5 3 4" xfId="1363" xr:uid="{00000000-0005-0000-0000-0000F8010000}"/>
    <cellStyle name="40% - Accent5 4" xfId="432" xr:uid="{00000000-0005-0000-0000-0000F9010000}"/>
    <cellStyle name="40% - Accent5 4 2" xfId="875" xr:uid="{00000000-0005-0000-0000-0000FA010000}"/>
    <cellStyle name="40% - Accent5 5" xfId="459" xr:uid="{00000000-0005-0000-0000-0000FB010000}"/>
    <cellStyle name="40% - Accent5 5 2" xfId="892" xr:uid="{00000000-0005-0000-0000-0000FC010000}"/>
    <cellStyle name="40% - Accent5 6" xfId="485" xr:uid="{00000000-0005-0000-0000-0000FD010000}"/>
    <cellStyle name="40% - Accent5 6 2" xfId="910" xr:uid="{00000000-0005-0000-0000-0000FE010000}"/>
    <cellStyle name="40% - Accent5 7" xfId="509" xr:uid="{00000000-0005-0000-0000-0000FF010000}"/>
    <cellStyle name="40% - Accent5 7 2" xfId="926" xr:uid="{00000000-0005-0000-0000-000000020000}"/>
    <cellStyle name="40% - Accent5 8" xfId="534" xr:uid="{00000000-0005-0000-0000-000001020000}"/>
    <cellStyle name="40% - Accent5 8 2" xfId="946" xr:uid="{00000000-0005-0000-0000-000002020000}"/>
    <cellStyle name="40% - Accent5 9" xfId="574" xr:uid="{00000000-0005-0000-0000-000003020000}"/>
    <cellStyle name="40% - Accent5 9 2" xfId="966" xr:uid="{00000000-0005-0000-0000-000004020000}"/>
    <cellStyle name="40% - Accent6" xfId="110" builtinId="51" customBuiltin="1"/>
    <cellStyle name="40% - Accent6 10" xfId="606" xr:uid="{00000000-0005-0000-0000-000006020000}"/>
    <cellStyle name="40% - Accent6 10 2" xfId="985" xr:uid="{00000000-0005-0000-0000-000007020000}"/>
    <cellStyle name="40% - Accent6 11" xfId="632" xr:uid="{00000000-0005-0000-0000-000008020000}"/>
    <cellStyle name="40% - Accent6 11 2" xfId="1002" xr:uid="{00000000-0005-0000-0000-000009020000}"/>
    <cellStyle name="40% - Accent6 12" xfId="657" xr:uid="{00000000-0005-0000-0000-00000A020000}"/>
    <cellStyle name="40% - Accent6 12 2" xfId="1018" xr:uid="{00000000-0005-0000-0000-00000B020000}"/>
    <cellStyle name="40% - Accent6 13" xfId="681" xr:uid="{00000000-0005-0000-0000-00000C020000}"/>
    <cellStyle name="40% - Accent6 13 2" xfId="1034" xr:uid="{00000000-0005-0000-0000-00000D020000}"/>
    <cellStyle name="40% - Accent6 14" xfId="698" xr:uid="{00000000-0005-0000-0000-00000E020000}"/>
    <cellStyle name="40% - Accent6 14 2" xfId="1050" xr:uid="{00000000-0005-0000-0000-00000F020000}"/>
    <cellStyle name="40% - Accent6 15" xfId="714" xr:uid="{00000000-0005-0000-0000-000010020000}"/>
    <cellStyle name="40% - Accent6 15 2" xfId="1066" xr:uid="{00000000-0005-0000-0000-000011020000}"/>
    <cellStyle name="40% - Accent6 16" xfId="743" xr:uid="{00000000-0005-0000-0000-000012020000}"/>
    <cellStyle name="40% - Accent6 17" xfId="990" xr:uid="{00000000-0005-0000-0000-000013020000}"/>
    <cellStyle name="40% - Accent6 18" xfId="1133" xr:uid="{00000000-0005-0000-0000-000014020000}"/>
    <cellStyle name="40% - Accent6 19" xfId="1179" xr:uid="{00000000-0005-0000-0000-000015020000}"/>
    <cellStyle name="40% - Accent6 2" xfId="379" xr:uid="{00000000-0005-0000-0000-000016020000}"/>
    <cellStyle name="40% - Accent6 2 2" xfId="844" xr:uid="{00000000-0005-0000-0000-000017020000}"/>
    <cellStyle name="40% - Accent6 2 2 2" xfId="1167" xr:uid="{00000000-0005-0000-0000-000018020000}"/>
    <cellStyle name="40% - Accent6 2 2 3" xfId="1211" xr:uid="{00000000-0005-0000-0000-000019020000}"/>
    <cellStyle name="40% - Accent6 2 2 4" xfId="1255" xr:uid="{00000000-0005-0000-0000-00001A020000}"/>
    <cellStyle name="40% - Accent6 2 2 5" xfId="1353" xr:uid="{00000000-0005-0000-0000-00001B020000}"/>
    <cellStyle name="40% - Accent6 2 3" xfId="1149" xr:uid="{00000000-0005-0000-0000-00001C020000}"/>
    <cellStyle name="40% - Accent6 2 3 2" xfId="1283" xr:uid="{00000000-0005-0000-0000-00001D020000}"/>
    <cellStyle name="40% - Accent6 2 3 3" xfId="1381" xr:uid="{00000000-0005-0000-0000-00001E020000}"/>
    <cellStyle name="40% - Accent6 2 4" xfId="1195" xr:uid="{00000000-0005-0000-0000-00001F020000}"/>
    <cellStyle name="40% - Accent6 2 5" xfId="1239" xr:uid="{00000000-0005-0000-0000-000020020000}"/>
    <cellStyle name="40% - Accent6 2 6" xfId="1337" xr:uid="{00000000-0005-0000-0000-000021020000}"/>
    <cellStyle name="40% - Accent6 20" xfId="1223" xr:uid="{00000000-0005-0000-0000-000022020000}"/>
    <cellStyle name="40% - Accent6 21" xfId="1321" xr:uid="{00000000-0005-0000-0000-000023020000}"/>
    <cellStyle name="40% - Accent6 3" xfId="409" xr:uid="{00000000-0005-0000-0000-000024020000}"/>
    <cellStyle name="40% - Accent6 3 2" xfId="861" xr:uid="{00000000-0005-0000-0000-000025020000}"/>
    <cellStyle name="40% - Accent6 3 3" xfId="1267" xr:uid="{00000000-0005-0000-0000-000026020000}"/>
    <cellStyle name="40% - Accent6 3 4" xfId="1365" xr:uid="{00000000-0005-0000-0000-000027020000}"/>
    <cellStyle name="40% - Accent6 4" xfId="436" xr:uid="{00000000-0005-0000-0000-000028020000}"/>
    <cellStyle name="40% - Accent6 4 2" xfId="878" xr:uid="{00000000-0005-0000-0000-000029020000}"/>
    <cellStyle name="40% - Accent6 5" xfId="462" xr:uid="{00000000-0005-0000-0000-00002A020000}"/>
    <cellStyle name="40% - Accent6 5 2" xfId="894" xr:uid="{00000000-0005-0000-0000-00002B020000}"/>
    <cellStyle name="40% - Accent6 6" xfId="489" xr:uid="{00000000-0005-0000-0000-00002C020000}"/>
    <cellStyle name="40% - Accent6 6 2" xfId="912" xr:uid="{00000000-0005-0000-0000-00002D020000}"/>
    <cellStyle name="40% - Accent6 7" xfId="513" xr:uid="{00000000-0005-0000-0000-00002E020000}"/>
    <cellStyle name="40% - Accent6 7 2" xfId="928" xr:uid="{00000000-0005-0000-0000-00002F020000}"/>
    <cellStyle name="40% - Accent6 8" xfId="538" xr:uid="{00000000-0005-0000-0000-000030020000}"/>
    <cellStyle name="40% - Accent6 8 2" xfId="948" xr:uid="{00000000-0005-0000-0000-000031020000}"/>
    <cellStyle name="40% - Accent6 9" xfId="578" xr:uid="{00000000-0005-0000-0000-000032020000}"/>
    <cellStyle name="40% - Accent6 9 2" xfId="968" xr:uid="{00000000-0005-0000-0000-000033020000}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8" builtinId="27" customBuiltin="1"/>
    <cellStyle name="Calculation" xfId="82" builtinId="22" customBuiltin="1"/>
    <cellStyle name="Check Cell" xfId="84" builtinId="23" customBuiltin="1"/>
    <cellStyle name="Comma" xfId="1" builtinId="3"/>
    <cellStyle name="Comma [0] 2" xfId="16" xr:uid="{00000000-0005-0000-0000-000044020000}"/>
    <cellStyle name="Comma 10" xfId="57" xr:uid="{00000000-0005-0000-0000-000045020000}"/>
    <cellStyle name="Comma 10 2" xfId="760" xr:uid="{00000000-0005-0000-0000-000046020000}"/>
    <cellStyle name="Comma 11" xfId="59" xr:uid="{00000000-0005-0000-0000-000047020000}"/>
    <cellStyle name="Comma 11 2" xfId="762" xr:uid="{00000000-0005-0000-0000-000048020000}"/>
    <cellStyle name="Comma 12" xfId="61" xr:uid="{00000000-0005-0000-0000-000049020000}"/>
    <cellStyle name="Comma 12 2" xfId="764" xr:uid="{00000000-0005-0000-0000-00004A020000}"/>
    <cellStyle name="Comma 13" xfId="62" xr:uid="{00000000-0005-0000-0000-00004B020000}"/>
    <cellStyle name="Comma 13 2" xfId="765" xr:uid="{00000000-0005-0000-0000-00004C020000}"/>
    <cellStyle name="Comma 14" xfId="60" xr:uid="{00000000-0005-0000-0000-00004D020000}"/>
    <cellStyle name="Comma 14 2" xfId="763" xr:uid="{00000000-0005-0000-0000-00004E020000}"/>
    <cellStyle name="Comma 15" xfId="63" xr:uid="{00000000-0005-0000-0000-00004F020000}"/>
    <cellStyle name="Comma 15 2" xfId="766" xr:uid="{00000000-0005-0000-0000-000050020000}"/>
    <cellStyle name="Comma 16" xfId="64" xr:uid="{00000000-0005-0000-0000-000051020000}"/>
    <cellStyle name="Comma 16 2" xfId="767" xr:uid="{00000000-0005-0000-0000-000052020000}"/>
    <cellStyle name="Comma 17" xfId="65" xr:uid="{00000000-0005-0000-0000-000053020000}"/>
    <cellStyle name="Comma 17 2" xfId="768" xr:uid="{00000000-0005-0000-0000-000054020000}"/>
    <cellStyle name="Comma 18" xfId="67" xr:uid="{00000000-0005-0000-0000-000055020000}"/>
    <cellStyle name="Comma 18 2" xfId="770" xr:uid="{00000000-0005-0000-0000-000056020000}"/>
    <cellStyle name="Comma 19" xfId="68" xr:uid="{00000000-0005-0000-0000-000057020000}"/>
    <cellStyle name="Comma 19 2" xfId="771" xr:uid="{00000000-0005-0000-0000-000058020000}"/>
    <cellStyle name="Comma 2" xfId="6" xr:uid="{00000000-0005-0000-0000-000059020000}"/>
    <cellStyle name="Comma 2 10" xfId="180" xr:uid="{00000000-0005-0000-0000-00005A020000}"/>
    <cellStyle name="Comma 2 11" xfId="227" xr:uid="{00000000-0005-0000-0000-00005B020000}"/>
    <cellStyle name="Comma 2 12" xfId="242" xr:uid="{00000000-0005-0000-0000-00005C020000}"/>
    <cellStyle name="Comma 2 13" xfId="257" xr:uid="{00000000-0005-0000-0000-00005D020000}"/>
    <cellStyle name="Comma 2 14" xfId="272" xr:uid="{00000000-0005-0000-0000-00005E020000}"/>
    <cellStyle name="Comma 2 15" xfId="284" xr:uid="{00000000-0005-0000-0000-00005F020000}"/>
    <cellStyle name="Comma 2 16" xfId="290" xr:uid="{00000000-0005-0000-0000-000060020000}"/>
    <cellStyle name="Comma 2 17" xfId="325" xr:uid="{00000000-0005-0000-0000-000061020000}"/>
    <cellStyle name="Comma 2 18" xfId="353" xr:uid="{00000000-0005-0000-0000-000062020000}"/>
    <cellStyle name="Comma 2 19" xfId="322" xr:uid="{00000000-0005-0000-0000-000063020000}"/>
    <cellStyle name="Comma 2 2" xfId="13" xr:uid="{00000000-0005-0000-0000-000064020000}"/>
    <cellStyle name="Comma 2 20" xfId="351" xr:uid="{00000000-0005-0000-0000-000065020000}"/>
    <cellStyle name="Comma 2 21" xfId="364" xr:uid="{00000000-0005-0000-0000-000066020000}"/>
    <cellStyle name="Comma 2 22" xfId="406" xr:uid="{00000000-0005-0000-0000-000067020000}"/>
    <cellStyle name="Comma 2 23" xfId="415" xr:uid="{00000000-0005-0000-0000-000068020000}"/>
    <cellStyle name="Comma 2 24" xfId="497" xr:uid="{00000000-0005-0000-0000-000069020000}"/>
    <cellStyle name="Comma 2 25" xfId="549" xr:uid="{00000000-0005-0000-0000-00006A020000}"/>
    <cellStyle name="Comma 2 26" xfId="551" xr:uid="{00000000-0005-0000-0000-00006B020000}"/>
    <cellStyle name="Comma 2 27" xfId="449" xr:uid="{00000000-0005-0000-0000-00006C020000}"/>
    <cellStyle name="Comma 2 28" xfId="571" xr:uid="{00000000-0005-0000-0000-00006D020000}"/>
    <cellStyle name="Comma 2 29" xfId="603" xr:uid="{00000000-0005-0000-0000-00006E020000}"/>
    <cellStyle name="Comma 2 3" xfId="10" xr:uid="{00000000-0005-0000-0000-00006F020000}"/>
    <cellStyle name="Comma 2 3 2" xfId="746" xr:uid="{00000000-0005-0000-0000-000070020000}"/>
    <cellStyle name="Comma 2 30" xfId="629" xr:uid="{00000000-0005-0000-0000-000071020000}"/>
    <cellStyle name="Comma 2 31" xfId="721" xr:uid="{00000000-0005-0000-0000-000072020000}"/>
    <cellStyle name="Comma 2 32" xfId="784" xr:uid="{00000000-0005-0000-0000-000073020000}"/>
    <cellStyle name="Comma 2 4" xfId="116" xr:uid="{00000000-0005-0000-0000-000074020000}"/>
    <cellStyle name="Comma 2 5" xfId="144" xr:uid="{00000000-0005-0000-0000-000075020000}"/>
    <cellStyle name="Comma 2 6" xfId="136" xr:uid="{00000000-0005-0000-0000-000076020000}"/>
    <cellStyle name="Comma 2 7" xfId="159" xr:uid="{00000000-0005-0000-0000-000077020000}"/>
    <cellStyle name="Comma 2 8" xfId="164" xr:uid="{00000000-0005-0000-0000-000078020000}"/>
    <cellStyle name="Comma 2 9" xfId="158" xr:uid="{00000000-0005-0000-0000-000079020000}"/>
    <cellStyle name="Comma 20" xfId="69" xr:uid="{00000000-0005-0000-0000-00007A020000}"/>
    <cellStyle name="Comma 20 2" xfId="772" xr:uid="{00000000-0005-0000-0000-00007B020000}"/>
    <cellStyle name="Comma 21" xfId="70" xr:uid="{00000000-0005-0000-0000-00007C020000}"/>
    <cellStyle name="Comma 21 2" xfId="773" xr:uid="{00000000-0005-0000-0000-00007D020000}"/>
    <cellStyle name="Comma 22" xfId="66" xr:uid="{00000000-0005-0000-0000-00007E020000}"/>
    <cellStyle name="Comma 22 2" xfId="769" xr:uid="{00000000-0005-0000-0000-00007F020000}"/>
    <cellStyle name="Comma 23" xfId="71" xr:uid="{00000000-0005-0000-0000-000080020000}"/>
    <cellStyle name="Comma 23 2" xfId="774" xr:uid="{00000000-0005-0000-0000-000081020000}"/>
    <cellStyle name="Comma 24" xfId="1077" xr:uid="{00000000-0005-0000-0000-000082020000}"/>
    <cellStyle name="Comma 25" xfId="1096" xr:uid="{00000000-0005-0000-0000-000083020000}"/>
    <cellStyle name="Comma 26" xfId="1111" xr:uid="{00000000-0005-0000-0000-000084020000}"/>
    <cellStyle name="Comma 27" xfId="1117" xr:uid="{00000000-0005-0000-0000-000085020000}"/>
    <cellStyle name="Comma 28" xfId="1078" xr:uid="{00000000-0005-0000-0000-000086020000}"/>
    <cellStyle name="Comma 29" xfId="1113" xr:uid="{00000000-0005-0000-0000-000087020000}"/>
    <cellStyle name="Comma 3" xfId="17" xr:uid="{00000000-0005-0000-0000-000088020000}"/>
    <cellStyle name="Comma 3 10" xfId="258" xr:uid="{00000000-0005-0000-0000-000089020000}"/>
    <cellStyle name="Comma 3 11" xfId="273" xr:uid="{00000000-0005-0000-0000-00008A020000}"/>
    <cellStyle name="Comma 3 12" xfId="285" xr:uid="{00000000-0005-0000-0000-00008B020000}"/>
    <cellStyle name="Comma 3 13" xfId="297" xr:uid="{00000000-0005-0000-0000-00008C020000}"/>
    <cellStyle name="Comma 3 14" xfId="309" xr:uid="{00000000-0005-0000-0000-00008D020000}"/>
    <cellStyle name="Comma 3 15" xfId="330" xr:uid="{00000000-0005-0000-0000-00008E020000}"/>
    <cellStyle name="Comma 3 16" xfId="347" xr:uid="{00000000-0005-0000-0000-00008F020000}"/>
    <cellStyle name="Comma 3 17" xfId="361" xr:uid="{00000000-0005-0000-0000-000090020000}"/>
    <cellStyle name="Comma 3 18" xfId="403" xr:uid="{00000000-0005-0000-0000-000091020000}"/>
    <cellStyle name="Comma 3 19" xfId="430" xr:uid="{00000000-0005-0000-0000-000092020000}"/>
    <cellStyle name="Comma 3 2" xfId="121" xr:uid="{00000000-0005-0000-0000-000093020000}"/>
    <cellStyle name="Comma 3 2 2" xfId="726" xr:uid="{00000000-0005-0000-0000-000094020000}"/>
    <cellStyle name="Comma 3 2 2 2" xfId="776" xr:uid="{00000000-0005-0000-0000-000095020000}"/>
    <cellStyle name="Comma 3 20" xfId="457" xr:uid="{00000000-0005-0000-0000-000096020000}"/>
    <cellStyle name="Comma 3 21" xfId="479" xr:uid="{00000000-0005-0000-0000-000097020000}"/>
    <cellStyle name="Comma 3 22" xfId="510" xr:uid="{00000000-0005-0000-0000-000098020000}"/>
    <cellStyle name="Comma 3 23" xfId="544" xr:uid="{00000000-0005-0000-0000-000099020000}"/>
    <cellStyle name="Comma 3 24" xfId="568" xr:uid="{00000000-0005-0000-0000-00009A020000}"/>
    <cellStyle name="Comma 3 25" xfId="600" xr:uid="{00000000-0005-0000-0000-00009B020000}"/>
    <cellStyle name="Comma 3 26" xfId="626" xr:uid="{00000000-0005-0000-0000-00009C020000}"/>
    <cellStyle name="Comma 3 27" xfId="652" xr:uid="{00000000-0005-0000-0000-00009D020000}"/>
    <cellStyle name="Comma 3 28" xfId="676" xr:uid="{00000000-0005-0000-0000-00009E020000}"/>
    <cellStyle name="Comma 3 29" xfId="723" xr:uid="{00000000-0005-0000-0000-00009F020000}"/>
    <cellStyle name="Comma 3 29 2" xfId="1073" xr:uid="{00000000-0005-0000-0000-0000A0020000}"/>
    <cellStyle name="Comma 3 3" xfId="146" xr:uid="{00000000-0005-0000-0000-0000A1020000}"/>
    <cellStyle name="Comma 3 3 2" xfId="749" xr:uid="{00000000-0005-0000-0000-0000A2020000}"/>
    <cellStyle name="Comma 3 3 2 2" xfId="781" xr:uid="{00000000-0005-0000-0000-0000A3020000}"/>
    <cellStyle name="Comma 3 30" xfId="955" xr:uid="{00000000-0005-0000-0000-0000A4020000}"/>
    <cellStyle name="Comma 3 4" xfId="153" xr:uid="{00000000-0005-0000-0000-0000A5020000}"/>
    <cellStyle name="Comma 3 5" xfId="166" xr:uid="{00000000-0005-0000-0000-0000A6020000}"/>
    <cellStyle name="Comma 3 6" xfId="174" xr:uid="{00000000-0005-0000-0000-0000A7020000}"/>
    <cellStyle name="Comma 3 7" xfId="209" xr:uid="{00000000-0005-0000-0000-0000A8020000}"/>
    <cellStyle name="Comma 3 8" xfId="228" xr:uid="{00000000-0005-0000-0000-0000A9020000}"/>
    <cellStyle name="Comma 3 9" xfId="243" xr:uid="{00000000-0005-0000-0000-0000AA020000}"/>
    <cellStyle name="Comma 30" xfId="1089" xr:uid="{00000000-0005-0000-0000-0000AB020000}"/>
    <cellStyle name="Comma 31" xfId="1114" xr:uid="{00000000-0005-0000-0000-0000AC020000}"/>
    <cellStyle name="Comma 32" xfId="1119" xr:uid="{00000000-0005-0000-0000-0000AD020000}"/>
    <cellStyle name="Comma 33" xfId="1080" xr:uid="{00000000-0005-0000-0000-0000AE020000}"/>
    <cellStyle name="Comma 34" xfId="1112" xr:uid="{00000000-0005-0000-0000-0000AF020000}"/>
    <cellStyle name="Comma 35" xfId="1120" xr:uid="{00000000-0005-0000-0000-0000B0020000}"/>
    <cellStyle name="Comma 36" xfId="1115" xr:uid="{00000000-0005-0000-0000-0000B1020000}"/>
    <cellStyle name="Comma 37" xfId="1103" xr:uid="{00000000-0005-0000-0000-0000B2020000}"/>
    <cellStyle name="Comma 38" xfId="1121" xr:uid="{00000000-0005-0000-0000-0000B3020000}"/>
    <cellStyle name="Comma 39" xfId="1116" xr:uid="{00000000-0005-0000-0000-0000B4020000}"/>
    <cellStyle name="Comma 4" xfId="46" xr:uid="{00000000-0005-0000-0000-0000B5020000}"/>
    <cellStyle name="Comma 4 10" xfId="245" xr:uid="{00000000-0005-0000-0000-0000B6020000}"/>
    <cellStyle name="Comma 4 11" xfId="261" xr:uid="{00000000-0005-0000-0000-0000B7020000}"/>
    <cellStyle name="Comma 4 12" xfId="275" xr:uid="{00000000-0005-0000-0000-0000B8020000}"/>
    <cellStyle name="Comma 4 13" xfId="287" xr:uid="{00000000-0005-0000-0000-0000B9020000}"/>
    <cellStyle name="Comma 4 14" xfId="306" xr:uid="{00000000-0005-0000-0000-0000BA020000}"/>
    <cellStyle name="Comma 4 15" xfId="333" xr:uid="{00000000-0005-0000-0000-0000BB020000}"/>
    <cellStyle name="Comma 4 16" xfId="337" xr:uid="{00000000-0005-0000-0000-0000BC020000}"/>
    <cellStyle name="Comma 4 17" xfId="380" xr:uid="{00000000-0005-0000-0000-0000BD020000}"/>
    <cellStyle name="Comma 4 18" xfId="395" xr:uid="{00000000-0005-0000-0000-0000BE020000}"/>
    <cellStyle name="Comma 4 19" xfId="422" xr:uid="{00000000-0005-0000-0000-0000BF020000}"/>
    <cellStyle name="Comma 4 2" xfId="124" xr:uid="{00000000-0005-0000-0000-0000C0020000}"/>
    <cellStyle name="Comma 4 20" xfId="450" xr:uid="{00000000-0005-0000-0000-0000C1020000}"/>
    <cellStyle name="Comma 4 21" xfId="446" xr:uid="{00000000-0005-0000-0000-0000C2020000}"/>
    <cellStyle name="Comma 4 22" xfId="532" xr:uid="{00000000-0005-0000-0000-0000C3020000}"/>
    <cellStyle name="Comma 4 23" xfId="539" xr:uid="{00000000-0005-0000-0000-0000C4020000}"/>
    <cellStyle name="Comma 4 24" xfId="560" xr:uid="{00000000-0005-0000-0000-0000C5020000}"/>
    <cellStyle name="Comma 4 25" xfId="592" xr:uid="{00000000-0005-0000-0000-0000C6020000}"/>
    <cellStyle name="Comma 4 26" xfId="619" xr:uid="{00000000-0005-0000-0000-0000C7020000}"/>
    <cellStyle name="Comma 4 27" xfId="645" xr:uid="{00000000-0005-0000-0000-0000C8020000}"/>
    <cellStyle name="Comma 4 28" xfId="669" xr:uid="{00000000-0005-0000-0000-0000C9020000}"/>
    <cellStyle name="Comma 4 29" xfId="753" xr:uid="{00000000-0005-0000-0000-0000CA020000}"/>
    <cellStyle name="Comma 4 3" xfId="145" xr:uid="{00000000-0005-0000-0000-0000CB020000}"/>
    <cellStyle name="Comma 4 30" xfId="942" xr:uid="{00000000-0005-0000-0000-0000CC020000}"/>
    <cellStyle name="Comma 4 4" xfId="163" xr:uid="{00000000-0005-0000-0000-0000CD020000}"/>
    <cellStyle name="Comma 4 5" xfId="165" xr:uid="{00000000-0005-0000-0000-0000CE020000}"/>
    <cellStyle name="Comma 4 6" xfId="197" xr:uid="{00000000-0005-0000-0000-0000CF020000}"/>
    <cellStyle name="Comma 4 7" xfId="194" xr:uid="{00000000-0005-0000-0000-0000D0020000}"/>
    <cellStyle name="Comma 4 8" xfId="211" xr:uid="{00000000-0005-0000-0000-0000D1020000}"/>
    <cellStyle name="Comma 4 9" xfId="230" xr:uid="{00000000-0005-0000-0000-0000D2020000}"/>
    <cellStyle name="Comma 40" xfId="1118" xr:uid="{00000000-0005-0000-0000-0000D3020000}"/>
    <cellStyle name="Comma 41" xfId="1079" xr:uid="{00000000-0005-0000-0000-0000D4020000}"/>
    <cellStyle name="Comma 42" xfId="1081" xr:uid="{00000000-0005-0000-0000-0000D5020000}"/>
    <cellStyle name="Comma 43" xfId="1110" xr:uid="{00000000-0005-0000-0000-0000D6020000}"/>
    <cellStyle name="Comma 44" xfId="1289" xr:uid="{00000000-0005-0000-0000-0000D7020000}"/>
    <cellStyle name="Comma 45" xfId="1295" xr:uid="{00000000-0005-0000-0000-0000D8020000}"/>
    <cellStyle name="Comma 46" xfId="1293" xr:uid="{00000000-0005-0000-0000-0000D9020000}"/>
    <cellStyle name="Comma 47" xfId="1292" xr:uid="{00000000-0005-0000-0000-0000DA020000}"/>
    <cellStyle name="Comma 48" xfId="1299" xr:uid="{00000000-0005-0000-0000-0000DB020000}"/>
    <cellStyle name="Comma 49" xfId="1300" xr:uid="{00000000-0005-0000-0000-0000DC020000}"/>
    <cellStyle name="Comma 5" xfId="48" xr:uid="{00000000-0005-0000-0000-0000DD020000}"/>
    <cellStyle name="Comma 5 10" xfId="293" xr:uid="{00000000-0005-0000-0000-0000DE020000}"/>
    <cellStyle name="Comma 5 10 2" xfId="817" xr:uid="{00000000-0005-0000-0000-0000DF020000}"/>
    <cellStyle name="Comma 5 11" xfId="304" xr:uid="{00000000-0005-0000-0000-0000E0020000}"/>
    <cellStyle name="Comma 5 11 2" xfId="820" xr:uid="{00000000-0005-0000-0000-0000E1020000}"/>
    <cellStyle name="Comma 5 12" xfId="312" xr:uid="{00000000-0005-0000-0000-0000E2020000}"/>
    <cellStyle name="Comma 5 12 2" xfId="823" xr:uid="{00000000-0005-0000-0000-0000E3020000}"/>
    <cellStyle name="Comma 5 13" xfId="315" xr:uid="{00000000-0005-0000-0000-0000E4020000}"/>
    <cellStyle name="Comma 5 13 2" xfId="826" xr:uid="{00000000-0005-0000-0000-0000E5020000}"/>
    <cellStyle name="Comma 5 14" xfId="318" xr:uid="{00000000-0005-0000-0000-0000E6020000}"/>
    <cellStyle name="Comma 5 14 2" xfId="829" xr:uid="{00000000-0005-0000-0000-0000E7020000}"/>
    <cellStyle name="Comma 5 15" xfId="383" xr:uid="{00000000-0005-0000-0000-0000E8020000}"/>
    <cellStyle name="Comma 5 15 2" xfId="847" xr:uid="{00000000-0005-0000-0000-0000E9020000}"/>
    <cellStyle name="Comma 5 16" xfId="413" xr:uid="{00000000-0005-0000-0000-0000EA020000}"/>
    <cellStyle name="Comma 5 16 2" xfId="864" xr:uid="{00000000-0005-0000-0000-0000EB020000}"/>
    <cellStyle name="Comma 5 17" xfId="440" xr:uid="{00000000-0005-0000-0000-0000EC020000}"/>
    <cellStyle name="Comma 5 17 2" xfId="881" xr:uid="{00000000-0005-0000-0000-0000ED020000}"/>
    <cellStyle name="Comma 5 18" xfId="466" xr:uid="{00000000-0005-0000-0000-0000EE020000}"/>
    <cellStyle name="Comma 5 18 2" xfId="897" xr:uid="{00000000-0005-0000-0000-0000EF020000}"/>
    <cellStyle name="Comma 5 19" xfId="492" xr:uid="{00000000-0005-0000-0000-0000F0020000}"/>
    <cellStyle name="Comma 5 19 2" xfId="915" xr:uid="{00000000-0005-0000-0000-0000F1020000}"/>
    <cellStyle name="Comma 5 2" xfId="169" xr:uid="{00000000-0005-0000-0000-0000F2020000}"/>
    <cellStyle name="Comma 5 2 2" xfId="787" xr:uid="{00000000-0005-0000-0000-0000F3020000}"/>
    <cellStyle name="Comma 5 2 2 2" xfId="1286" xr:uid="{00000000-0005-0000-0000-0000F4020000}"/>
    <cellStyle name="Comma 5 2 2 3" xfId="1384" xr:uid="{00000000-0005-0000-0000-0000F5020000}"/>
    <cellStyle name="Comma 5 2 3" xfId="1152" xr:uid="{00000000-0005-0000-0000-0000F6020000}"/>
    <cellStyle name="Comma 5 2 4" xfId="1198" xr:uid="{00000000-0005-0000-0000-0000F7020000}"/>
    <cellStyle name="Comma 5 2 5" xfId="1242" xr:uid="{00000000-0005-0000-0000-0000F8020000}"/>
    <cellStyle name="Comma 5 2 6" xfId="1340" xr:uid="{00000000-0005-0000-0000-0000F9020000}"/>
    <cellStyle name="Comma 5 20" xfId="516" xr:uid="{00000000-0005-0000-0000-0000FA020000}"/>
    <cellStyle name="Comma 5 20 2" xfId="931" xr:uid="{00000000-0005-0000-0000-0000FB020000}"/>
    <cellStyle name="Comma 5 21" xfId="542" xr:uid="{00000000-0005-0000-0000-0000FC020000}"/>
    <cellStyle name="Comma 5 21 2" xfId="951" xr:uid="{00000000-0005-0000-0000-0000FD020000}"/>
    <cellStyle name="Comma 5 22" xfId="582" xr:uid="{00000000-0005-0000-0000-0000FE020000}"/>
    <cellStyle name="Comma 5 22 2" xfId="971" xr:uid="{00000000-0005-0000-0000-0000FF020000}"/>
    <cellStyle name="Comma 5 23" xfId="610" xr:uid="{00000000-0005-0000-0000-000000030000}"/>
    <cellStyle name="Comma 5 23 2" xfId="988" xr:uid="{00000000-0005-0000-0000-000001030000}"/>
    <cellStyle name="Comma 5 24" xfId="636" xr:uid="{00000000-0005-0000-0000-000002030000}"/>
    <cellStyle name="Comma 5 24 2" xfId="1005" xr:uid="{00000000-0005-0000-0000-000003030000}"/>
    <cellStyle name="Comma 5 25" xfId="661" xr:uid="{00000000-0005-0000-0000-000004030000}"/>
    <cellStyle name="Comma 5 25 2" xfId="1021" xr:uid="{00000000-0005-0000-0000-000005030000}"/>
    <cellStyle name="Comma 5 26" xfId="685" xr:uid="{00000000-0005-0000-0000-000006030000}"/>
    <cellStyle name="Comma 5 26 2" xfId="1037" xr:uid="{00000000-0005-0000-0000-000007030000}"/>
    <cellStyle name="Comma 5 27" xfId="701" xr:uid="{00000000-0005-0000-0000-000008030000}"/>
    <cellStyle name="Comma 5 27 2" xfId="1053" xr:uid="{00000000-0005-0000-0000-000009030000}"/>
    <cellStyle name="Comma 5 28" xfId="717" xr:uid="{00000000-0005-0000-0000-00000A030000}"/>
    <cellStyle name="Comma 5 28 2" xfId="1069" xr:uid="{00000000-0005-0000-0000-00000B030000}"/>
    <cellStyle name="Comma 5 29" xfId="754" xr:uid="{00000000-0005-0000-0000-00000C030000}"/>
    <cellStyle name="Comma 5 3" xfId="192" xr:uid="{00000000-0005-0000-0000-00000D030000}"/>
    <cellStyle name="Comma 5 3 2" xfId="790" xr:uid="{00000000-0005-0000-0000-00000E030000}"/>
    <cellStyle name="Comma 5 3 3" xfId="1270" xr:uid="{00000000-0005-0000-0000-00000F030000}"/>
    <cellStyle name="Comma 5 3 4" xfId="1368" xr:uid="{00000000-0005-0000-0000-000010030000}"/>
    <cellStyle name="Comma 5 30" xfId="953" xr:uid="{00000000-0005-0000-0000-000011030000}"/>
    <cellStyle name="Comma 5 31" xfId="1136" xr:uid="{00000000-0005-0000-0000-000012030000}"/>
    <cellStyle name="Comma 5 32" xfId="1182" xr:uid="{00000000-0005-0000-0000-000013030000}"/>
    <cellStyle name="Comma 5 33" xfId="1226" xr:uid="{00000000-0005-0000-0000-000014030000}"/>
    <cellStyle name="Comma 5 34" xfId="1324" xr:uid="{00000000-0005-0000-0000-000015030000}"/>
    <cellStyle name="Comma 5 4" xfId="207" xr:uid="{00000000-0005-0000-0000-000016030000}"/>
    <cellStyle name="Comma 5 4 2" xfId="795" xr:uid="{00000000-0005-0000-0000-000017030000}"/>
    <cellStyle name="Comma 5 5" xfId="221" xr:uid="{00000000-0005-0000-0000-000018030000}"/>
    <cellStyle name="Comma 5 5 2" xfId="798" xr:uid="{00000000-0005-0000-0000-000019030000}"/>
    <cellStyle name="Comma 5 6" xfId="237" xr:uid="{00000000-0005-0000-0000-00001A030000}"/>
    <cellStyle name="Comma 5 6 2" xfId="803" xr:uid="{00000000-0005-0000-0000-00001B030000}"/>
    <cellStyle name="Comma 5 7" xfId="252" xr:uid="{00000000-0005-0000-0000-00001C030000}"/>
    <cellStyle name="Comma 5 7 2" xfId="807" xr:uid="{00000000-0005-0000-0000-00001D030000}"/>
    <cellStyle name="Comma 5 8" xfId="268" xr:uid="{00000000-0005-0000-0000-00001E030000}"/>
    <cellStyle name="Comma 5 8 2" xfId="811" xr:uid="{00000000-0005-0000-0000-00001F030000}"/>
    <cellStyle name="Comma 5 9" xfId="281" xr:uid="{00000000-0005-0000-0000-000020030000}"/>
    <cellStyle name="Comma 5 9 2" xfId="814" xr:uid="{00000000-0005-0000-0000-000021030000}"/>
    <cellStyle name="Comma 50" xfId="1296" xr:uid="{00000000-0005-0000-0000-000022030000}"/>
    <cellStyle name="Comma 51" xfId="1291" xr:uid="{00000000-0005-0000-0000-000023030000}"/>
    <cellStyle name="Comma 52" xfId="1301" xr:uid="{00000000-0005-0000-0000-000024030000}"/>
    <cellStyle name="Comma 53" xfId="1303" xr:uid="{00000000-0005-0000-0000-000025030000}"/>
    <cellStyle name="Comma 54" xfId="1298" xr:uid="{00000000-0005-0000-0000-000026030000}"/>
    <cellStyle name="Comma 55" xfId="1305" xr:uid="{00000000-0005-0000-0000-000027030000}"/>
    <cellStyle name="Comma 56" xfId="1304" xr:uid="{00000000-0005-0000-0000-000028030000}"/>
    <cellStyle name="Comma 57" xfId="1308" xr:uid="{00000000-0005-0000-0000-000029030000}"/>
    <cellStyle name="Comma 58" xfId="1307" xr:uid="{00000000-0005-0000-0000-00002A030000}"/>
    <cellStyle name="Comma 59" xfId="1302" xr:uid="{00000000-0005-0000-0000-00002B030000}"/>
    <cellStyle name="Comma 6" xfId="54" xr:uid="{00000000-0005-0000-0000-00002C030000}"/>
    <cellStyle name="Comma 6 2" xfId="757" xr:uid="{00000000-0005-0000-0000-00002D030000}"/>
    <cellStyle name="Comma 60" xfId="1306" xr:uid="{00000000-0005-0000-0000-00002E030000}"/>
    <cellStyle name="Comma 61" xfId="1309" xr:uid="{00000000-0005-0000-0000-00002F030000}"/>
    <cellStyle name="Comma 62" xfId="1290" xr:uid="{00000000-0005-0000-0000-000030030000}"/>
    <cellStyle name="Comma 63" xfId="1294" xr:uid="{00000000-0005-0000-0000-000031030000}"/>
    <cellStyle name="Comma 64" xfId="1297" xr:uid="{00000000-0005-0000-0000-000032030000}"/>
    <cellStyle name="Comma 7" xfId="55" xr:uid="{00000000-0005-0000-0000-000033030000}"/>
    <cellStyle name="Comma 7 2" xfId="758" xr:uid="{00000000-0005-0000-0000-000034030000}"/>
    <cellStyle name="Comma 8" xfId="56" xr:uid="{00000000-0005-0000-0000-000035030000}"/>
    <cellStyle name="Comma 8 2" xfId="759" xr:uid="{00000000-0005-0000-0000-000036030000}"/>
    <cellStyle name="Comma 9" xfId="58" xr:uid="{00000000-0005-0000-0000-000037030000}"/>
    <cellStyle name="Comma 9 2" xfId="761" xr:uid="{00000000-0005-0000-0000-000038030000}"/>
    <cellStyle name="Comma0" xfId="126" xr:uid="{00000000-0005-0000-0000-000039030000}"/>
    <cellStyle name="Currency" xfId="2" builtinId="4"/>
    <cellStyle name="Currency 2" xfId="18" xr:uid="{00000000-0005-0000-0000-00003B030000}"/>
    <cellStyle name="Currency 2 10" xfId="204" xr:uid="{00000000-0005-0000-0000-00003C030000}"/>
    <cellStyle name="Currency 2 11" xfId="198" xr:uid="{00000000-0005-0000-0000-00003D030000}"/>
    <cellStyle name="Currency 2 12" xfId="224" xr:uid="{00000000-0005-0000-0000-00003E030000}"/>
    <cellStyle name="Currency 2 13" xfId="239" xr:uid="{00000000-0005-0000-0000-00003F030000}"/>
    <cellStyle name="Currency 2 14" xfId="254" xr:uid="{00000000-0005-0000-0000-000040030000}"/>
    <cellStyle name="Currency 2 15" xfId="270" xr:uid="{00000000-0005-0000-0000-000041030000}"/>
    <cellStyle name="Currency 2 16" xfId="308" xr:uid="{00000000-0005-0000-0000-000042030000}"/>
    <cellStyle name="Currency 2 17" xfId="329" xr:uid="{00000000-0005-0000-0000-000043030000}"/>
    <cellStyle name="Currency 2 18" xfId="343" xr:uid="{00000000-0005-0000-0000-000044030000}"/>
    <cellStyle name="Currency 2 19" xfId="357" xr:uid="{00000000-0005-0000-0000-000045030000}"/>
    <cellStyle name="Currency 2 2" xfId="14" xr:uid="{00000000-0005-0000-0000-000046030000}"/>
    <cellStyle name="Currency 2 20" xfId="399" xr:uid="{00000000-0005-0000-0000-000047030000}"/>
    <cellStyle name="Currency 2 21" xfId="426" xr:uid="{00000000-0005-0000-0000-000048030000}"/>
    <cellStyle name="Currency 2 22" xfId="454" xr:uid="{00000000-0005-0000-0000-000049030000}"/>
    <cellStyle name="Currency 2 23" xfId="429" xr:uid="{00000000-0005-0000-0000-00004A030000}"/>
    <cellStyle name="Currency 2 24" xfId="503" xr:uid="{00000000-0005-0000-0000-00004B030000}"/>
    <cellStyle name="Currency 2 25" xfId="545" xr:uid="{00000000-0005-0000-0000-00004C030000}"/>
    <cellStyle name="Currency 2 26" xfId="564" xr:uid="{00000000-0005-0000-0000-00004D030000}"/>
    <cellStyle name="Currency 2 27" xfId="596" xr:uid="{00000000-0005-0000-0000-00004E030000}"/>
    <cellStyle name="Currency 2 28" xfId="623" xr:uid="{00000000-0005-0000-0000-00004F030000}"/>
    <cellStyle name="Currency 2 29" xfId="649" xr:uid="{00000000-0005-0000-0000-000050030000}"/>
    <cellStyle name="Currency 2 3" xfId="19" xr:uid="{00000000-0005-0000-0000-000051030000}"/>
    <cellStyle name="Currency 2 30" xfId="673" xr:uid="{00000000-0005-0000-0000-000052030000}"/>
    <cellStyle name="Currency 2 31" xfId="954" xr:uid="{00000000-0005-0000-0000-000053030000}"/>
    <cellStyle name="Currency 2 4" xfId="120" xr:uid="{00000000-0005-0000-0000-000054030000}"/>
    <cellStyle name="Currency 2 5" xfId="138" xr:uid="{00000000-0005-0000-0000-000055030000}"/>
    <cellStyle name="Currency 2 6" xfId="133" xr:uid="{00000000-0005-0000-0000-000056030000}"/>
    <cellStyle name="Currency 2 7" xfId="151" xr:uid="{00000000-0005-0000-0000-000057030000}"/>
    <cellStyle name="Currency 2 8" xfId="201" xr:uid="{00000000-0005-0000-0000-000058030000}"/>
    <cellStyle name="Currency 2 9" xfId="155" xr:uid="{00000000-0005-0000-0000-000059030000}"/>
    <cellStyle name="Currency 3" xfId="20" xr:uid="{00000000-0005-0000-0000-00005A030000}"/>
    <cellStyle name="Currency 3 10" xfId="199" xr:uid="{00000000-0005-0000-0000-00005B030000}"/>
    <cellStyle name="Currency 3 11" xfId="213" xr:uid="{00000000-0005-0000-0000-00005C030000}"/>
    <cellStyle name="Currency 3 12" xfId="232" xr:uid="{00000000-0005-0000-0000-00005D030000}"/>
    <cellStyle name="Currency 3 13" xfId="247" xr:uid="{00000000-0005-0000-0000-00005E030000}"/>
    <cellStyle name="Currency 3 14" xfId="299" xr:uid="{00000000-0005-0000-0000-00005F030000}"/>
    <cellStyle name="Currency 3 15" xfId="332" xr:uid="{00000000-0005-0000-0000-000060030000}"/>
    <cellStyle name="Currency 3 16" xfId="355" xr:uid="{00000000-0005-0000-0000-000061030000}"/>
    <cellStyle name="Currency 3 17" xfId="369" xr:uid="{00000000-0005-0000-0000-000062030000}"/>
    <cellStyle name="Currency 3 18" xfId="376" xr:uid="{00000000-0005-0000-0000-000063030000}"/>
    <cellStyle name="Currency 3 19" xfId="391" xr:uid="{00000000-0005-0000-0000-000064030000}"/>
    <cellStyle name="Currency 3 2" xfId="123" xr:uid="{00000000-0005-0000-0000-000065030000}"/>
    <cellStyle name="Currency 3 2 2" xfId="727" xr:uid="{00000000-0005-0000-0000-000066030000}"/>
    <cellStyle name="Currency 3 2 2 2" xfId="777" xr:uid="{00000000-0005-0000-0000-000067030000}"/>
    <cellStyle name="Currency 3 20" xfId="419" xr:uid="{00000000-0005-0000-0000-000068030000}"/>
    <cellStyle name="Currency 3 21" xfId="487" xr:uid="{00000000-0005-0000-0000-000069030000}"/>
    <cellStyle name="Currency 3 22" xfId="536" xr:uid="{00000000-0005-0000-0000-00006A030000}"/>
    <cellStyle name="Currency 3 23" xfId="547" xr:uid="{00000000-0005-0000-0000-00006B030000}"/>
    <cellStyle name="Currency 3 24" xfId="576" xr:uid="{00000000-0005-0000-0000-00006C030000}"/>
    <cellStyle name="Currency 3 25" xfId="556" xr:uid="{00000000-0005-0000-0000-00006D030000}"/>
    <cellStyle name="Currency 3 26" xfId="588" xr:uid="{00000000-0005-0000-0000-00006E030000}"/>
    <cellStyle name="Currency 3 27" xfId="616" xr:uid="{00000000-0005-0000-0000-00006F030000}"/>
    <cellStyle name="Currency 3 28" xfId="642" xr:uid="{00000000-0005-0000-0000-000070030000}"/>
    <cellStyle name="Currency 3 29" xfId="725" xr:uid="{00000000-0005-0000-0000-000071030000}"/>
    <cellStyle name="Currency 3 29 2" xfId="1074" xr:uid="{00000000-0005-0000-0000-000072030000}"/>
    <cellStyle name="Currency 3 3" xfId="132" xr:uid="{00000000-0005-0000-0000-000073030000}"/>
    <cellStyle name="Currency 3 3 2" xfId="750" xr:uid="{00000000-0005-0000-0000-000074030000}"/>
    <cellStyle name="Currency 3 3 2 2" xfId="778" xr:uid="{00000000-0005-0000-0000-000075030000}"/>
    <cellStyle name="Currency 3 30" xfId="956" xr:uid="{00000000-0005-0000-0000-000076030000}"/>
    <cellStyle name="Currency 3 4" xfId="160" xr:uid="{00000000-0005-0000-0000-000077030000}"/>
    <cellStyle name="Currency 3 5" xfId="186" xr:uid="{00000000-0005-0000-0000-000078030000}"/>
    <cellStyle name="Currency 3 6" xfId="177" xr:uid="{00000000-0005-0000-0000-000079030000}"/>
    <cellStyle name="Currency 3 7" xfId="215" xr:uid="{00000000-0005-0000-0000-00007A030000}"/>
    <cellStyle name="Currency 3 8" xfId="183" xr:uid="{00000000-0005-0000-0000-00007B030000}"/>
    <cellStyle name="Currency 3 9" xfId="176" xr:uid="{00000000-0005-0000-0000-00007C030000}"/>
    <cellStyle name="Currency 4" xfId="21" xr:uid="{00000000-0005-0000-0000-00007D030000}"/>
    <cellStyle name="Currency 4 2" xfId="1155" xr:uid="{00000000-0005-0000-0000-00007E030000}"/>
    <cellStyle name="Currency 5" xfId="22" xr:uid="{00000000-0005-0000-0000-00007F030000}"/>
    <cellStyle name="Currency0" xfId="127" xr:uid="{00000000-0005-0000-0000-000080030000}"/>
    <cellStyle name="Date" xfId="128" xr:uid="{00000000-0005-0000-0000-000081030000}"/>
    <cellStyle name="Explanatory Text" xfId="86" builtinId="53" customBuiltin="1"/>
    <cellStyle name="Fixed" xfId="129" xr:uid="{00000000-0005-0000-0000-000083030000}"/>
    <cellStyle name="Good" xfId="77" builtinId="26" customBuiltin="1"/>
    <cellStyle name="Heading 1" xfId="73" builtinId="16" customBuiltin="1"/>
    <cellStyle name="Heading 2" xfId="74" builtinId="17" customBuiltin="1"/>
    <cellStyle name="Heading 3" xfId="75" builtinId="18" customBuiltin="1"/>
    <cellStyle name="Heading 4" xfId="76" builtinId="19" customBuiltin="1"/>
    <cellStyle name="Input" xfId="80" builtinId="20" customBuiltin="1"/>
    <cellStyle name="Input Cells_EXTERNAL" xfId="130" xr:uid="{00000000-0005-0000-0000-00008A030000}"/>
    <cellStyle name="Linked Cell" xfId="83" builtinId="24" customBuiltin="1"/>
    <cellStyle name="Manual-Input" xfId="53" xr:uid="{00000000-0005-0000-0000-00008C030000}"/>
    <cellStyle name="Neutral" xfId="79" builtinId="28" customBuiltin="1"/>
    <cellStyle name="Normal" xfId="0" builtinId="0"/>
    <cellStyle name="Normal 10" xfId="45" xr:uid="{00000000-0005-0000-0000-00008F030000}"/>
    <cellStyle name="Normal 10 2" xfId="744" xr:uid="{00000000-0005-0000-0000-000090030000}"/>
    <cellStyle name="Normal 10 2 2" xfId="752" xr:uid="{00000000-0005-0000-0000-000091030000}"/>
    <cellStyle name="Normal 11" xfId="320" xr:uid="{00000000-0005-0000-0000-000092030000}"/>
    <cellStyle name="Normal 12" xfId="147" xr:uid="{00000000-0005-0000-0000-000093030000}"/>
    <cellStyle name="Normal 13" xfId="356" xr:uid="{00000000-0005-0000-0000-000094030000}"/>
    <cellStyle name="Normal 14" xfId="719" xr:uid="{00000000-0005-0000-0000-000095030000}"/>
    <cellStyle name="Normal 14 2" xfId="1071" xr:uid="{00000000-0005-0000-0000-000096030000}"/>
    <cellStyle name="Normal 15" xfId="1072" xr:uid="{00000000-0005-0000-0000-000097030000}"/>
    <cellStyle name="Normal 16" xfId="731" xr:uid="{00000000-0005-0000-0000-000098030000}"/>
    <cellStyle name="Normal 17" xfId="233" xr:uid="{00000000-0005-0000-0000-000099030000}"/>
    <cellStyle name="Normal 18" xfId="248" xr:uid="{00000000-0005-0000-0000-00009A030000}"/>
    <cellStyle name="Normal 19" xfId="264" xr:uid="{00000000-0005-0000-0000-00009B030000}"/>
    <cellStyle name="Normal 2" xfId="4" xr:uid="{00000000-0005-0000-0000-00009C030000}"/>
    <cellStyle name="Normal 2 10" xfId="1104" xr:uid="{00000000-0005-0000-0000-00009D030000}"/>
    <cellStyle name="Normal 2 11" xfId="1107" xr:uid="{00000000-0005-0000-0000-00009E030000}"/>
    <cellStyle name="Normal 2 2" xfId="8" xr:uid="{00000000-0005-0000-0000-00009F030000}"/>
    <cellStyle name="Normal 2 2 10" xfId="202" xr:uid="{00000000-0005-0000-0000-0000A0030000}"/>
    <cellStyle name="Normal 2 2 11" xfId="223" xr:uid="{00000000-0005-0000-0000-0000A1030000}"/>
    <cellStyle name="Normal 2 2 12" xfId="187" xr:uid="{00000000-0005-0000-0000-0000A2030000}"/>
    <cellStyle name="Normal 2 2 13" xfId="226" xr:uid="{00000000-0005-0000-0000-0000A3030000}"/>
    <cellStyle name="Normal 2 2 14" xfId="241" xr:uid="{00000000-0005-0000-0000-0000A4030000}"/>
    <cellStyle name="Normal 2 2 15" xfId="307" xr:uid="{00000000-0005-0000-0000-0000A5030000}"/>
    <cellStyle name="Normal 2 2 16" xfId="327" xr:uid="{00000000-0005-0000-0000-0000A6030000}"/>
    <cellStyle name="Normal 2 2 17" xfId="350" xr:uid="{00000000-0005-0000-0000-0000A7030000}"/>
    <cellStyle name="Normal 2 2 18" xfId="385" xr:uid="{00000000-0005-0000-0000-0000A8030000}"/>
    <cellStyle name="Normal 2 2 19" xfId="398" xr:uid="{00000000-0005-0000-0000-0000A9030000}"/>
    <cellStyle name="Normal 2 2 2" xfId="52" xr:uid="{00000000-0005-0000-0000-0000AA030000}"/>
    <cellStyle name="Normal 2 2 2 2" xfId="748" xr:uid="{00000000-0005-0000-0000-0000AB030000}"/>
    <cellStyle name="Normal 2 2 2 2 2" xfId="756" xr:uid="{00000000-0005-0000-0000-0000AC030000}"/>
    <cellStyle name="Normal 2 2 20" xfId="425" xr:uid="{00000000-0005-0000-0000-0000AD030000}"/>
    <cellStyle name="Normal 2 2 21" xfId="453" xr:uid="{00000000-0005-0000-0000-0000AE030000}"/>
    <cellStyle name="Normal 2 2 22" xfId="470" xr:uid="{00000000-0005-0000-0000-0000AF030000}"/>
    <cellStyle name="Normal 2 2 23" xfId="494" xr:uid="{00000000-0005-0000-0000-0000B0030000}"/>
    <cellStyle name="Normal 2 2 24" xfId="535" xr:uid="{00000000-0005-0000-0000-0000B1030000}"/>
    <cellStyle name="Normal 2 2 25" xfId="563" xr:uid="{00000000-0005-0000-0000-0000B2030000}"/>
    <cellStyle name="Normal 2 2 26" xfId="595" xr:uid="{00000000-0005-0000-0000-0000B3030000}"/>
    <cellStyle name="Normal 2 2 27" xfId="622" xr:uid="{00000000-0005-0000-0000-0000B4030000}"/>
    <cellStyle name="Normal 2 2 28" xfId="648" xr:uid="{00000000-0005-0000-0000-0000B5030000}"/>
    <cellStyle name="Normal 2 2 29" xfId="672" xr:uid="{00000000-0005-0000-0000-0000B6030000}"/>
    <cellStyle name="Normal 2 2 3" xfId="118" xr:uid="{00000000-0005-0000-0000-0000B7030000}"/>
    <cellStyle name="Normal 2 2 30" xfId="728" xr:uid="{00000000-0005-0000-0000-0000B8030000}"/>
    <cellStyle name="Normal 2 2 31" xfId="782" xr:uid="{00000000-0005-0000-0000-0000B9030000}"/>
    <cellStyle name="Normal 2 2 4" xfId="137" xr:uid="{00000000-0005-0000-0000-0000BA030000}"/>
    <cellStyle name="Normal 2 2 5" xfId="162" xr:uid="{00000000-0005-0000-0000-0000BB030000}"/>
    <cellStyle name="Normal 2 2 6" xfId="142" xr:uid="{00000000-0005-0000-0000-0000BC030000}"/>
    <cellStyle name="Normal 2 2 7" xfId="200" xr:uid="{00000000-0005-0000-0000-0000BD030000}"/>
    <cellStyle name="Normal 2 2 8" xfId="203" xr:uid="{00000000-0005-0000-0000-0000BE030000}"/>
    <cellStyle name="Normal 2 2 9" xfId="216" xr:uid="{00000000-0005-0000-0000-0000BF030000}"/>
    <cellStyle name="Normal 2 3" xfId="50" xr:uid="{00000000-0005-0000-0000-0000C0030000}"/>
    <cellStyle name="Normal 2 4" xfId="1083" xr:uid="{00000000-0005-0000-0000-0000C1030000}"/>
    <cellStyle name="Normal 2 5" xfId="1086" xr:uid="{00000000-0005-0000-0000-0000C2030000}"/>
    <cellStyle name="Normal 2 6" xfId="1091" xr:uid="{00000000-0005-0000-0000-0000C3030000}"/>
    <cellStyle name="Normal 2 7" xfId="1093" xr:uid="{00000000-0005-0000-0000-0000C4030000}"/>
    <cellStyle name="Normal 2 8" xfId="1097" xr:uid="{00000000-0005-0000-0000-0000C5030000}"/>
    <cellStyle name="Normal 2 9" xfId="1100" xr:uid="{00000000-0005-0000-0000-0000C6030000}"/>
    <cellStyle name="Normal 20" xfId="277" xr:uid="{00000000-0005-0000-0000-0000C7030000}"/>
    <cellStyle name="Normal 21" xfId="289" xr:uid="{00000000-0005-0000-0000-0000C8030000}"/>
    <cellStyle name="Normal 22" xfId="301" xr:uid="{00000000-0005-0000-0000-0000C9030000}"/>
    <cellStyle name="Normal 23" xfId="469" xr:uid="{00000000-0005-0000-0000-0000CA030000}"/>
    <cellStyle name="Normal 24" xfId="1076" xr:uid="{00000000-0005-0000-0000-0000CB030000}"/>
    <cellStyle name="Normal 25" xfId="507" xr:uid="{00000000-0005-0000-0000-0000CC030000}"/>
    <cellStyle name="Normal 26" xfId="524" xr:uid="{00000000-0005-0000-0000-0000CD030000}"/>
    <cellStyle name="Normal 27" xfId="1288" xr:uid="{00000000-0005-0000-0000-0000CE030000}"/>
    <cellStyle name="Normal 29" xfId="638" xr:uid="{00000000-0005-0000-0000-0000CF030000}"/>
    <cellStyle name="Normal 3" xfId="5" xr:uid="{00000000-0005-0000-0000-0000D0030000}"/>
    <cellStyle name="Normal 3 10" xfId="236" xr:uid="{00000000-0005-0000-0000-0000D1030000}"/>
    <cellStyle name="Normal 3 11" xfId="251" xr:uid="{00000000-0005-0000-0000-0000D2030000}"/>
    <cellStyle name="Normal 3 12" xfId="267" xr:uid="{00000000-0005-0000-0000-0000D3030000}"/>
    <cellStyle name="Normal 3 13" xfId="280" xr:uid="{00000000-0005-0000-0000-0000D4030000}"/>
    <cellStyle name="Normal 3 14" xfId="292" xr:uid="{00000000-0005-0000-0000-0000D5030000}"/>
    <cellStyle name="Normal 3 15" xfId="303" xr:uid="{00000000-0005-0000-0000-0000D6030000}"/>
    <cellStyle name="Normal 3 16" xfId="311" xr:uid="{00000000-0005-0000-0000-0000D7030000}"/>
    <cellStyle name="Normal 3 17" xfId="286" xr:uid="{00000000-0005-0000-0000-0000D8030000}"/>
    <cellStyle name="Normal 3 18" xfId="323" xr:uid="{00000000-0005-0000-0000-0000D9030000}"/>
    <cellStyle name="Normal 3 19" xfId="321" xr:uid="{00000000-0005-0000-0000-0000DA030000}"/>
    <cellStyle name="Normal 3 2" xfId="12" xr:uid="{00000000-0005-0000-0000-0000DB030000}"/>
    <cellStyle name="Normal 3 2 2" xfId="1084" xr:uid="{00000000-0005-0000-0000-0000DC030000}"/>
    <cellStyle name="Normal 3 20" xfId="344" xr:uid="{00000000-0005-0000-0000-0000DD030000}"/>
    <cellStyle name="Normal 3 21" xfId="342" xr:uid="{00000000-0005-0000-0000-0000DE030000}"/>
    <cellStyle name="Normal 3 22" xfId="373" xr:uid="{00000000-0005-0000-0000-0000DF030000}"/>
    <cellStyle name="Normal 3 23" xfId="360" xr:uid="{00000000-0005-0000-0000-0000E0030000}"/>
    <cellStyle name="Normal 3 24" xfId="486" xr:uid="{00000000-0005-0000-0000-0000E1030000}"/>
    <cellStyle name="Normal 3 25" xfId="504" xr:uid="{00000000-0005-0000-0000-0000E2030000}"/>
    <cellStyle name="Normal 3 26" xfId="468" xr:uid="{00000000-0005-0000-0000-0000E3030000}"/>
    <cellStyle name="Normal 3 27" xfId="546" xr:uid="{00000000-0005-0000-0000-0000E4030000}"/>
    <cellStyle name="Normal 3 28" xfId="482" xr:uid="{00000000-0005-0000-0000-0000E5030000}"/>
    <cellStyle name="Normal 3 29" xfId="548" xr:uid="{00000000-0005-0000-0000-0000E6030000}"/>
    <cellStyle name="Normal 3 3" xfId="9" xr:uid="{00000000-0005-0000-0000-0000E7030000}"/>
    <cellStyle name="Normal 3 3 2" xfId="745" xr:uid="{00000000-0005-0000-0000-0000E8030000}"/>
    <cellStyle name="Normal 3 3 3" xfId="1087" xr:uid="{00000000-0005-0000-0000-0000E9030000}"/>
    <cellStyle name="Normal 3 30" xfId="567" xr:uid="{00000000-0005-0000-0000-0000EA030000}"/>
    <cellStyle name="Normal 3 31" xfId="599" xr:uid="{00000000-0005-0000-0000-0000EB030000}"/>
    <cellStyle name="Normal 3 32" xfId="720" xr:uid="{00000000-0005-0000-0000-0000EC030000}"/>
    <cellStyle name="Normal 3 33" xfId="800" xr:uid="{00000000-0005-0000-0000-0000ED030000}"/>
    <cellStyle name="Normal 3 4" xfId="51" xr:uid="{00000000-0005-0000-0000-0000EE030000}"/>
    <cellStyle name="Normal 3 5" xfId="114" xr:uid="{00000000-0005-0000-0000-0000EF030000}"/>
    <cellStyle name="Normal 3 5 2" xfId="1094" xr:uid="{00000000-0005-0000-0000-0000F0030000}"/>
    <cellStyle name="Normal 3 6" xfId="112" xr:uid="{00000000-0005-0000-0000-0000F1030000}"/>
    <cellStyle name="Normal 3 6 2" xfId="1098" xr:uid="{00000000-0005-0000-0000-0000F2030000}"/>
    <cellStyle name="Normal 3 7" xfId="191" xr:uid="{00000000-0005-0000-0000-0000F3030000}"/>
    <cellStyle name="Normal 3 7 2" xfId="1101" xr:uid="{00000000-0005-0000-0000-0000F4030000}"/>
    <cellStyle name="Normal 3 8" xfId="189" xr:uid="{00000000-0005-0000-0000-0000F5030000}"/>
    <cellStyle name="Normal 3 8 2" xfId="1105" xr:uid="{00000000-0005-0000-0000-0000F6030000}"/>
    <cellStyle name="Normal 3 9" xfId="150" xr:uid="{00000000-0005-0000-0000-0000F7030000}"/>
    <cellStyle name="Normal 3 9 2" xfId="1108" xr:uid="{00000000-0005-0000-0000-0000F8030000}"/>
    <cellStyle name="Normal 3_GRCW" xfId="23" xr:uid="{00000000-0005-0000-0000-0000F9030000}"/>
    <cellStyle name="Normal 30" xfId="663" xr:uid="{00000000-0005-0000-0000-0000FA030000}"/>
    <cellStyle name="Normal 4" xfId="24" xr:uid="{00000000-0005-0000-0000-0000FB030000}"/>
    <cellStyle name="Normal 4 10" xfId="246" xr:uid="{00000000-0005-0000-0000-0000FC030000}"/>
    <cellStyle name="Normal 4 11" xfId="262" xr:uid="{00000000-0005-0000-0000-0000FD030000}"/>
    <cellStyle name="Normal 4 12" xfId="276" xr:uid="{00000000-0005-0000-0000-0000FE030000}"/>
    <cellStyle name="Normal 4 13" xfId="288" xr:uid="{00000000-0005-0000-0000-0000FF030000}"/>
    <cellStyle name="Normal 4 14" xfId="300" xr:uid="{00000000-0005-0000-0000-000000040000}"/>
    <cellStyle name="Normal 4 15" xfId="263" xr:uid="{00000000-0005-0000-0000-000001040000}"/>
    <cellStyle name="Normal 4 16" xfId="331" xr:uid="{00000000-0005-0000-0000-000002040000}"/>
    <cellStyle name="Normal 4 17" xfId="338" xr:uid="{00000000-0005-0000-0000-000003040000}"/>
    <cellStyle name="Normal 4 18" xfId="365" xr:uid="{00000000-0005-0000-0000-000004040000}"/>
    <cellStyle name="Normal 4 19" xfId="407" xr:uid="{00000000-0005-0000-0000-000005040000}"/>
    <cellStyle name="Normal 4 2" xfId="47" xr:uid="{00000000-0005-0000-0000-000006040000}"/>
    <cellStyle name="Normal 4 20" xfId="434" xr:uid="{00000000-0005-0000-0000-000007040000}"/>
    <cellStyle name="Normal 4 21" xfId="460" xr:uid="{00000000-0005-0000-0000-000008040000}"/>
    <cellStyle name="Normal 4 22" xfId="483" xr:uid="{00000000-0005-0000-0000-000009040000}"/>
    <cellStyle name="Normal 4 23" xfId="500" xr:uid="{00000000-0005-0000-0000-00000A040000}"/>
    <cellStyle name="Normal 4 24" xfId="521" xr:uid="{00000000-0005-0000-0000-00000B040000}"/>
    <cellStyle name="Normal 4 25" xfId="572" xr:uid="{00000000-0005-0000-0000-00000C040000}"/>
    <cellStyle name="Normal 4 26" xfId="604" xr:uid="{00000000-0005-0000-0000-00000D040000}"/>
    <cellStyle name="Normal 4 27" xfId="630" xr:uid="{00000000-0005-0000-0000-00000E040000}"/>
    <cellStyle name="Normal 4 28" xfId="655" xr:uid="{00000000-0005-0000-0000-00000F040000}"/>
    <cellStyle name="Normal 4 29" xfId="679" xr:uid="{00000000-0005-0000-0000-000010040000}"/>
    <cellStyle name="Normal 4 3" xfId="122" xr:uid="{00000000-0005-0000-0000-000011040000}"/>
    <cellStyle name="Normal 4 30" xfId="938" xr:uid="{00000000-0005-0000-0000-000012040000}"/>
    <cellStyle name="Normal 4 4" xfId="131" xr:uid="{00000000-0005-0000-0000-000013040000}"/>
    <cellStyle name="Normal 4 5" xfId="156" xr:uid="{00000000-0005-0000-0000-000014040000}"/>
    <cellStyle name="Normal 4 6" xfId="182" xr:uid="{00000000-0005-0000-0000-000015040000}"/>
    <cellStyle name="Normal 4 7" xfId="185" xr:uid="{00000000-0005-0000-0000-000016040000}"/>
    <cellStyle name="Normal 4 8" xfId="212" xr:uid="{00000000-0005-0000-0000-000017040000}"/>
    <cellStyle name="Normal 4 9" xfId="231" xr:uid="{00000000-0005-0000-0000-000018040000}"/>
    <cellStyle name="Normal 5" xfId="25" xr:uid="{00000000-0005-0000-0000-000019040000}"/>
    <cellStyle name="Normal 5 10" xfId="279" xr:uid="{00000000-0005-0000-0000-00001A040000}"/>
    <cellStyle name="Normal 5 10 2" xfId="813" xr:uid="{00000000-0005-0000-0000-00001B040000}"/>
    <cellStyle name="Normal 5 11" xfId="291" xr:uid="{00000000-0005-0000-0000-00001C040000}"/>
    <cellStyle name="Normal 5 11 2" xfId="816" xr:uid="{00000000-0005-0000-0000-00001D040000}"/>
    <cellStyle name="Normal 5 12" xfId="302" xr:uid="{00000000-0005-0000-0000-00001E040000}"/>
    <cellStyle name="Normal 5 12 2" xfId="819" xr:uid="{00000000-0005-0000-0000-00001F040000}"/>
    <cellStyle name="Normal 5 13" xfId="310" xr:uid="{00000000-0005-0000-0000-000020040000}"/>
    <cellStyle name="Normal 5 13 2" xfId="822" xr:uid="{00000000-0005-0000-0000-000021040000}"/>
    <cellStyle name="Normal 5 14" xfId="314" xr:uid="{00000000-0005-0000-0000-000022040000}"/>
    <cellStyle name="Normal 5 14 2" xfId="825" xr:uid="{00000000-0005-0000-0000-000023040000}"/>
    <cellStyle name="Normal 5 15" xfId="317" xr:uid="{00000000-0005-0000-0000-000024040000}"/>
    <cellStyle name="Normal 5 15 2" xfId="828" xr:uid="{00000000-0005-0000-0000-000025040000}"/>
    <cellStyle name="Normal 5 16" xfId="381" xr:uid="{00000000-0005-0000-0000-000026040000}"/>
    <cellStyle name="Normal 5 16 2" xfId="845" xr:uid="{00000000-0005-0000-0000-000027040000}"/>
    <cellStyle name="Normal 5 17" xfId="411" xr:uid="{00000000-0005-0000-0000-000028040000}"/>
    <cellStyle name="Normal 5 17 2" xfId="862" xr:uid="{00000000-0005-0000-0000-000029040000}"/>
    <cellStyle name="Normal 5 18" xfId="438" xr:uid="{00000000-0005-0000-0000-00002A040000}"/>
    <cellStyle name="Normal 5 18 2" xfId="879" xr:uid="{00000000-0005-0000-0000-00002B040000}"/>
    <cellStyle name="Normal 5 19" xfId="464" xr:uid="{00000000-0005-0000-0000-00002C040000}"/>
    <cellStyle name="Normal 5 19 2" xfId="895" xr:uid="{00000000-0005-0000-0000-00002D040000}"/>
    <cellStyle name="Normal 5 2" xfId="26" xr:uid="{00000000-0005-0000-0000-00002E040000}"/>
    <cellStyle name="Normal 5 2 2" xfId="1085" xr:uid="{00000000-0005-0000-0000-00002F040000}"/>
    <cellStyle name="Normal 5 2 2 2" xfId="1284" xr:uid="{00000000-0005-0000-0000-000030040000}"/>
    <cellStyle name="Normal 5 2 2 3" xfId="1382" xr:uid="{00000000-0005-0000-0000-000031040000}"/>
    <cellStyle name="Normal 5 2 3" xfId="1150" xr:uid="{00000000-0005-0000-0000-000032040000}"/>
    <cellStyle name="Normal 5 2 4" xfId="1196" xr:uid="{00000000-0005-0000-0000-000033040000}"/>
    <cellStyle name="Normal 5 2 5" xfId="1240" xr:uid="{00000000-0005-0000-0000-000034040000}"/>
    <cellStyle name="Normal 5 2 6" xfId="1338" xr:uid="{00000000-0005-0000-0000-000035040000}"/>
    <cellStyle name="Normal 5 20" xfId="490" xr:uid="{00000000-0005-0000-0000-000036040000}"/>
    <cellStyle name="Normal 5 20 2" xfId="913" xr:uid="{00000000-0005-0000-0000-000037040000}"/>
    <cellStyle name="Normal 5 21" xfId="514" xr:uid="{00000000-0005-0000-0000-000038040000}"/>
    <cellStyle name="Normal 5 21 2" xfId="929" xr:uid="{00000000-0005-0000-0000-000039040000}"/>
    <cellStyle name="Normal 5 22" xfId="540" xr:uid="{00000000-0005-0000-0000-00003A040000}"/>
    <cellStyle name="Normal 5 22 2" xfId="949" xr:uid="{00000000-0005-0000-0000-00003B040000}"/>
    <cellStyle name="Normal 5 23" xfId="580" xr:uid="{00000000-0005-0000-0000-00003C040000}"/>
    <cellStyle name="Normal 5 23 2" xfId="969" xr:uid="{00000000-0005-0000-0000-00003D040000}"/>
    <cellStyle name="Normal 5 24" xfId="608" xr:uid="{00000000-0005-0000-0000-00003E040000}"/>
    <cellStyle name="Normal 5 24 2" xfId="986" xr:uid="{00000000-0005-0000-0000-00003F040000}"/>
    <cellStyle name="Normal 5 25" xfId="634" xr:uid="{00000000-0005-0000-0000-000040040000}"/>
    <cellStyle name="Normal 5 25 2" xfId="1003" xr:uid="{00000000-0005-0000-0000-000041040000}"/>
    <cellStyle name="Normal 5 26" xfId="659" xr:uid="{00000000-0005-0000-0000-000042040000}"/>
    <cellStyle name="Normal 5 26 2" xfId="1019" xr:uid="{00000000-0005-0000-0000-000043040000}"/>
    <cellStyle name="Normal 5 27" xfId="683" xr:uid="{00000000-0005-0000-0000-000044040000}"/>
    <cellStyle name="Normal 5 27 2" xfId="1035" xr:uid="{00000000-0005-0000-0000-000045040000}"/>
    <cellStyle name="Normal 5 28" xfId="699" xr:uid="{00000000-0005-0000-0000-000046040000}"/>
    <cellStyle name="Normal 5 28 2" xfId="1051" xr:uid="{00000000-0005-0000-0000-000047040000}"/>
    <cellStyle name="Normal 5 29" xfId="715" xr:uid="{00000000-0005-0000-0000-000048040000}"/>
    <cellStyle name="Normal 5 29 2" xfId="1067" xr:uid="{00000000-0005-0000-0000-000049040000}"/>
    <cellStyle name="Normal 5 3" xfId="167" xr:uid="{00000000-0005-0000-0000-00004A040000}"/>
    <cellStyle name="Normal 5 3 2" xfId="785" xr:uid="{00000000-0005-0000-0000-00004B040000}"/>
    <cellStyle name="Normal 5 3 3" xfId="1088" xr:uid="{00000000-0005-0000-0000-00004C040000}"/>
    <cellStyle name="Normal 5 3 4" xfId="1268" xr:uid="{00000000-0005-0000-0000-00004D040000}"/>
    <cellStyle name="Normal 5 3 5" xfId="1366" xr:uid="{00000000-0005-0000-0000-00004E040000}"/>
    <cellStyle name="Normal 5 30" xfId="933" xr:uid="{00000000-0005-0000-0000-00004F040000}"/>
    <cellStyle name="Normal 5 31" xfId="1082" xr:uid="{00000000-0005-0000-0000-000050040000}"/>
    <cellStyle name="Normal 5 32" xfId="1134" xr:uid="{00000000-0005-0000-0000-000051040000}"/>
    <cellStyle name="Normal 5 33" xfId="1180" xr:uid="{00000000-0005-0000-0000-000052040000}"/>
    <cellStyle name="Normal 5 34" xfId="1224" xr:uid="{00000000-0005-0000-0000-000053040000}"/>
    <cellStyle name="Normal 5 35" xfId="1322" xr:uid="{00000000-0005-0000-0000-000054040000}"/>
    <cellStyle name="Normal 5 4" xfId="190" xr:uid="{00000000-0005-0000-0000-000055040000}"/>
    <cellStyle name="Normal 5 4 2" xfId="789" xr:uid="{00000000-0005-0000-0000-000056040000}"/>
    <cellStyle name="Normal 5 4 3" xfId="1092" xr:uid="{00000000-0005-0000-0000-000057040000}"/>
    <cellStyle name="Normal 5 5" xfId="205" xr:uid="{00000000-0005-0000-0000-000058040000}"/>
    <cellStyle name="Normal 5 5 2" xfId="793" xr:uid="{00000000-0005-0000-0000-000059040000}"/>
    <cellStyle name="Normal 5 5 3" xfId="1095" xr:uid="{00000000-0005-0000-0000-00005A040000}"/>
    <cellStyle name="Normal 5 6" xfId="219" xr:uid="{00000000-0005-0000-0000-00005B040000}"/>
    <cellStyle name="Normal 5 6 2" xfId="797" xr:uid="{00000000-0005-0000-0000-00005C040000}"/>
    <cellStyle name="Normal 5 6 3" xfId="1099" xr:uid="{00000000-0005-0000-0000-00005D040000}"/>
    <cellStyle name="Normal 5 7" xfId="235" xr:uid="{00000000-0005-0000-0000-00005E040000}"/>
    <cellStyle name="Normal 5 7 2" xfId="802" xr:uid="{00000000-0005-0000-0000-00005F040000}"/>
    <cellStyle name="Normal 5 7 3" xfId="1102" xr:uid="{00000000-0005-0000-0000-000060040000}"/>
    <cellStyle name="Normal 5 8" xfId="250" xr:uid="{00000000-0005-0000-0000-000061040000}"/>
    <cellStyle name="Normal 5 8 2" xfId="806" xr:uid="{00000000-0005-0000-0000-000062040000}"/>
    <cellStyle name="Normal 5 8 3" xfId="1106" xr:uid="{00000000-0005-0000-0000-000063040000}"/>
    <cellStyle name="Normal 5 9" xfId="266" xr:uid="{00000000-0005-0000-0000-000064040000}"/>
    <cellStyle name="Normal 5 9 2" xfId="810" xr:uid="{00000000-0005-0000-0000-000065040000}"/>
    <cellStyle name="Normal 5 9 3" xfId="1109" xr:uid="{00000000-0005-0000-0000-000066040000}"/>
    <cellStyle name="Normal 5_GRCW" xfId="27" xr:uid="{00000000-0005-0000-0000-000067040000}"/>
    <cellStyle name="Normal 6" xfId="28" xr:uid="{00000000-0005-0000-0000-000068040000}"/>
    <cellStyle name="Normal 6 2" xfId="1154" xr:uid="{00000000-0005-0000-0000-000069040000}"/>
    <cellStyle name="Normal 7" xfId="29" xr:uid="{00000000-0005-0000-0000-00006A040000}"/>
    <cellStyle name="Normal 8" xfId="30" xr:uid="{00000000-0005-0000-0000-00006B040000}"/>
    <cellStyle name="Normal 8 2" xfId="1090" xr:uid="{00000000-0005-0000-0000-00006C040000}"/>
    <cellStyle name="Normal 9" xfId="31" xr:uid="{00000000-0005-0000-0000-00006D040000}"/>
    <cellStyle name="Note 2" xfId="168" xr:uid="{00000000-0005-0000-0000-00006E040000}"/>
    <cellStyle name="Note 2 10" xfId="609" xr:uid="{00000000-0005-0000-0000-00006F040000}"/>
    <cellStyle name="Note 2 10 2" xfId="987" xr:uid="{00000000-0005-0000-0000-000070040000}"/>
    <cellStyle name="Note 2 11" xfId="635" xr:uid="{00000000-0005-0000-0000-000071040000}"/>
    <cellStyle name="Note 2 11 2" xfId="1004" xr:uid="{00000000-0005-0000-0000-000072040000}"/>
    <cellStyle name="Note 2 12" xfId="660" xr:uid="{00000000-0005-0000-0000-000073040000}"/>
    <cellStyle name="Note 2 12 2" xfId="1020" xr:uid="{00000000-0005-0000-0000-000074040000}"/>
    <cellStyle name="Note 2 13" xfId="684" xr:uid="{00000000-0005-0000-0000-000075040000}"/>
    <cellStyle name="Note 2 13 2" xfId="1036" xr:uid="{00000000-0005-0000-0000-000076040000}"/>
    <cellStyle name="Note 2 14" xfId="700" xr:uid="{00000000-0005-0000-0000-000077040000}"/>
    <cellStyle name="Note 2 14 2" xfId="1052" xr:uid="{00000000-0005-0000-0000-000078040000}"/>
    <cellStyle name="Note 2 15" xfId="716" xr:uid="{00000000-0005-0000-0000-000079040000}"/>
    <cellStyle name="Note 2 15 2" xfId="1068" xr:uid="{00000000-0005-0000-0000-00007A040000}"/>
    <cellStyle name="Note 2 16" xfId="786" xr:uid="{00000000-0005-0000-0000-00007B040000}"/>
    <cellStyle name="Note 2 17" xfId="941" xr:uid="{00000000-0005-0000-0000-00007C040000}"/>
    <cellStyle name="Note 2 18" xfId="1135" xr:uid="{00000000-0005-0000-0000-00007D040000}"/>
    <cellStyle name="Note 2 19" xfId="1181" xr:uid="{00000000-0005-0000-0000-00007E040000}"/>
    <cellStyle name="Note 2 2" xfId="382" xr:uid="{00000000-0005-0000-0000-00007F040000}"/>
    <cellStyle name="Note 2 2 2" xfId="846" xr:uid="{00000000-0005-0000-0000-000080040000}"/>
    <cellStyle name="Note 2 2 2 2" xfId="1285" xr:uid="{00000000-0005-0000-0000-000081040000}"/>
    <cellStyle name="Note 2 2 2 3" xfId="1383" xr:uid="{00000000-0005-0000-0000-000082040000}"/>
    <cellStyle name="Note 2 2 3" xfId="1151" xr:uid="{00000000-0005-0000-0000-000083040000}"/>
    <cellStyle name="Note 2 2 4" xfId="1197" xr:uid="{00000000-0005-0000-0000-000084040000}"/>
    <cellStyle name="Note 2 2 5" xfId="1241" xr:uid="{00000000-0005-0000-0000-000085040000}"/>
    <cellStyle name="Note 2 2 6" xfId="1339" xr:uid="{00000000-0005-0000-0000-000086040000}"/>
    <cellStyle name="Note 2 20" xfId="1225" xr:uid="{00000000-0005-0000-0000-000087040000}"/>
    <cellStyle name="Note 2 21" xfId="1323" xr:uid="{00000000-0005-0000-0000-000088040000}"/>
    <cellStyle name="Note 2 3" xfId="412" xr:uid="{00000000-0005-0000-0000-000089040000}"/>
    <cellStyle name="Note 2 3 2" xfId="863" xr:uid="{00000000-0005-0000-0000-00008A040000}"/>
    <cellStyle name="Note 2 3 3" xfId="1269" xr:uid="{00000000-0005-0000-0000-00008B040000}"/>
    <cellStyle name="Note 2 3 4" xfId="1367" xr:uid="{00000000-0005-0000-0000-00008C040000}"/>
    <cellStyle name="Note 2 4" xfId="439" xr:uid="{00000000-0005-0000-0000-00008D040000}"/>
    <cellStyle name="Note 2 4 2" xfId="880" xr:uid="{00000000-0005-0000-0000-00008E040000}"/>
    <cellStyle name="Note 2 5" xfId="465" xr:uid="{00000000-0005-0000-0000-00008F040000}"/>
    <cellStyle name="Note 2 5 2" xfId="896" xr:uid="{00000000-0005-0000-0000-000090040000}"/>
    <cellStyle name="Note 2 6" xfId="491" xr:uid="{00000000-0005-0000-0000-000091040000}"/>
    <cellStyle name="Note 2 6 2" xfId="914" xr:uid="{00000000-0005-0000-0000-000092040000}"/>
    <cellStyle name="Note 2 7" xfId="515" xr:uid="{00000000-0005-0000-0000-000093040000}"/>
    <cellStyle name="Note 2 7 2" xfId="930" xr:uid="{00000000-0005-0000-0000-000094040000}"/>
    <cellStyle name="Note 2 8" xfId="541" xr:uid="{00000000-0005-0000-0000-000095040000}"/>
    <cellStyle name="Note 2 8 2" xfId="950" xr:uid="{00000000-0005-0000-0000-000096040000}"/>
    <cellStyle name="Note 2 9" xfId="581" xr:uid="{00000000-0005-0000-0000-000097040000}"/>
    <cellStyle name="Note 2 9 2" xfId="970" xr:uid="{00000000-0005-0000-0000-000098040000}"/>
    <cellStyle name="Output" xfId="81" builtinId="21" customBuiltin="1"/>
    <cellStyle name="Percent" xfId="3" builtinId="5"/>
    <cellStyle name="Percent 2" xfId="7" xr:uid="{00000000-0005-0000-0000-00009B040000}"/>
    <cellStyle name="Percent 2 10" xfId="188" xr:uid="{00000000-0005-0000-0000-00009C040000}"/>
    <cellStyle name="Percent 2 11" xfId="218" xr:uid="{00000000-0005-0000-0000-00009D040000}"/>
    <cellStyle name="Percent 2 12" xfId="210" xr:uid="{00000000-0005-0000-0000-00009E040000}"/>
    <cellStyle name="Percent 2 13" xfId="229" xr:uid="{00000000-0005-0000-0000-00009F040000}"/>
    <cellStyle name="Percent 2 14" xfId="244" xr:uid="{00000000-0005-0000-0000-0000A0040000}"/>
    <cellStyle name="Percent 2 15" xfId="260" xr:uid="{00000000-0005-0000-0000-0000A1040000}"/>
    <cellStyle name="Percent 2 16" xfId="274" xr:uid="{00000000-0005-0000-0000-0000A2040000}"/>
    <cellStyle name="Percent 2 17" xfId="296" xr:uid="{00000000-0005-0000-0000-0000A3040000}"/>
    <cellStyle name="Percent 2 18" xfId="324" xr:uid="{00000000-0005-0000-0000-0000A4040000}"/>
    <cellStyle name="Percent 2 19" xfId="349" xr:uid="{00000000-0005-0000-0000-0000A5040000}"/>
    <cellStyle name="Percent 2 2" xfId="15" xr:uid="{00000000-0005-0000-0000-0000A6040000}"/>
    <cellStyle name="Percent 2 2 10" xfId="139" xr:uid="{00000000-0005-0000-0000-0000A7040000}"/>
    <cellStyle name="Percent 2 2 11" xfId="172" xr:uid="{00000000-0005-0000-0000-0000A8040000}"/>
    <cellStyle name="Percent 2 2 12" xfId="217" xr:uid="{00000000-0005-0000-0000-0000A9040000}"/>
    <cellStyle name="Percent 2 2 13" xfId="196" xr:uid="{00000000-0005-0000-0000-0000AA040000}"/>
    <cellStyle name="Percent 2 2 14" xfId="298" xr:uid="{00000000-0005-0000-0000-0000AB040000}"/>
    <cellStyle name="Percent 2 2 15" xfId="328" xr:uid="{00000000-0005-0000-0000-0000AC040000}"/>
    <cellStyle name="Percent 2 2 16" xfId="345" xr:uid="{00000000-0005-0000-0000-0000AD040000}"/>
    <cellStyle name="Percent 2 2 17" xfId="368" xr:uid="{00000000-0005-0000-0000-0000AE040000}"/>
    <cellStyle name="Percent 2 2 18" xfId="410" xr:uid="{00000000-0005-0000-0000-0000AF040000}"/>
    <cellStyle name="Percent 2 2 19" xfId="437" xr:uid="{00000000-0005-0000-0000-0000B0040000}"/>
    <cellStyle name="Percent 2 2 2" xfId="119" xr:uid="{00000000-0005-0000-0000-0000B1040000}"/>
    <cellStyle name="Percent 2 2 20" xfId="463" xr:uid="{00000000-0005-0000-0000-0000B2040000}"/>
    <cellStyle name="Percent 2 2 21" xfId="442" xr:uid="{00000000-0005-0000-0000-0000B3040000}"/>
    <cellStyle name="Percent 2 2 22" xfId="394" xr:uid="{00000000-0005-0000-0000-0000B4040000}"/>
    <cellStyle name="Percent 2 2 23" xfId="511" xr:uid="{00000000-0005-0000-0000-0000B5040000}"/>
    <cellStyle name="Percent 2 2 24" xfId="575" xr:uid="{00000000-0005-0000-0000-0000B6040000}"/>
    <cellStyle name="Percent 2 2 25" xfId="607" xr:uid="{00000000-0005-0000-0000-0000B7040000}"/>
    <cellStyle name="Percent 2 2 26" xfId="633" xr:uid="{00000000-0005-0000-0000-0000B8040000}"/>
    <cellStyle name="Percent 2 2 27" xfId="658" xr:uid="{00000000-0005-0000-0000-0000B9040000}"/>
    <cellStyle name="Percent 2 2 28" xfId="682" xr:uid="{00000000-0005-0000-0000-0000BA040000}"/>
    <cellStyle name="Percent 2 2 29" xfId="977" xr:uid="{00000000-0005-0000-0000-0000BB040000}"/>
    <cellStyle name="Percent 2 2 3" xfId="135" xr:uid="{00000000-0005-0000-0000-0000BC040000}"/>
    <cellStyle name="Percent 2 2 4" xfId="154" xr:uid="{00000000-0005-0000-0000-0000BD040000}"/>
    <cellStyle name="Percent 2 2 5" xfId="181" xr:uid="{00000000-0005-0000-0000-0000BE040000}"/>
    <cellStyle name="Percent 2 2 6" xfId="171" xr:uid="{00000000-0005-0000-0000-0000BF040000}"/>
    <cellStyle name="Percent 2 2 7" xfId="178" xr:uid="{00000000-0005-0000-0000-0000C0040000}"/>
    <cellStyle name="Percent 2 2 8" xfId="157" xr:uid="{00000000-0005-0000-0000-0000C1040000}"/>
    <cellStyle name="Percent 2 2 9" xfId="179" xr:uid="{00000000-0005-0000-0000-0000C2040000}"/>
    <cellStyle name="Percent 2 20" xfId="346" xr:uid="{00000000-0005-0000-0000-0000C3040000}"/>
    <cellStyle name="Percent 2 21" xfId="352" xr:uid="{00000000-0005-0000-0000-0000C4040000}"/>
    <cellStyle name="Percent 2 22" xfId="340" xr:uid="{00000000-0005-0000-0000-0000C5040000}"/>
    <cellStyle name="Percent 2 23" xfId="387" xr:uid="{00000000-0005-0000-0000-0000C6040000}"/>
    <cellStyle name="Percent 2 24" xfId="402" xr:uid="{00000000-0005-0000-0000-0000C7040000}"/>
    <cellStyle name="Percent 2 25" xfId="335" xr:uid="{00000000-0005-0000-0000-0000C8040000}"/>
    <cellStyle name="Percent 2 26" xfId="473" xr:uid="{00000000-0005-0000-0000-0000C9040000}"/>
    <cellStyle name="Percent 2 27" xfId="550" xr:uid="{00000000-0005-0000-0000-0000CA040000}"/>
    <cellStyle name="Percent 2 28" xfId="528" xr:uid="{00000000-0005-0000-0000-0000CB040000}"/>
    <cellStyle name="Percent 2 29" xfId="518" xr:uid="{00000000-0005-0000-0000-0000CC040000}"/>
    <cellStyle name="Percent 2 3" xfId="11" xr:uid="{00000000-0005-0000-0000-0000CD040000}"/>
    <cellStyle name="Percent 2 3 2" xfId="747" xr:uid="{00000000-0005-0000-0000-0000CE040000}"/>
    <cellStyle name="Percent 2 30" xfId="584" xr:uid="{00000000-0005-0000-0000-0000CF040000}"/>
    <cellStyle name="Percent 2 31" xfId="612" xr:uid="{00000000-0005-0000-0000-0000D0040000}"/>
    <cellStyle name="Percent 2 32" xfId="722" xr:uid="{00000000-0005-0000-0000-0000D1040000}"/>
    <cellStyle name="Percent 2 33" xfId="792" xr:uid="{00000000-0005-0000-0000-0000D2040000}"/>
    <cellStyle name="Percent 2 4" xfId="49" xr:uid="{00000000-0005-0000-0000-0000D3040000}"/>
    <cellStyle name="Percent 2 5" xfId="115" xr:uid="{00000000-0005-0000-0000-0000D4040000}"/>
    <cellStyle name="Percent 2 6" xfId="140" xr:uid="{00000000-0005-0000-0000-0000D5040000}"/>
    <cellStyle name="Percent 2 7" xfId="134" xr:uid="{00000000-0005-0000-0000-0000D6040000}"/>
    <cellStyle name="Percent 2 8" xfId="206" xr:uid="{00000000-0005-0000-0000-0000D7040000}"/>
    <cellStyle name="Percent 2 9" xfId="173" xr:uid="{00000000-0005-0000-0000-0000D8040000}"/>
    <cellStyle name="Percent 3" xfId="32" xr:uid="{00000000-0005-0000-0000-0000D9040000}"/>
    <cellStyle name="Percent 3 10" xfId="214" xr:uid="{00000000-0005-0000-0000-0000DA040000}"/>
    <cellStyle name="Percent 3 11" xfId="234" xr:uid="{00000000-0005-0000-0000-0000DB040000}"/>
    <cellStyle name="Percent 3 12" xfId="249" xr:uid="{00000000-0005-0000-0000-0000DC040000}"/>
    <cellStyle name="Percent 3 13" xfId="265" xr:uid="{00000000-0005-0000-0000-0000DD040000}"/>
    <cellStyle name="Percent 3 14" xfId="278" xr:uid="{00000000-0005-0000-0000-0000DE040000}"/>
    <cellStyle name="Percent 3 15" xfId="256" xr:uid="{00000000-0005-0000-0000-0000DF040000}"/>
    <cellStyle name="Percent 3 16" xfId="326" xr:uid="{00000000-0005-0000-0000-0000E0040000}"/>
    <cellStyle name="Percent 3 17" xfId="339" xr:uid="{00000000-0005-0000-0000-0000E1040000}"/>
    <cellStyle name="Percent 3 18" xfId="372" xr:uid="{00000000-0005-0000-0000-0000E2040000}"/>
    <cellStyle name="Percent 3 19" xfId="388" xr:uid="{00000000-0005-0000-0000-0000E3040000}"/>
    <cellStyle name="Percent 3 2" xfId="33" xr:uid="{00000000-0005-0000-0000-0000E4040000}"/>
    <cellStyle name="Percent 3 20" xfId="416" xr:uid="{00000000-0005-0000-0000-0000E5040000}"/>
    <cellStyle name="Percent 3 21" xfId="443" xr:uid="{00000000-0005-0000-0000-0000E6040000}"/>
    <cellStyle name="Percent 3 22" xfId="433" xr:uid="{00000000-0005-0000-0000-0000E7040000}"/>
    <cellStyle name="Percent 3 23" xfId="341" xr:uid="{00000000-0005-0000-0000-0000E8040000}"/>
    <cellStyle name="Percent 3 24" xfId="553" xr:uid="{00000000-0005-0000-0000-0000E9040000}"/>
    <cellStyle name="Percent 3 25" xfId="579" xr:uid="{00000000-0005-0000-0000-0000EA040000}"/>
    <cellStyle name="Percent 3 26" xfId="585" xr:uid="{00000000-0005-0000-0000-0000EB040000}"/>
    <cellStyle name="Percent 3 27" xfId="613" xr:uid="{00000000-0005-0000-0000-0000EC040000}"/>
    <cellStyle name="Percent 3 28" xfId="639" xr:uid="{00000000-0005-0000-0000-0000ED040000}"/>
    <cellStyle name="Percent 3 29" xfId="664" xr:uid="{00000000-0005-0000-0000-0000EE040000}"/>
    <cellStyle name="Percent 3 3" xfId="117" xr:uid="{00000000-0005-0000-0000-0000EF040000}"/>
    <cellStyle name="Percent 3 3 2" xfId="729" xr:uid="{00000000-0005-0000-0000-0000F0040000}"/>
    <cellStyle name="Percent 3 3 2 2" xfId="775" xr:uid="{00000000-0005-0000-0000-0000F1040000}"/>
    <cellStyle name="Percent 3 30" xfId="724" xr:uid="{00000000-0005-0000-0000-0000F2040000}"/>
    <cellStyle name="Percent 3 30 2" xfId="1075" xr:uid="{00000000-0005-0000-0000-0000F3040000}"/>
    <cellStyle name="Percent 3 31" xfId="783" xr:uid="{00000000-0005-0000-0000-0000F4040000}"/>
    <cellStyle name="Percent 3 4" xfId="141" xr:uid="{00000000-0005-0000-0000-0000F5040000}"/>
    <cellStyle name="Percent 3 4 2" xfId="751" xr:uid="{00000000-0005-0000-0000-0000F6040000}"/>
    <cellStyle name="Percent 3 4 2 2" xfId="780" xr:uid="{00000000-0005-0000-0000-0000F7040000}"/>
    <cellStyle name="Percent 3 5" xfId="113" xr:uid="{00000000-0005-0000-0000-0000F8040000}"/>
    <cellStyle name="Percent 3 6" xfId="148" xr:uid="{00000000-0005-0000-0000-0000F9040000}"/>
    <cellStyle name="Percent 3 7" xfId="175" xr:uid="{00000000-0005-0000-0000-0000FA040000}"/>
    <cellStyle name="Percent 3 8" xfId="184" xr:uid="{00000000-0005-0000-0000-0000FB040000}"/>
    <cellStyle name="Percent 3 9" xfId="220" xr:uid="{00000000-0005-0000-0000-0000FC040000}"/>
    <cellStyle name="Percent 4" xfId="34" xr:uid="{00000000-0005-0000-0000-0000FD040000}"/>
    <cellStyle name="Percent 4 10" xfId="255" xr:uid="{00000000-0005-0000-0000-0000FE040000}"/>
    <cellStyle name="Percent 4 11" xfId="271" xr:uid="{00000000-0005-0000-0000-0000FF040000}"/>
    <cellStyle name="Percent 4 12" xfId="283" xr:uid="{00000000-0005-0000-0000-000000050000}"/>
    <cellStyle name="Percent 4 13" xfId="295" xr:uid="{00000000-0005-0000-0000-000001050000}"/>
    <cellStyle name="Percent 4 14" xfId="259" xr:uid="{00000000-0005-0000-0000-000002050000}"/>
    <cellStyle name="Percent 4 15" xfId="334" xr:uid="{00000000-0005-0000-0000-000003050000}"/>
    <cellStyle name="Percent 4 16" xfId="336" xr:uid="{00000000-0005-0000-0000-000004050000}"/>
    <cellStyle name="Percent 4 17" xfId="354" xr:uid="{00000000-0005-0000-0000-000005050000}"/>
    <cellStyle name="Percent 4 18" xfId="348" xr:uid="{00000000-0005-0000-0000-000006050000}"/>
    <cellStyle name="Percent 4 19" xfId="377" xr:uid="{00000000-0005-0000-0000-000007050000}"/>
    <cellStyle name="Percent 4 2" xfId="125" xr:uid="{00000000-0005-0000-0000-000008050000}"/>
    <cellStyle name="Percent 4 20" xfId="386" xr:uid="{00000000-0005-0000-0000-000009050000}"/>
    <cellStyle name="Percent 4 21" xfId="476" xr:uid="{00000000-0005-0000-0000-00000A050000}"/>
    <cellStyle name="Percent 4 22" xfId="529" xr:uid="{00000000-0005-0000-0000-00000B050000}"/>
    <cellStyle name="Percent 4 23" xfId="555" xr:uid="{00000000-0005-0000-0000-00000C050000}"/>
    <cellStyle name="Percent 4 24" xfId="525" xr:uid="{00000000-0005-0000-0000-00000D050000}"/>
    <cellStyle name="Percent 4 25" xfId="554" xr:uid="{00000000-0005-0000-0000-00000E050000}"/>
    <cellStyle name="Percent 4 26" xfId="552" xr:uid="{00000000-0005-0000-0000-00000F050000}"/>
    <cellStyle name="Percent 4 27" xfId="559" xr:uid="{00000000-0005-0000-0000-000010050000}"/>
    <cellStyle name="Percent 4 28" xfId="591" xr:uid="{00000000-0005-0000-0000-000011050000}"/>
    <cellStyle name="Percent 4 29" xfId="904" xr:uid="{00000000-0005-0000-0000-000012050000}"/>
    <cellStyle name="Percent 4 3" xfId="143" xr:uid="{00000000-0005-0000-0000-000013050000}"/>
    <cellStyle name="Percent 4 4" xfId="149" xr:uid="{00000000-0005-0000-0000-000014050000}"/>
    <cellStyle name="Percent 4 5" xfId="152" xr:uid="{00000000-0005-0000-0000-000015050000}"/>
    <cellStyle name="Percent 4 6" xfId="161" xr:uid="{00000000-0005-0000-0000-000016050000}"/>
    <cellStyle name="Percent 4 7" xfId="195" xr:uid="{00000000-0005-0000-0000-000017050000}"/>
    <cellStyle name="Percent 4 8" xfId="225" xr:uid="{00000000-0005-0000-0000-000018050000}"/>
    <cellStyle name="Percent 4 9" xfId="240" xr:uid="{00000000-0005-0000-0000-000019050000}"/>
    <cellStyle name="Percent 5" xfId="35" xr:uid="{00000000-0005-0000-0000-00001A050000}"/>
    <cellStyle name="Percent 5 10" xfId="294" xr:uid="{00000000-0005-0000-0000-00001B050000}"/>
    <cellStyle name="Percent 5 10 2" xfId="818" xr:uid="{00000000-0005-0000-0000-00001C050000}"/>
    <cellStyle name="Percent 5 11" xfId="305" xr:uid="{00000000-0005-0000-0000-00001D050000}"/>
    <cellStyle name="Percent 5 11 2" xfId="821" xr:uid="{00000000-0005-0000-0000-00001E050000}"/>
    <cellStyle name="Percent 5 12" xfId="313" xr:uid="{00000000-0005-0000-0000-00001F050000}"/>
    <cellStyle name="Percent 5 12 2" xfId="824" xr:uid="{00000000-0005-0000-0000-000020050000}"/>
    <cellStyle name="Percent 5 13" xfId="316" xr:uid="{00000000-0005-0000-0000-000021050000}"/>
    <cellStyle name="Percent 5 13 2" xfId="827" xr:uid="{00000000-0005-0000-0000-000022050000}"/>
    <cellStyle name="Percent 5 14" xfId="319" xr:uid="{00000000-0005-0000-0000-000023050000}"/>
    <cellStyle name="Percent 5 14 2" xfId="830" xr:uid="{00000000-0005-0000-0000-000024050000}"/>
    <cellStyle name="Percent 5 15" xfId="384" xr:uid="{00000000-0005-0000-0000-000025050000}"/>
    <cellStyle name="Percent 5 15 2" xfId="848" xr:uid="{00000000-0005-0000-0000-000026050000}"/>
    <cellStyle name="Percent 5 16" xfId="414" xr:uid="{00000000-0005-0000-0000-000027050000}"/>
    <cellStyle name="Percent 5 16 2" xfId="865" xr:uid="{00000000-0005-0000-0000-000028050000}"/>
    <cellStyle name="Percent 5 17" xfId="441" xr:uid="{00000000-0005-0000-0000-000029050000}"/>
    <cellStyle name="Percent 5 17 2" xfId="882" xr:uid="{00000000-0005-0000-0000-00002A050000}"/>
    <cellStyle name="Percent 5 18" xfId="467" xr:uid="{00000000-0005-0000-0000-00002B050000}"/>
    <cellStyle name="Percent 5 18 2" xfId="898" xr:uid="{00000000-0005-0000-0000-00002C050000}"/>
    <cellStyle name="Percent 5 19" xfId="493" xr:uid="{00000000-0005-0000-0000-00002D050000}"/>
    <cellStyle name="Percent 5 19 2" xfId="916" xr:uid="{00000000-0005-0000-0000-00002E050000}"/>
    <cellStyle name="Percent 5 2" xfId="170" xr:uid="{00000000-0005-0000-0000-00002F050000}"/>
    <cellStyle name="Percent 5 2 2" xfId="788" xr:uid="{00000000-0005-0000-0000-000030050000}"/>
    <cellStyle name="Percent 5 2 2 2" xfId="1287" xr:uid="{00000000-0005-0000-0000-000031050000}"/>
    <cellStyle name="Percent 5 2 2 3" xfId="1385" xr:uid="{00000000-0005-0000-0000-000032050000}"/>
    <cellStyle name="Percent 5 2 3" xfId="1153" xr:uid="{00000000-0005-0000-0000-000033050000}"/>
    <cellStyle name="Percent 5 2 4" xfId="1199" xr:uid="{00000000-0005-0000-0000-000034050000}"/>
    <cellStyle name="Percent 5 2 5" xfId="1243" xr:uid="{00000000-0005-0000-0000-000035050000}"/>
    <cellStyle name="Percent 5 2 6" xfId="1341" xr:uid="{00000000-0005-0000-0000-000036050000}"/>
    <cellStyle name="Percent 5 20" xfId="517" xr:uid="{00000000-0005-0000-0000-000037050000}"/>
    <cellStyle name="Percent 5 20 2" xfId="932" xr:uid="{00000000-0005-0000-0000-000038050000}"/>
    <cellStyle name="Percent 5 21" xfId="543" xr:uid="{00000000-0005-0000-0000-000039050000}"/>
    <cellStyle name="Percent 5 21 2" xfId="952" xr:uid="{00000000-0005-0000-0000-00003A050000}"/>
    <cellStyle name="Percent 5 22" xfId="583" xr:uid="{00000000-0005-0000-0000-00003B050000}"/>
    <cellStyle name="Percent 5 22 2" xfId="972" xr:uid="{00000000-0005-0000-0000-00003C050000}"/>
    <cellStyle name="Percent 5 23" xfId="611" xr:uid="{00000000-0005-0000-0000-00003D050000}"/>
    <cellStyle name="Percent 5 23 2" xfId="989" xr:uid="{00000000-0005-0000-0000-00003E050000}"/>
    <cellStyle name="Percent 5 24" xfId="637" xr:uid="{00000000-0005-0000-0000-00003F050000}"/>
    <cellStyle name="Percent 5 24 2" xfId="1006" xr:uid="{00000000-0005-0000-0000-000040050000}"/>
    <cellStyle name="Percent 5 25" xfId="662" xr:uid="{00000000-0005-0000-0000-000041050000}"/>
    <cellStyle name="Percent 5 25 2" xfId="1022" xr:uid="{00000000-0005-0000-0000-000042050000}"/>
    <cellStyle name="Percent 5 26" xfId="686" xr:uid="{00000000-0005-0000-0000-000043050000}"/>
    <cellStyle name="Percent 5 26 2" xfId="1038" xr:uid="{00000000-0005-0000-0000-000044050000}"/>
    <cellStyle name="Percent 5 27" xfId="702" xr:uid="{00000000-0005-0000-0000-000045050000}"/>
    <cellStyle name="Percent 5 27 2" xfId="1054" xr:uid="{00000000-0005-0000-0000-000046050000}"/>
    <cellStyle name="Percent 5 28" xfId="718" xr:uid="{00000000-0005-0000-0000-000047050000}"/>
    <cellStyle name="Percent 5 28 2" xfId="1070" xr:uid="{00000000-0005-0000-0000-000048050000}"/>
    <cellStyle name="Percent 5 29" xfId="901" xr:uid="{00000000-0005-0000-0000-000049050000}"/>
    <cellStyle name="Percent 5 3" xfId="193" xr:uid="{00000000-0005-0000-0000-00004A050000}"/>
    <cellStyle name="Percent 5 3 2" xfId="791" xr:uid="{00000000-0005-0000-0000-00004B050000}"/>
    <cellStyle name="Percent 5 3 3" xfId="1271" xr:uid="{00000000-0005-0000-0000-00004C050000}"/>
    <cellStyle name="Percent 5 3 4" xfId="1369" xr:uid="{00000000-0005-0000-0000-00004D050000}"/>
    <cellStyle name="Percent 5 30" xfId="1137" xr:uid="{00000000-0005-0000-0000-00004E050000}"/>
    <cellStyle name="Percent 5 31" xfId="1183" xr:uid="{00000000-0005-0000-0000-00004F050000}"/>
    <cellStyle name="Percent 5 32" xfId="1227" xr:uid="{00000000-0005-0000-0000-000050050000}"/>
    <cellStyle name="Percent 5 33" xfId="1325" xr:uid="{00000000-0005-0000-0000-000051050000}"/>
    <cellStyle name="Percent 5 4" xfId="208" xr:uid="{00000000-0005-0000-0000-000052050000}"/>
    <cellStyle name="Percent 5 4 2" xfId="796" xr:uid="{00000000-0005-0000-0000-000053050000}"/>
    <cellStyle name="Percent 5 5" xfId="222" xr:uid="{00000000-0005-0000-0000-000054050000}"/>
    <cellStyle name="Percent 5 5 2" xfId="799" xr:uid="{00000000-0005-0000-0000-000055050000}"/>
    <cellStyle name="Percent 5 6" xfId="238" xr:uid="{00000000-0005-0000-0000-000056050000}"/>
    <cellStyle name="Percent 5 6 2" xfId="804" xr:uid="{00000000-0005-0000-0000-000057050000}"/>
    <cellStyle name="Percent 5 7" xfId="253" xr:uid="{00000000-0005-0000-0000-000058050000}"/>
    <cellStyle name="Percent 5 7 2" xfId="808" xr:uid="{00000000-0005-0000-0000-000059050000}"/>
    <cellStyle name="Percent 5 8" xfId="269" xr:uid="{00000000-0005-0000-0000-00005A050000}"/>
    <cellStyle name="Percent 5 8 2" xfId="812" xr:uid="{00000000-0005-0000-0000-00005B050000}"/>
    <cellStyle name="Percent 5 9" xfId="282" xr:uid="{00000000-0005-0000-0000-00005C050000}"/>
    <cellStyle name="Percent 5 9 2" xfId="815" xr:uid="{00000000-0005-0000-0000-00005D050000}"/>
    <cellStyle name="PS_Comma" xfId="36" xr:uid="{00000000-0005-0000-0000-00005E050000}"/>
    <cellStyle name="PSChar" xfId="37" xr:uid="{00000000-0005-0000-0000-00005F050000}"/>
    <cellStyle name="PSDate" xfId="38" xr:uid="{00000000-0005-0000-0000-000060050000}"/>
    <cellStyle name="PSDec" xfId="39" xr:uid="{00000000-0005-0000-0000-000061050000}"/>
    <cellStyle name="PSHeading" xfId="40" xr:uid="{00000000-0005-0000-0000-000062050000}"/>
    <cellStyle name="PSInt" xfId="41" xr:uid="{00000000-0005-0000-0000-000063050000}"/>
    <cellStyle name="PSSpacer" xfId="42" xr:uid="{00000000-0005-0000-0000-000064050000}"/>
    <cellStyle name="Title" xfId="72" builtinId="15" customBuiltin="1"/>
    <cellStyle name="Total" xfId="87" builtinId="25" customBuiltin="1"/>
    <cellStyle name="Warning Text" xfId="85" builtinId="11" customBuiltin="1"/>
    <cellStyle name="WM_STANDARD" xfId="43" xr:uid="{00000000-0005-0000-0000-000068050000}"/>
    <cellStyle name="WMI_Standard" xfId="44" xr:uid="{00000000-0005-0000-0000-000069050000}"/>
  </cellStyles>
  <dxfs count="24"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29"/>
        </patternFill>
      </fill>
    </dxf>
  </dxfs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76200</xdr:rowOff>
    </xdr:from>
    <xdr:to>
      <xdr:col>3</xdr:col>
      <xdr:colOff>714375</xdr:colOff>
      <xdr:row>78</xdr:row>
      <xdr:rowOff>66675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9C5F7AE-9D06-4BCE-869A-2192526AB266}"/>
            </a:ext>
          </a:extLst>
        </xdr:cNvPr>
        <xdr:cNvSpPr>
          <a:spLocks/>
        </xdr:cNvSpPr>
      </xdr:nvSpPr>
      <xdr:spPr bwMode="auto">
        <a:xfrm>
          <a:off x="2438400" y="11734800"/>
          <a:ext cx="0" cy="800100"/>
        </a:xfrm>
        <a:prstGeom prst="lef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</xdr:spPr>
    </xdr:sp>
    <xdr:clientData/>
  </xdr:twoCellAnchor>
  <xdr:twoCellAnchor>
    <xdr:from>
      <xdr:col>3</xdr:col>
      <xdr:colOff>638175</xdr:colOff>
      <xdr:row>83</xdr:row>
      <xdr:rowOff>76200</xdr:rowOff>
    </xdr:from>
    <xdr:to>
      <xdr:col>3</xdr:col>
      <xdr:colOff>723900</xdr:colOff>
      <xdr:row>97</xdr:row>
      <xdr:rowOff>104775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D35E519B-AFE5-4AD7-80CE-B221FF0EB975}"/>
            </a:ext>
          </a:extLst>
        </xdr:cNvPr>
        <xdr:cNvSpPr>
          <a:spLocks/>
        </xdr:cNvSpPr>
      </xdr:nvSpPr>
      <xdr:spPr bwMode="auto">
        <a:xfrm>
          <a:off x="2438400" y="13354050"/>
          <a:ext cx="0" cy="2295525"/>
        </a:xfrm>
        <a:prstGeom prst="lef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6</xdr:row>
      <xdr:rowOff>28575</xdr:rowOff>
    </xdr:from>
    <xdr:to>
      <xdr:col>13</xdr:col>
      <xdr:colOff>209550</xdr:colOff>
      <xdr:row>9</xdr:row>
      <xdr:rowOff>0</xdr:rowOff>
    </xdr:to>
    <xdr:sp macro="" textlink="">
      <xdr:nvSpPr>
        <xdr:cNvPr id="5121" name="AutoShap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/>
        </xdr:cNvSpPr>
      </xdr:nvSpPr>
      <xdr:spPr bwMode="auto">
        <a:xfrm>
          <a:off x="10382250" y="904875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614795</xdr:colOff>
      <xdr:row>2</xdr:row>
      <xdr:rowOff>155864</xdr:rowOff>
    </xdr:from>
    <xdr:to>
      <xdr:col>8</xdr:col>
      <xdr:colOff>355023</xdr:colOff>
      <xdr:row>6</xdr:row>
      <xdr:rowOff>112568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FA0C8EB-93AF-47E9-B588-C65AA9D6FC38}"/>
            </a:ext>
          </a:extLst>
        </xdr:cNvPr>
        <xdr:cNvSpPr txBox="1"/>
      </xdr:nvSpPr>
      <xdr:spPr>
        <a:xfrm>
          <a:off x="2892136" y="484909"/>
          <a:ext cx="3879273" cy="675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Tab was not updated or used for Adjustment 3.01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87C8-D336-481B-BC5E-74283C9081A6}">
  <sheetPr>
    <pageSetUpPr fitToPage="1"/>
  </sheetPr>
  <dimension ref="A1:P104"/>
  <sheetViews>
    <sheetView tabSelected="1" zoomScaleNormal="100" workbookViewId="0">
      <selection activeCell="I18" sqref="I18"/>
    </sheetView>
  </sheetViews>
  <sheetFormatPr defaultRowHeight="12.75"/>
  <cols>
    <col min="1" max="1" width="2.28515625" style="515" customWidth="1"/>
    <col min="2" max="2" width="35.28515625" style="515" customWidth="1"/>
    <col min="3" max="3" width="3.5703125" style="515" customWidth="1"/>
    <col min="4" max="4" width="11.7109375" style="515" customWidth="1"/>
    <col min="5" max="5" width="10.140625" style="515" customWidth="1"/>
    <col min="6" max="6" width="11.7109375" style="515" customWidth="1"/>
    <col min="7" max="7" width="12.5703125" style="515" customWidth="1"/>
    <col min="8" max="8" width="9.28515625" style="515" customWidth="1"/>
    <col min="9" max="9" width="32.7109375" style="515" customWidth="1"/>
    <col min="10" max="10" width="2.28515625" style="515" customWidth="1"/>
    <col min="11" max="11" width="37.140625" style="515" bestFit="1" customWidth="1"/>
    <col min="12" max="18" width="12.28515625" style="515" customWidth="1"/>
    <col min="19" max="19" width="11.85546875" style="515" customWidth="1"/>
    <col min="20" max="16384" width="9.140625" style="515"/>
  </cols>
  <sheetData>
    <row r="1" spans="1:7">
      <c r="A1" s="539" t="s">
        <v>570</v>
      </c>
    </row>
    <row r="2" spans="1:7">
      <c r="A2" s="539"/>
    </row>
    <row r="3" spans="1:7">
      <c r="A3" s="539"/>
      <c r="F3" s="558" t="s">
        <v>59</v>
      </c>
      <c r="G3" s="559" t="s">
        <v>218</v>
      </c>
    </row>
    <row r="4" spans="1:7">
      <c r="A4" s="515" t="s">
        <v>569</v>
      </c>
      <c r="D4" s="558" t="s">
        <v>568</v>
      </c>
      <c r="E4" s="558" t="s">
        <v>567</v>
      </c>
      <c r="F4" s="558" t="s">
        <v>566</v>
      </c>
      <c r="G4" s="557" t="s">
        <v>565</v>
      </c>
    </row>
    <row r="5" spans="1:7">
      <c r="B5" s="546" t="s">
        <v>218</v>
      </c>
      <c r="C5" s="546"/>
      <c r="E5" s="516"/>
      <c r="F5" s="516"/>
      <c r="G5" s="556"/>
    </row>
    <row r="6" spans="1:7">
      <c r="B6" s="555" t="s">
        <v>563</v>
      </c>
      <c r="C6" s="544"/>
      <c r="D6" s="516">
        <f>'Reconcile ROO to CB'!J7</f>
        <v>116529.42364116467</v>
      </c>
      <c r="E6" s="552">
        <f ca="1">('Pres &amp; Prop Rev'!C121/1000)-E12</f>
        <v>121811.58611000002</v>
      </c>
      <c r="F6" s="516">
        <f ca="1">E6-D6</f>
        <v>5282.1624688353477</v>
      </c>
      <c r="G6" s="540">
        <f ca="1">F6</f>
        <v>5282.1624688353477</v>
      </c>
    </row>
    <row r="7" spans="1:7" ht="12.75" customHeight="1">
      <c r="B7" s="555" t="s">
        <v>349</v>
      </c>
      <c r="C7" s="544"/>
      <c r="D7" s="516">
        <f>'Reconcile ROO to CB'!J8</f>
        <v>94853.747647803742</v>
      </c>
      <c r="E7" s="552"/>
      <c r="F7" s="516">
        <f>E7-D7</f>
        <v>-94853.747647803742</v>
      </c>
      <c r="G7" s="540">
        <f>F7</f>
        <v>-94853.747647803742</v>
      </c>
    </row>
    <row r="8" spans="1:7">
      <c r="B8" s="515" t="s">
        <v>562</v>
      </c>
      <c r="C8" s="544"/>
      <c r="D8" s="516">
        <f>'Reconcile ROO to CB'!J9</f>
        <v>87.828711031590274</v>
      </c>
      <c r="E8" s="552">
        <f ca="1">'Pres &amp; Prop Rev'!C139/1000</f>
        <v>62.342169999999996</v>
      </c>
      <c r="F8" s="516">
        <f ca="1">E8-D8</f>
        <v>-25.486541031590278</v>
      </c>
      <c r="G8" s="540">
        <f ca="1">F8</f>
        <v>-25.486541031590278</v>
      </c>
    </row>
    <row r="9" spans="1:7">
      <c r="B9" s="515" t="s">
        <v>561</v>
      </c>
      <c r="C9" s="544"/>
      <c r="D9" s="516">
        <f>'Reconcile ROO to CB'!J19</f>
        <v>-102</v>
      </c>
      <c r="E9" s="552">
        <f ca="1">'Pres &amp; Prop Rev'!C128/1000</f>
        <v>-290.68225000000001</v>
      </c>
      <c r="F9" s="516">
        <f ca="1">E9-D9</f>
        <v>-188.68225000000001</v>
      </c>
      <c r="G9" s="540">
        <f ca="1">F9</f>
        <v>-188.68225000000001</v>
      </c>
    </row>
    <row r="10" spans="1:7">
      <c r="B10" s="554" t="s">
        <v>560</v>
      </c>
      <c r="C10" s="544"/>
      <c r="D10" s="549">
        <f>SUM(D6:D9)</f>
        <v>211369</v>
      </c>
      <c r="E10" s="549">
        <f ca="1">SUM(E6:E9)</f>
        <v>121583.24603000002</v>
      </c>
      <c r="F10" s="549">
        <f ca="1">E10-D10</f>
        <v>-89785.753969999976</v>
      </c>
      <c r="G10" s="542">
        <f ca="1">SUM(G6:G9)</f>
        <v>-89785.753969999976</v>
      </c>
    </row>
    <row r="11" spans="1:7">
      <c r="B11" s="518"/>
      <c r="C11" s="548"/>
      <c r="D11" s="516"/>
      <c r="E11" s="547"/>
      <c r="F11" s="516"/>
      <c r="G11" s="540"/>
    </row>
    <row r="12" spans="1:7">
      <c r="B12" s="553" t="s">
        <v>559</v>
      </c>
      <c r="C12" s="544"/>
      <c r="D12" s="516">
        <f>'Reconcile ROO to CB'!J22</f>
        <v>5060</v>
      </c>
      <c r="E12" s="552">
        <f ca="1">SUM('Pres &amp; Prop Rev'!H121:J121)/1000</f>
        <v>5393.2436334999993</v>
      </c>
      <c r="F12" s="516">
        <f ca="1">E12-D12</f>
        <v>333.24363349999931</v>
      </c>
      <c r="G12" s="540">
        <f ca="1">F12</f>
        <v>333.24363349999931</v>
      </c>
    </row>
    <row r="13" spans="1:7">
      <c r="C13" s="519"/>
      <c r="G13" s="540"/>
    </row>
    <row r="14" spans="1:7">
      <c r="B14" s="515" t="s">
        <v>558</v>
      </c>
      <c r="C14" s="550"/>
      <c r="D14" s="516">
        <f>'Reconcile ROO to CB'!J24</f>
        <v>0</v>
      </c>
      <c r="E14" s="584">
        <v>0</v>
      </c>
      <c r="F14" s="516">
        <f>E14-D14</f>
        <v>0</v>
      </c>
      <c r="G14" s="540">
        <f>F14</f>
        <v>0</v>
      </c>
    </row>
    <row r="15" spans="1:7">
      <c r="B15" s="518" t="s">
        <v>557</v>
      </c>
      <c r="C15" s="548"/>
      <c r="D15" s="549">
        <f>SUM(D12:D14)</f>
        <v>5060</v>
      </c>
      <c r="E15" s="585">
        <f ca="1">SUM(E12:E14)</f>
        <v>5393.2436334999993</v>
      </c>
      <c r="F15" s="549">
        <f ca="1">E15-D15</f>
        <v>333.24363349999931</v>
      </c>
      <c r="G15" s="542">
        <f ca="1">SUM(G12:G14)</f>
        <v>333.24363349999931</v>
      </c>
    </row>
    <row r="16" spans="1:7">
      <c r="B16" s="518"/>
      <c r="C16" s="548"/>
      <c r="D16" s="551"/>
      <c r="E16" s="585"/>
      <c r="F16" s="549"/>
      <c r="G16" s="542"/>
    </row>
    <row r="17" spans="2:9">
      <c r="B17" s="515" t="s">
        <v>556</v>
      </c>
      <c r="C17" s="548"/>
      <c r="D17" s="516">
        <f>'Reconcile ROO to CB'!J27</f>
        <v>216429</v>
      </c>
      <c r="E17" s="584">
        <f ca="1">E10+E15</f>
        <v>126976.48966350002</v>
      </c>
      <c r="F17" s="516">
        <f ca="1">F10+F15</f>
        <v>-89452.510336499981</v>
      </c>
      <c r="G17" s="540">
        <f ca="1">G10+G15</f>
        <v>-89452.510336499981</v>
      </c>
    </row>
    <row r="18" spans="2:9">
      <c r="B18" s="515" t="s">
        <v>554</v>
      </c>
      <c r="C18" s="550"/>
      <c r="D18" s="516">
        <f>'Reconcile ROO to CB'!J30</f>
        <v>0</v>
      </c>
      <c r="E18" s="584">
        <v>0</v>
      </c>
      <c r="F18" s="516">
        <f>E18-D18</f>
        <v>0</v>
      </c>
      <c r="G18" s="540">
        <f>F18</f>
        <v>0</v>
      </c>
      <c r="H18" s="515" t="s">
        <v>553</v>
      </c>
    </row>
    <row r="19" spans="2:9">
      <c r="B19" s="515" t="s">
        <v>552</v>
      </c>
      <c r="C19" s="550"/>
      <c r="D19" s="516">
        <f>'Reconcile ROO to CB'!J31</f>
        <v>0</v>
      </c>
      <c r="E19" s="584">
        <v>0</v>
      </c>
      <c r="F19" s="516">
        <f>E19-D19</f>
        <v>0</v>
      </c>
      <c r="G19" s="540">
        <f>F19</f>
        <v>0</v>
      </c>
    </row>
    <row r="20" spans="2:9">
      <c r="B20" s="515" t="s">
        <v>551</v>
      </c>
      <c r="C20" s="550"/>
      <c r="D20" s="516">
        <f>'Reconcile ROO to CB'!J33</f>
        <v>2714</v>
      </c>
      <c r="E20" s="584">
        <v>0</v>
      </c>
      <c r="F20" s="516">
        <f>E20-D20</f>
        <v>-2714</v>
      </c>
      <c r="G20" s="540">
        <f>F20</f>
        <v>-2714</v>
      </c>
    </row>
    <row r="21" spans="2:9">
      <c r="B21" s="519" t="s">
        <v>550</v>
      </c>
      <c r="C21" s="550"/>
      <c r="D21" s="549">
        <f>SUM(D17:D20)</f>
        <v>219143</v>
      </c>
      <c r="E21" s="549">
        <f ca="1">+SUM(E17:E20)</f>
        <v>126976.48966350002</v>
      </c>
      <c r="F21" s="549">
        <f ca="1">SUM(F17:F20)</f>
        <v>-92166.510336499981</v>
      </c>
      <c r="G21" s="542">
        <f ca="1">SUM(G17:G20)</f>
        <v>-92166.510336499981</v>
      </c>
    </row>
    <row r="22" spans="2:9">
      <c r="C22" s="548"/>
      <c r="D22" s="516"/>
      <c r="E22" s="547"/>
      <c r="F22" s="516"/>
      <c r="G22" s="540"/>
    </row>
    <row r="23" spans="2:9">
      <c r="B23" s="546" t="s">
        <v>549</v>
      </c>
      <c r="C23" s="545"/>
      <c r="D23" s="516"/>
      <c r="E23" s="516"/>
      <c r="F23" s="516"/>
      <c r="G23" s="540"/>
    </row>
    <row r="24" spans="2:9">
      <c r="B24" s="515" t="s">
        <v>548</v>
      </c>
      <c r="C24" s="544"/>
      <c r="D24" s="516">
        <f>'Reconcile ROO to CB'!J40</f>
        <v>90370</v>
      </c>
      <c r="E24" s="516">
        <v>0</v>
      </c>
      <c r="F24" s="516">
        <f>E24-D24</f>
        <v>-90370</v>
      </c>
      <c r="G24" s="540">
        <f>F24</f>
        <v>-90370</v>
      </c>
    </row>
    <row r="25" spans="2:9">
      <c r="B25" s="515" t="s">
        <v>547</v>
      </c>
      <c r="C25" s="544"/>
      <c r="D25" s="516">
        <f>'Reconcile ROO to CB'!J42</f>
        <v>89</v>
      </c>
      <c r="E25" s="516">
        <f>D25</f>
        <v>89</v>
      </c>
      <c r="F25" s="516">
        <f>E25-D25</f>
        <v>0</v>
      </c>
      <c r="G25" s="540">
        <f>F25</f>
        <v>0</v>
      </c>
    </row>
    <row r="26" spans="2:9">
      <c r="B26" s="515" t="s">
        <v>546</v>
      </c>
      <c r="C26" s="532"/>
      <c r="D26" s="538"/>
      <c r="E26" s="538"/>
      <c r="F26" s="537"/>
      <c r="G26" s="540">
        <f ca="1">ROUND(G$17*$H26,0)</f>
        <v>-3429</v>
      </c>
      <c r="H26" s="586">
        <v>3.8329292586308468E-2</v>
      </c>
      <c r="I26" s="515" t="s">
        <v>544</v>
      </c>
    </row>
    <row r="27" spans="2:9">
      <c r="B27" s="515" t="s">
        <v>545</v>
      </c>
      <c r="C27" s="532"/>
      <c r="D27" s="538"/>
      <c r="E27" s="538"/>
      <c r="F27" s="537"/>
      <c r="G27" s="540">
        <f ca="1">ROUND(G$17*$H27,0)</f>
        <v>-443</v>
      </c>
      <c r="H27" s="586">
        <v>4.9508674374747468E-3</v>
      </c>
      <c r="I27" s="515" t="s">
        <v>544</v>
      </c>
    </row>
    <row r="28" spans="2:9">
      <c r="B28" s="515" t="s">
        <v>543</v>
      </c>
      <c r="C28" s="532"/>
      <c r="D28" s="538"/>
      <c r="E28" s="538"/>
      <c r="F28" s="537"/>
      <c r="G28" s="540">
        <f ca="1">ROUND(G$17*$H28,0)</f>
        <v>-358</v>
      </c>
      <c r="H28" s="586">
        <v>4.0000000000000001E-3</v>
      </c>
      <c r="I28" s="515" t="s">
        <v>542</v>
      </c>
    </row>
    <row r="29" spans="2:9">
      <c r="D29" s="538"/>
      <c r="E29" s="538"/>
      <c r="F29" s="537"/>
      <c r="G29" s="542">
        <f ca="1">SUM(G24:G28)</f>
        <v>-94600</v>
      </c>
      <c r="H29" s="586">
        <f>SUM(H26:H28)</f>
        <v>4.7280160023783213E-2</v>
      </c>
      <c r="I29" s="515" t="s">
        <v>536</v>
      </c>
    </row>
    <row r="30" spans="2:9">
      <c r="D30" s="538"/>
      <c r="E30" s="538"/>
      <c r="F30" s="537"/>
      <c r="G30" s="540"/>
      <c r="H30" s="587"/>
    </row>
    <row r="31" spans="2:9">
      <c r="B31" s="539" t="s">
        <v>541</v>
      </c>
      <c r="C31" s="539"/>
      <c r="D31" s="538"/>
      <c r="E31" s="538"/>
      <c r="F31" s="537"/>
      <c r="G31" s="540">
        <f ca="1">G21-G29</f>
        <v>2433.4896635000187</v>
      </c>
      <c r="H31" s="587"/>
    </row>
    <row r="32" spans="2:9">
      <c r="B32" s="518" t="s">
        <v>540</v>
      </c>
      <c r="C32" s="532"/>
      <c r="D32" s="538"/>
      <c r="E32" s="538"/>
      <c r="F32" s="537"/>
      <c r="G32" s="540">
        <f ca="1">ROUND(G31*$H32,0)</f>
        <v>511</v>
      </c>
      <c r="H32" s="588">
        <v>0.21</v>
      </c>
    </row>
    <row r="33" spans="2:9" ht="13.5" thickBot="1">
      <c r="B33" s="539" t="s">
        <v>539</v>
      </c>
      <c r="C33" s="539"/>
      <c r="D33" s="538"/>
      <c r="E33" s="538"/>
      <c r="F33" s="537"/>
      <c r="G33" s="536">
        <f ca="1">G31-G32</f>
        <v>1922.4896635000187</v>
      </c>
    </row>
    <row r="34" spans="2:9" ht="13.5" thickTop="1">
      <c r="F34" s="535"/>
      <c r="G34" s="534"/>
    </row>
    <row r="35" spans="2:9">
      <c r="B35" s="533" t="s">
        <v>538</v>
      </c>
      <c r="C35" s="533"/>
      <c r="D35" s="516"/>
      <c r="E35" s="516"/>
      <c r="F35" s="516"/>
      <c r="H35" s="516">
        <f ca="1">G17</f>
        <v>-89452.510336499981</v>
      </c>
      <c r="I35" s="515" t="s">
        <v>218</v>
      </c>
    </row>
    <row r="36" spans="2:9">
      <c r="B36" s="589" t="s">
        <v>537</v>
      </c>
      <c r="C36" s="533"/>
      <c r="D36" s="525"/>
      <c r="E36" s="531">
        <f>SUM('Pres &amp; Prop Rev'!I121:J121)/1000</f>
        <v>1659.4252599999998</v>
      </c>
      <c r="H36" s="530">
        <f>H29</f>
        <v>4.7280160023783213E-2</v>
      </c>
      <c r="I36" s="515" t="s">
        <v>536</v>
      </c>
    </row>
    <row r="37" spans="2:9">
      <c r="B37" s="589"/>
      <c r="C37" s="529"/>
      <c r="E37" s="528">
        <f ca="1">E15-E36</f>
        <v>3733.8183734999993</v>
      </c>
      <c r="F37" s="527" t="s">
        <v>535</v>
      </c>
      <c r="G37" s="526"/>
      <c r="H37" s="516">
        <f ca="1">ROUND(H35*H36,0)</f>
        <v>-4229</v>
      </c>
      <c r="I37" s="515" t="s">
        <v>534</v>
      </c>
    </row>
    <row r="38" spans="2:9">
      <c r="D38" s="525"/>
      <c r="H38" s="523">
        <f ca="1">SUM(G26:G28)</f>
        <v>-4230</v>
      </c>
      <c r="I38" s="515" t="s">
        <v>96</v>
      </c>
    </row>
    <row r="39" spans="2:9">
      <c r="H39" s="516">
        <f ca="1">H37-H38</f>
        <v>1</v>
      </c>
    </row>
    <row r="41" spans="2:9">
      <c r="I41" s="524"/>
    </row>
    <row r="42" spans="2:9">
      <c r="I42" s="522"/>
    </row>
    <row r="43" spans="2:9">
      <c r="F43" s="518"/>
      <c r="I43" s="516"/>
    </row>
    <row r="44" spans="2:9">
      <c r="I44" s="523"/>
    </row>
    <row r="45" spans="2:9">
      <c r="F45" s="518"/>
      <c r="I45" s="522"/>
    </row>
    <row r="46" spans="2:9">
      <c r="F46" s="518"/>
    </row>
    <row r="47" spans="2:9">
      <c r="F47" s="518"/>
    </row>
    <row r="48" spans="2:9">
      <c r="F48" s="518"/>
    </row>
    <row r="49" spans="6:16">
      <c r="F49" s="518"/>
      <c r="M49" s="521"/>
      <c r="N49" s="521"/>
      <c r="O49" s="521"/>
      <c r="P49" s="521"/>
    </row>
    <row r="51" spans="6:16">
      <c r="L51" s="520"/>
      <c r="M51" s="214"/>
      <c r="N51" s="214"/>
      <c r="O51" s="214"/>
      <c r="P51" s="214"/>
    </row>
    <row r="52" spans="6:16">
      <c r="F52" s="518"/>
    </row>
    <row r="53" spans="6:16">
      <c r="F53" s="518"/>
      <c r="J53" s="520"/>
    </row>
    <row r="54" spans="6:16">
      <c r="F54" s="518"/>
    </row>
    <row r="55" spans="6:16">
      <c r="F55" s="516"/>
    </row>
    <row r="58" spans="6:16">
      <c r="F58" s="518"/>
    </row>
    <row r="59" spans="6:16">
      <c r="F59" s="518"/>
    </row>
    <row r="68" spans="5:8">
      <c r="H68" s="519"/>
    </row>
    <row r="70" spans="5:8">
      <c r="H70" s="517"/>
    </row>
    <row r="71" spans="5:8">
      <c r="H71" s="517"/>
    </row>
    <row r="72" spans="5:8">
      <c r="H72" s="517"/>
    </row>
    <row r="73" spans="5:8">
      <c r="F73" s="518"/>
      <c r="H73" s="517"/>
    </row>
    <row r="74" spans="5:8">
      <c r="F74" s="516"/>
      <c r="H74" s="517"/>
    </row>
    <row r="75" spans="5:8">
      <c r="H75" s="517"/>
    </row>
    <row r="76" spans="5:8">
      <c r="E76" s="516"/>
      <c r="H76" s="517"/>
    </row>
    <row r="77" spans="5:8">
      <c r="E77" s="516"/>
      <c r="H77" s="516"/>
    </row>
    <row r="78" spans="5:8">
      <c r="E78" s="516"/>
      <c r="H78" s="516"/>
    </row>
    <row r="79" spans="5:8">
      <c r="E79" s="516"/>
      <c r="H79" s="517"/>
    </row>
    <row r="80" spans="5:8">
      <c r="E80" s="516"/>
      <c r="H80" s="516"/>
    </row>
    <row r="81" spans="5:9">
      <c r="E81" s="516"/>
      <c r="H81" s="517"/>
    </row>
    <row r="82" spans="5:9">
      <c r="E82" s="516"/>
      <c r="H82" s="516"/>
    </row>
    <row r="83" spans="5:9">
      <c r="H83" s="516"/>
    </row>
    <row r="84" spans="5:9">
      <c r="H84" s="516"/>
    </row>
    <row r="85" spans="5:9">
      <c r="H85" s="517"/>
    </row>
    <row r="86" spans="5:9">
      <c r="H86" s="517"/>
    </row>
    <row r="87" spans="5:9">
      <c r="H87" s="516"/>
    </row>
    <row r="88" spans="5:9">
      <c r="H88" s="516"/>
    </row>
    <row r="89" spans="5:9">
      <c r="H89" s="516"/>
    </row>
    <row r="90" spans="5:9">
      <c r="H90" s="517"/>
      <c r="I90" s="516"/>
    </row>
    <row r="91" spans="5:9">
      <c r="H91" s="517"/>
      <c r="I91" s="516"/>
    </row>
    <row r="92" spans="5:9">
      <c r="H92" s="517"/>
      <c r="I92" s="516"/>
    </row>
    <row r="93" spans="5:9">
      <c r="H93" s="517"/>
      <c r="I93" s="516"/>
    </row>
    <row r="94" spans="5:9">
      <c r="H94" s="517"/>
      <c r="I94" s="516"/>
    </row>
    <row r="95" spans="5:9">
      <c r="H95" s="517"/>
      <c r="I95" s="516"/>
    </row>
    <row r="96" spans="5:9">
      <c r="H96" s="517"/>
      <c r="I96" s="516"/>
    </row>
    <row r="97" spans="8:9">
      <c r="H97" s="517"/>
      <c r="I97" s="516"/>
    </row>
    <row r="98" spans="8:9">
      <c r="H98" s="517"/>
      <c r="I98" s="516"/>
    </row>
    <row r="99" spans="8:9">
      <c r="H99" s="517"/>
      <c r="I99" s="516"/>
    </row>
    <row r="100" spans="8:9">
      <c r="H100" s="516"/>
      <c r="I100" s="516"/>
    </row>
    <row r="101" spans="8:9">
      <c r="H101" s="516"/>
    </row>
    <row r="102" spans="8:9">
      <c r="H102" s="516"/>
    </row>
    <row r="103" spans="8:9">
      <c r="H103" s="516"/>
    </row>
    <row r="104" spans="8:9">
      <c r="H104" s="516"/>
    </row>
  </sheetData>
  <mergeCells count="1">
    <mergeCell ref="B36:B37"/>
  </mergeCells>
  <printOptions horizontalCentered="1" verticalCentered="1"/>
  <pageMargins left="0.45" right="0.45" top="0.96" bottom="0.75" header="0.6" footer="0.3"/>
  <pageSetup orientation="landscape" r:id="rId1"/>
  <headerFooter>
    <oddHeader>&amp;RSupplemental JCA-5</oddHeader>
    <oddFooter>&amp;RPage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AC6D4-38F3-442A-AD34-AD536EB84E58}">
  <sheetPr>
    <pageSetUpPr fitToPage="1"/>
  </sheetPr>
  <dimension ref="A1:S131"/>
  <sheetViews>
    <sheetView zoomScaleNormal="100" workbookViewId="0">
      <selection activeCell="K9" sqref="K9:L17"/>
    </sheetView>
  </sheetViews>
  <sheetFormatPr defaultRowHeight="12.75"/>
  <cols>
    <col min="1" max="1" width="3.140625" style="515" customWidth="1"/>
    <col min="2" max="2" width="41" style="515" customWidth="1"/>
    <col min="3" max="3" width="11.140625" style="515" bestFit="1" customWidth="1"/>
    <col min="4" max="5" width="11.7109375" style="515" customWidth="1"/>
    <col min="6" max="6" width="13.85546875" style="515" customWidth="1"/>
    <col min="7" max="9" width="11.7109375" style="515" customWidth="1"/>
    <col min="10" max="10" width="17.140625" style="515" customWidth="1"/>
    <col min="11" max="11" width="10.28515625" style="515" customWidth="1"/>
    <col min="12" max="12" width="22.85546875" style="515" customWidth="1"/>
    <col min="13" max="13" width="1.28515625" style="515" customWidth="1"/>
    <col min="14" max="14" width="37.140625" style="515" bestFit="1" customWidth="1"/>
    <col min="15" max="21" width="12.28515625" style="515" customWidth="1"/>
    <col min="22" max="16384" width="9.140625" style="515"/>
  </cols>
  <sheetData>
    <row r="1" spans="1:12">
      <c r="A1" s="539" t="s">
        <v>649</v>
      </c>
    </row>
    <row r="2" spans="1:12">
      <c r="A2" s="539"/>
      <c r="E2" s="515" t="s">
        <v>650</v>
      </c>
    </row>
    <row r="3" spans="1:12">
      <c r="B3" s="519" t="s">
        <v>648</v>
      </c>
      <c r="E3" s="582" t="s">
        <v>646</v>
      </c>
      <c r="F3" s="582" t="s">
        <v>647</v>
      </c>
      <c r="G3" s="582" t="s">
        <v>646</v>
      </c>
      <c r="H3" s="582" t="s">
        <v>645</v>
      </c>
      <c r="I3" s="558" t="s">
        <v>59</v>
      </c>
      <c r="J3" s="583" t="s">
        <v>644</v>
      </c>
    </row>
    <row r="4" spans="1:12">
      <c r="D4" s="558" t="s">
        <v>643</v>
      </c>
      <c r="E4" s="582" t="s">
        <v>642</v>
      </c>
      <c r="F4" s="582" t="s">
        <v>641</v>
      </c>
      <c r="G4" s="582" t="s">
        <v>640</v>
      </c>
      <c r="H4" s="582" t="s">
        <v>639</v>
      </c>
      <c r="I4" s="558" t="s">
        <v>566</v>
      </c>
      <c r="J4" s="579" t="s">
        <v>460</v>
      </c>
    </row>
    <row r="5" spans="1:12">
      <c r="D5" s="580">
        <v>1</v>
      </c>
      <c r="E5" s="581">
        <v>2.0099999999999998</v>
      </c>
      <c r="F5" s="580">
        <v>2.1</v>
      </c>
      <c r="G5" s="580">
        <v>2.11</v>
      </c>
      <c r="H5" s="580">
        <v>2.12</v>
      </c>
      <c r="I5" s="558"/>
      <c r="J5" s="579" t="s">
        <v>638</v>
      </c>
    </row>
    <row r="6" spans="1:12">
      <c r="B6" s="546" t="s">
        <v>218</v>
      </c>
      <c r="C6" s="546" t="s">
        <v>564</v>
      </c>
      <c r="H6" s="546"/>
      <c r="I6" s="516"/>
      <c r="J6" s="578"/>
    </row>
    <row r="7" spans="1:12" ht="13.15" customHeight="1">
      <c r="B7" s="555" t="s">
        <v>637</v>
      </c>
      <c r="C7" s="575" t="s">
        <v>555</v>
      </c>
      <c r="D7" s="516">
        <f>D20-SUM(D8:D19)</f>
        <v>116529.42364116467</v>
      </c>
      <c r="E7" s="516"/>
      <c r="F7" s="516"/>
      <c r="G7" s="532"/>
      <c r="H7" s="532"/>
      <c r="I7" s="516">
        <f t="shared" ref="I7:I19" si="0">SUM(E7:H7)</f>
        <v>0</v>
      </c>
      <c r="J7" s="540">
        <f t="shared" ref="J7:J19" si="1">D7+I7</f>
        <v>116529.42364116467</v>
      </c>
    </row>
    <row r="8" spans="1:12">
      <c r="B8" s="555" t="s">
        <v>636</v>
      </c>
      <c r="C8" s="575" t="s">
        <v>593</v>
      </c>
      <c r="D8" s="561">
        <f>(D40+G40)*K54-1</f>
        <v>94913.576358835329</v>
      </c>
      <c r="E8" s="516"/>
      <c r="F8" s="516">
        <f>F40*K54</f>
        <v>-59.828711031590274</v>
      </c>
      <c r="G8" s="532"/>
      <c r="H8" s="532"/>
      <c r="I8" s="516">
        <f t="shared" si="0"/>
        <v>-59.828711031590274</v>
      </c>
      <c r="J8" s="540">
        <f t="shared" si="1"/>
        <v>94853.747647803742</v>
      </c>
    </row>
    <row r="9" spans="1:12" ht="12.75" customHeight="1">
      <c r="B9" s="515" t="s">
        <v>562</v>
      </c>
      <c r="C9" s="570" t="s">
        <v>635</v>
      </c>
      <c r="D9" s="517"/>
      <c r="E9" s="517"/>
      <c r="F9" s="517">
        <f>28-F8</f>
        <v>87.828711031590274</v>
      </c>
      <c r="G9" s="532"/>
      <c r="H9" s="532"/>
      <c r="I9" s="516">
        <f t="shared" si="0"/>
        <v>87.828711031590274</v>
      </c>
      <c r="J9" s="540">
        <f t="shared" si="1"/>
        <v>87.828711031590274</v>
      </c>
      <c r="K9" s="590" t="s">
        <v>634</v>
      </c>
      <c r="L9" s="591"/>
    </row>
    <row r="10" spans="1:12">
      <c r="B10" s="515" t="s">
        <v>633</v>
      </c>
      <c r="C10" s="570" t="s">
        <v>555</v>
      </c>
      <c r="D10" s="516">
        <f>-I10</f>
        <v>18663</v>
      </c>
      <c r="E10" s="516"/>
      <c r="F10" s="516"/>
      <c r="G10" s="516">
        <f>ROUND(G41*$K$54,0)</f>
        <v>-18663</v>
      </c>
      <c r="H10" s="516"/>
      <c r="I10" s="516">
        <f t="shared" si="0"/>
        <v>-18663</v>
      </c>
      <c r="J10" s="540">
        <f t="shared" si="1"/>
        <v>0</v>
      </c>
      <c r="K10" s="590"/>
      <c r="L10" s="591"/>
    </row>
    <row r="11" spans="1:12">
      <c r="B11" s="515" t="s">
        <v>632</v>
      </c>
      <c r="C11" s="532" t="s">
        <v>611</v>
      </c>
      <c r="D11" s="516">
        <f>-I11</f>
        <v>8526</v>
      </c>
      <c r="E11" s="517">
        <v>-8526</v>
      </c>
      <c r="F11" s="517"/>
      <c r="G11" s="577"/>
      <c r="H11" s="577"/>
      <c r="I11" s="516">
        <f t="shared" si="0"/>
        <v>-8526</v>
      </c>
      <c r="J11" s="540">
        <f t="shared" si="1"/>
        <v>0</v>
      </c>
      <c r="K11" s="590"/>
      <c r="L11" s="591"/>
    </row>
    <row r="12" spans="1:12">
      <c r="B12" s="515" t="s">
        <v>631</v>
      </c>
      <c r="C12" s="575" t="s">
        <v>593</v>
      </c>
      <c r="D12" s="561">
        <v>-8881</v>
      </c>
      <c r="E12" s="517"/>
      <c r="F12" s="517"/>
      <c r="G12" s="516">
        <f>-D12</f>
        <v>8881</v>
      </c>
      <c r="H12" s="577"/>
      <c r="I12" s="516">
        <f t="shared" si="0"/>
        <v>8881</v>
      </c>
      <c r="J12" s="540">
        <f t="shared" si="1"/>
        <v>0</v>
      </c>
      <c r="K12" s="590"/>
      <c r="L12" s="591"/>
    </row>
    <row r="13" spans="1:12">
      <c r="B13" s="515" t="s">
        <v>603</v>
      </c>
      <c r="C13" s="575" t="s">
        <v>593</v>
      </c>
      <c r="D13" s="561">
        <v>-51</v>
      </c>
      <c r="E13" s="517"/>
      <c r="F13" s="517"/>
      <c r="G13" s="516">
        <f>-D13</f>
        <v>51</v>
      </c>
      <c r="H13" s="577"/>
      <c r="I13" s="516">
        <f t="shared" si="0"/>
        <v>51</v>
      </c>
      <c r="J13" s="540">
        <f t="shared" si="1"/>
        <v>0</v>
      </c>
      <c r="K13" s="590"/>
      <c r="L13" s="591"/>
    </row>
    <row r="14" spans="1:12">
      <c r="B14" s="515" t="s">
        <v>630</v>
      </c>
      <c r="C14" s="575" t="s">
        <v>593</v>
      </c>
      <c r="D14" s="561">
        <v>-3908</v>
      </c>
      <c r="E14" s="517"/>
      <c r="F14" s="517"/>
      <c r="G14" s="516">
        <f>-D14</f>
        <v>3908</v>
      </c>
      <c r="H14" s="577"/>
      <c r="I14" s="516">
        <f t="shared" si="0"/>
        <v>3908</v>
      </c>
      <c r="J14" s="540">
        <f t="shared" si="1"/>
        <v>0</v>
      </c>
      <c r="K14" s="590"/>
      <c r="L14" s="591"/>
    </row>
    <row r="15" spans="1:12">
      <c r="B15" s="515" t="s">
        <v>629</v>
      </c>
      <c r="C15" s="570" t="s">
        <v>555</v>
      </c>
      <c r="D15" s="516">
        <f>-I15</f>
        <v>0</v>
      </c>
      <c r="E15" s="517"/>
      <c r="F15" s="517"/>
      <c r="G15" s="516">
        <f>ROUND(G49*$K$54,0)</f>
        <v>0</v>
      </c>
      <c r="H15" s="577"/>
      <c r="I15" s="516">
        <f t="shared" si="0"/>
        <v>0</v>
      </c>
      <c r="J15" s="540">
        <f t="shared" si="1"/>
        <v>0</v>
      </c>
      <c r="K15" s="590"/>
      <c r="L15" s="591"/>
    </row>
    <row r="16" spans="1:12">
      <c r="B16" s="515" t="s">
        <v>628</v>
      </c>
      <c r="C16" s="570" t="s">
        <v>593</v>
      </c>
      <c r="D16" s="516">
        <f>-I16</f>
        <v>6821</v>
      </c>
      <c r="E16" s="516"/>
      <c r="F16" s="516"/>
      <c r="G16" s="516">
        <f>ROUND(-G32*$K$54,0)-1</f>
        <v>-6821</v>
      </c>
      <c r="H16" s="516"/>
      <c r="I16" s="516">
        <f t="shared" si="0"/>
        <v>-6821</v>
      </c>
      <c r="J16" s="540">
        <f t="shared" si="1"/>
        <v>0</v>
      </c>
      <c r="K16" s="590"/>
      <c r="L16" s="591"/>
    </row>
    <row r="17" spans="2:12">
      <c r="B17" s="515" t="s">
        <v>627</v>
      </c>
      <c r="C17" s="570" t="s">
        <v>555</v>
      </c>
      <c r="D17" s="516">
        <f>-I17</f>
        <v>13989</v>
      </c>
      <c r="E17" s="516"/>
      <c r="F17" s="516"/>
      <c r="G17" s="516">
        <f>ROUND(G45*$K$54,0)</f>
        <v>-13989</v>
      </c>
      <c r="H17" s="516"/>
      <c r="I17" s="516">
        <f t="shared" si="0"/>
        <v>-13989</v>
      </c>
      <c r="J17" s="540">
        <f t="shared" si="1"/>
        <v>0</v>
      </c>
      <c r="K17" s="590"/>
      <c r="L17" s="591"/>
    </row>
    <row r="18" spans="2:12">
      <c r="B18" s="515" t="s">
        <v>602</v>
      </c>
      <c r="C18" s="570" t="s">
        <v>593</v>
      </c>
      <c r="D18" s="516">
        <v>39</v>
      </c>
      <c r="E18" s="516"/>
      <c r="F18" s="516"/>
      <c r="G18" s="516">
        <f>-D18</f>
        <v>-39</v>
      </c>
      <c r="H18" s="516"/>
      <c r="I18" s="516">
        <f t="shared" si="0"/>
        <v>-39</v>
      </c>
      <c r="J18" s="540">
        <f t="shared" si="1"/>
        <v>0</v>
      </c>
      <c r="K18" s="576"/>
      <c r="L18" s="576"/>
    </row>
    <row r="19" spans="2:12">
      <c r="B19" s="515" t="s">
        <v>561</v>
      </c>
      <c r="C19" s="532" t="s">
        <v>626</v>
      </c>
      <c r="D19" s="517">
        <v>-100</v>
      </c>
      <c r="E19" s="517"/>
      <c r="F19" s="517"/>
      <c r="G19" s="516">
        <f>ROUND(G46*$K$54,0)</f>
        <v>-2</v>
      </c>
      <c r="H19" s="516"/>
      <c r="I19" s="516">
        <f t="shared" si="0"/>
        <v>-2</v>
      </c>
      <c r="J19" s="540">
        <f t="shared" si="1"/>
        <v>-102</v>
      </c>
    </row>
    <row r="20" spans="2:12">
      <c r="B20" s="518" t="s">
        <v>560</v>
      </c>
      <c r="C20" s="532" t="s">
        <v>608</v>
      </c>
      <c r="D20" s="551">
        <v>246541</v>
      </c>
      <c r="E20" s="549">
        <f t="shared" ref="E20:J20" si="2">SUM(E7:E19)</f>
        <v>-8526</v>
      </c>
      <c r="F20" s="549">
        <f t="shared" si="2"/>
        <v>28</v>
      </c>
      <c r="G20" s="549">
        <f t="shared" si="2"/>
        <v>-26674</v>
      </c>
      <c r="H20" s="549">
        <f t="shared" si="2"/>
        <v>0</v>
      </c>
      <c r="I20" s="549">
        <f t="shared" si="2"/>
        <v>-35172</v>
      </c>
      <c r="J20" s="542">
        <f t="shared" si="2"/>
        <v>211369</v>
      </c>
    </row>
    <row r="21" spans="2:12">
      <c r="B21" s="518"/>
      <c r="C21" s="574"/>
      <c r="D21" s="516"/>
      <c r="E21" s="516"/>
      <c r="F21" s="516"/>
      <c r="G21" s="516"/>
      <c r="H21" s="516"/>
      <c r="I21" s="516"/>
      <c r="J21" s="540"/>
    </row>
    <row r="22" spans="2:12">
      <c r="B22" s="555" t="s">
        <v>559</v>
      </c>
      <c r="C22" s="575" t="s">
        <v>555</v>
      </c>
      <c r="D22" s="516">
        <f>D25-D23-D24</f>
        <v>5060</v>
      </c>
      <c r="E22" s="516"/>
      <c r="F22" s="516"/>
      <c r="G22" s="532"/>
      <c r="H22" s="532"/>
      <c r="I22" s="516">
        <f>SUM(E22:H22)</f>
        <v>0</v>
      </c>
      <c r="J22" s="540">
        <f>D22+I22</f>
        <v>5060</v>
      </c>
    </row>
    <row r="23" spans="2:12">
      <c r="B23" s="515" t="s">
        <v>625</v>
      </c>
      <c r="C23" s="532" t="s">
        <v>611</v>
      </c>
      <c r="D23" s="516">
        <f>-E23</f>
        <v>120</v>
      </c>
      <c r="E23" s="517">
        <v>-120</v>
      </c>
      <c r="F23" s="517"/>
      <c r="G23" s="517"/>
      <c r="H23" s="517"/>
      <c r="I23" s="516">
        <f>SUM(E23:H23)</f>
        <v>-120</v>
      </c>
      <c r="J23" s="540">
        <f>D23+I23</f>
        <v>0</v>
      </c>
    </row>
    <row r="24" spans="2:12">
      <c r="B24" s="515" t="s">
        <v>558</v>
      </c>
      <c r="C24" s="532"/>
      <c r="D24" s="517">
        <v>0</v>
      </c>
      <c r="E24" s="517"/>
      <c r="F24" s="517"/>
      <c r="G24" s="517"/>
      <c r="H24" s="517"/>
      <c r="I24" s="516">
        <f>SUM(E24:H24)</f>
        <v>0</v>
      </c>
      <c r="J24" s="540">
        <f>D24+I24</f>
        <v>0</v>
      </c>
    </row>
    <row r="25" spans="2:12">
      <c r="B25" s="518" t="s">
        <v>624</v>
      </c>
      <c r="C25" s="574"/>
      <c r="D25" s="551">
        <v>5180</v>
      </c>
      <c r="E25" s="549">
        <f>SUM(E22:E24)</f>
        <v>-120</v>
      </c>
      <c r="F25" s="549">
        <f>SUM(F22:F24)</f>
        <v>0</v>
      </c>
      <c r="G25" s="549">
        <f>SUM(G22:G24)</f>
        <v>0</v>
      </c>
      <c r="H25" s="549"/>
      <c r="I25" s="549">
        <f>SUM(I22:I24)</f>
        <v>-120</v>
      </c>
      <c r="J25" s="542">
        <f>SUM(J22:J24)</f>
        <v>5060</v>
      </c>
    </row>
    <row r="26" spans="2:12">
      <c r="B26" s="518"/>
      <c r="C26" s="574"/>
      <c r="D26" s="551"/>
      <c r="E26" s="551"/>
      <c r="F26" s="551"/>
      <c r="G26" s="551"/>
      <c r="H26" s="551"/>
      <c r="I26" s="549"/>
      <c r="J26" s="542"/>
    </row>
    <row r="27" spans="2:12">
      <c r="B27" s="515" t="s">
        <v>556</v>
      </c>
      <c r="C27" s="570" t="s">
        <v>555</v>
      </c>
      <c r="D27" s="516">
        <f>D20+D25</f>
        <v>251721</v>
      </c>
      <c r="E27" s="516">
        <f>E20+E25</f>
        <v>-8646</v>
      </c>
      <c r="F27" s="516">
        <f>F20+F25</f>
        <v>28</v>
      </c>
      <c r="G27" s="516">
        <f>G20+G25</f>
        <v>-26674</v>
      </c>
      <c r="H27" s="516"/>
      <c r="I27" s="516">
        <f t="shared" ref="I27:I34" si="3">SUM(E27:H27)</f>
        <v>-35292</v>
      </c>
      <c r="J27" s="540">
        <f>J20+J25</f>
        <v>216429</v>
      </c>
    </row>
    <row r="28" spans="2:12" ht="23.45" customHeight="1">
      <c r="B28" s="515" t="s">
        <v>623</v>
      </c>
      <c r="C28" s="532" t="s">
        <v>593</v>
      </c>
      <c r="D28" s="516">
        <f>-I28</f>
        <v>36675</v>
      </c>
      <c r="E28" s="517"/>
      <c r="F28" s="517"/>
      <c r="G28" s="517">
        <v>-36675</v>
      </c>
      <c r="H28" s="517"/>
      <c r="I28" s="516">
        <f t="shared" si="3"/>
        <v>-36675</v>
      </c>
      <c r="J28" s="540">
        <f t="shared" ref="J28:J34" si="4">D28+I28</f>
        <v>0</v>
      </c>
    </row>
    <row r="29" spans="2:12">
      <c r="B29" s="515" t="s">
        <v>622</v>
      </c>
      <c r="C29" s="532" t="s">
        <v>593</v>
      </c>
      <c r="D29" s="516">
        <f>-I29</f>
        <v>3727</v>
      </c>
      <c r="E29" s="517"/>
      <c r="F29" s="517"/>
      <c r="G29" s="517">
        <v>-3727</v>
      </c>
      <c r="H29" s="517"/>
      <c r="I29" s="516">
        <f t="shared" si="3"/>
        <v>-3727</v>
      </c>
      <c r="J29" s="540">
        <f t="shared" si="4"/>
        <v>0</v>
      </c>
    </row>
    <row r="30" spans="2:12">
      <c r="B30" s="515" t="s">
        <v>621</v>
      </c>
      <c r="C30" s="532" t="s">
        <v>608</v>
      </c>
      <c r="D30" s="561">
        <v>0</v>
      </c>
      <c r="E30" s="517"/>
      <c r="F30" s="517"/>
      <c r="G30" s="517"/>
      <c r="H30" s="517">
        <v>0</v>
      </c>
      <c r="I30" s="516">
        <f t="shared" si="3"/>
        <v>0</v>
      </c>
      <c r="J30" s="540">
        <f t="shared" si="4"/>
        <v>0</v>
      </c>
    </row>
    <row r="31" spans="2:12">
      <c r="B31" s="515" t="s">
        <v>620</v>
      </c>
      <c r="C31" s="532" t="s">
        <v>608</v>
      </c>
      <c r="D31" s="561">
        <v>0</v>
      </c>
      <c r="E31" s="517"/>
      <c r="F31" s="517"/>
      <c r="G31" s="517"/>
      <c r="H31" s="517"/>
      <c r="I31" s="516">
        <f t="shared" si="3"/>
        <v>0</v>
      </c>
      <c r="J31" s="540">
        <f t="shared" si="4"/>
        <v>0</v>
      </c>
    </row>
    <row r="32" spans="2:12">
      <c r="B32" s="515" t="s">
        <v>619</v>
      </c>
      <c r="C32" s="532" t="s">
        <v>618</v>
      </c>
      <c r="D32" s="516">
        <f>-I32</f>
        <v>-6498</v>
      </c>
      <c r="E32" s="517"/>
      <c r="F32" s="517"/>
      <c r="G32" s="517">
        <v>6498</v>
      </c>
      <c r="H32" s="517"/>
      <c r="I32" s="516">
        <f t="shared" si="3"/>
        <v>6498</v>
      </c>
      <c r="J32" s="540">
        <f t="shared" si="4"/>
        <v>0</v>
      </c>
    </row>
    <row r="33" spans="2:12">
      <c r="B33" s="515" t="s">
        <v>617</v>
      </c>
      <c r="C33" s="532" t="s">
        <v>608</v>
      </c>
      <c r="D33" s="561">
        <f>1903+938</f>
        <v>2841</v>
      </c>
      <c r="E33" s="517"/>
      <c r="F33" s="517">
        <v>-127</v>
      </c>
      <c r="G33" s="517">
        <v>0</v>
      </c>
      <c r="H33" s="517"/>
      <c r="I33" s="516">
        <f t="shared" si="3"/>
        <v>-127</v>
      </c>
      <c r="J33" s="540">
        <f t="shared" si="4"/>
        <v>2714</v>
      </c>
      <c r="K33" s="592" t="s">
        <v>616</v>
      </c>
      <c r="L33" s="593"/>
    </row>
    <row r="34" spans="2:12">
      <c r="B34" s="515" t="s">
        <v>615</v>
      </c>
      <c r="C34" s="532" t="s">
        <v>555</v>
      </c>
      <c r="D34" s="516">
        <f>D35-SUM(D28:D33)</f>
        <v>373</v>
      </c>
      <c r="E34" s="517"/>
      <c r="F34" s="517"/>
      <c r="G34" s="517"/>
      <c r="H34" s="517"/>
      <c r="I34" s="516">
        <f t="shared" si="3"/>
        <v>0</v>
      </c>
      <c r="J34" s="540">
        <f t="shared" si="4"/>
        <v>373</v>
      </c>
      <c r="K34" s="592"/>
      <c r="L34" s="593"/>
    </row>
    <row r="35" spans="2:12">
      <c r="B35" s="515" t="s">
        <v>614</v>
      </c>
      <c r="C35" s="532" t="s">
        <v>608</v>
      </c>
      <c r="D35" s="573">
        <f>42298-5180</f>
        <v>37118</v>
      </c>
      <c r="E35" s="572">
        <f t="shared" ref="E35:J35" si="5">SUM(E28:E34)</f>
        <v>0</v>
      </c>
      <c r="F35" s="572">
        <f t="shared" si="5"/>
        <v>-127</v>
      </c>
      <c r="G35" s="572">
        <f t="shared" si="5"/>
        <v>-33904</v>
      </c>
      <c r="H35" s="572">
        <f t="shared" si="5"/>
        <v>0</v>
      </c>
      <c r="I35" s="572">
        <f t="shared" si="5"/>
        <v>-34031</v>
      </c>
      <c r="J35" s="571">
        <f t="shared" si="5"/>
        <v>3087</v>
      </c>
      <c r="K35" s="592"/>
      <c r="L35" s="593"/>
    </row>
    <row r="36" spans="2:12">
      <c r="B36" s="515" t="s">
        <v>613</v>
      </c>
      <c r="C36" s="570" t="s">
        <v>555</v>
      </c>
      <c r="D36" s="549">
        <f t="shared" ref="D36:J36" si="6">D27+D35</f>
        <v>288839</v>
      </c>
      <c r="E36" s="549">
        <f t="shared" si="6"/>
        <v>-8646</v>
      </c>
      <c r="F36" s="549">
        <f t="shared" si="6"/>
        <v>-99</v>
      </c>
      <c r="G36" s="549">
        <f t="shared" si="6"/>
        <v>-60578</v>
      </c>
      <c r="H36" s="549">
        <f t="shared" si="6"/>
        <v>0</v>
      </c>
      <c r="I36" s="549">
        <f t="shared" si="6"/>
        <v>-69323</v>
      </c>
      <c r="J36" s="542">
        <f t="shared" si="6"/>
        <v>219516</v>
      </c>
      <c r="K36" s="592"/>
      <c r="L36" s="593"/>
    </row>
    <row r="37" spans="2:12">
      <c r="C37" s="570"/>
      <c r="D37" s="516"/>
      <c r="E37" s="516"/>
      <c r="F37" s="516"/>
      <c r="G37" s="516"/>
      <c r="H37" s="516"/>
      <c r="I37" s="516"/>
      <c r="J37" s="540"/>
      <c r="K37" s="592"/>
      <c r="L37" s="593"/>
    </row>
    <row r="38" spans="2:12">
      <c r="B38" s="546" t="s">
        <v>549</v>
      </c>
      <c r="C38" s="569"/>
      <c r="D38" s="516"/>
      <c r="E38" s="516"/>
      <c r="F38" s="516"/>
      <c r="G38" s="516"/>
      <c r="H38" s="516"/>
      <c r="I38" s="516"/>
      <c r="J38" s="540"/>
    </row>
    <row r="39" spans="2:12">
      <c r="B39" s="515" t="s">
        <v>612</v>
      </c>
      <c r="C39" s="532" t="s">
        <v>611</v>
      </c>
      <c r="D39" s="561">
        <v>8688</v>
      </c>
      <c r="E39" s="516">
        <f>-D39</f>
        <v>-8688</v>
      </c>
      <c r="F39" s="517"/>
      <c r="G39" s="517"/>
      <c r="H39" s="517"/>
      <c r="I39" s="516">
        <f t="shared" ref="I39:I46" si="7">SUM(E39:G39)</f>
        <v>-8688</v>
      </c>
      <c r="J39" s="540">
        <f t="shared" ref="J39:J46" si="8">D39+I39</f>
        <v>0</v>
      </c>
    </row>
    <row r="40" spans="2:12">
      <c r="B40" s="515" t="s">
        <v>548</v>
      </c>
      <c r="C40" s="532" t="s">
        <v>593</v>
      </c>
      <c r="D40" s="561">
        <f>139821-D41</f>
        <v>122040</v>
      </c>
      <c r="E40" s="517"/>
      <c r="F40" s="517">
        <v>-57</v>
      </c>
      <c r="G40" s="561">
        <f>-49394-G41</f>
        <v>-31613</v>
      </c>
      <c r="H40" s="561"/>
      <c r="I40" s="516">
        <f t="shared" si="7"/>
        <v>-31670</v>
      </c>
      <c r="J40" s="540">
        <f t="shared" si="8"/>
        <v>90370</v>
      </c>
    </row>
    <row r="41" spans="2:12">
      <c r="B41" s="515" t="s">
        <v>610</v>
      </c>
      <c r="C41" s="532" t="s">
        <v>593</v>
      </c>
      <c r="D41" s="561">
        <v>17781</v>
      </c>
      <c r="E41" s="517"/>
      <c r="F41" s="517"/>
      <c r="G41" s="516">
        <f>-D41</f>
        <v>-17781</v>
      </c>
      <c r="H41" s="516"/>
      <c r="I41" s="516">
        <f t="shared" si="7"/>
        <v>-17781</v>
      </c>
      <c r="J41" s="540">
        <f t="shared" si="8"/>
        <v>0</v>
      </c>
    </row>
    <row r="42" spans="2:12">
      <c r="B42" s="515" t="s">
        <v>609</v>
      </c>
      <c r="C42" s="532" t="s">
        <v>608</v>
      </c>
      <c r="D42" s="561">
        <v>89</v>
      </c>
      <c r="E42" s="517"/>
      <c r="F42" s="517"/>
      <c r="G42" s="532"/>
      <c r="H42" s="532"/>
      <c r="I42" s="516">
        <f t="shared" si="7"/>
        <v>0</v>
      </c>
      <c r="J42" s="540">
        <f t="shared" si="8"/>
        <v>89</v>
      </c>
    </row>
    <row r="43" spans="2:12">
      <c r="B43" s="515" t="s">
        <v>607</v>
      </c>
      <c r="C43" s="532" t="s">
        <v>593</v>
      </c>
      <c r="D43" s="561">
        <v>9133</v>
      </c>
      <c r="E43" s="517"/>
      <c r="F43" s="517"/>
      <c r="G43" s="516">
        <f t="shared" ref="G43:G49" si="9">-D43</f>
        <v>-9133</v>
      </c>
      <c r="H43" s="516"/>
      <c r="I43" s="516">
        <f t="shared" si="7"/>
        <v>-9133</v>
      </c>
      <c r="J43" s="540">
        <f t="shared" si="8"/>
        <v>0</v>
      </c>
    </row>
    <row r="44" spans="2:12">
      <c r="B44" s="515" t="s">
        <v>606</v>
      </c>
      <c r="C44" s="532" t="s">
        <v>593</v>
      </c>
      <c r="D44" s="561">
        <v>-344</v>
      </c>
      <c r="E44" s="517"/>
      <c r="F44" s="517"/>
      <c r="G44" s="516">
        <f t="shared" si="9"/>
        <v>344</v>
      </c>
      <c r="H44" s="516"/>
      <c r="I44" s="516">
        <f t="shared" si="7"/>
        <v>344</v>
      </c>
      <c r="J44" s="540">
        <f t="shared" si="8"/>
        <v>0</v>
      </c>
    </row>
    <row r="45" spans="2:12">
      <c r="B45" s="515" t="s">
        <v>605</v>
      </c>
      <c r="C45" s="532" t="s">
        <v>593</v>
      </c>
      <c r="D45" s="561">
        <v>13328</v>
      </c>
      <c r="E45" s="517"/>
      <c r="F45" s="517"/>
      <c r="G45" s="516">
        <f t="shared" si="9"/>
        <v>-13328</v>
      </c>
      <c r="H45" s="516"/>
      <c r="I45" s="516">
        <f t="shared" si="7"/>
        <v>-13328</v>
      </c>
      <c r="J45" s="540">
        <f t="shared" si="8"/>
        <v>0</v>
      </c>
    </row>
    <row r="46" spans="2:12">
      <c r="B46" s="515" t="s">
        <v>604</v>
      </c>
      <c r="C46" s="532" t="s">
        <v>593</v>
      </c>
      <c r="D46" s="561">
        <v>2</v>
      </c>
      <c r="E46" s="517"/>
      <c r="F46" s="517"/>
      <c r="G46" s="516">
        <f t="shared" si="9"/>
        <v>-2</v>
      </c>
      <c r="H46" s="516"/>
      <c r="I46" s="516">
        <f t="shared" si="7"/>
        <v>-2</v>
      </c>
      <c r="J46" s="540">
        <f t="shared" si="8"/>
        <v>0</v>
      </c>
    </row>
    <row r="47" spans="2:12">
      <c r="B47" s="515" t="s">
        <v>603</v>
      </c>
      <c r="C47" s="532" t="s">
        <v>593</v>
      </c>
      <c r="D47" s="561">
        <v>-49</v>
      </c>
      <c r="E47" s="517"/>
      <c r="F47" s="517"/>
      <c r="G47" s="516">
        <f t="shared" si="9"/>
        <v>49</v>
      </c>
      <c r="H47" s="516"/>
      <c r="I47" s="516"/>
      <c r="J47" s="540"/>
    </row>
    <row r="48" spans="2:12">
      <c r="B48" s="515" t="s">
        <v>602</v>
      </c>
      <c r="C48" s="532" t="s">
        <v>593</v>
      </c>
      <c r="D48" s="561">
        <v>48</v>
      </c>
      <c r="E48" s="517"/>
      <c r="F48" s="517"/>
      <c r="G48" s="516">
        <f t="shared" si="9"/>
        <v>-48</v>
      </c>
      <c r="H48" s="516"/>
      <c r="I48" s="516"/>
      <c r="J48" s="540"/>
    </row>
    <row r="49" spans="2:12">
      <c r="B49" s="515" t="s">
        <v>601</v>
      </c>
      <c r="C49" s="532" t="s">
        <v>593</v>
      </c>
      <c r="D49" s="561">
        <v>0</v>
      </c>
      <c r="E49" s="517"/>
      <c r="F49" s="517"/>
      <c r="G49" s="516">
        <f t="shared" si="9"/>
        <v>0</v>
      </c>
      <c r="H49" s="516"/>
      <c r="I49" s="516">
        <f>SUM(E49:G49)</f>
        <v>0</v>
      </c>
      <c r="J49" s="540">
        <f>D49+I49</f>
        <v>0</v>
      </c>
    </row>
    <row r="50" spans="2:12">
      <c r="B50" s="515" t="s">
        <v>546</v>
      </c>
      <c r="C50" s="532" t="s">
        <v>600</v>
      </c>
      <c r="D50" s="567">
        <f>ROUND(D$27*$K50,0)</f>
        <v>9648</v>
      </c>
      <c r="E50" s="568"/>
      <c r="F50" s="567">
        <f t="shared" ref="F50:H52" si="10">ROUND(F$27*$K50,0)</f>
        <v>1</v>
      </c>
      <c r="G50" s="567">
        <f t="shared" si="10"/>
        <v>-1022</v>
      </c>
      <c r="H50" s="567">
        <f t="shared" si="10"/>
        <v>0</v>
      </c>
      <c r="I50" s="567">
        <f>SUM(E50:G50)</f>
        <v>-1021</v>
      </c>
      <c r="J50" s="540">
        <f>D50+I50</f>
        <v>8627</v>
      </c>
      <c r="K50" s="543">
        <f>'PF Adjustment JCA-5'!H26</f>
        <v>3.8329292586308468E-2</v>
      </c>
      <c r="L50" s="515" t="s">
        <v>542</v>
      </c>
    </row>
    <row r="51" spans="2:12">
      <c r="B51" s="515" t="s">
        <v>545</v>
      </c>
      <c r="C51" s="532" t="s">
        <v>600</v>
      </c>
      <c r="D51" s="567">
        <f>ROUND(D$27*$K51,0)</f>
        <v>1246</v>
      </c>
      <c r="E51" s="568"/>
      <c r="F51" s="567">
        <f t="shared" si="10"/>
        <v>0</v>
      </c>
      <c r="G51" s="567">
        <f t="shared" si="10"/>
        <v>-132</v>
      </c>
      <c r="H51" s="567">
        <f t="shared" si="10"/>
        <v>0</v>
      </c>
      <c r="I51" s="567">
        <f>SUM(E51:G51)</f>
        <v>-132</v>
      </c>
      <c r="J51" s="540">
        <f>D51+I51</f>
        <v>1114</v>
      </c>
      <c r="K51" s="543">
        <f>'PF Adjustment JCA-5'!H27</f>
        <v>4.9508674374747468E-3</v>
      </c>
      <c r="L51" s="515" t="s">
        <v>544</v>
      </c>
    </row>
    <row r="52" spans="2:12">
      <c r="B52" s="515" t="s">
        <v>543</v>
      </c>
      <c r="C52" s="532" t="s">
        <v>600</v>
      </c>
      <c r="D52" s="567">
        <f>ROUND(D$27*$K52,0)</f>
        <v>1007</v>
      </c>
      <c r="E52" s="568"/>
      <c r="F52" s="567">
        <f t="shared" si="10"/>
        <v>0</v>
      </c>
      <c r="G52" s="567">
        <f t="shared" si="10"/>
        <v>-107</v>
      </c>
      <c r="H52" s="567">
        <f t="shared" si="10"/>
        <v>0</v>
      </c>
      <c r="I52" s="567">
        <f>SUM(E52:G52)</f>
        <v>-107</v>
      </c>
      <c r="J52" s="540">
        <f>D52+I52</f>
        <v>900</v>
      </c>
      <c r="K52" s="543">
        <f>'PF Adjustment JCA-5'!H28</f>
        <v>4.0000000000000001E-3</v>
      </c>
      <c r="L52" s="515" t="s">
        <v>542</v>
      </c>
    </row>
    <row r="53" spans="2:12">
      <c r="B53" s="515" t="s">
        <v>599</v>
      </c>
      <c r="D53" s="549">
        <f t="shared" ref="D53:I53" si="11">SUM(D39:D52)</f>
        <v>182617</v>
      </c>
      <c r="E53" s="549">
        <f t="shared" si="11"/>
        <v>-8688</v>
      </c>
      <c r="F53" s="549">
        <f t="shared" si="11"/>
        <v>-56</v>
      </c>
      <c r="G53" s="549">
        <f t="shared" si="11"/>
        <v>-72773</v>
      </c>
      <c r="H53" s="549">
        <f t="shared" si="11"/>
        <v>0</v>
      </c>
      <c r="I53" s="549">
        <f t="shared" si="11"/>
        <v>-81518</v>
      </c>
      <c r="J53" s="542">
        <f>SUM(J40:J52)</f>
        <v>101100</v>
      </c>
      <c r="K53" s="541">
        <f>SUM(K50:K52)</f>
        <v>4.7280160023783213E-2</v>
      </c>
      <c r="L53" s="515" t="s">
        <v>536</v>
      </c>
    </row>
    <row r="54" spans="2:12">
      <c r="D54" s="517"/>
      <c r="E54" s="517"/>
      <c r="F54" s="517"/>
      <c r="G54" s="517"/>
      <c r="H54" s="517"/>
      <c r="I54" s="516"/>
      <c r="J54" s="540"/>
      <c r="K54" s="566">
        <f>1/(1-K53)</f>
        <v>1.0496265093261452</v>
      </c>
      <c r="L54" s="515" t="s">
        <v>598</v>
      </c>
    </row>
    <row r="55" spans="2:12">
      <c r="B55" s="515" t="s">
        <v>597</v>
      </c>
      <c r="D55" s="516">
        <f>D36-D53</f>
        <v>106222</v>
      </c>
      <c r="E55" s="516">
        <f>E36-E53</f>
        <v>42</v>
      </c>
      <c r="F55" s="516">
        <f>F36-F53</f>
        <v>-43</v>
      </c>
      <c r="G55" s="516">
        <f>G36-G53</f>
        <v>12195</v>
      </c>
      <c r="H55" s="516">
        <f>H36-H53</f>
        <v>0</v>
      </c>
      <c r="I55" s="516">
        <f>SUM(E55:H55)</f>
        <v>12194</v>
      </c>
      <c r="J55" s="565">
        <f>J36-J53</f>
        <v>118416</v>
      </c>
    </row>
    <row r="56" spans="2:12">
      <c r="B56" s="533"/>
      <c r="C56" s="533"/>
      <c r="D56" s="533"/>
      <c r="E56" s="516"/>
      <c r="F56" s="516"/>
      <c r="G56" s="533"/>
      <c r="H56" s="516"/>
      <c r="I56" s="516"/>
    </row>
    <row r="57" spans="2:12">
      <c r="B57" s="546" t="s">
        <v>596</v>
      </c>
      <c r="C57" s="533"/>
      <c r="D57" s="533"/>
      <c r="E57" s="516"/>
      <c r="F57" s="516"/>
      <c r="G57" s="533"/>
      <c r="H57" s="516"/>
      <c r="I57" s="516"/>
    </row>
    <row r="58" spans="2:12">
      <c r="B58" s="515" t="s">
        <v>595</v>
      </c>
      <c r="C58" s="532" t="s">
        <v>593</v>
      </c>
      <c r="D58" s="516">
        <f>-G58</f>
        <v>-2560.9499999999998</v>
      </c>
      <c r="E58" s="516"/>
      <c r="F58" s="516"/>
      <c r="G58" s="516">
        <f>G55*0.21</f>
        <v>2560.9499999999998</v>
      </c>
      <c r="H58" s="516"/>
      <c r="I58" s="516"/>
    </row>
    <row r="59" spans="2:12">
      <c r="B59" s="515" t="s">
        <v>594</v>
      </c>
      <c r="C59" s="532" t="s">
        <v>593</v>
      </c>
      <c r="D59" s="564">
        <f>-6685-2941</f>
        <v>-9626</v>
      </c>
      <c r="E59" s="563"/>
      <c r="F59" s="563"/>
      <c r="G59" s="562">
        <f>-D59</f>
        <v>9626</v>
      </c>
      <c r="H59" s="562"/>
      <c r="I59" s="516"/>
    </row>
    <row r="60" spans="2:12">
      <c r="C60" s="532"/>
      <c r="D60" s="561"/>
      <c r="E60" s="517"/>
      <c r="F60" s="517"/>
      <c r="G60" s="516">
        <f>G59+G58</f>
        <v>12186.95</v>
      </c>
      <c r="H60" s="516"/>
      <c r="I60" s="516"/>
    </row>
    <row r="61" spans="2:12">
      <c r="C61" s="532"/>
      <c r="D61" s="561"/>
      <c r="E61" s="517"/>
      <c r="F61" s="517"/>
      <c r="G61" s="516"/>
      <c r="H61" s="516"/>
      <c r="I61" s="516"/>
    </row>
    <row r="62" spans="2:12">
      <c r="B62" s="515" t="s">
        <v>539</v>
      </c>
      <c r="G62" s="516">
        <f>G55-G60</f>
        <v>8.0499999999992724</v>
      </c>
      <c r="I62" s="516"/>
    </row>
    <row r="63" spans="2:12">
      <c r="G63" s="516"/>
      <c r="I63" s="516"/>
    </row>
    <row r="64" spans="2:12">
      <c r="B64" s="515" t="s">
        <v>592</v>
      </c>
      <c r="I64" s="516"/>
    </row>
    <row r="65" spans="2:19" hidden="1">
      <c r="F65" s="519" t="s">
        <v>591</v>
      </c>
      <c r="G65" s="525"/>
      <c r="H65" s="525"/>
    </row>
    <row r="66" spans="2:19" hidden="1"/>
    <row r="67" spans="2:19" hidden="1">
      <c r="B67" s="515" t="s">
        <v>590</v>
      </c>
      <c r="F67" s="560">
        <v>261694309</v>
      </c>
      <c r="P67" s="521"/>
      <c r="Q67" s="521"/>
      <c r="R67" s="521"/>
      <c r="S67" s="521"/>
    </row>
    <row r="68" spans="2:19" hidden="1">
      <c r="B68" s="515" t="s">
        <v>107</v>
      </c>
      <c r="F68" s="560"/>
    </row>
    <row r="69" spans="2:19" hidden="1">
      <c r="B69" s="518" t="s">
        <v>561</v>
      </c>
      <c r="C69" s="518"/>
      <c r="F69" s="560">
        <v>88066</v>
      </c>
      <c r="O69" s="520"/>
      <c r="P69" s="214"/>
      <c r="Q69" s="214"/>
      <c r="R69" s="214"/>
      <c r="S69" s="214"/>
    </row>
    <row r="70" spans="2:19" hidden="1">
      <c r="B70" s="518" t="s">
        <v>589</v>
      </c>
      <c r="C70" s="518"/>
      <c r="F70" s="560">
        <v>7633</v>
      </c>
    </row>
    <row r="71" spans="2:19" hidden="1">
      <c r="B71" s="518" t="s">
        <v>588</v>
      </c>
      <c r="C71" s="518"/>
      <c r="F71" s="560">
        <v>2428</v>
      </c>
      <c r="L71" s="524"/>
      <c r="O71" s="520"/>
    </row>
    <row r="72" spans="2:19" hidden="1">
      <c r="B72" s="518" t="s">
        <v>587</v>
      </c>
      <c r="C72" s="518"/>
      <c r="F72" s="560">
        <v>96364261</v>
      </c>
      <c r="L72" s="522"/>
    </row>
    <row r="73" spans="2:19" hidden="1">
      <c r="B73" s="518" t="s">
        <v>586</v>
      </c>
      <c r="C73" s="518"/>
      <c r="F73" s="560">
        <v>8713935</v>
      </c>
      <c r="L73" s="516"/>
    </row>
    <row r="74" spans="2:19" hidden="1">
      <c r="B74" s="515" t="s">
        <v>582</v>
      </c>
      <c r="F74" s="549">
        <f>F67-SUM(F69:F73)</f>
        <v>156517986</v>
      </c>
      <c r="L74" s="523"/>
    </row>
    <row r="75" spans="2:19" hidden="1">
      <c r="F75" s="516"/>
      <c r="L75" s="522"/>
    </row>
    <row r="76" spans="2:19" hidden="1">
      <c r="B76" s="515" t="s">
        <v>585</v>
      </c>
      <c r="F76" s="560">
        <f>156212088</f>
        <v>156212088</v>
      </c>
    </row>
    <row r="77" spans="2:19" hidden="1">
      <c r="B77" s="518" t="s">
        <v>584</v>
      </c>
      <c r="C77" s="518"/>
      <c r="F77" s="516">
        <f>F70</f>
        <v>7633</v>
      </c>
    </row>
    <row r="78" spans="2:19" hidden="1">
      <c r="B78" s="518" t="s">
        <v>583</v>
      </c>
      <c r="C78" s="518"/>
      <c r="F78" s="560">
        <f>26132*12</f>
        <v>313584</v>
      </c>
      <c r="G78" s="517"/>
      <c r="H78" s="517"/>
    </row>
    <row r="79" spans="2:19" hidden="1">
      <c r="B79" s="515" t="s">
        <v>582</v>
      </c>
      <c r="F79" s="549">
        <f>F76-F77+F78</f>
        <v>156518039</v>
      </c>
    </row>
    <row r="80" spans="2:19" hidden="1">
      <c r="F80" s="516">
        <f>F79-F74</f>
        <v>53</v>
      </c>
    </row>
    <row r="81" spans="2:11" hidden="1">
      <c r="F81" s="516"/>
    </row>
    <row r="82" spans="2:11" hidden="1">
      <c r="B82" s="515" t="s">
        <v>581</v>
      </c>
      <c r="F82" s="560">
        <f>-(3207892-8371+2426338)</f>
        <v>-5625859</v>
      </c>
    </row>
    <row r="83" spans="2:11" hidden="1">
      <c r="B83" s="515" t="s">
        <v>580</v>
      </c>
      <c r="F83" s="560">
        <f>-(-79734+3133)</f>
        <v>76601</v>
      </c>
    </row>
    <row r="84" spans="2:11" hidden="1">
      <c r="B84" s="515" t="s">
        <v>571</v>
      </c>
      <c r="F84" s="549">
        <f>SUM(F79:F83)</f>
        <v>150968834</v>
      </c>
    </row>
    <row r="85" spans="2:11" hidden="1">
      <c r="F85" s="516"/>
    </row>
    <row r="86" spans="2:11" hidden="1">
      <c r="B86" s="515" t="s">
        <v>579</v>
      </c>
      <c r="F86" s="516"/>
    </row>
    <row r="87" spans="2:11" hidden="1">
      <c r="B87" s="518" t="s">
        <v>64</v>
      </c>
      <c r="C87" s="518"/>
      <c r="F87" s="560">
        <f>59964740.48+48000501.79</f>
        <v>107965242.27</v>
      </c>
    </row>
    <row r="88" spans="2:11" hidden="1">
      <c r="B88" s="518" t="s">
        <v>315</v>
      </c>
      <c r="C88" s="518"/>
      <c r="F88" s="560">
        <f>20135647.48+14450863.77</f>
        <v>34586511.25</v>
      </c>
    </row>
    <row r="89" spans="2:11" hidden="1">
      <c r="B89" s="518" t="s">
        <v>578</v>
      </c>
      <c r="C89" s="518"/>
      <c r="F89" s="560">
        <v>0</v>
      </c>
    </row>
    <row r="90" spans="2:11" hidden="1">
      <c r="B90" s="518" t="s">
        <v>350</v>
      </c>
      <c r="C90" s="518"/>
      <c r="F90" s="560">
        <f>2156259.82+1280529.46</f>
        <v>3436789.28</v>
      </c>
    </row>
    <row r="91" spans="2:11" hidden="1">
      <c r="B91" s="518" t="s">
        <v>577</v>
      </c>
      <c r="C91" s="518"/>
      <c r="F91" s="560">
        <f>249328.84+125566.33</f>
        <v>374895.17</v>
      </c>
    </row>
    <row r="92" spans="2:11" hidden="1">
      <c r="B92" s="518" t="s">
        <v>576</v>
      </c>
      <c r="C92" s="518"/>
      <c r="F92" s="560">
        <v>0</v>
      </c>
    </row>
    <row r="93" spans="2:11" hidden="1">
      <c r="B93" s="518" t="s">
        <v>575</v>
      </c>
      <c r="C93" s="518"/>
      <c r="F93" s="560">
        <f>392692.4+204339.49</f>
        <v>597031.89</v>
      </c>
    </row>
    <row r="94" spans="2:11" hidden="1">
      <c r="B94" s="518" t="s">
        <v>84</v>
      </c>
      <c r="C94" s="518"/>
      <c r="F94" s="560">
        <f>1589710.31+831802.98</f>
        <v>2421513.29</v>
      </c>
    </row>
    <row r="95" spans="2:11" hidden="1">
      <c r="B95" s="518" t="s">
        <v>574</v>
      </c>
      <c r="C95" s="518"/>
      <c r="F95" s="560">
        <f>40151.06+8529.32</f>
        <v>48680.38</v>
      </c>
      <c r="K95" s="519"/>
    </row>
    <row r="96" spans="2:11" hidden="1">
      <c r="B96" s="518" t="s">
        <v>573</v>
      </c>
      <c r="C96" s="518"/>
      <c r="F96" s="560">
        <f>795013.28+429526.89</f>
        <v>1224540.17</v>
      </c>
    </row>
    <row r="97" spans="2:11" hidden="1">
      <c r="B97" s="518" t="s">
        <v>572</v>
      </c>
      <c r="C97" s="518"/>
      <c r="F97" s="560">
        <v>313584</v>
      </c>
      <c r="G97" s="517"/>
      <c r="H97" s="517"/>
      <c r="K97" s="517"/>
    </row>
    <row r="98" spans="2:11" hidden="1">
      <c r="B98" s="515" t="s">
        <v>571</v>
      </c>
      <c r="F98" s="549">
        <f>SUM(F87:F97)</f>
        <v>150968787.69999993</v>
      </c>
      <c r="K98" s="517"/>
    </row>
    <row r="99" spans="2:11" hidden="1">
      <c r="F99" s="516">
        <f>F98-F84</f>
        <v>-46.300000071525574</v>
      </c>
      <c r="K99" s="517"/>
    </row>
    <row r="100" spans="2:11">
      <c r="G100" s="516"/>
      <c r="K100" s="517"/>
    </row>
    <row r="101" spans="2:11">
      <c r="I101" s="518"/>
      <c r="K101" s="517"/>
    </row>
    <row r="102" spans="2:11">
      <c r="I102" s="518"/>
      <c r="K102" s="517"/>
    </row>
    <row r="103" spans="2:11">
      <c r="I103" s="518"/>
      <c r="K103" s="517"/>
    </row>
    <row r="104" spans="2:11">
      <c r="K104" s="516"/>
    </row>
    <row r="105" spans="2:11">
      <c r="K105" s="516"/>
    </row>
    <row r="106" spans="2:11">
      <c r="I106" s="518"/>
      <c r="K106" s="517"/>
    </row>
    <row r="107" spans="2:11">
      <c r="I107" s="518"/>
      <c r="K107" s="516"/>
    </row>
    <row r="108" spans="2:11">
      <c r="I108" s="518"/>
      <c r="K108" s="517"/>
    </row>
    <row r="109" spans="2:11">
      <c r="I109" s="516"/>
      <c r="K109" s="516"/>
    </row>
    <row r="110" spans="2:11">
      <c r="K110" s="516"/>
    </row>
    <row r="111" spans="2:11">
      <c r="K111" s="516"/>
    </row>
    <row r="112" spans="2:11">
      <c r="I112" s="518"/>
      <c r="K112" s="517"/>
    </row>
    <row r="113" spans="9:12">
      <c r="I113" s="518"/>
      <c r="K113" s="517"/>
    </row>
    <row r="114" spans="9:12">
      <c r="K114" s="516"/>
    </row>
    <row r="115" spans="9:12">
      <c r="K115" s="516"/>
    </row>
    <row r="116" spans="9:12">
      <c r="K116" s="516"/>
    </row>
    <row r="117" spans="9:12">
      <c r="K117" s="517"/>
    </row>
    <row r="118" spans="9:12">
      <c r="K118" s="517"/>
    </row>
    <row r="119" spans="9:12">
      <c r="K119" s="517"/>
    </row>
    <row r="120" spans="9:12">
      <c r="K120" s="517"/>
      <c r="L120" s="516"/>
    </row>
    <row r="121" spans="9:12">
      <c r="K121" s="517"/>
      <c r="L121" s="516"/>
    </row>
    <row r="122" spans="9:12">
      <c r="K122" s="517"/>
      <c r="L122" s="516"/>
    </row>
    <row r="123" spans="9:12">
      <c r="K123" s="517"/>
      <c r="L123" s="516"/>
    </row>
    <row r="124" spans="9:12">
      <c r="K124" s="517"/>
      <c r="L124" s="516"/>
    </row>
    <row r="125" spans="9:12">
      <c r="K125" s="517"/>
      <c r="L125" s="516"/>
    </row>
    <row r="126" spans="9:12">
      <c r="K126" s="517"/>
      <c r="L126" s="516"/>
    </row>
    <row r="127" spans="9:12">
      <c r="I127" s="518"/>
      <c r="K127" s="516"/>
      <c r="L127" s="516"/>
    </row>
    <row r="128" spans="9:12">
      <c r="I128" s="516"/>
      <c r="K128" s="516"/>
      <c r="L128" s="516"/>
    </row>
    <row r="129" spans="11:12">
      <c r="K129" s="516"/>
      <c r="L129" s="516"/>
    </row>
    <row r="130" spans="11:12">
      <c r="K130" s="516"/>
      <c r="L130" s="516"/>
    </row>
    <row r="131" spans="11:12">
      <c r="K131" s="516"/>
    </row>
  </sheetData>
  <mergeCells count="2">
    <mergeCell ref="K9:L17"/>
    <mergeCell ref="K33:L37"/>
  </mergeCells>
  <pageMargins left="0.45" right="0.35" top="0.96" bottom="0.75" header="0.45" footer="0.3"/>
  <pageSetup scale="74" orientation="landscape" r:id="rId1"/>
  <headerFooter>
    <oddHeader>&amp;RAdjustment No.&amp;U   &amp;"Arial,Bold"&amp;12 3.01&amp;"Arial,Regular"&amp;10&amp;U
Workpaper Ref G-PREV-2</oddHeader>
    <oddFooter>&amp;L&amp;F&amp;RPrep by: ____________     1st Review:__________
          Date:  &amp;D           Mgr. Review:__________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2:S248"/>
  <sheetViews>
    <sheetView showGridLines="0" topLeftCell="A104" zoomScaleNormal="100" zoomScaleSheetLayoutView="100" workbookViewId="0">
      <selection activeCell="I8" sqref="I8"/>
    </sheetView>
  </sheetViews>
  <sheetFormatPr defaultColWidth="10.7109375" defaultRowHeight="11.25"/>
  <cols>
    <col min="1" max="1" width="9.140625" style="3" customWidth="1"/>
    <col min="2" max="2" width="26" style="4" customWidth="1"/>
    <col min="3" max="3" width="11" style="4" customWidth="1"/>
    <col min="4" max="4" width="11.85546875" style="4" bestFit="1" customWidth="1"/>
    <col min="5" max="5" width="14.140625" style="4" bestFit="1" customWidth="1"/>
    <col min="6" max="6" width="14.140625" style="4" hidden="1" customWidth="1"/>
    <col min="7" max="8" width="11.42578125" style="4" customWidth="1"/>
    <col min="9" max="9" width="12" style="4" customWidth="1"/>
    <col min="10" max="10" width="12.5703125" style="4" customWidth="1"/>
    <col min="11" max="11" width="10.7109375" style="4" customWidth="1"/>
    <col min="12" max="12" width="3.7109375" style="4" customWidth="1"/>
    <col min="13" max="13" width="13.28515625" style="4" customWidth="1"/>
    <col min="14" max="14" width="3.7109375" style="4" customWidth="1"/>
    <col min="15" max="16" width="10.7109375" style="4" customWidth="1"/>
    <col min="17" max="17" width="35.7109375" style="4" customWidth="1"/>
    <col min="18" max="16384" width="10.7109375" style="4"/>
  </cols>
  <sheetData>
    <row r="2" spans="1:19" ht="18">
      <c r="A2" s="353"/>
    </row>
    <row r="3" spans="1:19">
      <c r="J3" s="1" t="s">
        <v>5</v>
      </c>
    </row>
    <row r="4" spans="1:19" s="1" customFormat="1">
      <c r="A4" s="122" t="s">
        <v>185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5</v>
      </c>
      <c r="J4" s="27" t="s">
        <v>388</v>
      </c>
    </row>
    <row r="5" spans="1:19" s="1" customFormat="1">
      <c r="A5" s="122" t="s">
        <v>186</v>
      </c>
      <c r="B5" s="2"/>
      <c r="C5" s="2" t="s">
        <v>6</v>
      </c>
      <c r="D5" s="2" t="s">
        <v>444</v>
      </c>
      <c r="E5" s="2" t="s">
        <v>456</v>
      </c>
      <c r="F5" s="2" t="s">
        <v>455</v>
      </c>
      <c r="G5" s="2" t="s">
        <v>10</v>
      </c>
      <c r="H5" s="2" t="s">
        <v>11</v>
      </c>
      <c r="I5" s="2" t="s">
        <v>54</v>
      </c>
      <c r="J5" s="2" t="s">
        <v>57</v>
      </c>
      <c r="L5" s="106"/>
      <c r="M5" s="106"/>
      <c r="N5" s="106"/>
      <c r="O5" s="106"/>
      <c r="P5" s="106"/>
      <c r="Q5" s="107" t="s">
        <v>164</v>
      </c>
      <c r="R5" s="106"/>
      <c r="S5" s="106"/>
    </row>
    <row r="6" spans="1:19" ht="12.75" customHeight="1">
      <c r="B6" s="57" t="s">
        <v>110</v>
      </c>
      <c r="L6" s="106"/>
      <c r="M6" s="108" t="s">
        <v>165</v>
      </c>
      <c r="N6" s="106"/>
      <c r="O6" s="106"/>
      <c r="P6" s="109"/>
      <c r="Q6" s="594" t="str">
        <f>"AVISTA UTILITIES
WASHINGTON NATURAL GAS
PRO FORMA REVENUE UNDER PRESENT AND PROPOSED "&amp;O9&amp;" RATES
12 MONTHS ENDED JUNE 30, 2023"</f>
        <v>AVISTA UTILITIES
WASHINGTON NATURAL GAS
PRO FORMA REVENUE UNDER PRESENT AND PROPOSED BASE TARIFF RATES
12 MONTHS ENDED JUNE 30, 2023</v>
      </c>
      <c r="R6" s="594"/>
      <c r="S6" s="594"/>
    </row>
    <row r="7" spans="1:19">
      <c r="B7" s="5" t="s">
        <v>12</v>
      </c>
      <c r="L7" s="110" t="s">
        <v>166</v>
      </c>
      <c r="M7" s="109" t="s">
        <v>254</v>
      </c>
      <c r="N7" s="106"/>
      <c r="O7" s="106"/>
      <c r="P7" s="109"/>
      <c r="Q7" s="594"/>
      <c r="R7" s="594"/>
      <c r="S7" s="594"/>
    </row>
    <row r="8" spans="1:19">
      <c r="B8" s="4" t="s">
        <v>13</v>
      </c>
      <c r="C8" s="127"/>
      <c r="D8" s="127">
        <f>'Bill Determ'!E7</f>
        <v>80993659.046190009</v>
      </c>
      <c r="E8" s="127">
        <f>'Bill Determ'!B17</f>
        <v>7004339.4199599996</v>
      </c>
      <c r="F8" s="127"/>
      <c r="G8" s="127">
        <f>'Bill Determ'!B38</f>
        <v>480000</v>
      </c>
      <c r="H8" s="127">
        <f>'Bill Determ'!B42</f>
        <v>7217935</v>
      </c>
      <c r="I8" s="408">
        <f>'Bill Determ'!B48</f>
        <v>23379996</v>
      </c>
      <c r="J8" s="127">
        <f>'Bill Determ'!B54</f>
        <v>9627587</v>
      </c>
      <c r="L8" s="109"/>
      <c r="M8" s="106" t="s">
        <v>168</v>
      </c>
      <c r="N8" s="109"/>
      <c r="O8" s="184">
        <v>1</v>
      </c>
      <c r="P8" s="109"/>
      <c r="Q8" s="594"/>
      <c r="R8" s="594"/>
      <c r="S8" s="594"/>
    </row>
    <row r="9" spans="1:19">
      <c r="B9" s="4" t="s">
        <v>14</v>
      </c>
      <c r="C9" s="127"/>
      <c r="D9" s="127">
        <f>'Bill Determ'!F7</f>
        <v>55549613.811489999</v>
      </c>
      <c r="E9" s="127">
        <f>'Bill Determ'!C17</f>
        <v>18294954.25451</v>
      </c>
      <c r="F9" s="127"/>
      <c r="G9" s="127">
        <f>'Bill Determ'!C38</f>
        <v>640871.58799999999</v>
      </c>
      <c r="H9" s="127">
        <f>'Bill Determ'!C42</f>
        <v>7083974</v>
      </c>
      <c r="I9" s="408">
        <f>'Bill Determ'!B49</f>
        <v>5164136</v>
      </c>
      <c r="J9" s="127"/>
      <c r="L9" s="110" t="s">
        <v>169</v>
      </c>
      <c r="M9" s="109" t="s">
        <v>255</v>
      </c>
      <c r="N9" s="109"/>
      <c r="O9" s="109" t="str">
        <f>CHOOSE(Base1_Billing2,M7,M9)</f>
        <v>BASE TARIFF</v>
      </c>
      <c r="P9" s="109"/>
      <c r="Q9" s="594"/>
      <c r="R9" s="594"/>
      <c r="S9" s="594"/>
    </row>
    <row r="10" spans="1:19">
      <c r="B10" s="4" t="s">
        <v>15</v>
      </c>
      <c r="C10" s="127"/>
      <c r="D10" s="127"/>
      <c r="E10" s="127">
        <f>'Bill Determ'!D17</f>
        <v>31380403.08151</v>
      </c>
      <c r="F10" s="127"/>
      <c r="G10" s="127">
        <f>'Bill Determ'!D38</f>
        <v>684750.42000000016</v>
      </c>
      <c r="H10" s="127">
        <f>'Bill Determ'!D42</f>
        <v>13394294</v>
      </c>
      <c r="I10" s="408">
        <f>'Bill Determ'!B50</f>
        <v>0</v>
      </c>
      <c r="J10" s="127"/>
      <c r="L10" s="109"/>
      <c r="M10" s="109"/>
      <c r="N10" s="109"/>
      <c r="O10" s="109" t="str">
        <f>CHOOSE(Base1_Billing2,"Base","Billing")</f>
        <v>Base</v>
      </c>
      <c r="P10" s="109"/>
      <c r="Q10" s="594"/>
      <c r="R10" s="594"/>
      <c r="S10" s="594"/>
    </row>
    <row r="11" spans="1:19">
      <c r="B11" s="4" t="s">
        <v>16</v>
      </c>
      <c r="C11" s="127"/>
      <c r="D11" s="127"/>
      <c r="E11" s="127">
        <f>'Bill Determ'!E17</f>
        <v>5263380.6339700008</v>
      </c>
      <c r="F11" s="127"/>
      <c r="G11" s="127">
        <f>'Bill Determ'!E38</f>
        <v>887244.47400021553</v>
      </c>
      <c r="H11" s="127">
        <f>'Bill Determ'!E42</f>
        <v>2724881</v>
      </c>
      <c r="I11" s="408">
        <f>'Bill Determ'!B51</f>
        <v>5714117</v>
      </c>
      <c r="J11" s="127"/>
      <c r="L11" s="109"/>
      <c r="M11" s="109"/>
      <c r="N11" s="109"/>
      <c r="O11" s="109"/>
      <c r="P11" s="109"/>
      <c r="Q11" s="594"/>
      <c r="R11" s="594"/>
      <c r="S11" s="594"/>
    </row>
    <row r="12" spans="1:19">
      <c r="B12" s="4" t="s">
        <v>55</v>
      </c>
      <c r="C12" s="128"/>
      <c r="D12" s="128"/>
      <c r="E12" s="127">
        <f>'Bill Determ'!F17</f>
        <v>3945932.3859999999</v>
      </c>
      <c r="F12" s="128"/>
      <c r="G12" s="128"/>
      <c r="H12" s="128">
        <f>'Bill Determ'!F42</f>
        <v>1772268</v>
      </c>
      <c r="I12" s="409">
        <f>'Bill Determ'!B45</f>
        <v>10047176</v>
      </c>
      <c r="J12" s="128"/>
      <c r="L12" s="109"/>
      <c r="M12" s="109"/>
      <c r="N12" s="109"/>
      <c r="O12" s="109"/>
      <c r="P12" s="109"/>
      <c r="Q12" s="109"/>
      <c r="R12" s="109"/>
      <c r="S12" s="109"/>
    </row>
    <row r="13" spans="1:19">
      <c r="C13" s="129"/>
      <c r="D13" s="129"/>
      <c r="E13" s="129"/>
      <c r="F13" s="129"/>
      <c r="G13" s="129"/>
      <c r="H13" s="129"/>
      <c r="I13" s="129"/>
      <c r="J13" s="129"/>
    </row>
    <row r="14" spans="1:19">
      <c r="B14" s="4" t="s">
        <v>17</v>
      </c>
      <c r="C14" s="127">
        <f>SUM(D14:J14)</f>
        <v>291251513.11563027</v>
      </c>
      <c r="D14" s="127">
        <f t="shared" ref="D14:J14" si="0">SUM(D8:D12)</f>
        <v>136543272.85768002</v>
      </c>
      <c r="E14" s="127">
        <f t="shared" si="0"/>
        <v>65889009.77595</v>
      </c>
      <c r="F14" s="127">
        <f t="shared" si="0"/>
        <v>0</v>
      </c>
      <c r="G14" s="127">
        <f t="shared" si="0"/>
        <v>2692866.4820002159</v>
      </c>
      <c r="H14" s="127">
        <f>SUM(H8:H12)</f>
        <v>32193352</v>
      </c>
      <c r="I14" s="127">
        <f>SUM(I8:I12)</f>
        <v>44305425</v>
      </c>
      <c r="J14" s="127">
        <f t="shared" si="0"/>
        <v>9627587</v>
      </c>
    </row>
    <row r="15" spans="1:19">
      <c r="B15" s="4" t="s">
        <v>284</v>
      </c>
      <c r="C15" s="130"/>
      <c r="D15" s="130"/>
      <c r="E15" s="130"/>
      <c r="F15" s="130"/>
      <c r="G15" s="130"/>
      <c r="H15" s="130"/>
      <c r="I15" s="130"/>
      <c r="J15" s="130"/>
    </row>
    <row r="16" spans="1:19">
      <c r="C16" s="127"/>
      <c r="D16" s="127"/>
      <c r="E16" s="127"/>
      <c r="F16" s="127"/>
      <c r="G16" s="127"/>
      <c r="H16" s="127"/>
      <c r="I16" s="127"/>
      <c r="J16" s="127"/>
    </row>
    <row r="17" spans="1:10">
      <c r="B17" s="4" t="s">
        <v>17</v>
      </c>
      <c r="C17" s="127">
        <f>SUM(D17:J17)</f>
        <v>291251513.11563027</v>
      </c>
      <c r="D17" s="127">
        <f t="shared" ref="D17:J17" si="1">D14+D15</f>
        <v>136543272.85768002</v>
      </c>
      <c r="E17" s="127">
        <f t="shared" si="1"/>
        <v>65889009.77595</v>
      </c>
      <c r="F17" s="127">
        <f t="shared" si="1"/>
        <v>0</v>
      </c>
      <c r="G17" s="127">
        <f t="shared" si="1"/>
        <v>2692866.4820002159</v>
      </c>
      <c r="H17" s="127">
        <f>H14+H15</f>
        <v>32193352</v>
      </c>
      <c r="I17" s="127">
        <f t="shared" si="1"/>
        <v>44305425</v>
      </c>
      <c r="J17" s="127">
        <f t="shared" si="1"/>
        <v>9627587</v>
      </c>
    </row>
    <row r="18" spans="1:10">
      <c r="B18" s="4" t="s">
        <v>19</v>
      </c>
      <c r="C18" s="130">
        <f>SUM(D18:J18)</f>
        <v>0</v>
      </c>
      <c r="D18" s="130">
        <f>'Bill Determ'!I11</f>
        <v>0</v>
      </c>
      <c r="E18" s="130">
        <f>'Bill Determ'!G18</f>
        <v>0</v>
      </c>
      <c r="F18" s="130"/>
      <c r="G18" s="130"/>
      <c r="H18" s="130"/>
      <c r="I18" s="130"/>
      <c r="J18" s="130"/>
    </row>
    <row r="19" spans="1:10">
      <c r="C19" s="127"/>
      <c r="D19" s="127"/>
      <c r="E19" s="127"/>
      <c r="F19" s="127"/>
      <c r="G19" s="127"/>
      <c r="H19" s="127"/>
      <c r="I19" s="127"/>
      <c r="J19" s="127"/>
    </row>
    <row r="20" spans="1:10">
      <c r="B20" s="4" t="s">
        <v>20</v>
      </c>
      <c r="C20" s="127">
        <f>SUM(D20:J20)</f>
        <v>291251513.11563027</v>
      </c>
      <c r="D20" s="127">
        <f t="shared" ref="D20:J20" si="2">D17+D18</f>
        <v>136543272.85768002</v>
      </c>
      <c r="E20" s="127">
        <f t="shared" si="2"/>
        <v>65889009.77595</v>
      </c>
      <c r="F20" s="127">
        <f t="shared" si="2"/>
        <v>0</v>
      </c>
      <c r="G20" s="127">
        <f t="shared" si="2"/>
        <v>2692866.4820002159</v>
      </c>
      <c r="H20" s="127">
        <f>H17+I18</f>
        <v>32193352</v>
      </c>
      <c r="I20" s="127">
        <f>I17+I18</f>
        <v>44305425</v>
      </c>
      <c r="J20" s="127">
        <f t="shared" si="2"/>
        <v>9627587</v>
      </c>
    </row>
    <row r="21" spans="1:10">
      <c r="B21" s="4" t="s">
        <v>21</v>
      </c>
      <c r="C21" s="130">
        <f>SUM(D21:J21)</f>
        <v>-379778</v>
      </c>
      <c r="D21" s="130">
        <f>D134+D137</f>
        <v>-436540</v>
      </c>
      <c r="E21" s="130">
        <f>E134+E137</f>
        <v>56762</v>
      </c>
      <c r="F21" s="130">
        <f t="shared" ref="F21:J21" si="3">F134+F137</f>
        <v>0</v>
      </c>
      <c r="G21" s="130">
        <f t="shared" si="3"/>
        <v>0</v>
      </c>
      <c r="H21" s="130">
        <f>H134+H137</f>
        <v>0</v>
      </c>
      <c r="I21" s="130">
        <f t="shared" si="3"/>
        <v>0</v>
      </c>
      <c r="J21" s="130">
        <f t="shared" si="3"/>
        <v>0</v>
      </c>
    </row>
    <row r="22" spans="1:10">
      <c r="C22" s="127"/>
      <c r="D22" s="127"/>
      <c r="E22" s="127"/>
      <c r="F22" s="127"/>
      <c r="G22" s="127"/>
      <c r="H22" s="127"/>
      <c r="I22" s="127"/>
      <c r="J22" s="127"/>
    </row>
    <row r="23" spans="1:10">
      <c r="B23" s="4" t="s">
        <v>22</v>
      </c>
      <c r="C23" s="127">
        <f>IF(ROUND(SUM(C20:C21),3)&lt;&gt;ROUND(SUM(D23:J23),3),#VALUE!,SUM(D23:J23))</f>
        <v>290871735.11563027</v>
      </c>
      <c r="D23" s="127">
        <f t="shared" ref="D23:J23" si="4">SUM(D20:D21)</f>
        <v>136106732.85768002</v>
      </c>
      <c r="E23" s="127">
        <f t="shared" si="4"/>
        <v>65945771.77595</v>
      </c>
      <c r="F23" s="127">
        <f t="shared" si="4"/>
        <v>0</v>
      </c>
      <c r="G23" s="127">
        <f t="shared" si="4"/>
        <v>2692866.4820002159</v>
      </c>
      <c r="H23" s="127">
        <f>SUM(H20:H21)</f>
        <v>32193352</v>
      </c>
      <c r="I23" s="127">
        <f t="shared" si="4"/>
        <v>44305425</v>
      </c>
      <c r="J23" s="127">
        <f t="shared" si="4"/>
        <v>9627587</v>
      </c>
    </row>
    <row r="24" spans="1:10">
      <c r="C24" s="127"/>
      <c r="D24" s="127"/>
      <c r="E24" s="127"/>
      <c r="F24" s="127"/>
      <c r="G24" s="127"/>
      <c r="H24" s="127"/>
      <c r="I24" s="127"/>
      <c r="J24" s="127"/>
    </row>
    <row r="25" spans="1:10">
      <c r="B25" s="4" t="s">
        <v>23</v>
      </c>
      <c r="C25" s="127"/>
      <c r="D25" s="127">
        <f>'Bill Determ'!C7</f>
        <v>2077306</v>
      </c>
      <c r="E25" s="127"/>
      <c r="F25" s="127"/>
      <c r="G25" s="127">
        <f>'Bill Determ'!G38</f>
        <v>48</v>
      </c>
      <c r="H25" s="127">
        <f>'Bill Determ'!H42</f>
        <v>420</v>
      </c>
      <c r="I25" s="127">
        <f>'Bill Determ'!C52</f>
        <v>36</v>
      </c>
      <c r="J25" s="127">
        <f>'Bill Determ'!C54</f>
        <v>12</v>
      </c>
    </row>
    <row r="26" spans="1:10">
      <c r="B26" s="4" t="s">
        <v>155</v>
      </c>
      <c r="C26" s="127"/>
      <c r="D26" s="127"/>
      <c r="E26" s="127">
        <f>'Bill Determ'!H17</f>
        <v>41579</v>
      </c>
      <c r="F26" s="127"/>
      <c r="G26" s="127"/>
      <c r="H26" s="127"/>
      <c r="I26" s="127"/>
      <c r="J26" s="127"/>
    </row>
    <row r="27" spans="1:10">
      <c r="C27" s="127"/>
      <c r="D27" s="127"/>
      <c r="E27" s="127"/>
      <c r="F27" s="127"/>
      <c r="G27" s="127"/>
      <c r="H27" s="127"/>
      <c r="I27" s="127"/>
      <c r="J27" s="127"/>
    </row>
    <row r="28" spans="1:10" s="1" customFormat="1">
      <c r="A28" s="3"/>
      <c r="C28" s="131"/>
      <c r="D28" s="131"/>
      <c r="E28" s="131"/>
      <c r="F28" s="131"/>
      <c r="G28" s="131"/>
      <c r="H28" s="131"/>
      <c r="I28" s="131"/>
      <c r="J28" s="131"/>
    </row>
    <row r="29" spans="1:10" ht="12.75">
      <c r="B29" s="57" t="s">
        <v>111</v>
      </c>
      <c r="C29" s="127"/>
      <c r="D29" s="127"/>
      <c r="E29" s="127"/>
      <c r="F29" s="127"/>
      <c r="G29" s="127"/>
      <c r="H29" s="127"/>
      <c r="I29" s="127"/>
      <c r="J29" s="127"/>
    </row>
    <row r="30" spans="1:10">
      <c r="B30" s="5" t="s">
        <v>12</v>
      </c>
      <c r="C30" s="127"/>
      <c r="D30" s="127"/>
      <c r="E30" s="127"/>
      <c r="F30" s="127"/>
      <c r="G30" s="127"/>
      <c r="H30" s="127"/>
      <c r="I30" s="127"/>
      <c r="J30" s="127"/>
    </row>
    <row r="31" spans="1:10">
      <c r="B31" s="4" t="s">
        <v>13</v>
      </c>
      <c r="C31" s="127"/>
      <c r="D31" s="127">
        <f>'Bill Determ'!E7</f>
        <v>80993659.046190009</v>
      </c>
      <c r="E31" s="127">
        <f>'Bill Determ'!B17</f>
        <v>7004339.4199599996</v>
      </c>
      <c r="F31" s="127" t="s">
        <v>477</v>
      </c>
      <c r="G31" s="127">
        <f t="shared" ref="G31:J31" si="5">G8</f>
        <v>480000</v>
      </c>
      <c r="H31" s="127">
        <f t="shared" si="5"/>
        <v>7217935</v>
      </c>
      <c r="I31" s="127">
        <f t="shared" si="5"/>
        <v>23379996</v>
      </c>
      <c r="J31" s="127">
        <f t="shared" si="5"/>
        <v>9627587</v>
      </c>
    </row>
    <row r="32" spans="1:10">
      <c r="B32" s="4" t="s">
        <v>14</v>
      </c>
      <c r="C32" s="127"/>
      <c r="D32" s="127">
        <f>'Bill Determ'!F7</f>
        <v>55549613.811489999</v>
      </c>
      <c r="E32" s="127">
        <f>'Bill Determ'!C17</f>
        <v>18294954.25451</v>
      </c>
      <c r="F32" s="127" t="s">
        <v>478</v>
      </c>
      <c r="G32" s="127">
        <f t="shared" ref="G32:J32" si="6">G9</f>
        <v>640871.58799999999</v>
      </c>
      <c r="H32" s="127">
        <f t="shared" si="6"/>
        <v>7083974</v>
      </c>
      <c r="I32" s="127">
        <f t="shared" si="6"/>
        <v>5164136</v>
      </c>
      <c r="J32" s="127">
        <f t="shared" si="6"/>
        <v>0</v>
      </c>
    </row>
    <row r="33" spans="2:10">
      <c r="B33" s="4" t="s">
        <v>15</v>
      </c>
      <c r="C33" s="127"/>
      <c r="D33" s="127">
        <f>D10</f>
        <v>0</v>
      </c>
      <c r="E33" s="127">
        <f>'Bill Determ'!D17</f>
        <v>31380403.08151</v>
      </c>
      <c r="F33" s="127"/>
      <c r="G33" s="127">
        <f t="shared" ref="G33:J33" si="7">G10</f>
        <v>684750.42000000016</v>
      </c>
      <c r="H33" s="127">
        <f t="shared" si="7"/>
        <v>13394294</v>
      </c>
      <c r="I33" s="127">
        <f>I10</f>
        <v>0</v>
      </c>
      <c r="J33" s="127">
        <f t="shared" si="7"/>
        <v>0</v>
      </c>
    </row>
    <row r="34" spans="2:10">
      <c r="B34" s="4" t="s">
        <v>16</v>
      </c>
      <c r="C34" s="127"/>
      <c r="D34" s="127">
        <f>D11</f>
        <v>0</v>
      </c>
      <c r="E34" s="127">
        <f>'Bill Determ'!E17</f>
        <v>5263380.6339700008</v>
      </c>
      <c r="F34" s="127"/>
      <c r="G34" s="127">
        <f t="shared" ref="G34:J34" si="8">G11</f>
        <v>887244.47400021553</v>
      </c>
      <c r="H34" s="127">
        <f t="shared" si="8"/>
        <v>2724881</v>
      </c>
      <c r="I34" s="127">
        <f t="shared" si="8"/>
        <v>5714117</v>
      </c>
      <c r="J34" s="127">
        <f t="shared" si="8"/>
        <v>0</v>
      </c>
    </row>
    <row r="35" spans="2:10">
      <c r="B35" s="4" t="s">
        <v>55</v>
      </c>
      <c r="C35" s="128"/>
      <c r="D35" s="127">
        <f>D12</f>
        <v>0</v>
      </c>
      <c r="E35" s="127">
        <f>'Bill Determ'!F17</f>
        <v>3945932.3859999999</v>
      </c>
      <c r="F35" s="127"/>
      <c r="G35" s="127">
        <f t="shared" ref="G35:J35" si="9">G12</f>
        <v>0</v>
      </c>
      <c r="H35" s="127">
        <f t="shared" si="9"/>
        <v>1772268</v>
      </c>
      <c r="I35" s="127">
        <f t="shared" si="9"/>
        <v>10047176</v>
      </c>
      <c r="J35" s="127">
        <f t="shared" si="9"/>
        <v>0</v>
      </c>
    </row>
    <row r="36" spans="2:10">
      <c r="C36" s="129"/>
      <c r="D36" s="129"/>
      <c r="E36" s="129"/>
      <c r="F36" s="129"/>
      <c r="G36" s="129"/>
      <c r="H36" s="129"/>
      <c r="I36" s="129"/>
      <c r="J36" s="129"/>
    </row>
    <row r="37" spans="2:10">
      <c r="B37" s="4" t="s">
        <v>17</v>
      </c>
      <c r="C37" s="127">
        <f>SUM(D37:J37)</f>
        <v>291251513.11563027</v>
      </c>
      <c r="D37" s="127">
        <f t="shared" ref="D37:J37" si="10">SUM(D31:D35)</f>
        <v>136543272.85768002</v>
      </c>
      <c r="E37" s="127">
        <f>SUM(E31:E35)</f>
        <v>65889009.77595</v>
      </c>
      <c r="F37" s="127">
        <f t="shared" si="10"/>
        <v>0</v>
      </c>
      <c r="G37" s="127">
        <f t="shared" si="10"/>
        <v>2692866.4820002159</v>
      </c>
      <c r="H37" s="127">
        <f>SUM(H31:H35)</f>
        <v>32193352</v>
      </c>
      <c r="I37" s="127">
        <f>SUM(I31:I35)</f>
        <v>44305425</v>
      </c>
      <c r="J37" s="127">
        <f t="shared" si="10"/>
        <v>9627587</v>
      </c>
    </row>
    <row r="38" spans="2:10">
      <c r="B38" s="4" t="s">
        <v>18</v>
      </c>
      <c r="C38" s="130">
        <f>SUM(D38:J38)</f>
        <v>0</v>
      </c>
      <c r="D38" s="130">
        <f t="shared" ref="D38:J38" si="11">D15</f>
        <v>0</v>
      </c>
      <c r="E38" s="130">
        <f t="shared" si="11"/>
        <v>0</v>
      </c>
      <c r="F38" s="130">
        <f t="shared" si="11"/>
        <v>0</v>
      </c>
      <c r="G38" s="130">
        <f t="shared" si="11"/>
        <v>0</v>
      </c>
      <c r="H38" s="130">
        <f>H15</f>
        <v>0</v>
      </c>
      <c r="I38" s="130">
        <f t="shared" si="11"/>
        <v>0</v>
      </c>
      <c r="J38" s="130">
        <f t="shared" si="11"/>
        <v>0</v>
      </c>
    </row>
    <row r="39" spans="2:10">
      <c r="C39" s="127"/>
      <c r="D39" s="127"/>
      <c r="E39" s="127"/>
      <c r="F39" s="127"/>
      <c r="G39" s="127"/>
      <c r="H39" s="127"/>
      <c r="I39" s="127"/>
      <c r="J39" s="127"/>
    </row>
    <row r="40" spans="2:10">
      <c r="B40" s="4" t="s">
        <v>17</v>
      </c>
      <c r="C40" s="127">
        <f>SUM(D40:J40)</f>
        <v>291251513.11563027</v>
      </c>
      <c r="D40" s="127">
        <f t="shared" ref="D40:J40" si="12">D37+D38</f>
        <v>136543272.85768002</v>
      </c>
      <c r="E40" s="127">
        <f t="shared" si="12"/>
        <v>65889009.77595</v>
      </c>
      <c r="F40" s="127">
        <f t="shared" si="12"/>
        <v>0</v>
      </c>
      <c r="G40" s="127">
        <f t="shared" si="12"/>
        <v>2692866.4820002159</v>
      </c>
      <c r="H40" s="127">
        <f>H37+H38</f>
        <v>32193352</v>
      </c>
      <c r="I40" s="127">
        <f t="shared" si="12"/>
        <v>44305425</v>
      </c>
      <c r="J40" s="127">
        <f t="shared" si="12"/>
        <v>9627587</v>
      </c>
    </row>
    <row r="41" spans="2:10">
      <c r="B41" s="4" t="s">
        <v>19</v>
      </c>
      <c r="C41" s="130">
        <f>SUM(D41:J41)</f>
        <v>0</v>
      </c>
      <c r="D41" s="130">
        <f t="shared" ref="D41:J41" si="13">D18</f>
        <v>0</v>
      </c>
      <c r="E41" s="130">
        <f t="shared" si="13"/>
        <v>0</v>
      </c>
      <c r="F41" s="130">
        <f t="shared" si="13"/>
        <v>0</v>
      </c>
      <c r="G41" s="130">
        <f t="shared" si="13"/>
        <v>0</v>
      </c>
      <c r="H41" s="130">
        <f t="shared" si="13"/>
        <v>0</v>
      </c>
      <c r="I41" s="130">
        <f t="shared" si="13"/>
        <v>0</v>
      </c>
      <c r="J41" s="130">
        <f t="shared" si="13"/>
        <v>0</v>
      </c>
    </row>
    <row r="42" spans="2:10">
      <c r="C42" s="127"/>
      <c r="D42" s="127"/>
      <c r="E42" s="127"/>
      <c r="F42" s="127"/>
      <c r="G42" s="127"/>
      <c r="H42" s="127"/>
      <c r="I42" s="127"/>
      <c r="J42" s="127"/>
    </row>
    <row r="43" spans="2:10">
      <c r="B43" s="4" t="s">
        <v>20</v>
      </c>
      <c r="C43" s="127">
        <f>SUM(D43:J43)</f>
        <v>291251513.11563027</v>
      </c>
      <c r="D43" s="127">
        <f t="shared" ref="D43:J43" si="14">D40+D41</f>
        <v>136543272.85768002</v>
      </c>
      <c r="E43" s="127">
        <f t="shared" si="14"/>
        <v>65889009.77595</v>
      </c>
      <c r="F43" s="127">
        <f t="shared" si="14"/>
        <v>0</v>
      </c>
      <c r="G43" s="127">
        <f t="shared" si="14"/>
        <v>2692866.4820002159</v>
      </c>
      <c r="H43" s="127">
        <f>H40+H41</f>
        <v>32193352</v>
      </c>
      <c r="I43" s="127">
        <f>I40+I41</f>
        <v>44305425</v>
      </c>
      <c r="J43" s="127">
        <f t="shared" si="14"/>
        <v>9627587</v>
      </c>
    </row>
    <row r="44" spans="2:10">
      <c r="B44" s="4" t="s">
        <v>21</v>
      </c>
      <c r="C44" s="130">
        <f>SUM(D44:J44)</f>
        <v>-379778</v>
      </c>
      <c r="D44" s="130">
        <f t="shared" ref="D44:J44" si="15">D21</f>
        <v>-436540</v>
      </c>
      <c r="E44" s="130">
        <f>E21+F21</f>
        <v>56762</v>
      </c>
      <c r="F44" s="130"/>
      <c r="G44" s="130">
        <f t="shared" si="15"/>
        <v>0</v>
      </c>
      <c r="H44" s="130">
        <f>H21</f>
        <v>0</v>
      </c>
      <c r="I44" s="130">
        <f t="shared" si="15"/>
        <v>0</v>
      </c>
      <c r="J44" s="130">
        <f t="shared" si="15"/>
        <v>0</v>
      </c>
    </row>
    <row r="45" spans="2:10">
      <c r="C45" s="127"/>
      <c r="D45" s="127"/>
      <c r="E45" s="127"/>
      <c r="F45" s="127"/>
      <c r="G45" s="127"/>
      <c r="H45" s="127"/>
      <c r="I45" s="127"/>
      <c r="J45" s="127"/>
    </row>
    <row r="46" spans="2:10">
      <c r="B46" s="4" t="s">
        <v>22</v>
      </c>
      <c r="C46" s="127">
        <f>IF(ROUND(SUM(C43:C44),3)&lt;&gt;ROUND(SUM(D46:J46),3),#VALUE!,SUM(D46:J46))</f>
        <v>290871735.11563027</v>
      </c>
      <c r="D46" s="127">
        <f t="shared" ref="D46:J46" si="16">D43+D44</f>
        <v>136106732.85768002</v>
      </c>
      <c r="E46" s="127">
        <f t="shared" si="16"/>
        <v>65945771.77595</v>
      </c>
      <c r="F46" s="127">
        <f t="shared" si="16"/>
        <v>0</v>
      </c>
      <c r="G46" s="127">
        <f t="shared" si="16"/>
        <v>2692866.4820002159</v>
      </c>
      <c r="H46" s="127">
        <f>H43+H44</f>
        <v>32193352</v>
      </c>
      <c r="I46" s="127">
        <f t="shared" si="16"/>
        <v>44305425</v>
      </c>
      <c r="J46" s="127">
        <f t="shared" si="16"/>
        <v>9627587</v>
      </c>
    </row>
    <row r="47" spans="2:10">
      <c r="C47" s="127"/>
      <c r="D47" s="127"/>
      <c r="E47" s="127"/>
      <c r="F47" s="127"/>
      <c r="G47" s="127"/>
      <c r="H47" s="127"/>
      <c r="I47" s="127"/>
      <c r="J47" s="127"/>
    </row>
    <row r="48" spans="2:10">
      <c r="B48" s="4" t="s">
        <v>23</v>
      </c>
      <c r="C48" s="127"/>
      <c r="D48" s="127">
        <f t="shared" ref="D48:F49" si="17">D25</f>
        <v>2077306</v>
      </c>
      <c r="E48" s="127">
        <f t="shared" si="17"/>
        <v>0</v>
      </c>
      <c r="F48" s="127">
        <f t="shared" si="17"/>
        <v>0</v>
      </c>
      <c r="G48" s="127">
        <f>G25</f>
        <v>48</v>
      </c>
      <c r="H48" s="127">
        <f>H25</f>
        <v>420</v>
      </c>
      <c r="I48" s="127">
        <f>I25</f>
        <v>36</v>
      </c>
      <c r="J48" s="127">
        <f>J25</f>
        <v>12</v>
      </c>
    </row>
    <row r="49" spans="1:15">
      <c r="B49" s="4" t="s">
        <v>155</v>
      </c>
      <c r="C49" s="127"/>
      <c r="D49" s="127">
        <f t="shared" si="17"/>
        <v>0</v>
      </c>
      <c r="E49" s="127">
        <f>'Bill Determ'!H17</f>
        <v>41579</v>
      </c>
      <c r="F49" s="127"/>
      <c r="G49" s="127"/>
      <c r="H49" s="127"/>
      <c r="I49" s="127"/>
      <c r="J49" s="127"/>
    </row>
    <row r="50" spans="1:15">
      <c r="C50" s="6"/>
      <c r="D50" s="52"/>
      <c r="E50" s="52">
        <v>2</v>
      </c>
      <c r="F50" s="52">
        <v>3</v>
      </c>
      <c r="G50" s="52">
        <v>4</v>
      </c>
      <c r="H50" s="52">
        <v>5</v>
      </c>
      <c r="I50" s="52">
        <v>6</v>
      </c>
      <c r="J50" s="52">
        <v>7</v>
      </c>
    </row>
    <row r="51" spans="1:15">
      <c r="C51" s="6"/>
      <c r="D51" s="204"/>
      <c r="E51" s="204"/>
      <c r="F51" s="204"/>
      <c r="G51" s="204"/>
      <c r="H51" s="204"/>
      <c r="I51" s="6"/>
    </row>
    <row r="52" spans="1:15">
      <c r="C52" s="6"/>
      <c r="J52" s="1" t="s">
        <v>5</v>
      </c>
    </row>
    <row r="53" spans="1:15" s="1" customFormat="1">
      <c r="A53" s="122" t="s">
        <v>185</v>
      </c>
      <c r="C53" s="1" t="s">
        <v>0</v>
      </c>
      <c r="D53" s="1" t="s">
        <v>1</v>
      </c>
      <c r="E53" s="1" t="s">
        <v>2</v>
      </c>
      <c r="F53" s="1" t="s">
        <v>3</v>
      </c>
      <c r="G53" s="1" t="s">
        <v>4</v>
      </c>
      <c r="H53" s="1" t="s">
        <v>5</v>
      </c>
      <c r="I53" s="1" t="s">
        <v>5</v>
      </c>
      <c r="J53" s="27" t="s">
        <v>388</v>
      </c>
      <c r="M53" s="109" t="str">
        <f ca="1">"selected in cell "&amp;CELL("address",Base1_Billing2)&amp;":"</f>
        <v>selected in cell $O$8:</v>
      </c>
    </row>
    <row r="54" spans="1:15" s="1" customFormat="1">
      <c r="A54" s="122" t="s">
        <v>186</v>
      </c>
      <c r="B54" s="2"/>
      <c r="C54" s="2" t="s">
        <v>6</v>
      </c>
      <c r="D54" s="2" t="s">
        <v>7</v>
      </c>
      <c r="E54" s="2" t="s">
        <v>24</v>
      </c>
      <c r="F54" s="2" t="s">
        <v>25</v>
      </c>
      <c r="G54" s="2" t="s">
        <v>26</v>
      </c>
      <c r="H54" s="2" t="s">
        <v>11</v>
      </c>
      <c r="I54" s="2" t="s">
        <v>54</v>
      </c>
      <c r="J54" s="2" t="s">
        <v>57</v>
      </c>
      <c r="M54" s="111" t="str">
        <f>O10</f>
        <v>Base</v>
      </c>
    </row>
    <row r="55" spans="1:15" ht="12.75">
      <c r="B55" s="57" t="s">
        <v>27</v>
      </c>
      <c r="I55" s="7">
        <v>-1</v>
      </c>
      <c r="J55" s="7">
        <v>-2</v>
      </c>
      <c r="M55" s="109" t="str">
        <f>"Rates_"&amp;$M$54&amp;"_Present"</f>
        <v>Rates_Base_Present</v>
      </c>
      <c r="O55" s="112" t="s">
        <v>170</v>
      </c>
    </row>
    <row r="56" spans="1:15" ht="11.25" customHeight="1">
      <c r="A56" s="191"/>
      <c r="B56" s="4" t="s">
        <v>28</v>
      </c>
      <c r="D56" s="64">
        <f ca="1">INDEX(INDIRECT($M$55),$K56,D$50)</f>
        <v>9.5</v>
      </c>
      <c r="E56" s="64">
        <f t="shared" ref="D56:H57" ca="1" si="18">INDEX(INDIRECT($M$55),$K56,E$50)</f>
        <v>0</v>
      </c>
      <c r="F56" s="64">
        <f t="shared" ca="1" si="18"/>
        <v>0</v>
      </c>
      <c r="G56" s="64">
        <f t="shared" ca="1" si="18"/>
        <v>0</v>
      </c>
      <c r="H56" s="64">
        <f t="shared" ca="1" si="18"/>
        <v>700</v>
      </c>
      <c r="I56" s="494">
        <v>200</v>
      </c>
      <c r="J56" s="494">
        <v>26332</v>
      </c>
      <c r="K56" s="113">
        <v>1</v>
      </c>
      <c r="M56" s="109" t="str">
        <f>"Rates_"&amp;$M$54&amp;"_Proposed"</f>
        <v>Rates_Base_Proposed</v>
      </c>
      <c r="O56" s="112" t="s">
        <v>171</v>
      </c>
    </row>
    <row r="57" spans="1:15" ht="11.25" customHeight="1">
      <c r="A57" s="191"/>
      <c r="B57" s="4" t="s">
        <v>361</v>
      </c>
      <c r="D57" s="64">
        <f t="shared" ca="1" si="18"/>
        <v>0</v>
      </c>
      <c r="E57" s="64">
        <f t="shared" ca="1" si="18"/>
        <v>130.58000000000001</v>
      </c>
      <c r="F57" s="64">
        <f t="shared" ca="1" si="18"/>
        <v>0</v>
      </c>
      <c r="G57" s="64">
        <f t="shared" ca="1" si="18"/>
        <v>0</v>
      </c>
      <c r="H57" s="327"/>
      <c r="I57" s="494">
        <v>0</v>
      </c>
      <c r="J57" s="494">
        <v>0</v>
      </c>
      <c r="K57" s="113">
        <v>2</v>
      </c>
    </row>
    <row r="58" spans="1:15" ht="11.25" customHeight="1">
      <c r="I58" s="495"/>
      <c r="J58" s="495"/>
    </row>
    <row r="59" spans="1:15" ht="11.25" customHeight="1">
      <c r="A59" s="191"/>
      <c r="B59" s="4" t="s">
        <v>30</v>
      </c>
      <c r="D59" s="65">
        <f t="shared" ref="D59:H63" ca="1" si="19">INDEX(INDIRECT($M$55),$K59,D$50)</f>
        <v>50.668999999999997</v>
      </c>
      <c r="E59" s="65">
        <f ca="1">INDEX(INDIRECT($M$55),$K59,E$50)</f>
        <v>0</v>
      </c>
      <c r="F59" s="65">
        <f t="shared" ca="1" si="19"/>
        <v>0</v>
      </c>
      <c r="G59" s="65">
        <f t="shared" ca="1" si="19"/>
        <v>30.317</v>
      </c>
      <c r="H59" s="65">
        <f t="shared" ca="1" si="19"/>
        <v>12.43</v>
      </c>
      <c r="I59" s="496">
        <v>2.8</v>
      </c>
      <c r="J59" s="496">
        <v>1</v>
      </c>
      <c r="K59" s="113">
        <v>3</v>
      </c>
    </row>
    <row r="60" spans="1:15" ht="11.25" customHeight="1">
      <c r="A60" s="191"/>
      <c r="B60" s="4" t="s">
        <v>31</v>
      </c>
      <c r="D60" s="65">
        <f t="shared" ca="1" si="19"/>
        <v>65.852999999999994</v>
      </c>
      <c r="E60" s="65">
        <f t="shared" ca="1" si="19"/>
        <v>38.764000000000003</v>
      </c>
      <c r="F60" s="65">
        <f t="shared" ca="1" si="19"/>
        <v>0</v>
      </c>
      <c r="G60" s="65">
        <f t="shared" ca="1" si="19"/>
        <v>24.337</v>
      </c>
      <c r="H60" s="65">
        <f t="shared" ca="1" si="19"/>
        <v>11.058</v>
      </c>
      <c r="I60" s="496">
        <v>4.5</v>
      </c>
      <c r="J60" s="496">
        <v>0</v>
      </c>
      <c r="K60" s="113">
        <v>4</v>
      </c>
    </row>
    <row r="61" spans="1:15" ht="11.25" customHeight="1">
      <c r="A61" s="191"/>
      <c r="B61" s="4" t="s">
        <v>32</v>
      </c>
      <c r="D61" s="65">
        <f t="shared" ca="1" si="19"/>
        <v>0</v>
      </c>
      <c r="E61" s="65">
        <f t="shared" ca="1" si="19"/>
        <v>29.547000000000001</v>
      </c>
      <c r="F61" s="65">
        <f t="shared" ca="1" si="19"/>
        <v>0</v>
      </c>
      <c r="G61" s="65">
        <f t="shared" ca="1" si="19"/>
        <v>22.869</v>
      </c>
      <c r="H61" s="65">
        <f t="shared" ca="1" si="19"/>
        <v>9.9710000000000001</v>
      </c>
      <c r="I61" s="496"/>
      <c r="J61" s="496">
        <v>0</v>
      </c>
      <c r="K61" s="113">
        <v>5</v>
      </c>
    </row>
    <row r="62" spans="1:15" ht="11.25" customHeight="1">
      <c r="A62" s="191"/>
      <c r="B62" s="4" t="s">
        <v>33</v>
      </c>
      <c r="D62" s="65">
        <f t="shared" ca="1" si="19"/>
        <v>0</v>
      </c>
      <c r="E62" s="65">
        <f t="shared" ca="1" si="19"/>
        <v>25.210999999999999</v>
      </c>
      <c r="F62" s="65">
        <f t="shared" ca="1" si="19"/>
        <v>0</v>
      </c>
      <c r="G62" s="65">
        <f t="shared" ca="1" si="19"/>
        <v>20.433</v>
      </c>
      <c r="H62" s="65">
        <f t="shared" ca="1" si="19"/>
        <v>9.2210000000000001</v>
      </c>
      <c r="I62" s="496">
        <v>2.5</v>
      </c>
      <c r="J62" s="496">
        <v>0</v>
      </c>
      <c r="K62" s="113">
        <v>6</v>
      </c>
    </row>
    <row r="63" spans="1:15" ht="11.25" customHeight="1">
      <c r="A63" s="191"/>
      <c r="B63" s="4" t="s">
        <v>56</v>
      </c>
      <c r="D63" s="65">
        <f t="shared" ca="1" si="19"/>
        <v>0</v>
      </c>
      <c r="E63" s="65">
        <f t="shared" ca="1" si="19"/>
        <v>17.686</v>
      </c>
      <c r="F63" s="65">
        <f t="shared" ca="1" si="19"/>
        <v>0</v>
      </c>
      <c r="G63" s="65">
        <f t="shared" ca="1" si="19"/>
        <v>0</v>
      </c>
      <c r="H63" s="65">
        <f t="shared" ca="1" si="19"/>
        <v>6.93</v>
      </c>
      <c r="I63" s="496">
        <v>2.0910000000000002</v>
      </c>
      <c r="J63" s="496">
        <v>0</v>
      </c>
      <c r="K63" s="113">
        <v>7</v>
      </c>
    </row>
    <row r="64" spans="1:15">
      <c r="D64" s="65"/>
      <c r="E64" s="65"/>
      <c r="F64" s="65"/>
      <c r="G64" s="65"/>
      <c r="H64" s="65"/>
      <c r="I64" s="65"/>
      <c r="J64" s="65"/>
    </row>
    <row r="65" spans="1:11">
      <c r="B65" s="4" t="s">
        <v>34</v>
      </c>
      <c r="D65" s="274">
        <f ca="1">(D118-D106-D107)/D17*100</f>
        <v>56.846274924802486</v>
      </c>
      <c r="E65" s="65">
        <f ca="1">(E118-E106-E107)/E17*100</f>
        <v>27.908527268096844</v>
      </c>
      <c r="F65" s="65"/>
      <c r="G65" s="65">
        <f ca="1">(G118-G106-G107)/G17*100</f>
        <v>23.743351342287188</v>
      </c>
      <c r="H65" s="274">
        <f ca="1">(H118-H106-H107)/H17*100</f>
        <v>10.530620297010387</v>
      </c>
      <c r="I65" s="65"/>
      <c r="J65" s="65"/>
    </row>
    <row r="66" spans="1:11">
      <c r="D66" s="8"/>
      <c r="E66" s="8"/>
      <c r="F66" s="8"/>
      <c r="G66" s="8"/>
      <c r="H66" s="8"/>
      <c r="I66" s="8"/>
      <c r="J66" s="8"/>
    </row>
    <row r="67" spans="1:11">
      <c r="A67" s="4"/>
    </row>
    <row r="68" spans="1:11">
      <c r="A68" s="4"/>
    </row>
    <row r="69" spans="1:11">
      <c r="A69" s="4"/>
    </row>
    <row r="70" spans="1:11">
      <c r="D70" s="8"/>
      <c r="E70" s="8"/>
      <c r="F70" s="8"/>
      <c r="G70" s="8"/>
      <c r="H70" s="8"/>
      <c r="I70" s="8"/>
      <c r="J70" s="8"/>
    </row>
    <row r="71" spans="1:11">
      <c r="D71" s="8"/>
      <c r="E71" s="8"/>
      <c r="F71" s="8"/>
      <c r="G71" s="8"/>
      <c r="H71" s="8"/>
      <c r="I71" s="8"/>
      <c r="J71" s="8"/>
    </row>
    <row r="72" spans="1:11">
      <c r="D72" s="8"/>
      <c r="E72" s="8"/>
      <c r="F72" s="8"/>
      <c r="G72" s="8"/>
      <c r="H72" s="8"/>
      <c r="I72" s="8"/>
      <c r="J72" s="8"/>
    </row>
    <row r="73" spans="1:11" ht="12.75">
      <c r="B73" s="57" t="s">
        <v>35</v>
      </c>
      <c r="I73" s="497"/>
      <c r="J73" s="497"/>
    </row>
    <row r="74" spans="1:11">
      <c r="B74" s="4" t="s">
        <v>28</v>
      </c>
      <c r="D74" s="64">
        <f ca="1">INDEX(INDIRECT($M$56),$K74,D$50)</f>
        <v>9.5</v>
      </c>
      <c r="E74" s="64">
        <f t="shared" ref="D74:H75" ca="1" si="20">INDEX(INDIRECT($M$56),$K74,E$50)</f>
        <v>0</v>
      </c>
      <c r="F74" s="64">
        <f t="shared" ca="1" si="20"/>
        <v>0</v>
      </c>
      <c r="G74" s="64">
        <f t="shared" ca="1" si="20"/>
        <v>0</v>
      </c>
      <c r="H74" s="64">
        <f t="shared" ca="1" si="20"/>
        <v>700</v>
      </c>
      <c r="I74" s="494">
        <v>200</v>
      </c>
      <c r="J74" s="494">
        <v>26332</v>
      </c>
      <c r="K74" s="113">
        <v>1</v>
      </c>
    </row>
    <row r="75" spans="1:11">
      <c r="B75" s="4" t="s">
        <v>29</v>
      </c>
      <c r="D75" s="64">
        <f t="shared" ca="1" si="20"/>
        <v>0</v>
      </c>
      <c r="E75" s="64">
        <f t="shared" ca="1" si="20"/>
        <v>130.58000000000001</v>
      </c>
      <c r="F75" s="64">
        <f t="shared" ca="1" si="20"/>
        <v>0</v>
      </c>
      <c r="G75" s="64">
        <f t="shared" ca="1" si="20"/>
        <v>0</v>
      </c>
      <c r="H75" s="64">
        <f t="shared" ca="1" si="20"/>
        <v>0</v>
      </c>
      <c r="I75" s="494">
        <v>0</v>
      </c>
      <c r="J75" s="494">
        <v>0</v>
      </c>
      <c r="K75" s="113">
        <v>2</v>
      </c>
    </row>
    <row r="76" spans="1:11">
      <c r="I76" s="495"/>
      <c r="J76" s="495"/>
    </row>
    <row r="77" spans="1:11">
      <c r="B77" s="4" t="s">
        <v>30</v>
      </c>
      <c r="D77" s="65">
        <f ca="1">INDEX(INDIRECT($M$56),$K77,D$50)</f>
        <v>50.668999999999997</v>
      </c>
      <c r="E77" s="65">
        <f t="shared" ref="D77:H81" ca="1" si="21">INDEX(INDIRECT($M$56),$K77,E$50)</f>
        <v>0</v>
      </c>
      <c r="F77" s="65">
        <f t="shared" ca="1" si="21"/>
        <v>0</v>
      </c>
      <c r="G77" s="65">
        <f t="shared" ca="1" si="21"/>
        <v>30.317</v>
      </c>
      <c r="H77" s="65">
        <f t="shared" ca="1" si="21"/>
        <v>12.43</v>
      </c>
      <c r="I77" s="496">
        <v>2.8</v>
      </c>
      <c r="J77" s="496">
        <v>1</v>
      </c>
      <c r="K77" s="113">
        <v>3</v>
      </c>
    </row>
    <row r="78" spans="1:11">
      <c r="B78" s="4" t="s">
        <v>31</v>
      </c>
      <c r="D78" s="274">
        <f ca="1">INDEX(INDIRECT($M$56),$K78,D$50)</f>
        <v>65.852999999999994</v>
      </c>
      <c r="E78" s="65">
        <f t="shared" ca="1" si="21"/>
        <v>38.764000000000003</v>
      </c>
      <c r="F78" s="65">
        <f t="shared" ca="1" si="21"/>
        <v>0</v>
      </c>
      <c r="G78" s="65">
        <f t="shared" ca="1" si="21"/>
        <v>24.337</v>
      </c>
      <c r="H78" s="65">
        <f t="shared" ca="1" si="21"/>
        <v>11.058</v>
      </c>
      <c r="I78" s="496">
        <v>4.5</v>
      </c>
      <c r="J78" s="496">
        <v>0</v>
      </c>
      <c r="K78" s="113">
        <v>4</v>
      </c>
    </row>
    <row r="79" spans="1:11">
      <c r="B79" s="4" t="s">
        <v>32</v>
      </c>
      <c r="D79" s="65">
        <f t="shared" ca="1" si="21"/>
        <v>0</v>
      </c>
      <c r="E79" s="65">
        <f t="shared" ca="1" si="21"/>
        <v>29.547000000000001</v>
      </c>
      <c r="F79" s="65">
        <f t="shared" ca="1" si="21"/>
        <v>0</v>
      </c>
      <c r="G79" s="65">
        <f t="shared" ca="1" si="21"/>
        <v>22.869</v>
      </c>
      <c r="H79" s="65">
        <f t="shared" ca="1" si="21"/>
        <v>9.9710000000000001</v>
      </c>
      <c r="I79" s="496"/>
      <c r="J79" s="496">
        <v>0</v>
      </c>
      <c r="K79" s="113">
        <v>5</v>
      </c>
    </row>
    <row r="80" spans="1:11">
      <c r="B80" s="4" t="s">
        <v>33</v>
      </c>
      <c r="D80" s="65">
        <f t="shared" ca="1" si="21"/>
        <v>0</v>
      </c>
      <c r="E80" s="65">
        <f t="shared" ca="1" si="21"/>
        <v>25.210999999999999</v>
      </c>
      <c r="F80" s="65">
        <f t="shared" ca="1" si="21"/>
        <v>0</v>
      </c>
      <c r="G80" s="65">
        <f t="shared" ca="1" si="21"/>
        <v>20.433</v>
      </c>
      <c r="H80" s="65">
        <f t="shared" ca="1" si="21"/>
        <v>9.2210000000000001</v>
      </c>
      <c r="I80" s="496">
        <v>2.5</v>
      </c>
      <c r="J80" s="496">
        <v>0</v>
      </c>
      <c r="K80" s="113">
        <v>6</v>
      </c>
    </row>
    <row r="81" spans="1:11">
      <c r="B81" s="4" t="s">
        <v>56</v>
      </c>
      <c r="D81" s="65">
        <f t="shared" ca="1" si="21"/>
        <v>0</v>
      </c>
      <c r="E81" s="65">
        <f t="shared" ca="1" si="21"/>
        <v>17.686</v>
      </c>
      <c r="F81" s="65">
        <f t="shared" ca="1" si="21"/>
        <v>0</v>
      </c>
      <c r="G81" s="65">
        <f t="shared" ca="1" si="21"/>
        <v>0</v>
      </c>
      <c r="H81" s="65">
        <f t="shared" ca="1" si="21"/>
        <v>6.93</v>
      </c>
      <c r="I81" s="496">
        <v>2.0910000000000002</v>
      </c>
      <c r="J81" s="496">
        <v>0</v>
      </c>
      <c r="K81" s="113">
        <v>7</v>
      </c>
    </row>
    <row r="82" spans="1:11">
      <c r="D82" s="65"/>
      <c r="E82" s="65"/>
      <c r="F82" s="65"/>
      <c r="G82" s="65"/>
      <c r="H82" s="65"/>
      <c r="I82" s="498"/>
      <c r="J82" s="498"/>
    </row>
    <row r="83" spans="1:11">
      <c r="B83" s="4" t="s">
        <v>34</v>
      </c>
      <c r="D83" s="274">
        <f ca="1">(D167-D155-D156)/D40*100</f>
        <v>56.846274924802486</v>
      </c>
      <c r="E83" s="65">
        <f ca="1">(E167-E155-E156)/E40*100</f>
        <v>27.908527268096844</v>
      </c>
      <c r="F83" s="65"/>
      <c r="G83" s="65">
        <f ca="1">(G167-G155-G156)/G40*100</f>
        <v>23.743351342287188</v>
      </c>
      <c r="H83" s="274">
        <f ca="1">(H167-H155-H156)/H40*100</f>
        <v>10.530620297010387</v>
      </c>
      <c r="I83" s="498"/>
      <c r="J83" s="498"/>
    </row>
    <row r="84" spans="1:11">
      <c r="D84" s="8"/>
      <c r="E84" s="8"/>
      <c r="F84" s="8"/>
      <c r="G84" s="8"/>
      <c r="H84" s="8"/>
      <c r="I84" s="499"/>
      <c r="J84" s="499"/>
    </row>
    <row r="85" spans="1:11">
      <c r="A85" s="4"/>
    </row>
    <row r="86" spans="1:11">
      <c r="A86" s="4"/>
      <c r="B86" s="9"/>
    </row>
    <row r="87" spans="1:11">
      <c r="B87" s="497" t="s">
        <v>529</v>
      </c>
      <c r="C87" s="497"/>
      <c r="D87" s="499"/>
      <c r="E87" s="499"/>
      <c r="F87" s="8"/>
      <c r="G87" s="8"/>
      <c r="H87" s="8"/>
      <c r="I87" s="8"/>
      <c r="J87" s="8"/>
    </row>
    <row r="88" spans="1:11">
      <c r="B88" s="497" t="s">
        <v>530</v>
      </c>
      <c r="C88" s="497"/>
      <c r="D88" s="499"/>
      <c r="E88" s="499"/>
      <c r="F88" s="8"/>
      <c r="G88" s="8"/>
      <c r="H88" s="8"/>
      <c r="I88" s="8"/>
      <c r="J88" s="8"/>
    </row>
    <row r="89" spans="1:11">
      <c r="B89" s="497"/>
      <c r="C89" s="497"/>
      <c r="D89" s="499"/>
      <c r="E89" s="499"/>
      <c r="F89" s="8"/>
      <c r="G89" s="8"/>
      <c r="H89" s="8"/>
      <c r="I89" s="8"/>
      <c r="J89" s="8"/>
    </row>
    <row r="90" spans="1:11">
      <c r="B90" s="497" t="s">
        <v>531</v>
      </c>
      <c r="C90" s="497"/>
      <c r="D90" s="499"/>
      <c r="E90" s="499"/>
      <c r="F90" s="8"/>
      <c r="G90" s="8"/>
      <c r="H90" s="8"/>
      <c r="I90" s="8"/>
      <c r="J90" s="8"/>
    </row>
    <row r="91" spans="1:11">
      <c r="B91" s="497" t="s">
        <v>532</v>
      </c>
      <c r="C91" s="497"/>
      <c r="D91" s="499"/>
      <c r="E91" s="499"/>
      <c r="F91" s="8"/>
      <c r="G91" s="8"/>
      <c r="H91" s="8"/>
      <c r="I91" s="8"/>
      <c r="J91" s="8"/>
    </row>
    <row r="92" spans="1:11">
      <c r="B92" s="497"/>
      <c r="C92" s="497"/>
      <c r="D92" s="499"/>
      <c r="E92" s="499"/>
      <c r="F92" s="8"/>
      <c r="G92" s="8"/>
      <c r="H92" s="8"/>
      <c r="I92" s="8"/>
      <c r="J92" s="8"/>
    </row>
    <row r="93" spans="1:11">
      <c r="B93" s="497" t="s">
        <v>533</v>
      </c>
      <c r="C93" s="497"/>
      <c r="D93" s="499"/>
      <c r="E93" s="499"/>
      <c r="F93" s="8"/>
      <c r="G93" s="8"/>
      <c r="H93" s="8"/>
      <c r="I93" s="8"/>
      <c r="J93" s="8"/>
    </row>
    <row r="97" spans="1:10">
      <c r="B97" s="9" t="str">
        <f>"Note: Rates exclude Sch. 150 (Purch. Gas Cost Adj.)"&amp;IF(Base1_Billing2=2,"Sch. 150 (Purch. Gas Cost Adj.), Sch. 155 (Gas Rate Adj.), and Sch. 191 (Public Purp. Rider Adj.)","")</f>
        <v>Note: Rates exclude Sch. 150 (Purch. Gas Cost Adj.)</v>
      </c>
    </row>
    <row r="101" spans="1:10">
      <c r="J101" s="1" t="s">
        <v>5</v>
      </c>
    </row>
    <row r="102" spans="1:10" s="1" customFormat="1">
      <c r="A102" s="122" t="s">
        <v>185</v>
      </c>
      <c r="C102" s="1" t="s">
        <v>0</v>
      </c>
      <c r="D102" s="1" t="s">
        <v>1</v>
      </c>
      <c r="E102" s="1" t="s">
        <v>2</v>
      </c>
      <c r="F102" s="1" t="s">
        <v>3</v>
      </c>
      <c r="G102" s="1" t="s">
        <v>4</v>
      </c>
      <c r="H102" s="1" t="s">
        <v>5</v>
      </c>
      <c r="I102" s="1" t="s">
        <v>5</v>
      </c>
      <c r="J102" s="27" t="s">
        <v>388</v>
      </c>
    </row>
    <row r="103" spans="1:10" s="1" customFormat="1">
      <c r="A103" s="122" t="s">
        <v>186</v>
      </c>
      <c r="B103" s="2"/>
      <c r="C103" s="2" t="s">
        <v>6</v>
      </c>
      <c r="D103" s="2" t="s">
        <v>7</v>
      </c>
      <c r="E103" s="2" t="s">
        <v>24</v>
      </c>
      <c r="F103" s="2" t="s">
        <v>25</v>
      </c>
      <c r="G103" s="2" t="s">
        <v>26</v>
      </c>
      <c r="H103" s="2" t="s">
        <v>11</v>
      </c>
      <c r="I103" s="2" t="s">
        <v>54</v>
      </c>
      <c r="J103" s="2" t="s">
        <v>57</v>
      </c>
    </row>
    <row r="104" spans="1:10" ht="12.75">
      <c r="B104" s="57" t="s">
        <v>36</v>
      </c>
      <c r="C104" s="10"/>
      <c r="D104" s="10"/>
      <c r="E104" s="10"/>
      <c r="F104" s="10"/>
      <c r="G104" s="10"/>
      <c r="H104" s="10"/>
      <c r="I104" s="10"/>
      <c r="J104" s="10"/>
    </row>
    <row r="105" spans="1:10">
      <c r="B105" s="4" t="str">
        <f>UPPER(CHOOSE(Base1_Billing2,$O$9,$O$10))&amp;" REVENUE"</f>
        <v>BASE TARIFF REVENUE</v>
      </c>
      <c r="C105" s="10"/>
      <c r="D105" s="10"/>
      <c r="E105" s="10"/>
      <c r="F105" s="10"/>
      <c r="G105" s="10"/>
      <c r="H105" s="10"/>
      <c r="I105" s="10"/>
      <c r="J105" s="10"/>
    </row>
    <row r="106" spans="1:10">
      <c r="B106" s="117" t="s">
        <v>28</v>
      </c>
      <c r="C106" s="11">
        <f ca="1">SUM(D106:J106)</f>
        <v>20351591</v>
      </c>
      <c r="D106" s="123">
        <f ca="1">D25*D56</f>
        <v>19734407</v>
      </c>
      <c r="E106" s="123">
        <f t="shared" ref="E106:G106" ca="1" si="22">E25*E56</f>
        <v>0</v>
      </c>
      <c r="F106" s="123">
        <f t="shared" ca="1" si="22"/>
        <v>0</v>
      </c>
      <c r="G106" s="123">
        <f t="shared" ca="1" si="22"/>
        <v>0</v>
      </c>
      <c r="H106" s="123">
        <f ca="1">H25*H56</f>
        <v>294000</v>
      </c>
      <c r="I106" s="123">
        <f>I25*I56</f>
        <v>7200</v>
      </c>
      <c r="J106" s="123">
        <f>J25*J56</f>
        <v>315984</v>
      </c>
    </row>
    <row r="107" spans="1:10">
      <c r="B107" s="117" t="s">
        <v>361</v>
      </c>
      <c r="C107" s="182">
        <f t="shared" ref="C107:C113" ca="1" si="23">SUM(D107:J107)</f>
        <v>5479044.5334999999</v>
      </c>
      <c r="D107" s="127">
        <f ca="1">D26*D57</f>
        <v>0</v>
      </c>
      <c r="E107" s="127">
        <f ca="1">E26*E57</f>
        <v>5429385.8200000003</v>
      </c>
      <c r="F107" s="127">
        <f t="shared" ref="F107:J107" ca="1" si="24">F26*F57</f>
        <v>0</v>
      </c>
      <c r="G107" s="127">
        <f t="shared" ca="1" si="24"/>
        <v>0</v>
      </c>
      <c r="H107" s="127">
        <f>'Big Schedules'!W44</f>
        <v>49658.713499999998</v>
      </c>
      <c r="I107" s="127">
        <f t="shared" si="24"/>
        <v>0</v>
      </c>
      <c r="J107" s="127">
        <f t="shared" si="24"/>
        <v>0</v>
      </c>
    </row>
    <row r="108" spans="1:10">
      <c r="B108" s="117" t="s">
        <v>13</v>
      </c>
      <c r="C108" s="182">
        <f t="shared" ca="1" si="23"/>
        <v>42832303.780000001</v>
      </c>
      <c r="D108" s="127">
        <f ca="1">ROUND(D8*D59/100,2)</f>
        <v>41038677.100000001</v>
      </c>
      <c r="E108" s="127">
        <f ca="1">ROUND(E8*E59/100,2)</f>
        <v>0</v>
      </c>
      <c r="F108" s="127">
        <f ca="1">ROUND(F8*F59/100,2)</f>
        <v>0</v>
      </c>
      <c r="G108" s="127">
        <f t="shared" ref="D108:J110" ca="1" si="25">ROUND(G8*G59/100,2)</f>
        <v>145521.60000000001</v>
      </c>
      <c r="H108" s="127">
        <f t="shared" ca="1" si="25"/>
        <v>897189.32</v>
      </c>
      <c r="I108" s="127">
        <f>ROUND(I8*I59/100,2)</f>
        <v>654639.89</v>
      </c>
      <c r="J108" s="127">
        <f>ROUND(J8*J59/100,2)</f>
        <v>96275.87</v>
      </c>
    </row>
    <row r="109" spans="1:10">
      <c r="B109" s="117" t="s">
        <v>14</v>
      </c>
      <c r="C109" s="182">
        <f t="shared" ca="1" si="23"/>
        <v>44844644.130000003</v>
      </c>
      <c r="D109" s="127">
        <f t="shared" ca="1" si="25"/>
        <v>36581087.18</v>
      </c>
      <c r="E109" s="127">
        <f t="shared" ca="1" si="25"/>
        <v>7091856.0700000003</v>
      </c>
      <c r="F109" s="127">
        <f t="shared" ca="1" si="25"/>
        <v>0</v>
      </c>
      <c r="G109" s="127">
        <f t="shared" ca="1" si="25"/>
        <v>155968.92000000001</v>
      </c>
      <c r="H109" s="127">
        <f t="shared" ca="1" si="25"/>
        <v>783345.84</v>
      </c>
      <c r="I109" s="127">
        <f t="shared" si="25"/>
        <v>232386.12</v>
      </c>
      <c r="J109" s="127">
        <f t="shared" si="25"/>
        <v>0</v>
      </c>
    </row>
    <row r="110" spans="1:10">
      <c r="B110" s="117" t="s">
        <v>15</v>
      </c>
      <c r="C110" s="182">
        <f t="shared" ca="1" si="23"/>
        <v>10764108.32</v>
      </c>
      <c r="D110" s="127">
        <f t="shared" ca="1" si="25"/>
        <v>0</v>
      </c>
      <c r="E110" s="127">
        <f t="shared" ca="1" si="25"/>
        <v>9271967.6999999993</v>
      </c>
      <c r="F110" s="127">
        <f t="shared" ca="1" si="25"/>
        <v>0</v>
      </c>
      <c r="G110" s="127">
        <f t="shared" ca="1" si="25"/>
        <v>156595.57</v>
      </c>
      <c r="H110" s="127">
        <f t="shared" ca="1" si="25"/>
        <v>1335545.05</v>
      </c>
      <c r="I110" s="127">
        <f>ROUND(I10*I61/100,2)</f>
        <v>0</v>
      </c>
      <c r="J110" s="127">
        <f t="shared" si="25"/>
        <v>0</v>
      </c>
    </row>
    <row r="111" spans="1:10">
      <c r="B111" s="117" t="s">
        <v>16</v>
      </c>
      <c r="C111" s="182">
        <f t="shared" ca="1" si="23"/>
        <v>1902355.7599999998</v>
      </c>
      <c r="D111" s="127">
        <f t="shared" ref="D111:J111" ca="1" si="26">ROUND(D11*D62/100,2)</f>
        <v>0</v>
      </c>
      <c r="E111" s="127">
        <f t="shared" ca="1" si="26"/>
        <v>1326950.8899999999</v>
      </c>
      <c r="F111" s="127">
        <f t="shared" ca="1" si="26"/>
        <v>0</v>
      </c>
      <c r="G111" s="127">
        <f t="shared" ca="1" si="26"/>
        <v>181290.66</v>
      </c>
      <c r="H111" s="127">
        <f t="shared" ca="1" si="26"/>
        <v>251261.28</v>
      </c>
      <c r="I111" s="127">
        <f t="shared" si="26"/>
        <v>142852.93</v>
      </c>
      <c r="J111" s="127">
        <f t="shared" si="26"/>
        <v>0</v>
      </c>
    </row>
    <row r="112" spans="1:10">
      <c r="B112" s="117" t="s">
        <v>55</v>
      </c>
      <c r="C112" s="182">
        <f t="shared" ca="1" si="23"/>
        <v>1030782.22</v>
      </c>
      <c r="D112" s="127">
        <f t="shared" ref="D112:J112" ca="1" si="27">ROUND(D12*D63/100,2)</f>
        <v>0</v>
      </c>
      <c r="E112" s="127">
        <f t="shared" ca="1" si="27"/>
        <v>697877.6</v>
      </c>
      <c r="F112" s="127">
        <f t="shared" ca="1" si="27"/>
        <v>0</v>
      </c>
      <c r="G112" s="127">
        <f t="shared" ca="1" si="27"/>
        <v>0</v>
      </c>
      <c r="H112" s="127">
        <f t="shared" ca="1" si="27"/>
        <v>122818.17</v>
      </c>
      <c r="I112" s="127">
        <f t="shared" si="27"/>
        <v>210086.45</v>
      </c>
      <c r="J112" s="127">
        <f t="shared" si="27"/>
        <v>0</v>
      </c>
    </row>
    <row r="113" spans="1:10">
      <c r="B113" s="117" t="s">
        <v>172</v>
      </c>
      <c r="C113" s="182">
        <f t="shared" si="23"/>
        <v>0</v>
      </c>
      <c r="D113" s="127"/>
      <c r="E113" s="127"/>
      <c r="F113" s="127"/>
      <c r="G113" s="127"/>
      <c r="H113" s="127"/>
      <c r="I113" s="127"/>
      <c r="J113" s="200">
        <f>BFG!F11</f>
        <v>0</v>
      </c>
    </row>
    <row r="114" spans="1:10">
      <c r="A114" s="4"/>
      <c r="C114" s="116"/>
      <c r="D114" s="116"/>
      <c r="E114" s="116"/>
      <c r="F114" s="116"/>
      <c r="G114" s="116"/>
      <c r="H114" s="26"/>
      <c r="I114" s="116"/>
      <c r="J114" s="26"/>
    </row>
    <row r="115" spans="1:10">
      <c r="B115" s="4" t="s">
        <v>17</v>
      </c>
      <c r="C115" s="115">
        <f ca="1">IF(ROUND(SUM(D115:J115),3)&lt;&gt;ROUND(SUM(C106:C113),3),#VALUE!,SUM(D115:J115))</f>
        <v>127204829.74350001</v>
      </c>
      <c r="D115" s="19">
        <f t="shared" ref="D115:I115" ca="1" si="28">SUM(D106:D113)</f>
        <v>97354171.280000001</v>
      </c>
      <c r="E115" s="19">
        <f t="shared" ca="1" si="28"/>
        <v>23818038.080000002</v>
      </c>
      <c r="F115" s="19">
        <f t="shared" ca="1" si="28"/>
        <v>0</v>
      </c>
      <c r="G115" s="19">
        <f t="shared" ca="1" si="28"/>
        <v>639376.75</v>
      </c>
      <c r="H115" s="508">
        <f ca="1">SUM(H106:H113)</f>
        <v>3733818.3734999993</v>
      </c>
      <c r="I115" s="508">
        <f t="shared" si="28"/>
        <v>1247165.3899999999</v>
      </c>
      <c r="J115" s="508">
        <f>SUM(J106:J113)</f>
        <v>412259.87</v>
      </c>
    </row>
    <row r="116" spans="1:10">
      <c r="A116" s="4"/>
      <c r="B116" s="4" t="s">
        <v>18</v>
      </c>
      <c r="C116" s="177"/>
      <c r="D116" s="178"/>
      <c r="E116" s="178"/>
      <c r="F116" s="178"/>
      <c r="G116" s="178"/>
      <c r="H116" s="178"/>
      <c r="I116" s="178"/>
      <c r="J116" s="178"/>
    </row>
    <row r="117" spans="1:10">
      <c r="C117" s="11"/>
      <c r="D117" s="10"/>
      <c r="E117" s="10"/>
      <c r="F117" s="10"/>
      <c r="G117" s="10"/>
      <c r="H117" s="10"/>
      <c r="I117" s="10"/>
      <c r="J117" s="10"/>
    </row>
    <row r="118" spans="1:10">
      <c r="B118" s="4" t="s">
        <v>17</v>
      </c>
      <c r="C118" s="11">
        <f ca="1">SUM(D118:J118)</f>
        <v>127204829.74350001</v>
      </c>
      <c r="D118" s="10">
        <f t="shared" ref="D118:J118" ca="1" si="29">D115+D116</f>
        <v>97354171.280000001</v>
      </c>
      <c r="E118" s="10">
        <f t="shared" ca="1" si="29"/>
        <v>23818038.080000002</v>
      </c>
      <c r="F118" s="10">
        <f t="shared" ca="1" si="29"/>
        <v>0</v>
      </c>
      <c r="G118" s="10">
        <f t="shared" ca="1" si="29"/>
        <v>639376.75</v>
      </c>
      <c r="H118" s="10">
        <f ca="1">H115+H116</f>
        <v>3733818.3734999993</v>
      </c>
      <c r="I118" s="10">
        <f t="shared" si="29"/>
        <v>1247165.3899999999</v>
      </c>
      <c r="J118" s="10">
        <f t="shared" si="29"/>
        <v>412259.87</v>
      </c>
    </row>
    <row r="119" spans="1:10">
      <c r="B119" s="4" t="s">
        <v>37</v>
      </c>
      <c r="C119" s="179">
        <f ca="1">SUM(D119:J119)</f>
        <v>0</v>
      </c>
      <c r="D119" s="15">
        <f ca="1">ROUND(D18*D65/100,2)</f>
        <v>0</v>
      </c>
      <c r="E119" s="15">
        <f ca="1">ROUND(E18*E65/100,2)</f>
        <v>0</v>
      </c>
      <c r="F119" s="15"/>
      <c r="G119" s="15">
        <f t="shared" ref="G119:J119" ca="1" si="30">ROUND(G18*G65/100,2)</f>
        <v>0</v>
      </c>
      <c r="H119" s="15">
        <f t="shared" ca="1" si="30"/>
        <v>0</v>
      </c>
      <c r="I119" s="15">
        <f t="shared" si="30"/>
        <v>0</v>
      </c>
      <c r="J119" s="15">
        <f t="shared" si="30"/>
        <v>0</v>
      </c>
    </row>
    <row r="120" spans="1:10">
      <c r="C120" s="25"/>
      <c r="D120" s="26"/>
      <c r="E120" s="26"/>
      <c r="F120" s="26"/>
      <c r="G120" s="26"/>
      <c r="H120" s="26"/>
      <c r="I120" s="26"/>
      <c r="J120" s="26"/>
    </row>
    <row r="121" spans="1:10">
      <c r="B121" s="109" t="str">
        <f>"TOTAL "&amp;UPPER(CHOOSE(Base1_Billing2,$O$9,$O$10))&amp;" REVENUE"</f>
        <v>TOTAL BASE TARIFF REVENUE</v>
      </c>
      <c r="C121" s="11">
        <f ca="1">IF(ROUND(C118+C119,3)&lt;&gt;ROUND(SUM(D121:J121),3),#VALUE!,SUM(D121:J121))</f>
        <v>127204829.74350001</v>
      </c>
      <c r="D121" s="10">
        <f t="shared" ref="D121:J121" ca="1" si="31">D118+D119</f>
        <v>97354171.280000001</v>
      </c>
      <c r="E121" s="10">
        <f t="shared" ca="1" si="31"/>
        <v>23818038.080000002</v>
      </c>
      <c r="F121" s="10">
        <f t="shared" ca="1" si="31"/>
        <v>0</v>
      </c>
      <c r="G121" s="10">
        <f t="shared" ca="1" si="31"/>
        <v>639376.75</v>
      </c>
      <c r="H121" s="10">
        <f ca="1">H118+H119</f>
        <v>3733818.3734999993</v>
      </c>
      <c r="I121" s="10">
        <f t="shared" si="31"/>
        <v>1247165.3899999999</v>
      </c>
      <c r="J121" s="10">
        <f t="shared" si="31"/>
        <v>412259.87</v>
      </c>
    </row>
    <row r="124" spans="1:10">
      <c r="B124" s="109" t="s">
        <v>38</v>
      </c>
      <c r="C124" s="10"/>
      <c r="D124" s="10"/>
      <c r="E124" s="10"/>
      <c r="F124" s="10"/>
      <c r="G124" s="10"/>
      <c r="H124" s="10"/>
      <c r="I124" s="10"/>
      <c r="J124" s="10"/>
    </row>
    <row r="125" spans="1:10">
      <c r="B125" s="16" t="s">
        <v>39</v>
      </c>
      <c r="C125" s="10"/>
      <c r="D125" s="10"/>
      <c r="E125" s="10"/>
      <c r="F125" s="10"/>
      <c r="G125" s="218"/>
      <c r="H125" s="218"/>
      <c r="I125" s="10"/>
      <c r="J125" s="10"/>
    </row>
    <row r="126" spans="1:10" s="6" customFormat="1">
      <c r="A126" s="205"/>
      <c r="B126" s="118" t="s">
        <v>281</v>
      </c>
      <c r="C126" s="24">
        <f>SUM(D126:J126)</f>
        <v>-543151</v>
      </c>
      <c r="D126" s="360">
        <f>'12MEJUN23'!P208</f>
        <v>-480676</v>
      </c>
      <c r="E126" s="360">
        <f>'12MEJUN23'!P209+'12MEJUN23'!P210</f>
        <v>-62475</v>
      </c>
      <c r="F126" s="360"/>
      <c r="G126" s="219"/>
      <c r="H126" s="219"/>
    </row>
    <row r="127" spans="1:10" s="8" customFormat="1">
      <c r="A127" s="3"/>
      <c r="B127" s="119" t="s">
        <v>282</v>
      </c>
      <c r="C127" s="11"/>
      <c r="D127" s="8">
        <f ca="1">D65</f>
        <v>56.846274924802486</v>
      </c>
      <c r="E127" s="8">
        <f ca="1">E65</f>
        <v>27.908527268096844</v>
      </c>
      <c r="H127" s="8">
        <f ca="1">H65</f>
        <v>10.530620297010387</v>
      </c>
    </row>
    <row r="128" spans="1:10" s="10" customFormat="1">
      <c r="A128" s="3"/>
      <c r="B128" s="120" t="s">
        <v>283</v>
      </c>
      <c r="C128" s="14">
        <f ca="1">SUM(D128:J128)</f>
        <v>-290682.25</v>
      </c>
      <c r="D128" s="26">
        <f ca="1">ROUND(D126*D127/100,2)</f>
        <v>-273246.40000000002</v>
      </c>
      <c r="E128" s="26">
        <f ca="1">ROUND(E126*E127/100,2)</f>
        <v>-17435.849999999999</v>
      </c>
      <c r="F128" s="26">
        <f>ROUND(F126*F127/100,2)</f>
        <v>0</v>
      </c>
      <c r="G128" s="26"/>
      <c r="H128" s="26"/>
      <c r="I128" s="26"/>
      <c r="J128" s="26"/>
    </row>
    <row r="129" spans="1:10" s="10" customFormat="1" hidden="1">
      <c r="A129" s="3"/>
      <c r="B129" s="120"/>
      <c r="C129" s="14"/>
    </row>
    <row r="130" spans="1:10" s="6" customFormat="1" hidden="1">
      <c r="A130" s="205"/>
      <c r="B130" s="118" t="s">
        <v>176</v>
      </c>
      <c r="C130" s="24">
        <f>SUM(D130:J130)</f>
        <v>0</v>
      </c>
      <c r="D130" s="197">
        <v>0</v>
      </c>
      <c r="E130" s="197">
        <v>0</v>
      </c>
      <c r="F130" s="198"/>
    </row>
    <row r="131" spans="1:10" s="8" customFormat="1" hidden="1">
      <c r="A131" s="3"/>
      <c r="B131" s="119" t="s">
        <v>177</v>
      </c>
      <c r="C131" s="14"/>
      <c r="D131" s="8">
        <f ca="1">D59</f>
        <v>50.668999999999997</v>
      </c>
      <c r="E131" s="8">
        <f>I232</f>
        <v>0</v>
      </c>
      <c r="F131" s="199"/>
    </row>
    <row r="132" spans="1:10" s="10" customFormat="1" hidden="1">
      <c r="A132" s="3"/>
      <c r="B132" s="120" t="s">
        <v>178</v>
      </c>
      <c r="C132" s="14">
        <f ca="1">SUM(D132:J132)</f>
        <v>0</v>
      </c>
      <c r="D132" s="26">
        <f ca="1">ROUND(D130*D131/100,2)</f>
        <v>0</v>
      </c>
      <c r="E132" s="26">
        <f>ROUND(E130*E131/100,2)</f>
        <v>0</v>
      </c>
      <c r="F132" s="26"/>
      <c r="G132" s="26"/>
      <c r="H132" s="26"/>
      <c r="I132" s="116"/>
      <c r="J132" s="26"/>
    </row>
    <row r="133" spans="1:10" s="10" customFormat="1">
      <c r="A133" s="3"/>
      <c r="B133" s="120"/>
      <c r="C133" s="14"/>
      <c r="I133" s="4"/>
    </row>
    <row r="134" spans="1:10" s="6" customFormat="1">
      <c r="A134" s="3"/>
      <c r="B134" s="118" t="s">
        <v>179</v>
      </c>
      <c r="C134" s="24">
        <f>IF(ROUND(SUM(D134:J134),3)&lt;&gt;ROUND(C126+C130,3),#VALUE!,SUM(D134:J134))</f>
        <v>-543151</v>
      </c>
      <c r="D134" s="24">
        <f>D126+D130</f>
        <v>-480676</v>
      </c>
      <c r="E134" s="24">
        <f>E126+E130</f>
        <v>-62475</v>
      </c>
      <c r="F134" s="15">
        <f>F126+F130</f>
        <v>0</v>
      </c>
      <c r="G134" s="15"/>
      <c r="H134" s="15"/>
      <c r="I134" s="15"/>
      <c r="J134" s="15"/>
    </row>
    <row r="135" spans="1:10" s="10" customFormat="1">
      <c r="A135" s="3"/>
      <c r="B135" s="120" t="s">
        <v>180</v>
      </c>
      <c r="C135" s="14">
        <f ca="1">IF(ROUND(SUM(D135:J135),3)&lt;&gt;ROUND(C128+C132,3),#VALUE!,SUM(D135:J135))</f>
        <v>-290682.25</v>
      </c>
      <c r="D135" s="10">
        <f ca="1">D128+D132</f>
        <v>-273246.40000000002</v>
      </c>
      <c r="E135" s="10">
        <f ca="1">E128+E132</f>
        <v>-17435.849999999999</v>
      </c>
    </row>
    <row r="136" spans="1:10">
      <c r="B136" s="16" t="s">
        <v>40</v>
      </c>
      <c r="C136" s="14"/>
      <c r="D136" s="10"/>
      <c r="E136" s="10"/>
      <c r="F136" s="10"/>
      <c r="G136" s="10"/>
      <c r="H136" s="10"/>
      <c r="I136" s="10"/>
      <c r="J136" s="10"/>
    </row>
    <row r="137" spans="1:10" s="6" customFormat="1">
      <c r="A137" s="205"/>
      <c r="B137" s="509" t="s">
        <v>176</v>
      </c>
      <c r="C137" s="510">
        <f>SUM(D137:J137)</f>
        <v>163373</v>
      </c>
      <c r="D137" s="511">
        <v>44136</v>
      </c>
      <c r="E137" s="511">
        <v>119237</v>
      </c>
      <c r="F137" s="361"/>
      <c r="G137" s="124"/>
      <c r="H137" s="15"/>
    </row>
    <row r="138" spans="1:10" s="8" customFormat="1">
      <c r="A138" s="3"/>
      <c r="B138" s="119" t="s">
        <v>177</v>
      </c>
      <c r="C138" s="14"/>
      <c r="D138" s="499">
        <f ca="1">D60</f>
        <v>65.852999999999994</v>
      </c>
      <c r="E138" s="499">
        <f ca="1">E65</f>
        <v>27.908527268096844</v>
      </c>
      <c r="F138" s="199"/>
    </row>
    <row r="139" spans="1:10" s="10" customFormat="1">
      <c r="A139" s="3"/>
      <c r="B139" s="120" t="s">
        <v>178</v>
      </c>
      <c r="C139" s="14">
        <f ca="1">SUM(D139:J139)</f>
        <v>62342.17</v>
      </c>
      <c r="D139" s="26">
        <f ca="1">ROUND(D137*D138/100,2)</f>
        <v>29064.880000000001</v>
      </c>
      <c r="E139" s="26">
        <f ca="1">ROUND(E137*E138/100,2)</f>
        <v>33277.29</v>
      </c>
      <c r="F139" s="26">
        <f>ROUND(F137*F138/100,2)</f>
        <v>0</v>
      </c>
      <c r="G139" s="26"/>
      <c r="H139" s="26"/>
      <c r="I139" s="26"/>
      <c r="J139" s="26"/>
    </row>
    <row r="140" spans="1:10" s="10" customFormat="1">
      <c r="A140" s="3"/>
      <c r="B140" s="120" t="s">
        <v>41</v>
      </c>
      <c r="C140" s="13"/>
      <c r="D140" s="12"/>
      <c r="E140" s="12"/>
      <c r="F140" s="12"/>
      <c r="G140" s="12"/>
      <c r="H140" s="12"/>
      <c r="I140" s="12"/>
      <c r="J140" s="12"/>
    </row>
    <row r="141" spans="1:10">
      <c r="C141" s="14"/>
      <c r="D141" s="10"/>
      <c r="E141" s="10"/>
      <c r="F141" s="10"/>
      <c r="G141" s="10"/>
      <c r="H141" s="10"/>
      <c r="I141" s="10"/>
      <c r="J141" s="10"/>
    </row>
    <row r="142" spans="1:10">
      <c r="B142" s="4" t="s">
        <v>42</v>
      </c>
      <c r="C142" s="14">
        <f ca="1">IF(ROUND(SUM(D142:J142),3)&lt;&gt;ROUND(C135+C139+C140,3),#VALUE!,SUM(D142:J142))</f>
        <v>-228340.08000000002</v>
      </c>
      <c r="D142" s="10">
        <f ca="1">D135+D139+D140</f>
        <v>-244181.52000000002</v>
      </c>
      <c r="E142" s="10">
        <f t="shared" ref="E142:J142" ca="1" si="32">E135+E139+E140</f>
        <v>15841.440000000002</v>
      </c>
      <c r="F142" s="10"/>
      <c r="G142" s="10">
        <f t="shared" si="32"/>
        <v>0</v>
      </c>
      <c r="H142" s="10">
        <f t="shared" si="32"/>
        <v>0</v>
      </c>
      <c r="I142" s="10">
        <f t="shared" si="32"/>
        <v>0</v>
      </c>
      <c r="J142" s="10">
        <f t="shared" si="32"/>
        <v>0</v>
      </c>
    </row>
    <row r="143" spans="1:10">
      <c r="B143" s="4" t="str">
        <f>B121</f>
        <v>TOTAL BASE TARIFF REVENUE</v>
      </c>
      <c r="C143" s="177">
        <f ca="1">SUM(D143:J143)</f>
        <v>127204829.74350001</v>
      </c>
      <c r="D143" s="178">
        <f t="shared" ref="D143:J143" ca="1" si="33">D121</f>
        <v>97354171.280000001</v>
      </c>
      <c r="E143" s="178">
        <f t="shared" ca="1" si="33"/>
        <v>23818038.080000002</v>
      </c>
      <c r="F143" s="178"/>
      <c r="G143" s="178">
        <f t="shared" ca="1" si="33"/>
        <v>639376.75</v>
      </c>
      <c r="H143" s="178">
        <f ca="1">H121</f>
        <v>3733818.3734999993</v>
      </c>
      <c r="I143" s="178">
        <f t="shared" si="33"/>
        <v>1247165.3899999999</v>
      </c>
      <c r="J143" s="178">
        <f t="shared" si="33"/>
        <v>412259.87</v>
      </c>
    </row>
    <row r="144" spans="1:10">
      <c r="C144" s="11"/>
      <c r="D144" s="10"/>
      <c r="E144" s="10"/>
      <c r="F144" s="10"/>
      <c r="G144" s="10"/>
      <c r="H144" s="10"/>
      <c r="I144" s="10"/>
      <c r="J144" s="10"/>
    </row>
    <row r="145" spans="1:10">
      <c r="B145" s="4" t="s">
        <v>43</v>
      </c>
      <c r="C145" s="11">
        <f ca="1">IF(ROUND(SUM(D145:J145),3)&lt;&gt;ROUND(C142+C143,3),#VALUE!,SUM(D145:J145))</f>
        <v>126976489.66350001</v>
      </c>
      <c r="D145" s="10">
        <f t="shared" ref="D145:J145" ca="1" si="34">D142+D143</f>
        <v>97109989.760000005</v>
      </c>
      <c r="E145" s="10">
        <f t="shared" ca="1" si="34"/>
        <v>23833879.520000003</v>
      </c>
      <c r="F145" s="10"/>
      <c r="G145" s="10">
        <f t="shared" ca="1" si="34"/>
        <v>639376.75</v>
      </c>
      <c r="H145" s="10">
        <f ca="1">H142+H143</f>
        <v>3733818.3734999993</v>
      </c>
      <c r="I145" s="10">
        <f t="shared" si="34"/>
        <v>1247165.3899999999</v>
      </c>
      <c r="J145" s="10">
        <f t="shared" si="34"/>
        <v>412259.87</v>
      </c>
    </row>
    <row r="146" spans="1:10">
      <c r="C146" s="11"/>
      <c r="D146" s="10"/>
      <c r="E146" s="10"/>
      <c r="F146" s="10"/>
      <c r="G146" s="10"/>
      <c r="H146" s="10"/>
      <c r="I146" s="10"/>
      <c r="J146" s="10"/>
    </row>
    <row r="147" spans="1:10">
      <c r="C147" s="11"/>
      <c r="D147" s="10"/>
      <c r="E147" s="10"/>
      <c r="F147" s="10"/>
      <c r="G147" s="10"/>
      <c r="H147" s="10"/>
      <c r="I147" s="10"/>
      <c r="J147" s="10"/>
    </row>
    <row r="148" spans="1:10" s="1" customFormat="1">
      <c r="A148" s="3"/>
      <c r="C148" s="10"/>
      <c r="D148" s="10"/>
      <c r="E148" s="10"/>
      <c r="F148" s="10"/>
      <c r="G148" s="10"/>
      <c r="H148" s="10"/>
      <c r="I148" s="10"/>
      <c r="J148" s="10"/>
    </row>
    <row r="149" spans="1:10" s="1" customFormat="1">
      <c r="A149" s="3"/>
      <c r="C149" s="10"/>
      <c r="D149" s="10"/>
      <c r="E149" s="10"/>
      <c r="F149" s="10"/>
      <c r="G149" s="10"/>
      <c r="H149" s="10"/>
      <c r="I149" s="10"/>
    </row>
    <row r="150" spans="1:10" s="1" customFormat="1">
      <c r="A150" s="3"/>
      <c r="C150" s="10"/>
      <c r="D150" s="10"/>
      <c r="E150" s="10"/>
      <c r="F150" s="10"/>
      <c r="G150" s="10"/>
      <c r="H150" s="10"/>
      <c r="I150" s="10"/>
      <c r="J150" s="1" t="s">
        <v>5</v>
      </c>
    </row>
    <row r="151" spans="1:10" s="1" customFormat="1">
      <c r="A151" s="122" t="s">
        <v>185</v>
      </c>
      <c r="C151" s="1" t="s">
        <v>0</v>
      </c>
      <c r="D151" s="1" t="s">
        <v>1</v>
      </c>
      <c r="E151" s="1" t="s">
        <v>2</v>
      </c>
      <c r="F151" s="1" t="s">
        <v>3</v>
      </c>
      <c r="G151" s="1" t="s">
        <v>4</v>
      </c>
      <c r="H151" s="1" t="s">
        <v>5</v>
      </c>
      <c r="I151" s="1" t="s">
        <v>5</v>
      </c>
      <c r="J151" s="27" t="s">
        <v>388</v>
      </c>
    </row>
    <row r="152" spans="1:10" s="1" customFormat="1">
      <c r="A152" s="122" t="s">
        <v>186</v>
      </c>
      <c r="B152" s="2"/>
      <c r="C152" s="2" t="s">
        <v>6</v>
      </c>
      <c r="D152" s="2" t="s">
        <v>7</v>
      </c>
      <c r="E152" s="2" t="s">
        <v>24</v>
      </c>
      <c r="F152" s="2" t="s">
        <v>25</v>
      </c>
      <c r="G152" s="2" t="s">
        <v>26</v>
      </c>
      <c r="H152" s="2" t="s">
        <v>11</v>
      </c>
      <c r="I152" s="2" t="s">
        <v>54</v>
      </c>
      <c r="J152" s="2" t="s">
        <v>57</v>
      </c>
    </row>
    <row r="153" spans="1:10" ht="12.75">
      <c r="B153" s="57" t="s">
        <v>44</v>
      </c>
      <c r="C153" s="10"/>
      <c r="D153" s="10"/>
      <c r="E153" s="10"/>
      <c r="F153" s="10"/>
      <c r="G153" s="10"/>
      <c r="H153" s="10"/>
      <c r="I153" s="10"/>
      <c r="J153" s="10"/>
    </row>
    <row r="154" spans="1:10">
      <c r="B154" s="4" t="str">
        <f>UPPER(CHOOSE(Base1_Billing2,$O$9,$O$10))&amp;" REVENUE"</f>
        <v>BASE TARIFF REVENUE</v>
      </c>
      <c r="C154" s="10"/>
      <c r="D154" s="10"/>
      <c r="E154" s="10"/>
      <c r="F154" s="10"/>
      <c r="G154" s="10"/>
      <c r="H154" s="10"/>
      <c r="I154" s="10"/>
      <c r="J154" s="10"/>
    </row>
    <row r="155" spans="1:10">
      <c r="B155" s="117" t="s">
        <v>28</v>
      </c>
      <c r="C155" s="11">
        <f t="shared" ref="C155:C162" ca="1" si="35">SUM(D155:J155)</f>
        <v>20351591</v>
      </c>
      <c r="D155" s="123">
        <f ca="1">D48*D74</f>
        <v>19734407</v>
      </c>
      <c r="E155" s="123">
        <f ca="1">E48*E74</f>
        <v>0</v>
      </c>
      <c r="F155" s="123">
        <f t="shared" ref="F155:J156" ca="1" si="36">F48*F74</f>
        <v>0</v>
      </c>
      <c r="G155" s="123">
        <f t="shared" ca="1" si="36"/>
        <v>0</v>
      </c>
      <c r="H155" s="123">
        <f t="shared" ca="1" si="36"/>
        <v>294000</v>
      </c>
      <c r="I155" s="123">
        <f t="shared" si="36"/>
        <v>7200</v>
      </c>
      <c r="J155" s="123">
        <f t="shared" si="36"/>
        <v>315984</v>
      </c>
    </row>
    <row r="156" spans="1:10">
      <c r="B156" s="117" t="s">
        <v>361</v>
      </c>
      <c r="C156" s="182">
        <f t="shared" ca="1" si="35"/>
        <v>5479044.5334999999</v>
      </c>
      <c r="D156" s="127">
        <f ca="1">D49*D75</f>
        <v>0</v>
      </c>
      <c r="E156" s="127">
        <f ca="1">E49*E75</f>
        <v>5429385.8200000003</v>
      </c>
      <c r="F156" s="127">
        <f t="shared" ca="1" si="36"/>
        <v>0</v>
      </c>
      <c r="G156" s="127">
        <f t="shared" ca="1" si="36"/>
        <v>0</v>
      </c>
      <c r="H156" s="127">
        <f>'Big Schedules'!X44</f>
        <v>49658.713499999998</v>
      </c>
      <c r="I156" s="127">
        <f t="shared" si="36"/>
        <v>0</v>
      </c>
      <c r="J156" s="127">
        <f t="shared" si="36"/>
        <v>0</v>
      </c>
    </row>
    <row r="157" spans="1:10">
      <c r="B157" s="117" t="s">
        <v>13</v>
      </c>
      <c r="C157" s="182">
        <f t="shared" ca="1" si="35"/>
        <v>42832303.780000001</v>
      </c>
      <c r="D157" s="127">
        <f ca="1">ROUND(D31*D77/100,2)</f>
        <v>41038677.100000001</v>
      </c>
      <c r="E157" s="127">
        <f t="shared" ref="E157:J157" ca="1" si="37">ROUND(E31*E77/100,2)</f>
        <v>0</v>
      </c>
      <c r="F157" s="127"/>
      <c r="G157" s="127">
        <f t="shared" ca="1" si="37"/>
        <v>145521.60000000001</v>
      </c>
      <c r="H157" s="127">
        <f t="shared" ca="1" si="37"/>
        <v>897189.32</v>
      </c>
      <c r="I157" s="127">
        <f t="shared" si="37"/>
        <v>654639.89</v>
      </c>
      <c r="J157" s="127">
        <f t="shared" si="37"/>
        <v>96275.87</v>
      </c>
    </row>
    <row r="158" spans="1:10">
      <c r="B158" s="117" t="s">
        <v>14</v>
      </c>
      <c r="C158" s="182">
        <f t="shared" ca="1" si="35"/>
        <v>44844644.130000003</v>
      </c>
      <c r="D158" s="127">
        <f t="shared" ref="D158:J161" ca="1" si="38">ROUND(D32*D78/100,2)</f>
        <v>36581087.18</v>
      </c>
      <c r="E158" s="127">
        <f t="shared" ca="1" si="38"/>
        <v>7091856.0700000003</v>
      </c>
      <c r="F158" s="127"/>
      <c r="G158" s="127">
        <f t="shared" ca="1" si="38"/>
        <v>155968.92000000001</v>
      </c>
      <c r="H158" s="127">
        <f t="shared" ca="1" si="38"/>
        <v>783345.84</v>
      </c>
      <c r="I158" s="127">
        <f t="shared" si="38"/>
        <v>232386.12</v>
      </c>
      <c r="J158" s="127">
        <f t="shared" si="38"/>
        <v>0</v>
      </c>
    </row>
    <row r="159" spans="1:10">
      <c r="B159" s="117" t="s">
        <v>15</v>
      </c>
      <c r="C159" s="182">
        <f t="shared" ca="1" si="35"/>
        <v>10764108.32</v>
      </c>
      <c r="D159" s="127">
        <f t="shared" ca="1" si="38"/>
        <v>0</v>
      </c>
      <c r="E159" s="127">
        <f t="shared" ca="1" si="38"/>
        <v>9271967.6999999993</v>
      </c>
      <c r="F159" s="127">
        <f t="shared" ca="1" si="38"/>
        <v>0</v>
      </c>
      <c r="G159" s="127">
        <f t="shared" ca="1" si="38"/>
        <v>156595.57</v>
      </c>
      <c r="H159" s="127">
        <f t="shared" ca="1" si="38"/>
        <v>1335545.05</v>
      </c>
      <c r="I159" s="127">
        <f t="shared" si="38"/>
        <v>0</v>
      </c>
      <c r="J159" s="127">
        <f t="shared" si="38"/>
        <v>0</v>
      </c>
    </row>
    <row r="160" spans="1:10">
      <c r="B160" s="117" t="s">
        <v>16</v>
      </c>
      <c r="C160" s="182">
        <f t="shared" ca="1" si="35"/>
        <v>1902355.7599999998</v>
      </c>
      <c r="D160" s="127">
        <f t="shared" ca="1" si="38"/>
        <v>0</v>
      </c>
      <c r="E160" s="127">
        <f t="shared" ca="1" si="38"/>
        <v>1326950.8899999999</v>
      </c>
      <c r="F160" s="127">
        <f t="shared" ca="1" si="38"/>
        <v>0</v>
      </c>
      <c r="G160" s="127">
        <f t="shared" ca="1" si="38"/>
        <v>181290.66</v>
      </c>
      <c r="H160" s="127">
        <f t="shared" ca="1" si="38"/>
        <v>251261.28</v>
      </c>
      <c r="I160" s="127">
        <f t="shared" si="38"/>
        <v>142852.93</v>
      </c>
      <c r="J160" s="127">
        <f t="shared" si="38"/>
        <v>0</v>
      </c>
    </row>
    <row r="161" spans="1:10">
      <c r="B161" s="117" t="s">
        <v>55</v>
      </c>
      <c r="C161" s="182">
        <f t="shared" ca="1" si="35"/>
        <v>1030782.22</v>
      </c>
      <c r="D161" s="127">
        <f t="shared" ca="1" si="38"/>
        <v>0</v>
      </c>
      <c r="E161" s="127">
        <f t="shared" ca="1" si="38"/>
        <v>697877.6</v>
      </c>
      <c r="F161" s="127">
        <f t="shared" ca="1" si="38"/>
        <v>0</v>
      </c>
      <c r="G161" s="127">
        <f t="shared" ca="1" si="38"/>
        <v>0</v>
      </c>
      <c r="H161" s="127">
        <f t="shared" ca="1" si="38"/>
        <v>122818.17</v>
      </c>
      <c r="I161" s="127">
        <f t="shared" si="38"/>
        <v>210086.45</v>
      </c>
      <c r="J161" s="127">
        <f t="shared" si="38"/>
        <v>0</v>
      </c>
    </row>
    <row r="162" spans="1:10">
      <c r="B162" s="117" t="s">
        <v>172</v>
      </c>
      <c r="C162" s="182">
        <f t="shared" si="35"/>
        <v>0</v>
      </c>
      <c r="D162" s="127"/>
      <c r="E162" s="127"/>
      <c r="F162" s="127"/>
      <c r="G162" s="127"/>
      <c r="H162" s="127"/>
      <c r="I162" s="127"/>
      <c r="J162" s="200">
        <f>BFG!F11</f>
        <v>0</v>
      </c>
    </row>
    <row r="163" spans="1:10">
      <c r="A163" s="4"/>
      <c r="C163" s="25"/>
      <c r="D163" s="116"/>
      <c r="E163" s="116"/>
      <c r="F163" s="116"/>
      <c r="G163" s="116"/>
      <c r="H163" s="116"/>
      <c r="I163" s="116"/>
      <c r="J163" s="116"/>
    </row>
    <row r="164" spans="1:10">
      <c r="B164" s="4" t="s">
        <v>17</v>
      </c>
      <c r="C164" s="11">
        <f ca="1">IF(ROUND(SUM(D164:J164),3)&lt;&gt;ROUND(SUM(C155:C162),3),#VALUE!,SUM(D164:J164))</f>
        <v>127204829.74350001</v>
      </c>
      <c r="D164" s="10">
        <f t="shared" ref="D164:J164" ca="1" si="39">SUM(D155:D163)</f>
        <v>97354171.280000001</v>
      </c>
      <c r="E164" s="10">
        <f t="shared" ca="1" si="39"/>
        <v>23818038.080000002</v>
      </c>
      <c r="F164" s="10">
        <f t="shared" ca="1" si="39"/>
        <v>0</v>
      </c>
      <c r="G164" s="10">
        <f t="shared" ca="1" si="39"/>
        <v>639376.75</v>
      </c>
      <c r="H164" s="10">
        <f ca="1">SUM(H155:H163)</f>
        <v>3733818.3734999993</v>
      </c>
      <c r="I164" s="10">
        <f t="shared" si="39"/>
        <v>1247165.3899999999</v>
      </c>
      <c r="J164" s="10">
        <f t="shared" si="39"/>
        <v>412259.87</v>
      </c>
    </row>
    <row r="165" spans="1:10">
      <c r="A165" s="4"/>
      <c r="B165" s="4" t="s">
        <v>18</v>
      </c>
      <c r="C165" s="177"/>
      <c r="D165" s="178"/>
      <c r="E165" s="178"/>
      <c r="F165" s="178"/>
      <c r="G165" s="178"/>
      <c r="H165" s="178"/>
      <c r="I165" s="178"/>
      <c r="J165" s="178"/>
    </row>
    <row r="166" spans="1:10">
      <c r="C166" s="11"/>
      <c r="D166" s="10"/>
      <c r="E166" s="10"/>
      <c r="F166" s="10"/>
      <c r="G166" s="10"/>
      <c r="H166" s="10"/>
      <c r="I166" s="10"/>
      <c r="J166" s="10"/>
    </row>
    <row r="167" spans="1:10">
      <c r="B167" s="4" t="s">
        <v>17</v>
      </c>
      <c r="C167" s="11">
        <f ca="1">SUM(D167:J167)</f>
        <v>127204829.74350001</v>
      </c>
      <c r="D167" s="10">
        <f t="shared" ref="D167:J167" ca="1" si="40">D164+D165</f>
        <v>97354171.280000001</v>
      </c>
      <c r="E167" s="10">
        <f t="shared" ca="1" si="40"/>
        <v>23818038.080000002</v>
      </c>
      <c r="F167" s="10">
        <f t="shared" ca="1" si="40"/>
        <v>0</v>
      </c>
      <c r="G167" s="10">
        <f t="shared" ca="1" si="40"/>
        <v>639376.75</v>
      </c>
      <c r="H167" s="10">
        <f ca="1">H164+H165</f>
        <v>3733818.3734999993</v>
      </c>
      <c r="I167" s="10">
        <f t="shared" si="40"/>
        <v>1247165.3899999999</v>
      </c>
      <c r="J167" s="10">
        <f t="shared" si="40"/>
        <v>412259.87</v>
      </c>
    </row>
    <row r="168" spans="1:10">
      <c r="B168" s="4" t="s">
        <v>37</v>
      </c>
      <c r="C168" s="177">
        <f ca="1">SUM(D168:J168)</f>
        <v>0</v>
      </c>
      <c r="D168" s="178">
        <f ca="1">ROUND(D41*D83/100,2)</f>
        <v>0</v>
      </c>
      <c r="E168" s="178">
        <f t="shared" ref="E168:J168" ca="1" si="41">ROUND(E41*E83/100,2)</f>
        <v>0</v>
      </c>
      <c r="F168" s="178"/>
      <c r="G168" s="178">
        <f t="shared" ca="1" si="41"/>
        <v>0</v>
      </c>
      <c r="H168" s="178">
        <f t="shared" ca="1" si="41"/>
        <v>0</v>
      </c>
      <c r="I168" s="178">
        <f t="shared" si="41"/>
        <v>0</v>
      </c>
      <c r="J168" s="178">
        <f t="shared" si="41"/>
        <v>0</v>
      </c>
    </row>
    <row r="169" spans="1:10">
      <c r="C169" s="11"/>
      <c r="D169" s="10"/>
      <c r="E169" s="10"/>
      <c r="F169" s="10"/>
      <c r="G169" s="10"/>
      <c r="H169" s="10"/>
      <c r="I169" s="10"/>
      <c r="J169" s="10"/>
    </row>
    <row r="170" spans="1:10">
      <c r="B170" s="4" t="str">
        <f>"TOTAL "&amp;UPPER(CHOOSE(Base1_Billing2,$O$9,$O$10))&amp;" REVENUE"</f>
        <v>TOTAL BASE TARIFF REVENUE</v>
      </c>
      <c r="C170" s="11">
        <f ca="1">IF(ROUND(SUM(D170:J170),3)&lt;&gt;ROUND(C167+C168,3),#VALUE!,SUM(D170:J170))</f>
        <v>127204829.74350001</v>
      </c>
      <c r="D170" s="10">
        <f t="shared" ref="D170:J170" ca="1" si="42">D167+D168</f>
        <v>97354171.280000001</v>
      </c>
      <c r="E170" s="10">
        <f t="shared" ca="1" si="42"/>
        <v>23818038.080000002</v>
      </c>
      <c r="F170" s="10">
        <f t="shared" ca="1" si="42"/>
        <v>0</v>
      </c>
      <c r="G170" s="10">
        <f t="shared" ca="1" si="42"/>
        <v>639376.75</v>
      </c>
      <c r="H170" s="10">
        <f ca="1">H167+H168</f>
        <v>3733818.3734999993</v>
      </c>
      <c r="I170" s="10">
        <f t="shared" si="42"/>
        <v>1247165.3899999999</v>
      </c>
      <c r="J170" s="10">
        <f t="shared" si="42"/>
        <v>412259.87</v>
      </c>
    </row>
    <row r="171" spans="1:10">
      <c r="C171" s="11"/>
      <c r="D171" s="10"/>
      <c r="E171" s="10"/>
      <c r="F171" s="10"/>
      <c r="G171" s="10"/>
      <c r="H171" s="10"/>
      <c r="I171" s="10"/>
      <c r="J171" s="10"/>
    </row>
    <row r="172" spans="1:10">
      <c r="B172" s="109" t="s">
        <v>38</v>
      </c>
      <c r="C172" s="10"/>
      <c r="D172" s="10"/>
      <c r="E172" s="10"/>
      <c r="F172" s="10"/>
      <c r="G172" s="10"/>
      <c r="H172" s="10"/>
      <c r="I172" s="10"/>
      <c r="J172" s="10"/>
    </row>
    <row r="173" spans="1:10">
      <c r="B173" s="16" t="s">
        <v>39</v>
      </c>
      <c r="C173" s="15"/>
      <c r="D173" s="15"/>
      <c r="E173" s="15"/>
      <c r="F173" s="15"/>
      <c r="G173" s="10"/>
      <c r="H173" s="10"/>
      <c r="I173" s="10"/>
      <c r="J173" s="10"/>
    </row>
    <row r="174" spans="1:10" s="6" customFormat="1">
      <c r="B174" s="118" t="s">
        <v>173</v>
      </c>
      <c r="C174" s="15">
        <f>SUM(D174:J174)</f>
        <v>-543151</v>
      </c>
      <c r="D174" s="15">
        <f>D126</f>
        <v>-480676</v>
      </c>
      <c r="E174" s="15">
        <f>E126+F126</f>
        <v>-62475</v>
      </c>
      <c r="F174" s="15">
        <v>0</v>
      </c>
      <c r="I174" s="4"/>
    </row>
    <row r="175" spans="1:10" s="8" customFormat="1">
      <c r="A175" s="3"/>
      <c r="B175" s="119" t="s">
        <v>174</v>
      </c>
      <c r="D175" s="17">
        <f ca="1">D83</f>
        <v>56.846274924802486</v>
      </c>
      <c r="E175" s="17">
        <f ca="1">E83</f>
        <v>27.908527268096844</v>
      </c>
      <c r="F175" s="17"/>
      <c r="G175" s="17"/>
      <c r="H175" s="17">
        <f ca="1">H83</f>
        <v>10.530620297010387</v>
      </c>
      <c r="I175" s="5"/>
      <c r="J175" s="18"/>
    </row>
    <row r="176" spans="1:10" s="10" customFormat="1">
      <c r="A176" s="3"/>
      <c r="B176" s="120" t="s">
        <v>175</v>
      </c>
      <c r="C176" s="10">
        <f ca="1">SUM(D176:J176)</f>
        <v>-290682.25</v>
      </c>
      <c r="D176" s="10">
        <f ca="1">ROUND(D174*D175/100,2)</f>
        <v>-273246.40000000002</v>
      </c>
      <c r="E176" s="10">
        <f ca="1">ROUND(E174*E175/100,2)</f>
        <v>-17435.849999999999</v>
      </c>
      <c r="F176" s="10">
        <f>ROUND(F174*F175/100,2)</f>
        <v>0</v>
      </c>
      <c r="I176" s="4"/>
    </row>
    <row r="177" spans="1:10" s="10" customFormat="1" hidden="1">
      <c r="A177" s="3"/>
      <c r="B177" s="120"/>
      <c r="I177" s="4"/>
    </row>
    <row r="178" spans="1:10" s="6" customFormat="1" hidden="1">
      <c r="A178" s="3"/>
      <c r="B178" s="118" t="s">
        <v>176</v>
      </c>
      <c r="C178" s="15">
        <f>SUM(D178:J178)</f>
        <v>0</v>
      </c>
      <c r="D178" s="15">
        <f>D130</f>
        <v>0</v>
      </c>
      <c r="E178" s="15">
        <f>E130</f>
        <v>0</v>
      </c>
      <c r="F178" s="15">
        <f>F130</f>
        <v>0</v>
      </c>
      <c r="I178" s="4"/>
    </row>
    <row r="179" spans="1:10" s="8" customFormat="1" hidden="1">
      <c r="A179" s="3"/>
      <c r="B179" s="119" t="s">
        <v>177</v>
      </c>
      <c r="D179" s="17">
        <f ca="1">D77</f>
        <v>50.668999999999997</v>
      </c>
      <c r="E179" s="17">
        <f>I244</f>
        <v>0</v>
      </c>
      <c r="F179" s="17">
        <f>F83</f>
        <v>0</v>
      </c>
      <c r="G179" s="17"/>
      <c r="H179" s="17"/>
      <c r="I179" s="5"/>
      <c r="J179" s="17"/>
    </row>
    <row r="180" spans="1:10" s="10" customFormat="1" hidden="1">
      <c r="A180" s="3"/>
      <c r="B180" s="120" t="s">
        <v>178</v>
      </c>
      <c r="C180" s="10">
        <f ca="1">SUM(D180:J180)</f>
        <v>0</v>
      </c>
      <c r="D180" s="10">
        <f ca="1">ROUND(D178*D179/100,2)</f>
        <v>0</v>
      </c>
      <c r="E180" s="10">
        <f>ROUND(E178*E179/100,2)</f>
        <v>0</v>
      </c>
      <c r="F180" s="10">
        <f>ROUND(F178*F179/100,2)</f>
        <v>0</v>
      </c>
      <c r="I180" s="4"/>
    </row>
    <row r="181" spans="1:10" s="10" customFormat="1">
      <c r="A181" s="3"/>
      <c r="B181" s="120"/>
      <c r="I181" s="4"/>
    </row>
    <row r="182" spans="1:10" s="6" customFormat="1">
      <c r="A182" s="3"/>
      <c r="B182" s="118" t="s">
        <v>179</v>
      </c>
      <c r="C182" s="15">
        <f>C174+C178</f>
        <v>-543151</v>
      </c>
      <c r="D182" s="15">
        <f>D174+D178</f>
        <v>-480676</v>
      </c>
      <c r="E182" s="15">
        <f>E174+E178</f>
        <v>-62475</v>
      </c>
      <c r="F182" s="15">
        <f>F174+F178</f>
        <v>0</v>
      </c>
      <c r="I182" s="4"/>
    </row>
    <row r="183" spans="1:10" s="10" customFormat="1">
      <c r="A183" s="3"/>
      <c r="B183" s="120" t="s">
        <v>180</v>
      </c>
      <c r="C183" s="10">
        <f ca="1">C176+C180</f>
        <v>-290682.25</v>
      </c>
      <c r="D183" s="10">
        <f ca="1">D176+D180</f>
        <v>-273246.40000000002</v>
      </c>
      <c r="E183" s="10">
        <f ca="1">E176+E180</f>
        <v>-17435.849999999999</v>
      </c>
      <c r="I183" s="4"/>
    </row>
    <row r="184" spans="1:10">
      <c r="B184" s="16" t="s">
        <v>40</v>
      </c>
      <c r="C184" s="10"/>
      <c r="D184" s="10"/>
      <c r="E184" s="10"/>
      <c r="F184" s="10"/>
      <c r="G184" s="10"/>
      <c r="H184" s="10"/>
      <c r="J184" s="10"/>
    </row>
    <row r="185" spans="1:10" s="6" customFormat="1">
      <c r="A185" s="3"/>
      <c r="B185" s="118" t="s">
        <v>176</v>
      </c>
      <c r="C185" s="15">
        <f>SUM(D185:J185)</f>
        <v>163373</v>
      </c>
      <c r="D185" s="15">
        <f>D137</f>
        <v>44136</v>
      </c>
      <c r="E185" s="15">
        <f>E137+F137</f>
        <v>119237</v>
      </c>
      <c r="F185" s="15">
        <v>0</v>
      </c>
      <c r="I185" s="4"/>
    </row>
    <row r="186" spans="1:10" s="8" customFormat="1">
      <c r="A186" s="3"/>
      <c r="B186" s="119" t="s">
        <v>177</v>
      </c>
      <c r="C186" s="19"/>
      <c r="D186" s="506">
        <f ca="1">D78</f>
        <v>65.852999999999994</v>
      </c>
      <c r="E186" s="506">
        <f ca="1">E83</f>
        <v>27.908527268096844</v>
      </c>
      <c r="F186" s="17"/>
      <c r="G186" s="17"/>
      <c r="H186" s="17"/>
      <c r="I186" s="5"/>
      <c r="J186" s="17"/>
    </row>
    <row r="187" spans="1:10" s="10" customFormat="1">
      <c r="A187" s="3"/>
      <c r="B187" s="120" t="s">
        <v>178</v>
      </c>
      <c r="C187" s="10">
        <f ca="1">SUM(D187:J187)</f>
        <v>62342.17</v>
      </c>
      <c r="D187" s="10">
        <f ca="1">ROUND(D185*D186/100,2)</f>
        <v>29064.880000000001</v>
      </c>
      <c r="E187" s="10">
        <f ca="1">ROUND(E185*E186/100,2)</f>
        <v>33277.29</v>
      </c>
      <c r="F187" s="10">
        <f>ROUND(F185*F186/100,2)</f>
        <v>0</v>
      </c>
    </row>
    <row r="188" spans="1:10" s="10" customFormat="1">
      <c r="A188" s="3"/>
      <c r="B188" s="120" t="s">
        <v>41</v>
      </c>
      <c r="C188" s="12"/>
      <c r="D188" s="12"/>
      <c r="E188" s="12"/>
      <c r="F188" s="12"/>
      <c r="G188" s="12"/>
      <c r="H188" s="12"/>
      <c r="I188" s="12"/>
      <c r="J188" s="12"/>
    </row>
    <row r="189" spans="1:10">
      <c r="C189" s="367"/>
      <c r="D189" s="10"/>
      <c r="E189" s="10"/>
      <c r="F189" s="10"/>
      <c r="G189" s="10"/>
      <c r="H189" s="10"/>
      <c r="I189" s="10"/>
      <c r="J189" s="10"/>
    </row>
    <row r="190" spans="1:10">
      <c r="B190" s="4" t="s">
        <v>42</v>
      </c>
      <c r="C190" s="10">
        <f ca="1">SUM(D190:J190)</f>
        <v>-228340.08000000002</v>
      </c>
      <c r="D190" s="10">
        <f t="shared" ref="D190:J190" ca="1" si="43">D187+D183</f>
        <v>-244181.52000000002</v>
      </c>
      <c r="E190" s="10">
        <f ca="1">E187+E183</f>
        <v>15841.440000000002</v>
      </c>
      <c r="F190" s="10">
        <f t="shared" si="43"/>
        <v>0</v>
      </c>
      <c r="G190" s="10">
        <f t="shared" si="43"/>
        <v>0</v>
      </c>
      <c r="H190" s="10">
        <f>H187+H183</f>
        <v>0</v>
      </c>
      <c r="I190" s="10">
        <f t="shared" si="43"/>
        <v>0</v>
      </c>
      <c r="J190" s="10">
        <f t="shared" si="43"/>
        <v>0</v>
      </c>
    </row>
    <row r="191" spans="1:10">
      <c r="B191" s="4" t="str">
        <f>B170</f>
        <v>TOTAL BASE TARIFF REVENUE</v>
      </c>
      <c r="C191" s="178">
        <f ca="1">SUM(D191:J191)</f>
        <v>127204829.74350001</v>
      </c>
      <c r="D191" s="178">
        <f t="shared" ref="D191:J191" ca="1" si="44">D170</f>
        <v>97354171.280000001</v>
      </c>
      <c r="E191" s="178">
        <f t="shared" ca="1" si="44"/>
        <v>23818038.080000002</v>
      </c>
      <c r="F191" s="178">
        <f t="shared" ca="1" si="44"/>
        <v>0</v>
      </c>
      <c r="G191" s="178">
        <f t="shared" ca="1" si="44"/>
        <v>639376.75</v>
      </c>
      <c r="H191" s="178">
        <f ca="1">H170</f>
        <v>3733818.3734999993</v>
      </c>
      <c r="I191" s="178">
        <f t="shared" si="44"/>
        <v>1247165.3899999999</v>
      </c>
      <c r="J191" s="178">
        <f t="shared" si="44"/>
        <v>412259.87</v>
      </c>
    </row>
    <row r="192" spans="1:10">
      <c r="B192" s="4" t="s">
        <v>45</v>
      </c>
      <c r="C192" s="10">
        <f ca="1">SUM(D192:J192)</f>
        <v>126976489.66350001</v>
      </c>
      <c r="D192" s="10">
        <f ca="1">D190+D191</f>
        <v>97109989.760000005</v>
      </c>
      <c r="E192" s="10">
        <f t="shared" ref="E192:J192" ca="1" si="45">E190+E191</f>
        <v>23833879.520000003</v>
      </c>
      <c r="F192" s="10">
        <f t="shared" ca="1" si="45"/>
        <v>0</v>
      </c>
      <c r="G192" s="10">
        <f t="shared" ca="1" si="45"/>
        <v>639376.75</v>
      </c>
      <c r="H192" s="10">
        <f ca="1">H190+H191</f>
        <v>3733818.3734999993</v>
      </c>
      <c r="I192" s="10">
        <f t="shared" si="45"/>
        <v>1247165.3899999999</v>
      </c>
      <c r="J192" s="10">
        <f t="shared" si="45"/>
        <v>412259.87</v>
      </c>
    </row>
    <row r="193" spans="1:11">
      <c r="B193" s="4" t="s">
        <v>43</v>
      </c>
      <c r="C193" s="12">
        <f ca="1">SUM(D193:J193)</f>
        <v>126976489.66350001</v>
      </c>
      <c r="D193" s="12">
        <f t="shared" ref="D193:J193" ca="1" si="46">D145</f>
        <v>97109989.760000005</v>
      </c>
      <c r="E193" s="12">
        <f ca="1">E145</f>
        <v>23833879.520000003</v>
      </c>
      <c r="F193" s="12"/>
      <c r="G193" s="12">
        <f t="shared" ca="1" si="46"/>
        <v>639376.75</v>
      </c>
      <c r="H193" s="12">
        <f ca="1">H145</f>
        <v>3733818.3734999993</v>
      </c>
      <c r="I193" s="12">
        <f t="shared" si="46"/>
        <v>1247165.3899999999</v>
      </c>
      <c r="J193" s="12">
        <f t="shared" si="46"/>
        <v>412259.87</v>
      </c>
    </row>
    <row r="195" spans="1:11" s="9" customFormat="1">
      <c r="A195" s="20"/>
      <c r="B195" s="9" t="s">
        <v>46</v>
      </c>
      <c r="C195" s="21">
        <f ca="1">SUM(D195:J195)</f>
        <v>0</v>
      </c>
      <c r="D195" s="21">
        <f ca="1">D192-D193</f>
        <v>0</v>
      </c>
      <c r="E195" s="21">
        <f ca="1">E192-E193-F193</f>
        <v>0</v>
      </c>
      <c r="F195" s="21"/>
      <c r="G195" s="21">
        <f t="shared" ref="G195:J195" ca="1" si="47">G192-G193</f>
        <v>0</v>
      </c>
      <c r="H195" s="21">
        <f ca="1">H192-H193</f>
        <v>0</v>
      </c>
      <c r="I195" s="21">
        <f t="shared" si="47"/>
        <v>0</v>
      </c>
      <c r="J195" s="21">
        <f t="shared" si="47"/>
        <v>0</v>
      </c>
    </row>
    <row r="196" spans="1:11" s="9" customFormat="1">
      <c r="A196" s="20"/>
      <c r="B196" s="9" t="s">
        <v>47</v>
      </c>
      <c r="C196" s="22">
        <f ca="1">C195/C193</f>
        <v>0</v>
      </c>
      <c r="D196" s="22">
        <f t="shared" ref="D196:J196" ca="1" si="48">D195/D193</f>
        <v>0</v>
      </c>
      <c r="E196" s="22">
        <f t="shared" ca="1" si="48"/>
        <v>0</v>
      </c>
      <c r="F196" s="22"/>
      <c r="G196" s="22">
        <f t="shared" ca="1" si="48"/>
        <v>0</v>
      </c>
      <c r="H196" s="22">
        <f t="shared" ca="1" si="48"/>
        <v>0</v>
      </c>
      <c r="I196" s="22">
        <f t="shared" si="48"/>
        <v>0</v>
      </c>
      <c r="J196" s="22">
        <f t="shared" si="48"/>
        <v>0</v>
      </c>
    </row>
    <row r="197" spans="1:11" s="1" customFormat="1">
      <c r="A197" s="3"/>
      <c r="C197" s="23"/>
      <c r="D197" s="23"/>
      <c r="E197" s="190"/>
      <c r="F197" s="190"/>
      <c r="G197" s="190"/>
      <c r="H197" s="190"/>
      <c r="I197" s="190"/>
      <c r="J197" s="190"/>
    </row>
    <row r="198" spans="1:11" s="1" customFormat="1">
      <c r="A198" s="3"/>
      <c r="C198" s="23"/>
      <c r="D198" s="23"/>
      <c r="E198" s="23"/>
      <c r="F198" s="23"/>
      <c r="G198" s="23"/>
      <c r="H198" s="23"/>
      <c r="I198" s="23"/>
      <c r="J198" s="23"/>
    </row>
    <row r="199" spans="1:11" s="1" customFormat="1">
      <c r="A199" s="3"/>
      <c r="C199" s="23"/>
      <c r="D199" s="23"/>
      <c r="E199" s="23"/>
      <c r="F199" s="23"/>
      <c r="G199" s="23"/>
      <c r="H199" s="23"/>
      <c r="I199" s="23"/>
      <c r="J199" s="23"/>
    </row>
    <row r="200" spans="1:11" s="1" customFormat="1" hidden="1">
      <c r="A200" s="122" t="s">
        <v>185</v>
      </c>
      <c r="C200" s="1" t="s">
        <v>0</v>
      </c>
      <c r="D200" s="1" t="s">
        <v>6</v>
      </c>
      <c r="E200" s="1" t="s">
        <v>6</v>
      </c>
      <c r="F200" s="1" t="s">
        <v>48</v>
      </c>
      <c r="G200" s="1" t="s">
        <v>48</v>
      </c>
      <c r="H200" s="1" t="s">
        <v>49</v>
      </c>
      <c r="I200" s="1" t="s">
        <v>49</v>
      </c>
    </row>
    <row r="201" spans="1:11" s="1" customFormat="1" hidden="1">
      <c r="A201" s="122" t="s">
        <v>186</v>
      </c>
      <c r="C201" s="2" t="s">
        <v>50</v>
      </c>
      <c r="D201" s="2" t="s">
        <v>12</v>
      </c>
      <c r="E201" s="2" t="s">
        <v>51</v>
      </c>
      <c r="F201" s="2" t="s">
        <v>52</v>
      </c>
      <c r="G201" s="2" t="s">
        <v>51</v>
      </c>
      <c r="H201" s="2" t="s">
        <v>12</v>
      </c>
      <c r="I201" s="2" t="s">
        <v>51</v>
      </c>
    </row>
    <row r="202" spans="1:11" hidden="1">
      <c r="B202" s="121" t="s">
        <v>183</v>
      </c>
    </row>
    <row r="203" spans="1:11" hidden="1">
      <c r="B203" s="4" t="s">
        <v>7</v>
      </c>
    </row>
    <row r="204" spans="1:11" hidden="1">
      <c r="B204" s="117" t="s">
        <v>327</v>
      </c>
      <c r="C204" s="8">
        <v>0</v>
      </c>
      <c r="D204" s="6">
        <v>0</v>
      </c>
      <c r="E204" s="10">
        <f>C204*D204/100</f>
        <v>0</v>
      </c>
      <c r="F204" s="125">
        <f>MIN(D204,F207)</f>
        <v>0</v>
      </c>
      <c r="G204" s="10">
        <f>F204*C204/100</f>
        <v>0</v>
      </c>
      <c r="H204" s="6">
        <f>D204-F204</f>
        <v>0</v>
      </c>
      <c r="I204" s="10">
        <f>H204*C204/100</f>
        <v>0</v>
      </c>
      <c r="K204" s="307" t="e">
        <f>H204/H207</f>
        <v>#DIV/0!</v>
      </c>
    </row>
    <row r="205" spans="1:11" hidden="1">
      <c r="B205" s="117" t="s">
        <v>328</v>
      </c>
      <c r="C205" s="8">
        <v>0</v>
      </c>
      <c r="D205" s="6">
        <v>0</v>
      </c>
      <c r="E205" s="19">
        <f>C205*D205/100</f>
        <v>0</v>
      </c>
      <c r="F205" s="126">
        <f>MIN(F207-F204,D205)</f>
        <v>0</v>
      </c>
      <c r="G205" s="19">
        <f>F205*C205/100</f>
        <v>0</v>
      </c>
      <c r="H205" s="6">
        <f>D205-F205</f>
        <v>0</v>
      </c>
      <c r="I205" s="10">
        <f>H205*C205/100</f>
        <v>0</v>
      </c>
      <c r="K205" s="307" t="e">
        <f>H205/H207</f>
        <v>#DIV/0!</v>
      </c>
    </row>
    <row r="206" spans="1:11" hidden="1">
      <c r="D206" s="116"/>
      <c r="E206" s="116"/>
      <c r="F206" s="116"/>
      <c r="G206" s="116"/>
      <c r="H206" s="116"/>
      <c r="I206" s="26"/>
    </row>
    <row r="207" spans="1:11" hidden="1">
      <c r="B207" s="4" t="s">
        <v>6</v>
      </c>
      <c r="D207" s="6">
        <f>D204+D205</f>
        <v>0</v>
      </c>
      <c r="E207" s="10">
        <f>E204+E205</f>
        <v>0</v>
      </c>
      <c r="F207" s="514">
        <v>0</v>
      </c>
      <c r="G207" s="10">
        <f>G204+G205</f>
        <v>0</v>
      </c>
      <c r="H207" s="6">
        <f>H204+H205</f>
        <v>0</v>
      </c>
      <c r="I207" s="10">
        <f>I204+I205</f>
        <v>0</v>
      </c>
    </row>
    <row r="208" spans="1:11" hidden="1">
      <c r="B208" s="4" t="s">
        <v>53</v>
      </c>
      <c r="E208" s="8">
        <v>0</v>
      </c>
      <c r="F208" s="8"/>
      <c r="G208" s="8">
        <v>0</v>
      </c>
      <c r="I208" s="8">
        <v>0</v>
      </c>
    </row>
    <row r="209" spans="2:9" hidden="1"/>
    <row r="210" spans="2:9" hidden="1"/>
    <row r="211" spans="2:9" hidden="1">
      <c r="B211" s="121" t="s">
        <v>184</v>
      </c>
    </row>
    <row r="212" spans="2:9" hidden="1">
      <c r="B212" s="4" t="s">
        <v>7</v>
      </c>
    </row>
    <row r="213" spans="2:9" hidden="1">
      <c r="B213" s="117" t="s">
        <v>327</v>
      </c>
      <c r="C213" s="8">
        <v>0</v>
      </c>
      <c r="D213" s="6">
        <v>0</v>
      </c>
      <c r="E213" s="10">
        <f>C213*D213/100</f>
        <v>0</v>
      </c>
      <c r="F213" s="125">
        <f>MIN(D213,F216)</f>
        <v>0</v>
      </c>
      <c r="G213" s="10">
        <f>F213*C213/100</f>
        <v>0</v>
      </c>
      <c r="H213" s="6">
        <f>D213-F213</f>
        <v>0</v>
      </c>
      <c r="I213" s="10">
        <f>H213*C213/100</f>
        <v>0</v>
      </c>
    </row>
    <row r="214" spans="2:9" hidden="1">
      <c r="B214" s="117" t="s">
        <v>328</v>
      </c>
      <c r="C214" s="8">
        <v>0</v>
      </c>
      <c r="D214" s="28">
        <v>0</v>
      </c>
      <c r="E214" s="19">
        <f>C214*D214/100</f>
        <v>0</v>
      </c>
      <c r="F214" s="126">
        <f>MIN(F216-F213,D214)</f>
        <v>0</v>
      </c>
      <c r="G214" s="19">
        <f>F214*C214/100</f>
        <v>0</v>
      </c>
      <c r="H214" s="6">
        <f>D214-F214</f>
        <v>0</v>
      </c>
      <c r="I214" s="10">
        <f>H214*C214/100</f>
        <v>0</v>
      </c>
    </row>
    <row r="215" spans="2:9" hidden="1">
      <c r="D215" s="116"/>
      <c r="E215" s="116"/>
      <c r="F215" s="116"/>
      <c r="G215" s="116"/>
      <c r="H215" s="116"/>
      <c r="I215" s="116"/>
    </row>
    <row r="216" spans="2:9" hidden="1">
      <c r="B216" s="4" t="s">
        <v>6</v>
      </c>
      <c r="D216" s="6">
        <f>D213+D214</f>
        <v>0</v>
      </c>
      <c r="E216" s="10">
        <f>E213+E214</f>
        <v>0</v>
      </c>
      <c r="F216" s="15">
        <f>F207</f>
        <v>0</v>
      </c>
      <c r="G216" s="10">
        <f>G213+G214</f>
        <v>0</v>
      </c>
      <c r="H216" s="6">
        <f>H213+H214</f>
        <v>0</v>
      </c>
      <c r="I216" s="6">
        <f>I212+I213+I214</f>
        <v>0</v>
      </c>
    </row>
    <row r="217" spans="2:9" hidden="1">
      <c r="B217" s="4" t="s">
        <v>53</v>
      </c>
      <c r="E217" s="8">
        <v>0</v>
      </c>
      <c r="F217" s="8"/>
      <c r="G217" s="8">
        <v>0</v>
      </c>
      <c r="I217" s="8">
        <v>0</v>
      </c>
    </row>
    <row r="218" spans="2:9" hidden="1"/>
    <row r="219" spans="2:9" hidden="1">
      <c r="E219" s="10"/>
    </row>
    <row r="220" spans="2:9" hidden="1">
      <c r="B220" s="497" t="s">
        <v>473</v>
      </c>
      <c r="C220" s="497"/>
      <c r="D220" s="497"/>
      <c r="E220" s="497"/>
      <c r="F220" s="497"/>
      <c r="G220" s="497"/>
    </row>
    <row r="221" spans="2:9" hidden="1">
      <c r="B221" s="507" t="str">
        <f>"5 X "&amp;TEXT(D25,"#,##0")&amp;" = "&amp;TEXT(F207,"#,##0")</f>
        <v>5 X 2,077,306 = 0</v>
      </c>
      <c r="C221" s="497"/>
      <c r="D221" s="497"/>
      <c r="E221" s="497"/>
      <c r="F221" s="497"/>
      <c r="G221" s="497"/>
    </row>
    <row r="222" spans="2:9" hidden="1"/>
    <row r="223" spans="2:9" hidden="1">
      <c r="B223" s="121" t="s">
        <v>183</v>
      </c>
    </row>
    <row r="224" spans="2:9" hidden="1">
      <c r="B224" s="4" t="s">
        <v>24</v>
      </c>
    </row>
    <row r="225" spans="2:9" hidden="1">
      <c r="B225" s="117" t="s">
        <v>181</v>
      </c>
      <c r="C225" s="8">
        <v>0</v>
      </c>
      <c r="D225" s="6">
        <v>0</v>
      </c>
      <c r="E225" s="10">
        <f>C225*D225/100</f>
        <v>0</v>
      </c>
      <c r="F225" s="125">
        <f>MIN(D225,F231)</f>
        <v>0</v>
      </c>
      <c r="G225" s="10">
        <f>F225*C225/100</f>
        <v>0</v>
      </c>
      <c r="H225" s="6">
        <f>D225-F225</f>
        <v>0</v>
      </c>
      <c r="I225" s="10">
        <f>H225*C225/100</f>
        <v>0</v>
      </c>
    </row>
    <row r="226" spans="2:9" hidden="1">
      <c r="B226" s="117" t="s">
        <v>182</v>
      </c>
      <c r="C226" s="8">
        <v>0</v>
      </c>
      <c r="D226" s="6">
        <v>0</v>
      </c>
      <c r="E226" s="10">
        <f>C226*D226/100</f>
        <v>0</v>
      </c>
      <c r="F226" s="125">
        <f>MIN(F231-F225,D226)</f>
        <v>0</v>
      </c>
      <c r="G226" s="10">
        <f>F226*C226/100</f>
        <v>0</v>
      </c>
      <c r="H226" s="6">
        <f>D226-F226</f>
        <v>0</v>
      </c>
      <c r="I226" s="10">
        <f>H226*C226/100</f>
        <v>0</v>
      </c>
    </row>
    <row r="227" spans="2:9" hidden="1">
      <c r="B227" s="117" t="s">
        <v>285</v>
      </c>
      <c r="C227" s="8">
        <v>0</v>
      </c>
      <c r="D227" s="6">
        <v>0</v>
      </c>
      <c r="E227" s="10">
        <f t="shared" ref="E227:E229" si="49">C227*D227/100</f>
        <v>0</v>
      </c>
      <c r="F227" s="126">
        <f>MIN(F231-F225-F226,D227)</f>
        <v>0</v>
      </c>
      <c r="G227" s="10">
        <f t="shared" ref="G227:G228" si="50">F227*C227/100</f>
        <v>0</v>
      </c>
      <c r="H227" s="6">
        <f t="shared" ref="H227:H228" si="51">D227-F227</f>
        <v>0</v>
      </c>
      <c r="I227" s="10">
        <f t="shared" ref="I227:I228" si="52">H227*C227/100</f>
        <v>0</v>
      </c>
    </row>
    <row r="228" spans="2:9" hidden="1">
      <c r="B228" s="117" t="s">
        <v>286</v>
      </c>
      <c r="C228" s="8">
        <v>0</v>
      </c>
      <c r="D228" s="6">
        <v>0</v>
      </c>
      <c r="E228" s="10">
        <f t="shared" si="49"/>
        <v>0</v>
      </c>
      <c r="F228" s="126">
        <f>MIN(F231-F225-F226-F227,D228)</f>
        <v>0</v>
      </c>
      <c r="G228" s="10">
        <f t="shared" si="50"/>
        <v>0</v>
      </c>
      <c r="H228" s="6">
        <f t="shared" si="51"/>
        <v>0</v>
      </c>
      <c r="I228" s="10">
        <f t="shared" si="52"/>
        <v>0</v>
      </c>
    </row>
    <row r="229" spans="2:9" hidden="1">
      <c r="B229" s="117" t="s">
        <v>287</v>
      </c>
      <c r="C229" s="8">
        <v>0</v>
      </c>
      <c r="D229" s="6">
        <v>0</v>
      </c>
      <c r="E229" s="10">
        <f t="shared" si="49"/>
        <v>0</v>
      </c>
      <c r="F229" s="126">
        <f>MIN(F231-F225-F226-F227-F228,D229)</f>
        <v>0</v>
      </c>
      <c r="G229" s="19">
        <f>F229*C229/100</f>
        <v>0</v>
      </c>
      <c r="H229" s="6">
        <f>D229-F229</f>
        <v>0</v>
      </c>
      <c r="I229" s="10">
        <f>H229*C229/100</f>
        <v>0</v>
      </c>
    </row>
    <row r="230" spans="2:9" hidden="1">
      <c r="D230" s="116"/>
      <c r="E230" s="116"/>
      <c r="F230" s="116"/>
      <c r="G230" s="116"/>
      <c r="H230" s="116"/>
      <c r="I230" s="26"/>
    </row>
    <row r="231" spans="2:9" hidden="1">
      <c r="B231" s="4" t="s">
        <v>6</v>
      </c>
      <c r="D231" s="6">
        <f>D225+D226+D229+D227+D228</f>
        <v>0</v>
      </c>
      <c r="E231" s="10">
        <f>E225+E226+E229+E227+E228</f>
        <v>0</v>
      </c>
      <c r="F231" s="514">
        <v>0</v>
      </c>
      <c r="G231" s="10">
        <f>G225+G226+G229</f>
        <v>0</v>
      </c>
      <c r="H231" s="6">
        <f>H225+H226+H229+H227+H228</f>
        <v>0</v>
      </c>
      <c r="I231" s="10">
        <f>I225+I226+I229+I227+I228</f>
        <v>0</v>
      </c>
    </row>
    <row r="232" spans="2:9" hidden="1">
      <c r="B232" s="4" t="s">
        <v>53</v>
      </c>
      <c r="E232" s="8">
        <v>0</v>
      </c>
      <c r="F232" s="8"/>
      <c r="G232" s="8">
        <v>0</v>
      </c>
      <c r="I232" s="8">
        <v>0</v>
      </c>
    </row>
    <row r="233" spans="2:9" hidden="1"/>
    <row r="234" spans="2:9" hidden="1"/>
    <row r="235" spans="2:9" hidden="1">
      <c r="B235" s="121" t="s">
        <v>184</v>
      </c>
    </row>
    <row r="236" spans="2:9" hidden="1">
      <c r="B236" s="4" t="s">
        <v>24</v>
      </c>
    </row>
    <row r="237" spans="2:9" hidden="1">
      <c r="B237" s="117" t="s">
        <v>181</v>
      </c>
      <c r="C237" s="8">
        <v>0</v>
      </c>
      <c r="D237" s="6">
        <v>0</v>
      </c>
      <c r="E237" s="10">
        <f>C237*D237/100</f>
        <v>0</v>
      </c>
      <c r="F237" s="125">
        <f>MIN(D237,F243)</f>
        <v>0</v>
      </c>
      <c r="G237" s="10">
        <f>F237*C237/100</f>
        <v>0</v>
      </c>
      <c r="H237" s="6">
        <f>D237-F237</f>
        <v>0</v>
      </c>
      <c r="I237" s="10">
        <f>H237*C237/100</f>
        <v>0</v>
      </c>
    </row>
    <row r="238" spans="2:9" hidden="1">
      <c r="B238" s="117" t="s">
        <v>182</v>
      </c>
      <c r="C238" s="8">
        <v>0</v>
      </c>
      <c r="D238" s="6">
        <v>0</v>
      </c>
      <c r="E238" s="10">
        <f>C238*D238/100</f>
        <v>0</v>
      </c>
      <c r="F238" s="125">
        <f>MIN(F243-F237,D238)</f>
        <v>0</v>
      </c>
      <c r="G238" s="10">
        <f>F238*C238/100</f>
        <v>0</v>
      </c>
      <c r="H238" s="6">
        <f>D238-F238</f>
        <v>0</v>
      </c>
      <c r="I238" s="10">
        <f>H238*C238/100</f>
        <v>0</v>
      </c>
    </row>
    <row r="239" spans="2:9" hidden="1">
      <c r="B239" s="117" t="s">
        <v>285</v>
      </c>
      <c r="C239" s="8">
        <v>0</v>
      </c>
      <c r="D239" s="28">
        <v>0</v>
      </c>
      <c r="E239" s="19">
        <f>C239*D239/100</f>
        <v>0</v>
      </c>
      <c r="F239" s="126">
        <f>MIN(F243-F237-F238,D239)</f>
        <v>0</v>
      </c>
      <c r="G239" s="19">
        <f>F239*C239/100</f>
        <v>0</v>
      </c>
      <c r="H239" s="6">
        <f>D239-F239</f>
        <v>0</v>
      </c>
      <c r="I239" s="10">
        <f>H239*C239/100</f>
        <v>0</v>
      </c>
    </row>
    <row r="240" spans="2:9" hidden="1">
      <c r="B240" s="117" t="s">
        <v>286</v>
      </c>
      <c r="C240" s="8">
        <v>0</v>
      </c>
      <c r="D240" s="28">
        <v>0</v>
      </c>
      <c r="E240" s="19">
        <f t="shared" ref="E240:E241" si="53">C240*D240/100</f>
        <v>0</v>
      </c>
      <c r="F240" s="126">
        <f>MIN(F243-F237-F238-F239,D240)</f>
        <v>0</v>
      </c>
      <c r="G240" s="19">
        <f>F240*C240/100</f>
        <v>0</v>
      </c>
      <c r="H240" s="6">
        <f>D240-F240</f>
        <v>0</v>
      </c>
      <c r="I240" s="10">
        <f>H240*C240/100</f>
        <v>0</v>
      </c>
    </row>
    <row r="241" spans="2:9" hidden="1">
      <c r="B241" s="117" t="s">
        <v>287</v>
      </c>
      <c r="C241" s="8">
        <v>0</v>
      </c>
      <c r="D241" s="28">
        <v>0</v>
      </c>
      <c r="E241" s="19">
        <f t="shared" si="53"/>
        <v>0</v>
      </c>
      <c r="F241" s="126">
        <f>MIN(F243-F237-F238-F239-F240,D241)</f>
        <v>0</v>
      </c>
      <c r="G241" s="19">
        <f t="shared" ref="G241" si="54">F241*C241/100</f>
        <v>0</v>
      </c>
      <c r="H241" s="6">
        <f t="shared" ref="H241" si="55">D241-F241</f>
        <v>0</v>
      </c>
      <c r="I241" s="10">
        <f t="shared" ref="I241" si="56">H241*C241/100</f>
        <v>0</v>
      </c>
    </row>
    <row r="242" spans="2:9" hidden="1">
      <c r="D242" s="116"/>
      <c r="E242" s="116"/>
      <c r="F242" s="116"/>
      <c r="G242" s="116"/>
      <c r="H242" s="116"/>
      <c r="I242" s="116"/>
    </row>
    <row r="243" spans="2:9" hidden="1">
      <c r="B243" s="4" t="s">
        <v>6</v>
      </c>
      <c r="D243" s="6">
        <f>D237+D238+D239+D240+D241</f>
        <v>0</v>
      </c>
      <c r="E243" s="10">
        <f>E237+E238+E239+E240+E241</f>
        <v>0</v>
      </c>
      <c r="F243" s="369">
        <f>F231</f>
        <v>0</v>
      </c>
      <c r="G243" s="10">
        <f>G237+G238+G239</f>
        <v>0</v>
      </c>
      <c r="H243" s="6">
        <f>H237+H238+H239+H240+H241</f>
        <v>0</v>
      </c>
      <c r="I243" s="6">
        <f>I236+I237+I238+I239+I240+I241</f>
        <v>0</v>
      </c>
    </row>
    <row r="244" spans="2:9" hidden="1">
      <c r="B244" s="4" t="s">
        <v>53</v>
      </c>
      <c r="E244" s="8">
        <v>0</v>
      </c>
      <c r="F244" s="8"/>
      <c r="G244" s="8">
        <v>0</v>
      </c>
      <c r="I244" s="8">
        <v>0</v>
      </c>
    </row>
    <row r="245" spans="2:9" hidden="1">
      <c r="D245" s="6"/>
      <c r="E245" s="6"/>
    </row>
    <row r="246" spans="2:9" hidden="1"/>
    <row r="247" spans="2:9" hidden="1">
      <c r="B247" s="208" t="s">
        <v>474</v>
      </c>
    </row>
    <row r="248" spans="2:9" hidden="1">
      <c r="B248" s="342" t="str">
        <f>"516 X "&amp;TEXT(E26,"#,##0")&amp;" = "&amp;TEXT(F231,"#,##0")</f>
        <v>516 X 41,579 = 0</v>
      </c>
    </row>
  </sheetData>
  <mergeCells count="1">
    <mergeCell ref="Q6:S11"/>
  </mergeCells>
  <phoneticPr fontId="0" type="noConversion"/>
  <pageMargins left="0.5" right="0.5" top="0.78" bottom="0.5" header="0.17" footer="0.5"/>
  <pageSetup scale="85" orientation="landscape" r:id="rId1"/>
  <headerFooter alignWithMargins="0">
    <oddHeader>&amp;C&amp;"Arial,Bold"&amp;9AVISTA UTILITIES
WASHINGTON NATURAL GAS
PRO FORMA REVENUE UNDER PRESENT AND PROPOSED BASE TARIFF RATES
12 MONTHS ENDED JUNE 30, 2023</oddHeader>
  </headerFooter>
  <rowBreaks count="4" manualBreakCount="4">
    <brk id="49" max="9" man="1"/>
    <brk id="98" max="9" man="1"/>
    <brk id="148" max="9" man="1"/>
    <brk id="199" max="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92D050"/>
    <pageSetUpPr autoPageBreaks="0" fitToPage="1"/>
  </sheetPr>
  <dimension ref="A1:V122"/>
  <sheetViews>
    <sheetView showGridLines="0" zoomScale="115" zoomScaleNormal="115" workbookViewId="0">
      <pane xSplit="2" ySplit="2" topLeftCell="C3" activePane="bottomRight" state="frozen"/>
      <selection pane="topRight"/>
      <selection pane="bottomLeft"/>
      <selection pane="bottomRight" activeCell="J11" sqref="J11"/>
    </sheetView>
  </sheetViews>
  <sheetFormatPr defaultRowHeight="12.75"/>
  <cols>
    <col min="1" max="1" width="8.7109375" customWidth="1"/>
    <col min="2" max="2" width="24.28515625" customWidth="1"/>
    <col min="3" max="3" width="14.7109375" customWidth="1"/>
    <col min="4" max="4" width="16" bestFit="1" customWidth="1"/>
    <col min="5" max="8" width="14.7109375" customWidth="1"/>
    <col min="10" max="10" width="19" bestFit="1" customWidth="1"/>
    <col min="11" max="11" width="22.5703125" customWidth="1"/>
    <col min="12" max="16" width="14.7109375" customWidth="1"/>
  </cols>
  <sheetData>
    <row r="1" spans="1:22" ht="15">
      <c r="A1" s="66" t="s">
        <v>27</v>
      </c>
      <c r="C1" s="29"/>
      <c r="D1" s="43">
        <v>1</v>
      </c>
      <c r="E1" s="43">
        <v>2</v>
      </c>
      <c r="F1" s="43">
        <v>3</v>
      </c>
      <c r="G1" s="43">
        <v>4</v>
      </c>
      <c r="H1" s="43">
        <v>5</v>
      </c>
      <c r="L1" s="50" t="s">
        <v>112</v>
      </c>
    </row>
    <row r="2" spans="1:22">
      <c r="C2" s="51" t="s">
        <v>6</v>
      </c>
      <c r="D2" s="51" t="s">
        <v>150</v>
      </c>
      <c r="E2" s="51" t="s">
        <v>451</v>
      </c>
      <c r="F2" s="51" t="s">
        <v>452</v>
      </c>
      <c r="G2" s="400" t="s">
        <v>514</v>
      </c>
      <c r="H2" s="51" t="s">
        <v>153</v>
      </c>
      <c r="J2" s="67" t="s">
        <v>113</v>
      </c>
      <c r="L2" s="51" t="s">
        <v>150</v>
      </c>
      <c r="M2" s="51" t="s">
        <v>151</v>
      </c>
      <c r="N2" s="51" t="s">
        <v>152</v>
      </c>
      <c r="O2" s="51" t="s">
        <v>154</v>
      </c>
      <c r="P2" s="51" t="s">
        <v>153</v>
      </c>
    </row>
    <row r="3" spans="1:22">
      <c r="B3" s="29" t="s">
        <v>114</v>
      </c>
      <c r="C3" s="51"/>
      <c r="D3" s="51"/>
      <c r="E3" s="51"/>
      <c r="F3" s="51"/>
      <c r="G3" s="51"/>
      <c r="H3" s="51"/>
      <c r="J3" s="67"/>
    </row>
    <row r="4" spans="1:22">
      <c r="A4">
        <v>1</v>
      </c>
      <c r="B4" t="s">
        <v>28</v>
      </c>
      <c r="D4" s="68">
        <v>9.5</v>
      </c>
      <c r="E4" s="68">
        <v>0</v>
      </c>
      <c r="F4" s="68">
        <v>0</v>
      </c>
      <c r="G4" s="68">
        <v>0</v>
      </c>
      <c r="H4" s="68">
        <v>700</v>
      </c>
    </row>
    <row r="5" spans="1:22">
      <c r="A5">
        <v>2</v>
      </c>
      <c r="B5" t="s">
        <v>29</v>
      </c>
      <c r="D5" s="68">
        <v>0</v>
      </c>
      <c r="E5" s="68">
        <v>130.58000000000001</v>
      </c>
      <c r="F5" s="68">
        <v>0</v>
      </c>
      <c r="G5" s="68">
        <v>0</v>
      </c>
      <c r="H5" s="68">
        <v>0</v>
      </c>
    </row>
    <row r="6" spans="1:22">
      <c r="A6">
        <v>3</v>
      </c>
      <c r="B6" t="s">
        <v>30</v>
      </c>
      <c r="D6" s="70">
        <v>50.668999999999997</v>
      </c>
      <c r="E6" s="70">
        <v>0</v>
      </c>
      <c r="F6" s="70">
        <v>0</v>
      </c>
      <c r="G6" s="70">
        <v>30.317</v>
      </c>
      <c r="H6" s="70">
        <v>12.43</v>
      </c>
      <c r="L6" s="42">
        <v>9999999</v>
      </c>
      <c r="M6" s="42">
        <v>200</v>
      </c>
      <c r="N6" s="42">
        <v>500</v>
      </c>
      <c r="O6" s="42">
        <v>10000</v>
      </c>
      <c r="P6" s="42">
        <v>20000</v>
      </c>
      <c r="R6" s="385" t="s">
        <v>513</v>
      </c>
      <c r="S6" s="385"/>
      <c r="T6" s="385"/>
      <c r="U6" s="385"/>
      <c r="V6" s="385"/>
    </row>
    <row r="7" spans="1:22">
      <c r="A7">
        <v>4</v>
      </c>
      <c r="B7" t="s">
        <v>31</v>
      </c>
      <c r="D7" s="70">
        <v>65.852999999999994</v>
      </c>
      <c r="E7" s="70">
        <v>38.764000000000003</v>
      </c>
      <c r="F7" s="70">
        <v>0</v>
      </c>
      <c r="G7" s="70">
        <v>24.337</v>
      </c>
      <c r="H7" s="70">
        <v>11.058</v>
      </c>
      <c r="I7" s="282">
        <f>H7/H6-1</f>
        <v>-0.11037811745776349</v>
      </c>
      <c r="L7" s="42">
        <v>9999999</v>
      </c>
      <c r="M7" s="42">
        <v>1000</v>
      </c>
      <c r="N7" s="42">
        <v>1000</v>
      </c>
      <c r="O7" s="42">
        <v>25000</v>
      </c>
      <c r="P7" s="42">
        <v>50000</v>
      </c>
    </row>
    <row r="8" spans="1:22">
      <c r="A8">
        <v>5</v>
      </c>
      <c r="B8" t="s">
        <v>32</v>
      </c>
      <c r="D8" s="70">
        <v>0</v>
      </c>
      <c r="E8" s="70">
        <v>29.547000000000001</v>
      </c>
      <c r="F8" s="70">
        <v>0</v>
      </c>
      <c r="G8" s="70">
        <v>22.869</v>
      </c>
      <c r="H8" s="70">
        <v>9.9710000000000001</v>
      </c>
      <c r="I8" s="282">
        <f>H8/H7-1</f>
        <v>-9.8299873394827264E-2</v>
      </c>
      <c r="J8" s="29" t="s">
        <v>115</v>
      </c>
      <c r="L8" s="42">
        <v>9999999</v>
      </c>
      <c r="M8" s="42">
        <v>9999999</v>
      </c>
      <c r="N8" s="42">
        <v>10000</v>
      </c>
      <c r="O8" s="42">
        <v>50000</v>
      </c>
      <c r="P8" s="42">
        <v>300000</v>
      </c>
    </row>
    <row r="9" spans="1:22">
      <c r="A9">
        <v>6</v>
      </c>
      <c r="B9" t="s">
        <v>33</v>
      </c>
      <c r="D9" s="70">
        <v>0</v>
      </c>
      <c r="E9" s="70">
        <v>25.210999999999999</v>
      </c>
      <c r="F9" s="70">
        <v>0</v>
      </c>
      <c r="G9" s="70">
        <v>20.433</v>
      </c>
      <c r="H9" s="70">
        <v>9.2210000000000001</v>
      </c>
      <c r="I9" s="282">
        <f t="shared" ref="I9" si="0">H9/H8-1</f>
        <v>-7.5218132584495057E-2</v>
      </c>
      <c r="L9" s="42">
        <v>9999999</v>
      </c>
      <c r="M9" s="42">
        <v>9999999</v>
      </c>
      <c r="N9" s="42">
        <v>25000</v>
      </c>
      <c r="O9" s="42">
        <v>9999999</v>
      </c>
      <c r="P9" s="42">
        <v>500000</v>
      </c>
    </row>
    <row r="10" spans="1:22">
      <c r="A10">
        <v>7</v>
      </c>
      <c r="B10" t="s">
        <v>56</v>
      </c>
      <c r="D10" s="70">
        <v>0</v>
      </c>
      <c r="E10" s="70">
        <v>17.686</v>
      </c>
      <c r="F10" s="70">
        <v>0</v>
      </c>
      <c r="G10" s="70">
        <v>0</v>
      </c>
      <c r="H10" s="70">
        <v>6.93</v>
      </c>
      <c r="I10" s="282">
        <f>H10/H9-1</f>
        <v>-0.24845461446697759</v>
      </c>
      <c r="L10" s="42">
        <v>9999999</v>
      </c>
      <c r="M10" s="42">
        <v>9999999</v>
      </c>
      <c r="N10" s="42">
        <v>9999999</v>
      </c>
      <c r="O10" s="42">
        <v>9999999</v>
      </c>
      <c r="P10" s="42">
        <v>9999999</v>
      </c>
    </row>
    <row r="11" spans="1:22">
      <c r="D11" s="69"/>
      <c r="E11" s="69"/>
      <c r="F11" s="69"/>
      <c r="G11" s="69"/>
      <c r="H11" s="69"/>
      <c r="L11" s="151" t="s">
        <v>249</v>
      </c>
      <c r="M11" s="152">
        <f>(M6/100*E6+E5)/M6*100</f>
        <v>65.290000000000006</v>
      </c>
      <c r="N11" s="153">
        <f>(N6/100*F6+F5)/N6*100</f>
        <v>0</v>
      </c>
      <c r="O11" s="150"/>
      <c r="P11" s="150"/>
    </row>
    <row r="12" spans="1:22">
      <c r="A12" s="389"/>
      <c r="B12" s="401" t="s">
        <v>116</v>
      </c>
      <c r="C12" s="29"/>
      <c r="G12" t="str">
        <f>IF(G13&lt;&gt;'Pres &amp; Prop Rev'!G$5,#VALUE!,"")</f>
        <v/>
      </c>
      <c r="H12" t="str">
        <f>IF(H13&lt;&gt;'Pres &amp; Prop Rev'!H$5,#VALUE!,"")</f>
        <v/>
      </c>
      <c r="L12" s="92" t="s">
        <v>96</v>
      </c>
      <c r="M12" s="154">
        <f>M6*M11/100-(M6*E6/100+E5)</f>
        <v>0</v>
      </c>
      <c r="N12" s="155">
        <f>N6*N11/100-(N6*F6/100+F5)</f>
        <v>0</v>
      </c>
    </row>
    <row r="13" spans="1:22">
      <c r="A13" s="389"/>
      <c r="B13" s="389"/>
      <c r="D13" s="51" t="s">
        <v>7</v>
      </c>
      <c r="E13" s="51" t="s">
        <v>8</v>
      </c>
      <c r="F13" s="51" t="s">
        <v>9</v>
      </c>
      <c r="G13" s="51" t="s">
        <v>10</v>
      </c>
      <c r="H13" s="51" t="s">
        <v>11</v>
      </c>
    </row>
    <row r="14" spans="1:22">
      <c r="A14" s="389">
        <v>1</v>
      </c>
      <c r="B14" s="389" t="s">
        <v>28</v>
      </c>
      <c r="D14" s="105">
        <f>D4</f>
        <v>9.5</v>
      </c>
      <c r="E14" s="105">
        <f t="shared" ref="E14:H14" si="1">E4</f>
        <v>0</v>
      </c>
      <c r="F14" s="105">
        <f t="shared" si="1"/>
        <v>0</v>
      </c>
      <c r="G14" s="105">
        <f t="shared" si="1"/>
        <v>0</v>
      </c>
      <c r="H14" s="105">
        <f t="shared" si="1"/>
        <v>700</v>
      </c>
    </row>
    <row r="15" spans="1:22">
      <c r="A15" s="389">
        <v>2</v>
      </c>
      <c r="B15" s="389" t="s">
        <v>29</v>
      </c>
      <c r="D15" s="105">
        <f t="shared" ref="D15" si="2">D5</f>
        <v>0</v>
      </c>
      <c r="E15" s="105">
        <f>E5</f>
        <v>130.58000000000001</v>
      </c>
      <c r="F15" s="105">
        <f>F5</f>
        <v>0</v>
      </c>
      <c r="G15" s="105">
        <f t="shared" ref="G15:H15" si="3">G5</f>
        <v>0</v>
      </c>
      <c r="H15" s="105">
        <f t="shared" si="3"/>
        <v>0</v>
      </c>
    </row>
    <row r="16" spans="1:22">
      <c r="A16" s="389">
        <v>3</v>
      </c>
      <c r="B16" s="389" t="s">
        <v>30</v>
      </c>
      <c r="D16" s="103">
        <f>D6+40.179+30.3089+0.015-0.006+0.587-3.587+5.093+6.079</f>
        <v>129.33790000000002</v>
      </c>
      <c r="E16" s="103">
        <f>E6+39.2+28.68+0.012-0.002+3.987-1.874+2.842+3.022</f>
        <v>75.867000000000004</v>
      </c>
      <c r="F16" s="103">
        <f>F6</f>
        <v>0</v>
      </c>
      <c r="G16" s="103">
        <f>G6+35.949+0.004-0.001-1.267+2.013+2.952</f>
        <v>69.966999999999999</v>
      </c>
      <c r="H16" s="103">
        <f>H6+0.056+0.044-0.002-0.606+0.106</f>
        <v>12.027999999999999</v>
      </c>
      <c r="L16" s="34">
        <f t="shared" ref="L16:P18" si="4">L6</f>
        <v>9999999</v>
      </c>
      <c r="M16" s="34">
        <f t="shared" si="4"/>
        <v>200</v>
      </c>
      <c r="N16" s="34">
        <f t="shared" si="4"/>
        <v>500</v>
      </c>
      <c r="O16" s="34">
        <f t="shared" si="4"/>
        <v>10000</v>
      </c>
      <c r="P16" s="34">
        <f t="shared" si="4"/>
        <v>20000</v>
      </c>
    </row>
    <row r="17" spans="1:16">
      <c r="A17" s="389">
        <v>4</v>
      </c>
      <c r="B17" s="389" t="s">
        <v>31</v>
      </c>
      <c r="D17" s="103">
        <f>D7+40.179+30.3089+0.015-0.006+0.587-3.587+5.093+6.079</f>
        <v>144.52189999999999</v>
      </c>
      <c r="E17" s="103">
        <f t="shared" ref="E17:E20" si="5">E7+39.2+28.68+0.012-0.002+3.987-1.874+2.842+3.022</f>
        <v>114.63100000000001</v>
      </c>
      <c r="F17" s="103">
        <f>F7</f>
        <v>0</v>
      </c>
      <c r="G17" s="103">
        <f t="shared" ref="G17:G19" si="6">G7+35.949+0.004-0.001-1.267+2.013+2.952</f>
        <v>63.986999999999995</v>
      </c>
      <c r="H17" s="103">
        <f t="shared" ref="H17:H20" si="7">H7+0.056+0.044-0.002-0.606+0.106</f>
        <v>10.655999999999999</v>
      </c>
      <c r="L17" s="34">
        <f t="shared" si="4"/>
        <v>9999999</v>
      </c>
      <c r="M17" s="34">
        <f t="shared" si="4"/>
        <v>1000</v>
      </c>
      <c r="N17" s="34">
        <f t="shared" si="4"/>
        <v>1000</v>
      </c>
      <c r="O17" s="34">
        <f t="shared" si="4"/>
        <v>25000</v>
      </c>
      <c r="P17" s="34">
        <f t="shared" si="4"/>
        <v>50000</v>
      </c>
    </row>
    <row r="18" spans="1:16">
      <c r="A18" s="389">
        <v>5</v>
      </c>
      <c r="B18" s="389" t="s">
        <v>32</v>
      </c>
      <c r="D18" s="103"/>
      <c r="E18" s="103">
        <f t="shared" si="5"/>
        <v>105.414</v>
      </c>
      <c r="F18" s="103">
        <f>F8</f>
        <v>0</v>
      </c>
      <c r="G18" s="103">
        <f t="shared" si="6"/>
        <v>62.518999999999991</v>
      </c>
      <c r="H18" s="103">
        <f t="shared" si="7"/>
        <v>9.5689999999999991</v>
      </c>
      <c r="J18" s="29" t="s">
        <v>117</v>
      </c>
      <c r="L18" s="34">
        <f t="shared" si="4"/>
        <v>9999999</v>
      </c>
      <c r="M18" s="34">
        <f t="shared" si="4"/>
        <v>9999999</v>
      </c>
      <c r="N18" s="34">
        <f t="shared" si="4"/>
        <v>10000</v>
      </c>
      <c r="O18" s="34">
        <f t="shared" si="4"/>
        <v>50000</v>
      </c>
      <c r="P18" s="34">
        <f t="shared" si="4"/>
        <v>300000</v>
      </c>
    </row>
    <row r="19" spans="1:16">
      <c r="A19" s="389">
        <v>6</v>
      </c>
      <c r="B19" s="389" t="s">
        <v>33</v>
      </c>
      <c r="D19" s="103"/>
      <c r="E19" s="103">
        <f t="shared" si="5"/>
        <v>101.07800000000002</v>
      </c>
      <c r="F19" s="103">
        <f>F9</f>
        <v>0</v>
      </c>
      <c r="G19" s="103">
        <f t="shared" si="6"/>
        <v>60.082999999999991</v>
      </c>
      <c r="H19" s="103">
        <f t="shared" si="7"/>
        <v>8.8189999999999991</v>
      </c>
      <c r="L19" s="34">
        <f t="shared" ref="L19:P20" si="8">L9</f>
        <v>9999999</v>
      </c>
      <c r="M19" s="34">
        <f t="shared" si="8"/>
        <v>9999999</v>
      </c>
      <c r="N19" s="34">
        <f t="shared" si="8"/>
        <v>25000</v>
      </c>
      <c r="O19" s="34">
        <f t="shared" si="8"/>
        <v>9999999</v>
      </c>
      <c r="P19" s="34">
        <f t="shared" si="8"/>
        <v>500000</v>
      </c>
    </row>
    <row r="20" spans="1:16">
      <c r="A20" s="389">
        <v>7</v>
      </c>
      <c r="B20" s="389" t="s">
        <v>56</v>
      </c>
      <c r="D20" s="103">
        <f>D10</f>
        <v>0</v>
      </c>
      <c r="E20" s="103">
        <f t="shared" si="5"/>
        <v>93.553000000000011</v>
      </c>
      <c r="F20" s="103">
        <f t="shared" ref="F20" si="9">F10</f>
        <v>0</v>
      </c>
      <c r="G20" s="103"/>
      <c r="H20" s="103">
        <f t="shared" si="7"/>
        <v>6.5279999999999996</v>
      </c>
      <c r="L20" s="34">
        <f t="shared" si="8"/>
        <v>9999999</v>
      </c>
      <c r="M20" s="34">
        <f t="shared" si="8"/>
        <v>9999999</v>
      </c>
      <c r="N20" s="34">
        <f t="shared" si="8"/>
        <v>9999999</v>
      </c>
      <c r="O20" s="34">
        <f t="shared" si="8"/>
        <v>9999999</v>
      </c>
      <c r="P20" s="34">
        <f t="shared" si="8"/>
        <v>9999999</v>
      </c>
    </row>
    <row r="21" spans="1:16">
      <c r="D21" s="103"/>
      <c r="E21" s="103"/>
      <c r="F21" s="103"/>
      <c r="G21" s="103"/>
      <c r="H21" s="103"/>
      <c r="L21" s="151" t="s">
        <v>249</v>
      </c>
      <c r="M21" s="152">
        <f>(M16/100*E16+E15)/M16*100</f>
        <v>141.15700000000001</v>
      </c>
      <c r="N21" s="153">
        <f>(N16/100*F16+F15)/N16*100</f>
        <v>0</v>
      </c>
    </row>
    <row r="22" spans="1:16" ht="15">
      <c r="A22" s="66" t="s">
        <v>35</v>
      </c>
      <c r="B22" s="29"/>
      <c r="C22" s="29"/>
      <c r="D22" s="186"/>
      <c r="L22" s="92" t="s">
        <v>96</v>
      </c>
      <c r="M22" s="154">
        <f>M16*M21/100-(M16*E16/100+E15)</f>
        <v>0</v>
      </c>
      <c r="N22" s="155">
        <f>N16*N21/100-(N16*F16/100+F15)</f>
        <v>0</v>
      </c>
    </row>
    <row r="23" spans="1:16">
      <c r="A23" s="29"/>
      <c r="B23" s="29"/>
      <c r="C23" s="29"/>
    </row>
    <row r="24" spans="1:16">
      <c r="A24" s="389"/>
      <c r="B24" s="401" t="s">
        <v>114</v>
      </c>
      <c r="C24" s="29"/>
      <c r="G24" t="str">
        <f>IF(G25&lt;&gt;'Pres &amp; Prop Rev'!G$5,#VALUE!,"")</f>
        <v/>
      </c>
      <c r="H24" t="str">
        <f>IF(H25&lt;&gt;'Pres &amp; Prop Rev'!H$5,#VALUE!,"")</f>
        <v/>
      </c>
    </row>
    <row r="25" spans="1:16">
      <c r="A25" s="389"/>
      <c r="B25" s="389"/>
      <c r="D25" s="51" t="s">
        <v>7</v>
      </c>
      <c r="E25" s="51" t="s">
        <v>8</v>
      </c>
      <c r="F25" s="51" t="s">
        <v>9</v>
      </c>
      <c r="G25" s="51" t="s">
        <v>10</v>
      </c>
      <c r="H25" s="51" t="s">
        <v>11</v>
      </c>
    </row>
    <row r="26" spans="1:16">
      <c r="A26" s="389">
        <v>1</v>
      </c>
      <c r="B26" s="389" t="s">
        <v>28</v>
      </c>
      <c r="D26" s="104">
        <f>IF(D4&gt;0,ROUND(D63,2),0)</f>
        <v>9.5</v>
      </c>
      <c r="E26" s="104">
        <f>IF(E4&gt;0,ROUND(E63,2),0)</f>
        <v>0</v>
      </c>
      <c r="F26" s="104">
        <f>IF(F4&gt;0,ROUND(F63,2),0)</f>
        <v>0</v>
      </c>
      <c r="G26" s="104">
        <f>IF(G4&gt;0,ROUND(G63,2),0)</f>
        <v>0</v>
      </c>
      <c r="H26" s="104">
        <f>IF(H4&gt;0,ROUND(H63,2),0)</f>
        <v>700</v>
      </c>
    </row>
    <row r="27" spans="1:16">
      <c r="A27" s="389">
        <v>2</v>
      </c>
      <c r="B27" s="389" t="s">
        <v>29</v>
      </c>
      <c r="D27" s="104">
        <f>IF(D5&gt;0,ROUND(D63,2),0)</f>
        <v>0</v>
      </c>
      <c r="E27" s="104">
        <f>IF(E5&gt;0,ROUND(E63,2),0)</f>
        <v>130.58000000000001</v>
      </c>
      <c r="F27" s="104">
        <f>IF(F5&gt;0,ROUND(F63,2),0)</f>
        <v>0</v>
      </c>
      <c r="G27" s="104">
        <f>IF(G5&gt;0,ROUND(G63,2),0)</f>
        <v>0</v>
      </c>
      <c r="H27" s="104">
        <f>IF(H5&gt;0,ROUND(H63,2),0)</f>
        <v>0</v>
      </c>
    </row>
    <row r="28" spans="1:16">
      <c r="A28" s="389">
        <v>2</v>
      </c>
      <c r="B28" s="389" t="s">
        <v>30</v>
      </c>
      <c r="D28" s="102">
        <f>ROUND(D82,3)</f>
        <v>50.668999999999997</v>
      </c>
      <c r="E28" s="102">
        <f>ROUND(E82,3)</f>
        <v>0</v>
      </c>
      <c r="F28" s="102">
        <f t="shared" ref="D28:H30" si="10">ROUND(F82,3)</f>
        <v>0</v>
      </c>
      <c r="G28" s="102">
        <f t="shared" si="10"/>
        <v>30.317</v>
      </c>
      <c r="H28" s="102">
        <f t="shared" si="10"/>
        <v>12.43</v>
      </c>
      <c r="L28" s="42">
        <v>9999999</v>
      </c>
      <c r="M28" s="42">
        <v>200</v>
      </c>
      <c r="N28" s="42">
        <v>500</v>
      </c>
      <c r="O28" s="42">
        <v>10000</v>
      </c>
      <c r="P28" s="42">
        <v>20000</v>
      </c>
    </row>
    <row r="29" spans="1:16">
      <c r="A29" s="389">
        <v>3</v>
      </c>
      <c r="B29" s="389" t="s">
        <v>31</v>
      </c>
      <c r="D29" s="102">
        <f>ROUND(D83,3)</f>
        <v>65.852999999999994</v>
      </c>
      <c r="E29" s="102">
        <f t="shared" si="10"/>
        <v>38.764000000000003</v>
      </c>
      <c r="F29" s="102">
        <v>0</v>
      </c>
      <c r="G29" s="102">
        <f t="shared" si="10"/>
        <v>24.337</v>
      </c>
      <c r="H29" s="102">
        <f t="shared" si="10"/>
        <v>11.058</v>
      </c>
      <c r="I29" s="284">
        <f>H29/H28-1</f>
        <v>-0.11037811745776349</v>
      </c>
      <c r="L29" s="42">
        <v>9999999</v>
      </c>
      <c r="M29" s="42">
        <v>1000</v>
      </c>
      <c r="N29" s="42">
        <v>1000</v>
      </c>
      <c r="O29" s="42">
        <v>25000</v>
      </c>
      <c r="P29" s="42">
        <v>50000</v>
      </c>
    </row>
    <row r="30" spans="1:16">
      <c r="A30" s="389">
        <v>4</v>
      </c>
      <c r="B30" s="389" t="s">
        <v>32</v>
      </c>
      <c r="D30" s="102">
        <f t="shared" si="10"/>
        <v>0</v>
      </c>
      <c r="E30" s="102">
        <f>ROUND(E84,3)</f>
        <v>29.547000000000001</v>
      </c>
      <c r="F30" s="102">
        <v>0</v>
      </c>
      <c r="G30" s="102">
        <f t="shared" si="10"/>
        <v>22.869</v>
      </c>
      <c r="H30" s="102">
        <f t="shared" si="10"/>
        <v>9.9710000000000001</v>
      </c>
      <c r="I30" s="284">
        <f t="shared" ref="I30:I31" si="11">H30/H29-1</f>
        <v>-9.8299873394827264E-2</v>
      </c>
      <c r="J30" s="29" t="s">
        <v>118</v>
      </c>
      <c r="L30" s="42">
        <v>9999999</v>
      </c>
      <c r="M30" s="42">
        <v>9999999</v>
      </c>
      <c r="N30" s="42">
        <v>10000</v>
      </c>
      <c r="O30" s="42">
        <v>50000</v>
      </c>
      <c r="P30" s="42">
        <v>300000</v>
      </c>
    </row>
    <row r="31" spans="1:16">
      <c r="A31" s="389">
        <v>5</v>
      </c>
      <c r="B31" s="389" t="s">
        <v>33</v>
      </c>
      <c r="D31" s="102">
        <f t="shared" ref="D31:H32" si="12">ROUND(D85,3)</f>
        <v>0</v>
      </c>
      <c r="E31" s="102">
        <f>ROUND(E85,3)</f>
        <v>25.210999999999999</v>
      </c>
      <c r="F31" s="102">
        <v>0</v>
      </c>
      <c r="G31" s="102">
        <f t="shared" si="12"/>
        <v>20.433</v>
      </c>
      <c r="H31" s="102">
        <f t="shared" si="12"/>
        <v>9.2210000000000001</v>
      </c>
      <c r="I31" s="284">
        <f t="shared" si="11"/>
        <v>-7.5218132584495057E-2</v>
      </c>
      <c r="L31" s="42">
        <v>9999999</v>
      </c>
      <c r="M31" s="42">
        <v>9999999</v>
      </c>
      <c r="N31" s="42">
        <v>25000</v>
      </c>
      <c r="O31" s="42">
        <v>9999999</v>
      </c>
      <c r="P31" s="42">
        <v>500000</v>
      </c>
    </row>
    <row r="32" spans="1:16">
      <c r="A32" s="389">
        <v>6</v>
      </c>
      <c r="B32" s="389" t="s">
        <v>56</v>
      </c>
      <c r="D32" s="102">
        <f t="shared" si="12"/>
        <v>0</v>
      </c>
      <c r="E32" s="102">
        <f t="shared" si="12"/>
        <v>17.686</v>
      </c>
      <c r="F32" s="102">
        <v>0</v>
      </c>
      <c r="G32" s="102">
        <f t="shared" si="12"/>
        <v>0</v>
      </c>
      <c r="H32" s="102">
        <f t="shared" si="12"/>
        <v>6.93</v>
      </c>
      <c r="I32" s="284">
        <f>H32/H31-1</f>
        <v>-0.24845461446697759</v>
      </c>
      <c r="L32" s="42">
        <v>9999999</v>
      </c>
      <c r="M32" s="42">
        <v>9999999</v>
      </c>
      <c r="N32" s="42">
        <v>9999999</v>
      </c>
      <c r="O32" s="42">
        <v>9999999</v>
      </c>
      <c r="P32" s="42">
        <v>9999999</v>
      </c>
    </row>
    <row r="33" spans="1:22">
      <c r="A33" s="389"/>
      <c r="B33" s="389"/>
      <c r="D33" s="71"/>
      <c r="E33" s="71"/>
      <c r="F33" s="71"/>
      <c r="G33" s="71"/>
      <c r="H33" s="71"/>
      <c r="L33" s="151" t="s">
        <v>249</v>
      </c>
      <c r="M33" s="152">
        <f>(M28/100*E28+E27)/M28*100</f>
        <v>65.290000000000006</v>
      </c>
      <c r="N33" s="153">
        <f>(N28/100*F28+F27)/N28*100</f>
        <v>0</v>
      </c>
      <c r="O33" s="150"/>
      <c r="P33" s="150"/>
    </row>
    <row r="34" spans="1:22">
      <c r="A34" s="389"/>
      <c r="B34" s="401" t="s">
        <v>116</v>
      </c>
      <c r="C34" s="402"/>
      <c r="D34" s="403"/>
      <c r="G34" t="str">
        <f>IF(G35&lt;&gt;'Pres &amp; Prop Rev'!G$5,#VALUE!,"")</f>
        <v/>
      </c>
      <c r="H34" t="str">
        <f>IF(H35&lt;&gt;'Pres &amp; Prop Rev'!H$5,#VALUE!,"")</f>
        <v/>
      </c>
      <c r="L34" s="92" t="s">
        <v>96</v>
      </c>
      <c r="M34" s="154">
        <f>M28*M33/100-(M28*E28/100+E27)</f>
        <v>0</v>
      </c>
      <c r="N34" s="155">
        <f>N28*N33/100-(N28*F28/100+F27)</f>
        <v>0</v>
      </c>
    </row>
    <row r="35" spans="1:22">
      <c r="A35" s="389"/>
      <c r="B35" s="389"/>
      <c r="D35" s="51" t="s">
        <v>7</v>
      </c>
      <c r="E35" s="51" t="s">
        <v>8</v>
      </c>
      <c r="F35" s="51" t="s">
        <v>9</v>
      </c>
      <c r="G35" s="51" t="s">
        <v>10</v>
      </c>
      <c r="H35" s="51" t="s">
        <v>11</v>
      </c>
      <c r="L35" t="s">
        <v>279</v>
      </c>
      <c r="M35" s="206">
        <f>E5+(D26-D4)+(((D28/100)-(D6/100))*70)+(((D29/100)-(D7/100))*130)</f>
        <v>130.58000000000001</v>
      </c>
      <c r="N35" s="206">
        <f>F5+(D26-D4)+(70*((D28/100)-(D6/100)))+(430*((D29/100)-(D7/100)))</f>
        <v>0</v>
      </c>
      <c r="S35">
        <v>100</v>
      </c>
    </row>
    <row r="36" spans="1:22">
      <c r="A36" s="389">
        <v>1</v>
      </c>
      <c r="B36" s="389" t="s">
        <v>28</v>
      </c>
      <c r="D36" s="105">
        <f t="shared" ref="D36:H37" si="13">D26</f>
        <v>9.5</v>
      </c>
      <c r="E36" s="105">
        <f t="shared" si="13"/>
        <v>0</v>
      </c>
      <c r="F36" s="105">
        <f t="shared" si="13"/>
        <v>0</v>
      </c>
      <c r="G36" s="105">
        <f t="shared" si="13"/>
        <v>0</v>
      </c>
      <c r="H36" s="105">
        <f t="shared" si="13"/>
        <v>700</v>
      </c>
      <c r="S36" s="136" t="s">
        <v>269</v>
      </c>
    </row>
    <row r="37" spans="1:22">
      <c r="A37" s="389">
        <v>2</v>
      </c>
      <c r="B37" s="389" t="s">
        <v>29</v>
      </c>
      <c r="D37" s="105">
        <f t="shared" si="13"/>
        <v>0</v>
      </c>
      <c r="E37" s="105">
        <f t="shared" si="13"/>
        <v>130.58000000000001</v>
      </c>
      <c r="F37" s="105">
        <f>F27</f>
        <v>0</v>
      </c>
      <c r="G37" s="105">
        <f t="shared" si="13"/>
        <v>0</v>
      </c>
      <c r="H37" s="105">
        <f t="shared" si="13"/>
        <v>0</v>
      </c>
      <c r="S37" s="185">
        <v>101</v>
      </c>
      <c r="T37" s="185">
        <v>111</v>
      </c>
      <c r="U37" s="185">
        <v>121</v>
      </c>
      <c r="V37" s="185">
        <v>131</v>
      </c>
    </row>
    <row r="38" spans="1:22">
      <c r="A38" s="389">
        <v>2</v>
      </c>
      <c r="B38" s="389" t="s">
        <v>30</v>
      </c>
      <c r="D38" s="103">
        <f>D28+40.179+30.3089+0.015-0.006+0.587-3.587+5.093+6.079</f>
        <v>129.33790000000002</v>
      </c>
      <c r="E38" s="103">
        <f>E28+39.2+28.68+0.012-0.002+3.987-1.874+2.842+3.022</f>
        <v>75.867000000000004</v>
      </c>
      <c r="F38" s="103">
        <f>F28</f>
        <v>0</v>
      </c>
      <c r="G38" s="103">
        <f>G28+35.949+0.004-0.001-1.267+2.013+2.952</f>
        <v>69.966999999999999</v>
      </c>
      <c r="H38" s="103">
        <f>H28+0.056+0.044-0.002-0.606+0.106</f>
        <v>12.027999999999999</v>
      </c>
      <c r="L38" s="34">
        <f t="shared" ref="L38:P42" si="14">L28</f>
        <v>9999999</v>
      </c>
      <c r="M38" s="34">
        <f t="shared" si="14"/>
        <v>200</v>
      </c>
      <c r="N38" s="34">
        <f t="shared" si="14"/>
        <v>500</v>
      </c>
      <c r="O38" s="34">
        <f t="shared" si="14"/>
        <v>10000</v>
      </c>
      <c r="P38" s="34">
        <f t="shared" si="14"/>
        <v>20000</v>
      </c>
      <c r="S38" s="183">
        <v>0</v>
      </c>
      <c r="T38" s="183">
        <v>0</v>
      </c>
      <c r="U38" s="183">
        <v>0</v>
      </c>
      <c r="V38" s="183">
        <v>0</v>
      </c>
    </row>
    <row r="39" spans="1:22">
      <c r="A39" s="389">
        <v>3</v>
      </c>
      <c r="B39" s="389" t="s">
        <v>31</v>
      </c>
      <c r="D39" s="103">
        <f>D29+40.179+30.3089+0.015-0.006+0.587-3.587+5.093+6.079</f>
        <v>144.52189999999999</v>
      </c>
      <c r="E39" s="103">
        <f t="shared" ref="E39:E42" si="15">E29+39.2+28.68+0.012-0.002+3.987-1.874+2.842+3.022</f>
        <v>114.63100000000001</v>
      </c>
      <c r="F39" s="103">
        <f>F29</f>
        <v>0</v>
      </c>
      <c r="G39" s="103">
        <f t="shared" ref="G39:G41" si="16">G29+35.949+0.004-0.001-1.267+2.013+2.952</f>
        <v>63.986999999999995</v>
      </c>
      <c r="H39" s="103">
        <f t="shared" ref="H39:H42" si="17">H29+0.056+0.044-0.002-0.606+0.106</f>
        <v>10.655999999999999</v>
      </c>
      <c r="L39" s="34">
        <f t="shared" si="14"/>
        <v>9999999</v>
      </c>
      <c r="M39" s="34">
        <f t="shared" si="14"/>
        <v>1000</v>
      </c>
      <c r="N39" s="34">
        <f t="shared" si="14"/>
        <v>1000</v>
      </c>
      <c r="O39" s="34">
        <f t="shared" si="14"/>
        <v>25000</v>
      </c>
      <c r="P39" s="34">
        <f t="shared" si="14"/>
        <v>50000</v>
      </c>
      <c r="S39" s="150">
        <f>S$38</f>
        <v>0</v>
      </c>
      <c r="T39" s="150">
        <f>T$38</f>
        <v>0</v>
      </c>
      <c r="U39" s="150">
        <f>U$38</f>
        <v>0</v>
      </c>
      <c r="V39" s="150">
        <f>V$38</f>
        <v>0</v>
      </c>
    </row>
    <row r="40" spans="1:22">
      <c r="A40" s="389">
        <v>4</v>
      </c>
      <c r="B40" s="389" t="s">
        <v>32</v>
      </c>
      <c r="D40" s="103"/>
      <c r="E40" s="103">
        <f t="shared" si="15"/>
        <v>105.414</v>
      </c>
      <c r="F40" s="103">
        <f>F30</f>
        <v>0</v>
      </c>
      <c r="G40" s="103">
        <f t="shared" si="16"/>
        <v>62.518999999999991</v>
      </c>
      <c r="H40" s="103">
        <f t="shared" si="17"/>
        <v>9.5689999999999991</v>
      </c>
      <c r="J40" s="29" t="s">
        <v>119</v>
      </c>
      <c r="L40" s="34">
        <f t="shared" si="14"/>
        <v>9999999</v>
      </c>
      <c r="M40" s="34">
        <f t="shared" si="14"/>
        <v>9999999</v>
      </c>
      <c r="N40" s="34">
        <f t="shared" si="14"/>
        <v>10000</v>
      </c>
      <c r="O40" s="34">
        <f t="shared" si="14"/>
        <v>50000</v>
      </c>
      <c r="P40" s="34">
        <f t="shared" si="14"/>
        <v>300000</v>
      </c>
      <c r="S40" s="150">
        <f t="shared" ref="S40:V42" si="18">S$38</f>
        <v>0</v>
      </c>
      <c r="T40" s="150">
        <f t="shared" si="18"/>
        <v>0</v>
      </c>
      <c r="U40" s="150">
        <f t="shared" si="18"/>
        <v>0</v>
      </c>
      <c r="V40" s="150">
        <f t="shared" si="18"/>
        <v>0</v>
      </c>
    </row>
    <row r="41" spans="1:22">
      <c r="A41" s="389">
        <v>5</v>
      </c>
      <c r="B41" s="389" t="s">
        <v>33</v>
      </c>
      <c r="D41" s="103"/>
      <c r="E41" s="103">
        <f t="shared" si="15"/>
        <v>101.07800000000002</v>
      </c>
      <c r="F41" s="103">
        <f>F31</f>
        <v>0</v>
      </c>
      <c r="G41" s="103">
        <f t="shared" si="16"/>
        <v>60.082999999999991</v>
      </c>
      <c r="H41" s="103">
        <f t="shared" si="17"/>
        <v>8.8189999999999991</v>
      </c>
      <c r="L41" s="34">
        <f t="shared" si="14"/>
        <v>9999999</v>
      </c>
      <c r="M41" s="34">
        <f t="shared" si="14"/>
        <v>9999999</v>
      </c>
      <c r="N41" s="34">
        <f t="shared" si="14"/>
        <v>25000</v>
      </c>
      <c r="O41" s="34">
        <f t="shared" si="14"/>
        <v>9999999</v>
      </c>
      <c r="P41" s="34">
        <f t="shared" si="14"/>
        <v>500000</v>
      </c>
      <c r="S41" s="150">
        <f t="shared" si="18"/>
        <v>0</v>
      </c>
      <c r="T41" s="150">
        <f t="shared" si="18"/>
        <v>0</v>
      </c>
      <c r="U41" s="150">
        <f t="shared" si="18"/>
        <v>0</v>
      </c>
      <c r="V41" s="150">
        <f t="shared" si="18"/>
        <v>0</v>
      </c>
    </row>
    <row r="42" spans="1:22">
      <c r="A42" s="389">
        <v>6</v>
      </c>
      <c r="B42" s="389" t="s">
        <v>56</v>
      </c>
      <c r="D42" s="103">
        <f>D32</f>
        <v>0</v>
      </c>
      <c r="E42" s="103">
        <f t="shared" si="15"/>
        <v>93.553000000000011</v>
      </c>
      <c r="F42" s="103">
        <f t="shared" ref="F42" si="19">F32</f>
        <v>0</v>
      </c>
      <c r="G42" s="103"/>
      <c r="H42" s="103">
        <f t="shared" si="17"/>
        <v>6.5279999999999996</v>
      </c>
      <c r="L42" s="34">
        <f t="shared" si="14"/>
        <v>9999999</v>
      </c>
      <c r="M42" s="34">
        <f t="shared" si="14"/>
        <v>9999999</v>
      </c>
      <c r="N42" s="34">
        <f t="shared" si="14"/>
        <v>9999999</v>
      </c>
      <c r="O42" s="34">
        <f t="shared" si="14"/>
        <v>9999999</v>
      </c>
      <c r="P42" s="34">
        <f t="shared" si="14"/>
        <v>9999999</v>
      </c>
      <c r="S42" s="150">
        <f t="shared" si="18"/>
        <v>0</v>
      </c>
      <c r="T42" s="150">
        <f t="shared" si="18"/>
        <v>0</v>
      </c>
      <c r="U42" s="150">
        <f t="shared" si="18"/>
        <v>0</v>
      </c>
      <c r="V42" s="150">
        <f t="shared" si="18"/>
        <v>0</v>
      </c>
    </row>
    <row r="43" spans="1:22">
      <c r="D43" s="103"/>
      <c r="E43" s="103"/>
      <c r="F43" s="103"/>
      <c r="G43" s="103"/>
      <c r="H43" s="103"/>
      <c r="L43" s="151" t="s">
        <v>249</v>
      </c>
      <c r="M43" s="152">
        <f>(M38/100*E38+E37)/M38*100</f>
        <v>141.15700000000001</v>
      </c>
      <c r="N43" s="153">
        <f>(N38/100*F38+F37)/N38*100</f>
        <v>0</v>
      </c>
    </row>
    <row r="44" spans="1:22">
      <c r="D44" s="186"/>
      <c r="E44" s="186"/>
      <c r="F44" s="186"/>
      <c r="G44" s="186"/>
      <c r="H44" s="186"/>
      <c r="L44" s="92" t="s">
        <v>96</v>
      </c>
      <c r="M44" s="154">
        <f>M38*M43/100-(M38*E38/100+E37)</f>
        <v>0</v>
      </c>
      <c r="N44" s="155">
        <f>N38*N43/100-(N38*F38/100+F37)</f>
        <v>0</v>
      </c>
    </row>
    <row r="45" spans="1:22" ht="15">
      <c r="D45" s="203"/>
      <c r="E45" s="186"/>
      <c r="F45" s="186"/>
      <c r="G45" s="186"/>
      <c r="H45" s="186"/>
    </row>
    <row r="46" spans="1:22">
      <c r="E46" s="186"/>
      <c r="F46" s="186"/>
      <c r="G46" s="186"/>
      <c r="H46" s="186"/>
    </row>
    <row r="47" spans="1:22">
      <c r="A47" t="s">
        <v>0</v>
      </c>
      <c r="B47" s="29" t="s">
        <v>120</v>
      </c>
      <c r="C47" s="29"/>
      <c r="F47" s="186"/>
      <c r="G47" s="186"/>
      <c r="H47" s="186"/>
    </row>
    <row r="48" spans="1:22">
      <c r="F48" s="186"/>
      <c r="H48" s="186"/>
    </row>
    <row r="49" spans="2:21">
      <c r="B49" t="s">
        <v>12</v>
      </c>
    </row>
    <row r="50" spans="2:21">
      <c r="B50" s="35" t="s">
        <v>13</v>
      </c>
      <c r="C50" s="54">
        <f t="shared" ref="C50:C56" si="20">SUM(D50:H50)</f>
        <v>95695933.466150016</v>
      </c>
      <c r="D50" s="54">
        <f>'Pres &amp; Prop Rev'!D31</f>
        <v>80993659.046190009</v>
      </c>
      <c r="E50" s="54">
        <f>'Pres &amp; Prop Rev'!E31</f>
        <v>7004339.4199599996</v>
      </c>
      <c r="F50" s="54" t="str">
        <f>'Pres &amp; Prop Rev'!F31</f>
        <v>Sch 121/122 disc</v>
      </c>
      <c r="G50" s="54">
        <f>'Pres &amp; Prop Rev'!G31</f>
        <v>480000</v>
      </c>
      <c r="H50" s="54">
        <f>'Pres &amp; Prop Rev'!H31</f>
        <v>7217935</v>
      </c>
    </row>
    <row r="51" spans="2:21">
      <c r="B51" s="35" t="s">
        <v>14</v>
      </c>
      <c r="C51" s="54">
        <f t="shared" si="20"/>
        <v>81569413.653999999</v>
      </c>
      <c r="D51" s="54">
        <f>'Pres &amp; Prop Rev'!D32</f>
        <v>55549613.811489999</v>
      </c>
      <c r="E51" s="54">
        <f>'Pres &amp; Prop Rev'!E32</f>
        <v>18294954.25451</v>
      </c>
      <c r="F51" s="54" t="str">
        <f>'Pres &amp; Prop Rev'!F32</f>
        <v>(UG-190334)</v>
      </c>
      <c r="G51" s="54">
        <f>'Pres &amp; Prop Rev'!G32</f>
        <v>640871.58799999999</v>
      </c>
      <c r="H51" s="54">
        <f>'Pres &amp; Prop Rev'!H32</f>
        <v>7083974</v>
      </c>
    </row>
    <row r="52" spans="2:21">
      <c r="B52" s="35" t="s">
        <v>15</v>
      </c>
      <c r="C52" s="54">
        <f t="shared" si="20"/>
        <v>45459447.501510002</v>
      </c>
      <c r="D52" s="54">
        <f>'Pres &amp; Prop Rev'!D33</f>
        <v>0</v>
      </c>
      <c r="E52" s="54">
        <f>'Pres &amp; Prop Rev'!E33</f>
        <v>31380403.08151</v>
      </c>
      <c r="F52" s="54">
        <f>'Pres &amp; Prop Rev'!F33</f>
        <v>0</v>
      </c>
      <c r="G52" s="54">
        <f>'Pres &amp; Prop Rev'!G33</f>
        <v>684750.42000000016</v>
      </c>
      <c r="H52" s="54">
        <f>'Pres &amp; Prop Rev'!H33</f>
        <v>13394294</v>
      </c>
    </row>
    <row r="53" spans="2:21">
      <c r="B53" s="35" t="s">
        <v>16</v>
      </c>
      <c r="C53" s="54">
        <f t="shared" si="20"/>
        <v>8875506.1079702154</v>
      </c>
      <c r="D53" s="54">
        <f>'Pres &amp; Prop Rev'!D34</f>
        <v>0</v>
      </c>
      <c r="E53" s="54">
        <f>'Pres &amp; Prop Rev'!E34</f>
        <v>5263380.6339700008</v>
      </c>
      <c r="F53" s="54">
        <f>'Pres &amp; Prop Rev'!F34</f>
        <v>0</v>
      </c>
      <c r="G53" s="54">
        <f>'Pres &amp; Prop Rev'!G34</f>
        <v>887244.47400021553</v>
      </c>
      <c r="H53" s="54">
        <f>'Pres &amp; Prop Rev'!H34</f>
        <v>2724881</v>
      </c>
    </row>
    <row r="54" spans="2:21">
      <c r="B54" s="35" t="s">
        <v>55</v>
      </c>
      <c r="C54" s="54">
        <f t="shared" si="20"/>
        <v>5718200.3859999999</v>
      </c>
      <c r="D54" s="54">
        <f>'Pres &amp; Prop Rev'!D35</f>
        <v>0</v>
      </c>
      <c r="E54" s="54">
        <f>'Pres &amp; Prop Rev'!E35</f>
        <v>3945932.3859999999</v>
      </c>
      <c r="F54" s="54">
        <f>'Pres &amp; Prop Rev'!F35</f>
        <v>0</v>
      </c>
      <c r="G54" s="54">
        <f>'Pres &amp; Prop Rev'!G35</f>
        <v>0</v>
      </c>
      <c r="H54" s="54">
        <f>'Pres &amp; Prop Rev'!H35</f>
        <v>1772268</v>
      </c>
    </row>
    <row r="55" spans="2:21">
      <c r="B55" s="35" t="s">
        <v>121</v>
      </c>
      <c r="C55" s="54">
        <f t="shared" si="20"/>
        <v>0</v>
      </c>
      <c r="D55" s="54">
        <f>'Pres &amp; Prop Rev'!D41</f>
        <v>0</v>
      </c>
      <c r="E55" s="54">
        <f>'Pres &amp; Prop Rev'!E41</f>
        <v>0</v>
      </c>
      <c r="F55" s="54">
        <f>'Pres &amp; Prop Rev'!F41</f>
        <v>0</v>
      </c>
      <c r="G55" s="54">
        <f>'Pres &amp; Prop Rev'!G41</f>
        <v>0</v>
      </c>
      <c r="H55" s="54">
        <f>'Pres &amp; Prop Rev'!H41</f>
        <v>0</v>
      </c>
    </row>
    <row r="56" spans="2:21">
      <c r="B56" s="35" t="s">
        <v>191</v>
      </c>
      <c r="C56" s="54">
        <f t="shared" si="20"/>
        <v>-379778</v>
      </c>
      <c r="D56" s="54">
        <f>'Pres &amp; Prop Rev'!D44</f>
        <v>-436540</v>
      </c>
      <c r="E56" s="54">
        <f>'Pres &amp; Prop Rev'!E44</f>
        <v>56762</v>
      </c>
      <c r="F56" s="54">
        <f>'Pres &amp; Prop Rev'!F44</f>
        <v>0</v>
      </c>
      <c r="G56" s="54">
        <f>'Pres &amp; Prop Rev'!G44</f>
        <v>0</v>
      </c>
      <c r="H56" s="54">
        <f>'Pres &amp; Prop Rev'!H44</f>
        <v>0</v>
      </c>
      <c r="I56" t="s">
        <v>122</v>
      </c>
    </row>
    <row r="57" spans="2:21">
      <c r="B57" t="s">
        <v>22</v>
      </c>
      <c r="C57" s="55">
        <f>IF(ROUND(SUM(D57:H57),3)&lt;&gt;ROUND(SUM(C50:C56),3),#VALUE!,SUM(D57:H57))</f>
        <v>236938723.11563024</v>
      </c>
      <c r="D57" s="55">
        <f>SUM(D50:D56)</f>
        <v>136106732.85768002</v>
      </c>
      <c r="E57" s="55">
        <f>SUM(E50:E56)</f>
        <v>65945771.77595</v>
      </c>
      <c r="F57" s="55">
        <f>SUM(F50:F56)</f>
        <v>0</v>
      </c>
      <c r="G57" s="55">
        <f>SUM(G50:G56)</f>
        <v>2692866.4820002159</v>
      </c>
      <c r="H57" s="55">
        <f>SUM(H50:H56)</f>
        <v>32193352</v>
      </c>
      <c r="I57" s="74" t="s">
        <v>124</v>
      </c>
      <c r="J57" s="74"/>
    </row>
    <row r="58" spans="2:21">
      <c r="B58" t="s">
        <v>23</v>
      </c>
      <c r="C58" s="54"/>
      <c r="D58" s="54">
        <f>SUM('Pres &amp; Prop Rev'!D48:D49)</f>
        <v>2077306</v>
      </c>
      <c r="E58" s="54">
        <f>SUM('Pres &amp; Prop Rev'!E48:E49)</f>
        <v>41579</v>
      </c>
      <c r="F58" s="54">
        <f>SUM('Pres &amp; Prop Rev'!F48:F49)</f>
        <v>0</v>
      </c>
      <c r="G58" s="54">
        <f>SUM('Pres &amp; Prop Rev'!G48:G49)</f>
        <v>48</v>
      </c>
      <c r="H58" s="54">
        <f>SUM('Pres &amp; Prop Rev'!H48:H49)</f>
        <v>420</v>
      </c>
      <c r="I58" s="76" t="s">
        <v>128</v>
      </c>
      <c r="J58" s="76"/>
    </row>
    <row r="59" spans="2:21">
      <c r="I59" s="72" t="s">
        <v>123</v>
      </c>
      <c r="J59" s="72"/>
      <c r="K59" s="72"/>
    </row>
    <row r="60" spans="2:21">
      <c r="B60" s="29" t="s">
        <v>63</v>
      </c>
      <c r="C60" s="134" t="e">
        <f>SUM(D60:H60)</f>
        <v>#REF!</v>
      </c>
      <c r="D60" s="134" t="e">
        <f>#REF!*1000</f>
        <v>#REF!</v>
      </c>
      <c r="E60" s="134" t="e">
        <f>(#REF!+#REF!)*1000</f>
        <v>#REF!</v>
      </c>
      <c r="F60" s="134">
        <v>0</v>
      </c>
      <c r="G60" s="134" t="e">
        <f>#REF!*1000</f>
        <v>#REF!</v>
      </c>
      <c r="H60" s="134" t="e">
        <f>#REF!*1000</f>
        <v>#REF!</v>
      </c>
      <c r="I60" s="51" t="s">
        <v>125</v>
      </c>
      <c r="J60" s="51" t="s">
        <v>126</v>
      </c>
      <c r="K60" s="51" t="s">
        <v>127</v>
      </c>
      <c r="N60" s="51"/>
      <c r="O60" s="51"/>
      <c r="P60" s="51"/>
      <c r="Q60" s="51"/>
      <c r="R60" s="51"/>
    </row>
    <row r="61" spans="2:21">
      <c r="B61" s="29" t="s">
        <v>190</v>
      </c>
      <c r="C61" s="88">
        <v>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N61" s="212"/>
      <c r="O61" s="212"/>
      <c r="P61" s="212"/>
      <c r="Q61" s="214"/>
      <c r="R61" s="214"/>
      <c r="S61" s="214"/>
      <c r="T61" s="214"/>
      <c r="U61" s="206"/>
    </row>
    <row r="62" spans="2:21">
      <c r="B62" s="77" t="s">
        <v>156</v>
      </c>
      <c r="C62" s="78"/>
      <c r="D62" s="79">
        <f>D4+D5</f>
        <v>9.5</v>
      </c>
      <c r="E62" s="79">
        <f>E4+E5</f>
        <v>130.58000000000001</v>
      </c>
      <c r="F62" s="79">
        <f>F4+F5</f>
        <v>0</v>
      </c>
      <c r="G62" s="79">
        <f>G4+G5</f>
        <v>0</v>
      </c>
      <c r="H62" s="79">
        <f>H4+H5</f>
        <v>700</v>
      </c>
      <c r="I62" s="80"/>
      <c r="N62" s="212"/>
      <c r="O62" s="212"/>
      <c r="P62" s="212"/>
      <c r="Q62" s="214"/>
      <c r="R62" s="214"/>
      <c r="S62" s="213"/>
      <c r="T62" s="214"/>
      <c r="U62" s="206"/>
    </row>
    <row r="63" spans="2:21">
      <c r="B63" s="80" t="s">
        <v>161</v>
      </c>
      <c r="C63" s="81"/>
      <c r="D63" s="101">
        <v>9.5</v>
      </c>
      <c r="E63" s="101">
        <f>ROUND((RD!D15*70)+(RD!D16*130)+D62+(70*RD!G15)+(130*RD!G16)+RD!G13,2)</f>
        <v>130.58000000000001</v>
      </c>
      <c r="F63" s="101">
        <v>0</v>
      </c>
      <c r="G63" s="101">
        <v>0</v>
      </c>
      <c r="H63" s="101">
        <v>700</v>
      </c>
      <c r="I63" s="80">
        <f>FLOOR(I62*(1+I$61),$I64)</f>
        <v>0</v>
      </c>
      <c r="J63">
        <f>CEILING(J62*(1+J$61),$J64)</f>
        <v>0</v>
      </c>
      <c r="K63" s="132">
        <v>1.05</v>
      </c>
    </row>
    <row r="64" spans="2:21">
      <c r="B64" s="82" t="s">
        <v>148</v>
      </c>
      <c r="C64" s="83"/>
      <c r="D64" s="84">
        <f>IF(D62,D63/D62-1,0)</f>
        <v>0</v>
      </c>
      <c r="E64" s="84">
        <f>IF(E62,E63/E62-1,0)</f>
        <v>0</v>
      </c>
      <c r="F64" s="84">
        <f>IF(F62,F63/F62-1,0)</f>
        <v>0</v>
      </c>
      <c r="G64" s="84">
        <f>IF(G62,G63/G62-1,0)</f>
        <v>0</v>
      </c>
      <c r="H64" s="84">
        <f>IF(H62,H63/H62-1,0)</f>
        <v>0</v>
      </c>
      <c r="I64" s="114">
        <v>0.05</v>
      </c>
      <c r="J64" s="43">
        <v>0.05</v>
      </c>
    </row>
    <row r="65" spans="1:12">
      <c r="B65" s="35" t="s">
        <v>129</v>
      </c>
      <c r="C65" s="85">
        <f>SUM(D65:H65)</f>
        <v>25507451.533500001</v>
      </c>
      <c r="D65" s="85">
        <f>D58*D63</f>
        <v>19734407</v>
      </c>
      <c r="E65" s="85">
        <f>E58*E63</f>
        <v>5429385.8200000003</v>
      </c>
      <c r="F65" s="85">
        <f>F58*F63</f>
        <v>0</v>
      </c>
      <c r="G65" s="85">
        <f>G58*G63</f>
        <v>0</v>
      </c>
      <c r="H65" s="85">
        <f>(H58*H63)+'Pres &amp; Prop Rev'!H156</f>
        <v>343658.71350000001</v>
      </c>
    </row>
    <row r="66" spans="1:12">
      <c r="B66" s="35"/>
      <c r="C66" s="35"/>
      <c r="D66" s="162">
        <v>0</v>
      </c>
      <c r="E66" s="73"/>
      <c r="F66" s="73"/>
      <c r="G66" s="73"/>
    </row>
    <row r="67" spans="1:12">
      <c r="B67" s="53" t="s">
        <v>130</v>
      </c>
      <c r="C67" s="53"/>
      <c r="D67" s="86">
        <f t="shared" ref="D67:H69" si="21">D6</f>
        <v>50.668999999999997</v>
      </c>
      <c r="E67" s="86">
        <f>E6</f>
        <v>0</v>
      </c>
      <c r="F67" s="86">
        <f t="shared" si="21"/>
        <v>0</v>
      </c>
      <c r="G67" s="86">
        <f t="shared" si="21"/>
        <v>30.317</v>
      </c>
      <c r="H67" s="86">
        <f>H6</f>
        <v>12.43</v>
      </c>
      <c r="J67" s="276">
        <f>+E62+(D63-D62)+30*(D82/100)+130*(D83/100)</f>
        <v>231.38960000000003</v>
      </c>
      <c r="L67" s="162"/>
    </row>
    <row r="68" spans="1:12">
      <c r="B68" s="53" t="s">
        <v>131</v>
      </c>
      <c r="C68" s="53"/>
      <c r="D68" s="275">
        <f t="shared" si="21"/>
        <v>65.852999999999994</v>
      </c>
      <c r="E68" s="86">
        <f t="shared" si="21"/>
        <v>38.764000000000003</v>
      </c>
      <c r="F68" s="86">
        <f t="shared" si="21"/>
        <v>0</v>
      </c>
      <c r="G68" s="86">
        <f t="shared" si="21"/>
        <v>24.337</v>
      </c>
      <c r="H68" s="86">
        <f t="shared" si="21"/>
        <v>11.058</v>
      </c>
      <c r="L68" s="163"/>
    </row>
    <row r="69" spans="1:12">
      <c r="B69" s="53" t="s">
        <v>132</v>
      </c>
      <c r="C69" s="53"/>
      <c r="D69" s="86">
        <f t="shared" si="21"/>
        <v>0</v>
      </c>
      <c r="E69" s="86">
        <f t="shared" si="21"/>
        <v>29.547000000000001</v>
      </c>
      <c r="F69" s="86">
        <f t="shared" si="21"/>
        <v>0</v>
      </c>
      <c r="G69" s="86">
        <f t="shared" si="21"/>
        <v>22.869</v>
      </c>
      <c r="H69" s="86">
        <f t="shared" si="21"/>
        <v>9.9710000000000001</v>
      </c>
    </row>
    <row r="70" spans="1:12">
      <c r="B70" s="53" t="s">
        <v>157</v>
      </c>
      <c r="C70" s="53"/>
      <c r="D70" s="86">
        <f t="shared" ref="D70:H71" si="22">D9</f>
        <v>0</v>
      </c>
      <c r="E70" s="275">
        <f t="shared" si="22"/>
        <v>25.210999999999999</v>
      </c>
      <c r="F70" s="86">
        <f>F9</f>
        <v>0</v>
      </c>
      <c r="G70" s="86">
        <f t="shared" si="22"/>
        <v>20.433</v>
      </c>
      <c r="H70" s="86">
        <f t="shared" si="22"/>
        <v>9.2210000000000001</v>
      </c>
    </row>
    <row r="71" spans="1:12">
      <c r="B71" s="53" t="s">
        <v>158</v>
      </c>
      <c r="C71" s="53"/>
      <c r="D71" s="86">
        <f t="shared" si="22"/>
        <v>0</v>
      </c>
      <c r="E71" s="275">
        <f t="shared" si="22"/>
        <v>17.686</v>
      </c>
      <c r="F71" s="86">
        <f t="shared" si="22"/>
        <v>0</v>
      </c>
      <c r="G71" s="86">
        <f t="shared" si="22"/>
        <v>0</v>
      </c>
      <c r="H71" s="86">
        <f t="shared" si="22"/>
        <v>6.93</v>
      </c>
    </row>
    <row r="72" spans="1:12">
      <c r="B72" s="53"/>
      <c r="C72" s="53"/>
      <c r="D72" s="86"/>
      <c r="E72" s="86"/>
      <c r="F72" s="86"/>
      <c r="G72" s="86"/>
      <c r="H72" s="86"/>
      <c r="I72" s="32"/>
    </row>
    <row r="73" spans="1:12">
      <c r="B73" s="53" t="s">
        <v>133</v>
      </c>
      <c r="C73" s="53"/>
      <c r="D73" s="87">
        <v>1</v>
      </c>
      <c r="E73" s="87">
        <v>1</v>
      </c>
      <c r="F73" s="87">
        <v>1</v>
      </c>
      <c r="G73" s="87">
        <v>1</v>
      </c>
      <c r="H73" s="87">
        <v>1</v>
      </c>
    </row>
    <row r="74" spans="1:12">
      <c r="B74" s="53" t="s">
        <v>134</v>
      </c>
      <c r="C74" s="53"/>
      <c r="D74" s="88">
        <v>0</v>
      </c>
      <c r="E74" s="88">
        <v>0</v>
      </c>
      <c r="F74" s="88">
        <v>0</v>
      </c>
      <c r="G74" s="88">
        <v>0</v>
      </c>
      <c r="H74" s="88">
        <v>0</v>
      </c>
      <c r="K74">
        <f>K$61</f>
        <v>0</v>
      </c>
      <c r="L74" s="161"/>
    </row>
    <row r="75" spans="1:12">
      <c r="B75" s="53" t="s">
        <v>135</v>
      </c>
      <c r="C75" s="53"/>
      <c r="D75" s="89">
        <v>2</v>
      </c>
      <c r="E75" s="89">
        <v>2</v>
      </c>
      <c r="F75" s="89">
        <v>2</v>
      </c>
      <c r="G75" s="89">
        <v>2</v>
      </c>
      <c r="H75" s="89">
        <v>2</v>
      </c>
    </row>
    <row r="76" spans="1:12">
      <c r="B76" s="53"/>
      <c r="C76" s="53"/>
      <c r="D76" s="86"/>
      <c r="E76" s="86"/>
      <c r="F76" s="88">
        <v>0</v>
      </c>
      <c r="G76" s="86"/>
      <c r="H76" s="86"/>
      <c r="J76" s="160"/>
    </row>
    <row r="77" spans="1:12">
      <c r="A77" t="s">
        <v>136</v>
      </c>
      <c r="B77" t="s">
        <v>30</v>
      </c>
      <c r="D77" s="86">
        <f>CHOOSE(D$75,D67+D$73,D67*(1+D$74))</f>
        <v>50.668999999999997</v>
      </c>
      <c r="E77" s="349">
        <f>E67</f>
        <v>0</v>
      </c>
      <c r="F77" s="349">
        <f>F67</f>
        <v>0</v>
      </c>
      <c r="G77" s="86">
        <f t="shared" ref="D77:H81" si="23">CHOOSE(G$75,G67+G$73,G67*(1+G$74))</f>
        <v>30.317</v>
      </c>
      <c r="H77" s="86">
        <f t="shared" si="23"/>
        <v>12.43</v>
      </c>
      <c r="J77" s="214"/>
      <c r="L77" s="161"/>
    </row>
    <row r="78" spans="1:12">
      <c r="B78" t="s">
        <v>31</v>
      </c>
      <c r="D78" s="275">
        <f>CHOOSE(D$75,D68+D$73,D68*(1+D$74))</f>
        <v>65.852999999999994</v>
      </c>
      <c r="E78" s="86">
        <f>CHOOSE(E$75,E68+E$73,E68*(1+E$74))</f>
        <v>38.764000000000003</v>
      </c>
      <c r="F78" s="86"/>
      <c r="G78" s="86">
        <f t="shared" si="23"/>
        <v>24.337</v>
      </c>
      <c r="H78" s="86">
        <f t="shared" si="23"/>
        <v>11.058</v>
      </c>
    </row>
    <row r="79" spans="1:12">
      <c r="B79" t="s">
        <v>32</v>
      </c>
      <c r="D79" s="86">
        <f t="shared" si="23"/>
        <v>0</v>
      </c>
      <c r="E79" s="86">
        <f>CHOOSE(E$75,E69+E$73,E69*(1+E$74))</f>
        <v>29.547000000000001</v>
      </c>
      <c r="F79" s="86"/>
      <c r="G79" s="86">
        <f>CHOOSE(G$75,G69+G$73,G69*(1+G$74))</f>
        <v>22.869</v>
      </c>
      <c r="H79" s="86">
        <f t="shared" si="23"/>
        <v>9.9710000000000001</v>
      </c>
    </row>
    <row r="80" spans="1:12">
      <c r="B80" t="s">
        <v>33</v>
      </c>
      <c r="D80" s="86">
        <f t="shared" si="23"/>
        <v>0</v>
      </c>
      <c r="E80" s="275">
        <f>CHOOSE(E$75,E70+E$73,E70*(1+E$74))</f>
        <v>25.210999999999999</v>
      </c>
      <c r="F80" s="86"/>
      <c r="G80" s="275">
        <f>CHOOSE(G$75,G70+G$73,G70*(1+G$74))</f>
        <v>20.433</v>
      </c>
      <c r="H80" s="86">
        <f t="shared" si="23"/>
        <v>9.2210000000000001</v>
      </c>
    </row>
    <row r="81" spans="1:16">
      <c r="B81" t="s">
        <v>56</v>
      </c>
      <c r="D81" s="86">
        <f t="shared" si="23"/>
        <v>0</v>
      </c>
      <c r="E81" s="275">
        <f t="shared" si="23"/>
        <v>17.686</v>
      </c>
      <c r="F81" s="275"/>
      <c r="G81" s="86">
        <f t="shared" si="23"/>
        <v>0</v>
      </c>
      <c r="H81" s="86">
        <f>CHOOSE(H$75,H71+H$73,H71*(1+H$74))</f>
        <v>6.93</v>
      </c>
    </row>
    <row r="82" spans="1:16">
      <c r="A82" t="s">
        <v>137</v>
      </c>
      <c r="B82" s="77" t="s">
        <v>30</v>
      </c>
      <c r="C82" s="78"/>
      <c r="D82" s="194">
        <f>D77</f>
        <v>50.668999999999997</v>
      </c>
      <c r="E82" s="90">
        <f>E77</f>
        <v>0</v>
      </c>
      <c r="F82" s="90">
        <f>F77</f>
        <v>0</v>
      </c>
      <c r="G82" s="90">
        <f>G77</f>
        <v>30.317</v>
      </c>
      <c r="H82" s="209">
        <f>H77</f>
        <v>12.43</v>
      </c>
      <c r="I82" s="80"/>
      <c r="J82" s="226">
        <f>F82-F67</f>
        <v>0</v>
      </c>
      <c r="K82" s="226">
        <f>H82-H67</f>
        <v>0</v>
      </c>
      <c r="L82" s="214">
        <f>D63+((D77/100)*200)</f>
        <v>110.83799999999999</v>
      </c>
      <c r="M82" s="214">
        <f>E63+((E82/100)*200)</f>
        <v>130.58000000000001</v>
      </c>
      <c r="N82" s="214"/>
      <c r="O82" s="214"/>
      <c r="P82" s="214">
        <f>F63+((F82/100)*500)</f>
        <v>0</v>
      </c>
    </row>
    <row r="83" spans="1:16">
      <c r="B83" s="80" t="s">
        <v>31</v>
      </c>
      <c r="C83" s="81"/>
      <c r="D83" s="91">
        <f>D78</f>
        <v>65.852999999999994</v>
      </c>
      <c r="E83" s="91">
        <f>E78</f>
        <v>38.764000000000003</v>
      </c>
      <c r="F83" s="91">
        <f>F78</f>
        <v>0</v>
      </c>
      <c r="G83" s="91">
        <f t="shared" ref="G83:G84" si="24">G78</f>
        <v>24.337</v>
      </c>
      <c r="H83" s="210">
        <f t="shared" ref="H83:H84" si="25">H78</f>
        <v>11.058</v>
      </c>
      <c r="I83" s="80"/>
      <c r="J83" s="226">
        <f>F83-F68</f>
        <v>0</v>
      </c>
      <c r="K83" s="226">
        <f>H83-H68</f>
        <v>0</v>
      </c>
    </row>
    <row r="84" spans="1:16">
      <c r="B84" s="80" t="s">
        <v>32</v>
      </c>
      <c r="C84" s="81"/>
      <c r="D84" s="91"/>
      <c r="E84" s="91">
        <f>E79</f>
        <v>29.547000000000001</v>
      </c>
      <c r="F84" s="91">
        <f>F79</f>
        <v>0</v>
      </c>
      <c r="G84" s="91">
        <f t="shared" si="24"/>
        <v>22.869</v>
      </c>
      <c r="H84" s="210">
        <f t="shared" si="25"/>
        <v>9.9710000000000001</v>
      </c>
      <c r="I84" s="80"/>
      <c r="J84" s="226">
        <f>F84-F69</f>
        <v>0</v>
      </c>
      <c r="K84" s="226">
        <f t="shared" ref="K84:K86" si="26">H84-H69</f>
        <v>0</v>
      </c>
    </row>
    <row r="85" spans="1:16">
      <c r="B85" s="80" t="s">
        <v>33</v>
      </c>
      <c r="C85" s="81"/>
      <c r="D85" s="91"/>
      <c r="E85" s="91">
        <f t="shared" ref="E85:E86" si="27">E80</f>
        <v>25.210999999999999</v>
      </c>
      <c r="F85" s="91">
        <f>F80</f>
        <v>0</v>
      </c>
      <c r="G85" s="91">
        <f>G80</f>
        <v>20.433</v>
      </c>
      <c r="H85" s="210">
        <f t="shared" ref="G85:H86" si="28">H80</f>
        <v>9.2210000000000001</v>
      </c>
      <c r="I85" s="80"/>
      <c r="J85" s="226">
        <f t="shared" ref="J85:J86" si="29">F85-F70</f>
        <v>0</v>
      </c>
      <c r="K85" s="226">
        <f t="shared" si="26"/>
        <v>0</v>
      </c>
    </row>
    <row r="86" spans="1:16">
      <c r="B86" s="92" t="s">
        <v>56</v>
      </c>
      <c r="C86" s="93"/>
      <c r="D86" s="94"/>
      <c r="E86" s="94">
        <f t="shared" si="27"/>
        <v>17.686</v>
      </c>
      <c r="F86" s="94">
        <f>F81</f>
        <v>0</v>
      </c>
      <c r="G86" s="94">
        <f t="shared" si="28"/>
        <v>0</v>
      </c>
      <c r="H86" s="211">
        <f>H81</f>
        <v>6.93</v>
      </c>
      <c r="I86" s="80"/>
      <c r="J86" s="226">
        <f t="shared" si="29"/>
        <v>0</v>
      </c>
      <c r="K86" s="226">
        <f t="shared" si="26"/>
        <v>0</v>
      </c>
    </row>
    <row r="87" spans="1:16">
      <c r="B87" t="s">
        <v>159</v>
      </c>
      <c r="C87" s="85">
        <f>SUM(D87:H87)</f>
        <v>100037952.9693885</v>
      </c>
      <c r="D87" s="73">
        <f>SUMPRODUCT(D50:D54,D82:D86)/100</f>
        <v>77619764.28539452</v>
      </c>
      <c r="E87" s="73">
        <f>SUMPRODUCT(E50:E54,E82:E86)/100</f>
        <v>18388652.259130158</v>
      </c>
      <c r="F87" s="73">
        <f>SUMPRODUCT(F50:F54,F82:F86)/100</f>
        <v>0</v>
      </c>
      <c r="G87" s="73">
        <f>SUMPRODUCT(G50:G54,G82:G86)/100</f>
        <v>639376.75529382413</v>
      </c>
      <c r="H87" s="73">
        <f>SUMPRODUCT(H50:H54,H82:H86)/100</f>
        <v>3390159.6695700004</v>
      </c>
      <c r="K87" s="292"/>
      <c r="L87" s="237">
        <v>101</v>
      </c>
      <c r="M87" s="242" t="s">
        <v>304</v>
      </c>
      <c r="N87" s="237">
        <v>101</v>
      </c>
      <c r="O87" s="234">
        <v>111</v>
      </c>
      <c r="P87" s="227">
        <v>121</v>
      </c>
    </row>
    <row r="88" spans="1:16">
      <c r="B88" t="s">
        <v>138</v>
      </c>
      <c r="C88" s="85">
        <f ca="1">SUM(D88:H88)</f>
        <v>0</v>
      </c>
      <c r="D88" s="73">
        <f ca="1">'Pres &amp; Prop Rev'!D168</f>
        <v>0</v>
      </c>
      <c r="E88" s="73">
        <f ca="1">'Pres &amp; Prop Rev'!E168</f>
        <v>0</v>
      </c>
      <c r="F88" s="73">
        <f>'Pres &amp; Prop Rev'!F168</f>
        <v>0</v>
      </c>
      <c r="G88" s="73">
        <f ca="1">'Pres &amp; Prop Rev'!G168</f>
        <v>0</v>
      </c>
      <c r="H88" s="73">
        <f ca="1">'Pres &amp; Prop Rev'!H168</f>
        <v>0</v>
      </c>
      <c r="K88" s="272" t="s">
        <v>306</v>
      </c>
      <c r="L88" s="238"/>
      <c r="M88" s="293">
        <v>200</v>
      </c>
      <c r="N88" s="238">
        <v>500</v>
      </c>
      <c r="O88" s="187"/>
      <c r="P88" s="229"/>
    </row>
    <row r="89" spans="1:16">
      <c r="B89" t="s">
        <v>139</v>
      </c>
      <c r="C89" s="85">
        <f ca="1">SUM(D89:H89)</f>
        <v>-228340.08000000002</v>
      </c>
      <c r="D89" s="73">
        <f ca="1">'Pres &amp; Prop Rev'!D190</f>
        <v>-244181.52000000002</v>
      </c>
      <c r="E89" s="73">
        <f ca="1">'Pres &amp; Prop Rev'!E190</f>
        <v>15841.440000000002</v>
      </c>
      <c r="F89" s="73">
        <f>'Pres &amp; Prop Rev'!F190</f>
        <v>0</v>
      </c>
      <c r="G89" s="73">
        <f>'Pres &amp; Prop Rev'!G190</f>
        <v>0</v>
      </c>
      <c r="H89" s="73">
        <f>'Pres &amp; Prop Rev'!H190</f>
        <v>0</v>
      </c>
      <c r="K89" s="228" t="s">
        <v>301</v>
      </c>
      <c r="L89" s="239">
        <f>D63</f>
        <v>9.5</v>
      </c>
      <c r="M89" s="231">
        <f>E63</f>
        <v>130.58000000000001</v>
      </c>
      <c r="N89" s="239">
        <f>D63</f>
        <v>9.5</v>
      </c>
      <c r="O89" s="230">
        <f>E63</f>
        <v>130.58000000000001</v>
      </c>
      <c r="P89" s="231">
        <f>F63</f>
        <v>0</v>
      </c>
    </row>
    <row r="90" spans="1:16">
      <c r="K90" s="228" t="s">
        <v>302</v>
      </c>
      <c r="L90" s="277">
        <f>D82/100</f>
        <v>0.50668999999999997</v>
      </c>
      <c r="M90" s="233"/>
      <c r="N90" s="240">
        <f>D82/100</f>
        <v>0.50668999999999997</v>
      </c>
      <c r="O90" s="232">
        <f>(E82/100)</f>
        <v>0</v>
      </c>
      <c r="P90" s="233">
        <f>F82/100</f>
        <v>0</v>
      </c>
    </row>
    <row r="91" spans="1:16">
      <c r="A91" t="s">
        <v>0</v>
      </c>
      <c r="B91" s="95" t="s">
        <v>140</v>
      </c>
      <c r="C91" s="73" t="e">
        <f ca="1">IF(ROUND(C60-C65-SUM(C87:C89),3)&lt;&gt;ROUND(SUM(D91:H91),3),#VALUE!,SUM(D91:H91))</f>
        <v>#REF!</v>
      </c>
      <c r="D91" s="73" t="e">
        <f ca="1">D60-D65-SUM(D87:D89)</f>
        <v>#REF!</v>
      </c>
      <c r="E91" s="73" t="e">
        <f ca="1">E60-E65-SUM(E87:E89)</f>
        <v>#REF!</v>
      </c>
      <c r="F91" s="73">
        <f>F60-F65-SUM(F87:F89)</f>
        <v>0</v>
      </c>
      <c r="G91" s="73" t="e">
        <f ca="1">G60-G65-SUM(G87:G89)</f>
        <v>#REF!</v>
      </c>
      <c r="H91" s="73" t="e">
        <f ca="1">H60-H65-SUM(H87:H89)</f>
        <v>#REF!</v>
      </c>
      <c r="K91" s="228" t="s">
        <v>302</v>
      </c>
      <c r="L91" s="277">
        <f>D83/100</f>
        <v>0.65852999999999995</v>
      </c>
      <c r="M91" s="229"/>
      <c r="N91" s="285">
        <f>L91</f>
        <v>0.65852999999999995</v>
      </c>
      <c r="O91" s="232">
        <f>RD!D20</f>
        <v>0.38764000000000004</v>
      </c>
      <c r="P91" s="229"/>
    </row>
    <row r="92" spans="1:16">
      <c r="B92" s="53" t="s">
        <v>163</v>
      </c>
      <c r="C92" s="96" t="e">
        <f t="shared" ref="C92:H92" ca="1" si="30">C91/C57*100</f>
        <v>#REF!</v>
      </c>
      <c r="D92" s="96" t="e">
        <f t="shared" ca="1" si="30"/>
        <v>#REF!</v>
      </c>
      <c r="E92" s="96" t="e">
        <f t="shared" ca="1" si="30"/>
        <v>#REF!</v>
      </c>
      <c r="F92" s="96" t="e">
        <f t="shared" si="30"/>
        <v>#DIV/0!</v>
      </c>
      <c r="G92" s="96" t="e">
        <f t="shared" ca="1" si="30"/>
        <v>#REF!</v>
      </c>
      <c r="H92" s="96" t="e">
        <f t="shared" ca="1" si="30"/>
        <v>#REF!</v>
      </c>
      <c r="K92" s="82" t="s">
        <v>303</v>
      </c>
      <c r="L92" s="241">
        <f>(70*L90)+(130*L91)+L89</f>
        <v>130.5772</v>
      </c>
      <c r="M92" s="236">
        <f>(M88*M90)+M89</f>
        <v>130.58000000000001</v>
      </c>
      <c r="N92" s="241">
        <f>((70*N90)+(430*N91))+N89</f>
        <v>328.13619999999997</v>
      </c>
      <c r="O92" s="235">
        <f>O89+(200*O90)+((N88-200)*O91)</f>
        <v>246.87200000000001</v>
      </c>
      <c r="P92" s="236">
        <f>P89+(N88*P90)</f>
        <v>0</v>
      </c>
    </row>
    <row r="93" spans="1:16">
      <c r="B93" s="53" t="s">
        <v>141</v>
      </c>
      <c r="C93" s="73" t="e">
        <f ca="1">SUM(D93:H93)</f>
        <v>#REF!</v>
      </c>
      <c r="D93" s="73" t="e">
        <f ca="1">D60-'Pres &amp; Prop Rev'!D192-D91</f>
        <v>#REF!</v>
      </c>
      <c r="E93" s="73" t="e">
        <f ca="1">E60-'Pres &amp; Prop Rev'!E192-E91</f>
        <v>#REF!</v>
      </c>
      <c r="F93" s="73">
        <f ca="1">F60-'Pres &amp; Prop Rev'!F192-F91</f>
        <v>0</v>
      </c>
      <c r="G93" s="73" t="e">
        <f ca="1">G60-'Pres &amp; Prop Rev'!G192-G91</f>
        <v>#REF!</v>
      </c>
      <c r="H93" s="73" t="e">
        <f ca="1">H60-'Pres &amp; Prop Rev'!H192-H91</f>
        <v>#REF!</v>
      </c>
      <c r="K93" s="187"/>
      <c r="L93" s="187"/>
      <c r="M93" s="187"/>
      <c r="N93" s="187"/>
      <c r="O93" s="187"/>
    </row>
    <row r="94" spans="1:16">
      <c r="B94" s="53"/>
      <c r="C94" s="73"/>
      <c r="D94" s="73"/>
      <c r="E94" s="73"/>
      <c r="F94" s="73"/>
      <c r="G94" s="73"/>
      <c r="H94" s="73"/>
      <c r="K94" s="187" t="s">
        <v>347</v>
      </c>
      <c r="L94" s="336">
        <v>0</v>
      </c>
      <c r="M94" s="330">
        <f>E82/100</f>
        <v>0</v>
      </c>
      <c r="N94">
        <f>L94</f>
        <v>0</v>
      </c>
      <c r="O94" s="275">
        <f>M94</f>
        <v>0</v>
      </c>
      <c r="P94" s="275">
        <f>F82/100</f>
        <v>0</v>
      </c>
    </row>
    <row r="95" spans="1:16">
      <c r="B95" s="95" t="s">
        <v>192</v>
      </c>
      <c r="C95" s="134" t="e">
        <f>SUM(D95:H95)</f>
        <v>#REF!</v>
      </c>
      <c r="D95" s="34" t="e">
        <f>D60</f>
        <v>#REF!</v>
      </c>
      <c r="E95" s="34" t="e">
        <f>E60</f>
        <v>#REF!</v>
      </c>
      <c r="F95" s="34">
        <f>F60</f>
        <v>0</v>
      </c>
      <c r="G95" s="34" t="e">
        <f>G60</f>
        <v>#REF!</v>
      </c>
      <c r="H95" s="34" t="e">
        <f>H60</f>
        <v>#REF!</v>
      </c>
      <c r="K95" s="187" t="s">
        <v>349</v>
      </c>
      <c r="L95">
        <f>L94*200</f>
        <v>0</v>
      </c>
      <c r="M95">
        <f>M94*200</f>
        <v>0</v>
      </c>
      <c r="N95">
        <f>$N$88*N94</f>
        <v>0</v>
      </c>
      <c r="O95">
        <f t="shared" ref="O95:P95" si="31">$N$88*O94</f>
        <v>0</v>
      </c>
      <c r="P95">
        <f t="shared" si="31"/>
        <v>0</v>
      </c>
    </row>
    <row r="96" spans="1:16">
      <c r="B96" s="95" t="s">
        <v>193</v>
      </c>
      <c r="C96" s="134">
        <f ca="1">'Pres &amp; Prop Rev'!C192-SUM('Pres &amp; Prop Rev'!I192:J192)</f>
        <v>125317064.40350001</v>
      </c>
      <c r="D96" s="34">
        <f ca="1">'Pres &amp; Prop Rev'!D192</f>
        <v>97109989.760000005</v>
      </c>
      <c r="E96" s="34">
        <f ca="1">'Pres &amp; Prop Rev'!E192</f>
        <v>23833879.520000003</v>
      </c>
      <c r="F96" s="202">
        <f ca="1">'Pres &amp; Prop Rev'!F192</f>
        <v>0</v>
      </c>
      <c r="G96" s="202">
        <f ca="1">'Pres &amp; Prop Rev'!G192</f>
        <v>639376.75</v>
      </c>
      <c r="H96" s="202">
        <f ca="1">'Pres &amp; Prop Rev'!H192</f>
        <v>3733818.3734999993</v>
      </c>
      <c r="K96" t="s">
        <v>348</v>
      </c>
      <c r="M96">
        <f>L95-M95</f>
        <v>0</v>
      </c>
      <c r="P96">
        <f>N95-P95</f>
        <v>0</v>
      </c>
    </row>
    <row r="97" spans="2:16">
      <c r="B97" s="53"/>
      <c r="C97" s="159" t="e">
        <f ca="1">SUM(D97:H97)</f>
        <v>#REF!</v>
      </c>
      <c r="D97" s="159" t="e">
        <f ca="1">D96-D95</f>
        <v>#REF!</v>
      </c>
      <c r="E97" s="159" t="e">
        <f ca="1">E96-E95</f>
        <v>#REF!</v>
      </c>
      <c r="F97" s="159">
        <f ca="1">F96-F95</f>
        <v>0</v>
      </c>
      <c r="G97" s="159" t="e">
        <f ca="1">G96-G95</f>
        <v>#REF!</v>
      </c>
      <c r="H97" s="159" t="e">
        <f ca="1">H96-H95</f>
        <v>#REF!</v>
      </c>
    </row>
    <row r="98" spans="2:16" ht="13.5" thickBot="1">
      <c r="B98" s="50" t="s">
        <v>149</v>
      </c>
      <c r="C98" s="50"/>
      <c r="M98" s="308">
        <f>L92-M92-M96</f>
        <v>-2.8000000000076852E-3</v>
      </c>
      <c r="P98" s="308">
        <f>N92-P92-P96</f>
        <v>328.13619999999997</v>
      </c>
    </row>
    <row r="99" spans="2:16" ht="13.5" thickTop="1">
      <c r="B99" s="35" t="s">
        <v>162</v>
      </c>
      <c r="C99" s="97">
        <f ca="1">SUM('Pres &amp; Prop Rev'!C155:C156)/SUM('Pres &amp; Prop Rev'!C106:C107)-1</f>
        <v>0</v>
      </c>
      <c r="D99" s="97">
        <f ca="1">SUM('Pres &amp; Prop Rev'!D155:D156)/SUM('Pres &amp; Prop Rev'!D106:D107)-1</f>
        <v>0</v>
      </c>
      <c r="E99" s="97">
        <f ca="1">SUM('Pres &amp; Prop Rev'!E155:E156)/SUM('Pres &amp; Prop Rev'!E106:E107)-1</f>
        <v>0</v>
      </c>
      <c r="F99" s="97" t="e">
        <f ca="1">SUM('Pres &amp; Prop Rev'!F155:F156)/SUM('Pres &amp; Prop Rev'!F106:F107)-1</f>
        <v>#DIV/0!</v>
      </c>
      <c r="G99" s="97" t="e">
        <f ca="1">SUM('Pres &amp; Prop Rev'!G155:G156)/SUM('Pres &amp; Prop Rev'!G106:G107)-1</f>
        <v>#DIV/0!</v>
      </c>
      <c r="H99" s="97">
        <f ca="1">SUM('Pres &amp; Prop Rev'!H155:H156)/SUM('Pres &amp; Prop Rev'!H106:H107)-1</f>
        <v>0</v>
      </c>
    </row>
    <row r="100" spans="2:16">
      <c r="B100" s="35" t="s">
        <v>138</v>
      </c>
      <c r="C100" s="97" t="e">
        <f ca="1">'Pres &amp; Prop Rev'!C168/'Pres &amp; Prop Rev'!C119-1</f>
        <v>#DIV/0!</v>
      </c>
      <c r="D100" s="97" t="e">
        <f ca="1">'Pres &amp; Prop Rev'!D168/'Pres &amp; Prop Rev'!D119-1</f>
        <v>#DIV/0!</v>
      </c>
      <c r="E100" s="97" t="e">
        <f ca="1">'Pres &amp; Prop Rev'!E168/'Pres &amp; Prop Rev'!E119-1</f>
        <v>#DIV/0!</v>
      </c>
      <c r="F100" s="97" t="e">
        <f>'Pres &amp; Prop Rev'!F168/'Pres &amp; Prop Rev'!F119-1</f>
        <v>#DIV/0!</v>
      </c>
      <c r="G100" s="97" t="e">
        <f ca="1">'Pres &amp; Prop Rev'!G168/'Pres &amp; Prop Rev'!G119-1</f>
        <v>#DIV/0!</v>
      </c>
      <c r="H100" s="97" t="e">
        <f ca="1">'Pres &amp; Prop Rev'!H168/'Pres &amp; Prop Rev'!H119-1</f>
        <v>#DIV/0!</v>
      </c>
    </row>
    <row r="101" spans="2:16">
      <c r="B101" s="35" t="s">
        <v>139</v>
      </c>
      <c r="C101" s="97">
        <f ca="1">'Pres &amp; Prop Rev'!C190/'Pres &amp; Prop Rev'!C142-1</f>
        <v>0</v>
      </c>
      <c r="D101" s="97">
        <f ca="1">'Pres &amp; Prop Rev'!D190/'Pres &amp; Prop Rev'!D142-1</f>
        <v>0</v>
      </c>
      <c r="E101" s="97">
        <f ca="1">'Pres &amp; Prop Rev'!E190/'Pres &amp; Prop Rev'!E142-1</f>
        <v>0</v>
      </c>
      <c r="F101" s="97" t="e">
        <f>'Pres &amp; Prop Rev'!F190/'Pres &amp; Prop Rev'!F142-1</f>
        <v>#DIV/0!</v>
      </c>
      <c r="G101" s="97" t="e">
        <f>'Pres &amp; Prop Rev'!G190/'Pres &amp; Prop Rev'!G142-1</f>
        <v>#DIV/0!</v>
      </c>
      <c r="H101" s="97" t="e">
        <f>'Pres &amp; Prop Rev'!H190/'Pres &amp; Prop Rev'!H142-1</f>
        <v>#DIV/0!</v>
      </c>
    </row>
    <row r="102" spans="2:16">
      <c r="B102" s="35" t="s">
        <v>160</v>
      </c>
      <c r="C102" s="97">
        <f ca="1">SUM('Pres &amp; Prop Rev'!C157:C161)/SUM('Pres &amp; Prop Rev'!C108:C112)-1</f>
        <v>0</v>
      </c>
      <c r="D102" s="97">
        <f ca="1">SUM('Pres &amp; Prop Rev'!D157:D161)/SUM('Pres &amp; Prop Rev'!D108:D112)-1</f>
        <v>0</v>
      </c>
      <c r="E102" s="97">
        <f ca="1">SUM('Pres &amp; Prop Rev'!E157:E161)/SUM('Pres &amp; Prop Rev'!E108:E112)-1</f>
        <v>0</v>
      </c>
      <c r="F102" s="97" t="e">
        <f ca="1">SUM('Pres &amp; Prop Rev'!F157:F161)/SUM('Pres &amp; Prop Rev'!F108:F112)-1</f>
        <v>#DIV/0!</v>
      </c>
      <c r="G102" s="97">
        <f ca="1">SUM('Pres &amp; Prop Rev'!G157:G161)/SUM('Pres &amp; Prop Rev'!G108:G112)-1</f>
        <v>0</v>
      </c>
      <c r="H102" s="97">
        <f ca="1">SUM('Pres &amp; Prop Rev'!H157:H161)/SUM('Pres &amp; Prop Rev'!H108:H112)-1</f>
        <v>0</v>
      </c>
    </row>
    <row r="103" spans="2:16">
      <c r="B103" s="135" t="s">
        <v>142</v>
      </c>
      <c r="C103" s="75">
        <f ca="1">'Pres &amp; Prop Rev'!C192/'Pres &amp; Prop Rev'!C193-1</f>
        <v>0</v>
      </c>
      <c r="D103" s="75">
        <f ca="1">'Pres &amp; Prop Rev'!D192/'Pres &amp; Prop Rev'!D193-1</f>
        <v>0</v>
      </c>
      <c r="E103" s="75">
        <f ca="1">'Pres &amp; Prop Rev'!E192/'Pres &amp; Prop Rev'!E193-1</f>
        <v>0</v>
      </c>
      <c r="F103" s="75" t="e">
        <f ca="1">'Pres &amp; Prop Rev'!F192/'Pres &amp; Prop Rev'!F193-1</f>
        <v>#DIV/0!</v>
      </c>
      <c r="G103" s="75">
        <f ca="1">'Pres &amp; Prop Rev'!G192/'Pres &amp; Prop Rev'!G193-1</f>
        <v>0</v>
      </c>
      <c r="H103" s="75">
        <f ca="1">'Pres &amp; Prop Rev'!H192/'Pres &amp; Prop Rev'!H193-1</f>
        <v>0</v>
      </c>
    </row>
    <row r="105" spans="2:16">
      <c r="B105" t="s">
        <v>143</v>
      </c>
      <c r="D105" s="33">
        <f>D57/D58</f>
        <v>65.520791283364133</v>
      </c>
      <c r="E105" s="33">
        <f>E57/E58</f>
        <v>1586.0355414019095</v>
      </c>
      <c r="F105" s="33" t="e">
        <f>F57/F58</f>
        <v>#DIV/0!</v>
      </c>
      <c r="G105" s="33">
        <f>G57/G58</f>
        <v>56101.385041671165</v>
      </c>
      <c r="H105" s="33">
        <f>H57/H58</f>
        <v>76650.838095238098</v>
      </c>
    </row>
    <row r="106" spans="2:16">
      <c r="B106" s="78" t="s">
        <v>144</v>
      </c>
      <c r="C106" s="98" t="str">
        <f>INDEX($D$2:$H$2,I106)</f>
        <v>SCH. 101</v>
      </c>
      <c r="D106" s="99"/>
      <c r="E106" s="78"/>
      <c r="F106" s="98" t="str">
        <f>INDEX($D$2:$H$2,J106)</f>
        <v>SCH. 111,112,116</v>
      </c>
      <c r="G106" s="99"/>
      <c r="H106" s="78"/>
      <c r="I106" s="100">
        <v>1</v>
      </c>
      <c r="J106" s="100">
        <v>2</v>
      </c>
    </row>
    <row r="107" spans="2:16">
      <c r="C107" s="51" t="s">
        <v>145</v>
      </c>
      <c r="D107" s="51" t="s">
        <v>146</v>
      </c>
      <c r="E107" s="51" t="s">
        <v>147</v>
      </c>
      <c r="F107" s="51" t="s">
        <v>145</v>
      </c>
      <c r="G107" s="51" t="s">
        <v>146</v>
      </c>
      <c r="H107" s="51" t="s">
        <v>147</v>
      </c>
    </row>
    <row r="108" spans="2:16">
      <c r="B108" s="42">
        <v>0</v>
      </c>
      <c r="C108" s="73">
        <f>I$108+MIN($B108,M$109)*I$109/100+MAX(0,MIN($B108-M$109,M$110-M$109))*I$110/100+MAX(0,MIN($B108-M$110,M$111-M$110))*I$111/100+MAX(0,MIN($B108-M$111,M$112-M$111))*I$112/100+MAX(0,B108-M$113)*I$113/100</f>
        <v>9.5</v>
      </c>
      <c r="D108" s="73">
        <f>J$108+MIN($B108,N$109)*J$109/100+MAX(0,MIN($B108-N$109,N$110-N$109))*J$110/100+MAX(0,MIN($B108-N$110,N$111-N$110))*J$111/100+MAX(0,MIN($B108-N$111,N$112-N$111))*J$112/100+MAX(0,C108-N$113)*J$113/100</f>
        <v>9.5</v>
      </c>
      <c r="E108" s="97">
        <f t="shared" ref="E108:E122" si="32">D108/C108-1</f>
        <v>0</v>
      </c>
      <c r="F108" s="73">
        <f>K$108+MIN($B108,O$109)*K$109/100+MAX(0,MIN($B108-O$109,O$110-O$109))*K$110/100+MAX(0,MIN($B108-O$110,O$111-O$110))*K$111/100+MAX(0,MIN($B108-O$111,O$112-O$111))*K$112/100+MAX(0,E108-O$113)*K$113/100</f>
        <v>130.58000000000001</v>
      </c>
      <c r="G108" s="73">
        <f>L$108+MIN($B108,P$109)*L$109/100+MAX(0,MIN($B108-P$109,P$110-P$109))*L$110/100+MAX(0,MIN($B108-P$110,P$111-P$110))*L$111/100+MAX(0,MIN($B108-P$111,P$112-P$111))*L$112/100+MAX(0,F108-P$113)*L$113/100</f>
        <v>130.58000000000001</v>
      </c>
      <c r="H108" s="97">
        <f t="shared" ref="H108:H122" si="33">G108/F108-1</f>
        <v>0</v>
      </c>
      <c r="I108">
        <f>INDEX(CHOOSE(Base1_Billing2,$D$4:$H$4,$D$14:$H$14),$I$106)+INDEX(CHOOSE(Base1_Billing2,$D$5:$H$5,$D$15:$H$15),$I$106)</f>
        <v>9.5</v>
      </c>
      <c r="J108">
        <f>INDEX(CHOOSE(Base1_Billing2,$D$26:$H$26,$D$36:$H$36),$I$106)+INDEX(CHOOSE(Base1_Billing2,$D$27:$H$27,$D$37:$H$37),$I$106)</f>
        <v>9.5</v>
      </c>
      <c r="K108">
        <f>INDEX(CHOOSE(Base1_Billing2,$D$4:$H$4,$D$14:$H$14),$J$106)+INDEX(CHOOSE(Base1_Billing2,$D$5:$H$5,$D$15:$H$15),$J$106)</f>
        <v>130.58000000000001</v>
      </c>
      <c r="L108">
        <f>INDEX(CHOOSE(Base1_Billing2,$D$26:$H$26,$D$36:$H$36),$J$106)+INDEX(CHOOSE(Base1_Billing2,$D$27:$H$27,$D$37:$H$37),$J$106)</f>
        <v>130.58000000000001</v>
      </c>
    </row>
    <row r="109" spans="2:16">
      <c r="B109" s="42">
        <v>65</v>
      </c>
      <c r="C109" s="73">
        <f t="shared" ref="C109:C122" si="34">I$108+MIN($B109,M$109)*I$109/100+MAX(0,MIN($B109-M$109,M$110-M$109))*I$110/100+MAX(0,MIN($B109-M$110,M$111-M$110))*I$111/100+MAX(0,MIN($B109-M$111,M$112-M$111))*I$112/100+MAX(0,B109-M$113)*I$113/100</f>
        <v>42.434849999999997</v>
      </c>
      <c r="D109" s="73">
        <f t="shared" ref="D109:D122" si="35">J$108+MIN($B109,N$109)*J$109/100+MAX(0,MIN($B109-N$109,N$110-N$109))*J$110/100+MAX(0,MIN($B109-N$110,N$111-N$110))*J$111/100+MAX(0,MIN($B109-N$111,N$112-N$111))*J$112/100+MAX(0,C109-N$113)*J$113/100</f>
        <v>42.434849999999997</v>
      </c>
      <c r="E109" s="97">
        <f t="shared" si="32"/>
        <v>0</v>
      </c>
      <c r="F109" s="73">
        <f t="shared" ref="F109:F122" si="36">K$108+MIN($B109,O$109)*K$109/100+MAX(0,MIN($B109-O$109,O$110-O$109))*K$110/100+MAX(0,MIN($B109-O$110,O$111-O$110))*K$111/100+MAX(0,MIN($B109-O$111,O$112-O$111))*K$112/100+MAX(0,E109-O$113)*K$113/100</f>
        <v>130.58000000000001</v>
      </c>
      <c r="G109" s="73">
        <f t="shared" ref="G109:G122" si="37">L$108+MIN($B109,P$109)*L$109/100+MAX(0,MIN($B109-P$109,P$110-P$109))*L$110/100+MAX(0,MIN($B109-P$110,P$111-P$110))*L$111/100+MAX(0,MIN($B109-P$111,P$112-P$111))*L$112/100+MAX(0,F109-P$113)*L$113/100</f>
        <v>130.58000000000001</v>
      </c>
      <c r="H109" s="97">
        <f t="shared" si="33"/>
        <v>0</v>
      </c>
      <c r="I109">
        <f>INDEX(CHOOSE(Base1_Billing2,$D6:$H6,$D16:$H16),$I$106)</f>
        <v>50.668999999999997</v>
      </c>
      <c r="J109">
        <f>INDEX(CHOOSE(Base1_Billing2,$D28:$H28,$D38:$H38),$I$106)</f>
        <v>50.668999999999997</v>
      </c>
      <c r="K109">
        <f>INDEX(CHOOSE(Base1_Billing2,$D6:$H6,$D16:$H16),$J$106)</f>
        <v>0</v>
      </c>
      <c r="L109">
        <f>INDEX(CHOOSE(Base1_Billing2,$D28:$H28,$D38:$H38),$J$106)</f>
        <v>0</v>
      </c>
      <c r="M109">
        <f>INDEX($L6:$P6,$I$106)</f>
        <v>9999999</v>
      </c>
      <c r="N109">
        <f>INDEX($L28:$P28,$I$106)</f>
        <v>9999999</v>
      </c>
      <c r="O109">
        <f>INDEX($L6:$P6,$J$106)</f>
        <v>200</v>
      </c>
      <c r="P109">
        <f>INDEX($L28:$P28,$J$106)</f>
        <v>200</v>
      </c>
    </row>
    <row r="110" spans="2:16">
      <c r="B110" s="42">
        <v>2000</v>
      </c>
      <c r="C110" s="73">
        <f t="shared" si="34"/>
        <v>1022.88</v>
      </c>
      <c r="D110" s="73">
        <f t="shared" si="35"/>
        <v>1022.88</v>
      </c>
      <c r="E110" s="97">
        <f t="shared" si="32"/>
        <v>0</v>
      </c>
      <c r="F110" s="73">
        <f t="shared" si="36"/>
        <v>736.16200000000003</v>
      </c>
      <c r="G110" s="73">
        <f t="shared" si="37"/>
        <v>736.16200000000003</v>
      </c>
      <c r="H110" s="97">
        <f t="shared" si="33"/>
        <v>0</v>
      </c>
      <c r="I110">
        <f>INDEX(CHOOSE(Base1_Billing2,$D7:$H7,$D17:$H17),$I$106)</f>
        <v>65.852999999999994</v>
      </c>
      <c r="J110">
        <f>INDEX(CHOOSE(Base1_Billing2,$D29:$H29,$D39:$H39),$I$106)</f>
        <v>65.852999999999994</v>
      </c>
      <c r="K110">
        <f>INDEX(CHOOSE(Base1_Billing2,$D7:$H7,$D17:$H17),$J$106)</f>
        <v>38.764000000000003</v>
      </c>
      <c r="L110">
        <f>INDEX(CHOOSE(Base1_Billing2,$D29:$H29,$D39:$H39),$J$106)</f>
        <v>38.764000000000003</v>
      </c>
      <c r="M110">
        <f>INDEX($L7:$P7,$I$106)</f>
        <v>9999999</v>
      </c>
      <c r="N110">
        <f>INDEX($L29:$P29,$I$106)</f>
        <v>9999999</v>
      </c>
      <c r="O110">
        <f>INDEX($L7:$P7,$J$106)</f>
        <v>1000</v>
      </c>
      <c r="P110">
        <f>INDEX($L29:$P29,$J$106)</f>
        <v>1000</v>
      </c>
    </row>
    <row r="111" spans="2:16">
      <c r="B111" s="42">
        <v>3000</v>
      </c>
      <c r="C111" s="73">
        <f t="shared" si="34"/>
        <v>1529.57</v>
      </c>
      <c r="D111" s="73">
        <f t="shared" si="35"/>
        <v>1529.57</v>
      </c>
      <c r="E111" s="97">
        <f t="shared" si="32"/>
        <v>0</v>
      </c>
      <c r="F111" s="73">
        <f t="shared" si="36"/>
        <v>1031.6320000000001</v>
      </c>
      <c r="G111" s="73">
        <f t="shared" si="37"/>
        <v>1031.6320000000001</v>
      </c>
      <c r="H111" s="97">
        <f t="shared" si="33"/>
        <v>0</v>
      </c>
      <c r="I111">
        <f>INDEX(CHOOSE(Base1_Billing2,$D8:$H8,$D18:$H18),$I$106)</f>
        <v>0</v>
      </c>
      <c r="J111">
        <f>INDEX(CHOOSE(Base1_Billing2,$D30:$H30,$D40:$H40),$I$106)</f>
        <v>0</v>
      </c>
      <c r="K111">
        <f>INDEX(CHOOSE(Base1_Billing2,$D8:$H8,$D18:$H18),$J$106)</f>
        <v>29.547000000000001</v>
      </c>
      <c r="L111">
        <f>INDEX(CHOOSE(Base1_Billing2,$D30:$H30,$D40:$H40),$J$106)</f>
        <v>29.547000000000001</v>
      </c>
      <c r="M111">
        <f>INDEX($L8:$P8,$I$106)</f>
        <v>9999999</v>
      </c>
      <c r="N111">
        <f>INDEX($L30:$P30,$I$106)</f>
        <v>9999999</v>
      </c>
      <c r="O111">
        <f>INDEX($L8:$P8,$J$106)</f>
        <v>9999999</v>
      </c>
      <c r="P111">
        <f>INDEX($L30:$P30,$J$106)</f>
        <v>9999999</v>
      </c>
    </row>
    <row r="112" spans="2:16">
      <c r="B112" s="42">
        <v>4000</v>
      </c>
      <c r="C112" s="73">
        <f t="shared" si="34"/>
        <v>2036.26</v>
      </c>
      <c r="D112" s="73">
        <f t="shared" si="35"/>
        <v>2036.26</v>
      </c>
      <c r="E112" s="97">
        <f t="shared" si="32"/>
        <v>0</v>
      </c>
      <c r="F112" s="73">
        <f t="shared" si="36"/>
        <v>1327.1019999999999</v>
      </c>
      <c r="G112" s="73">
        <f t="shared" si="37"/>
        <v>1327.1019999999999</v>
      </c>
      <c r="H112" s="97">
        <f t="shared" si="33"/>
        <v>0</v>
      </c>
      <c r="I112">
        <f>INDEX(CHOOSE(Base1_Billing2,$D9:$H9,$D19:$H19),$I$106)</f>
        <v>0</v>
      </c>
      <c r="J112">
        <f>INDEX(CHOOSE(Base1_Billing2,$D31:$H31,$D41:$H41),$I$106)</f>
        <v>0</v>
      </c>
      <c r="K112">
        <f>INDEX(CHOOSE(Base1_Billing2,$D9:$H9,$D19:$H19),$J$106)</f>
        <v>25.210999999999999</v>
      </c>
      <c r="L112">
        <f>INDEX(CHOOSE(Base1_Billing2,$D31:$H31,$D41:$H41),$J$106)</f>
        <v>25.210999999999999</v>
      </c>
      <c r="M112">
        <f>INDEX($L9:$P9,$I$106)</f>
        <v>9999999</v>
      </c>
      <c r="N112">
        <f>INDEX($L31:$P31,$I$106)</f>
        <v>9999999</v>
      </c>
      <c r="O112">
        <f>INDEX($L9:$P9,$J$106)</f>
        <v>9999999</v>
      </c>
      <c r="P112">
        <f>INDEX($L31:$P31,$J$106)</f>
        <v>9999999</v>
      </c>
    </row>
    <row r="113" spans="2:16">
      <c r="B113" s="42">
        <v>5000</v>
      </c>
      <c r="C113" s="73">
        <f t="shared" si="34"/>
        <v>2542.9499999999998</v>
      </c>
      <c r="D113" s="73">
        <f t="shared" si="35"/>
        <v>2542.9499999999998</v>
      </c>
      <c r="E113" s="97">
        <f t="shared" si="32"/>
        <v>0</v>
      </c>
      <c r="F113" s="73">
        <f t="shared" si="36"/>
        <v>1622.5720000000001</v>
      </c>
      <c r="G113" s="73">
        <f t="shared" si="37"/>
        <v>1622.5720000000001</v>
      </c>
      <c r="H113" s="97">
        <f t="shared" si="33"/>
        <v>0</v>
      </c>
      <c r="I113">
        <f>INDEX(CHOOSE(Base1_Billing2,$D10:$H10,$D20:$H20),$I$106)</f>
        <v>0</v>
      </c>
      <c r="J113">
        <f>INDEX(CHOOSE(Base1_Billing2,$D32:$H32,$D42:$H42),$I$106)</f>
        <v>0</v>
      </c>
      <c r="K113">
        <f>INDEX(CHOOSE(Base1_Billing2,$D10:$H10,$D20:$H20),$J$106)</f>
        <v>17.686</v>
      </c>
      <c r="L113">
        <f>INDEX(CHOOSE(Base1_Billing2,$D32:$H32,$D42:$H42),$J$106)</f>
        <v>17.686</v>
      </c>
      <c r="M113">
        <f>INDEX($L10:$P10,$I$106)</f>
        <v>9999999</v>
      </c>
      <c r="N113">
        <f>INDEX($L32:$P32,$I$106)</f>
        <v>9999999</v>
      </c>
      <c r="O113">
        <f>INDEX($L10:$P10,$J$106)</f>
        <v>9999999</v>
      </c>
      <c r="P113">
        <f>INDEX($L32:$P32,$J$106)</f>
        <v>9999999</v>
      </c>
    </row>
    <row r="114" spans="2:16">
      <c r="B114" s="42">
        <v>6000</v>
      </c>
      <c r="C114" s="73">
        <f t="shared" si="34"/>
        <v>3049.64</v>
      </c>
      <c r="D114" s="73">
        <f t="shared" si="35"/>
        <v>3049.64</v>
      </c>
      <c r="E114" s="97">
        <f t="shared" si="32"/>
        <v>0</v>
      </c>
      <c r="F114" s="73">
        <f t="shared" si="36"/>
        <v>1918.0419999999999</v>
      </c>
      <c r="G114" s="73">
        <f t="shared" si="37"/>
        <v>1918.0419999999999</v>
      </c>
      <c r="H114" s="97">
        <f t="shared" si="33"/>
        <v>0</v>
      </c>
    </row>
    <row r="115" spans="2:16">
      <c r="B115" s="42">
        <v>7000</v>
      </c>
      <c r="C115" s="73">
        <f t="shared" si="34"/>
        <v>3556.33</v>
      </c>
      <c r="D115" s="73">
        <f t="shared" si="35"/>
        <v>3556.33</v>
      </c>
      <c r="E115" s="97">
        <f t="shared" si="32"/>
        <v>0</v>
      </c>
      <c r="F115" s="73">
        <f t="shared" si="36"/>
        <v>2213.5119999999997</v>
      </c>
      <c r="G115" s="73">
        <f t="shared" si="37"/>
        <v>2213.5119999999997</v>
      </c>
      <c r="H115" s="97">
        <f t="shared" si="33"/>
        <v>0</v>
      </c>
    </row>
    <row r="116" spans="2:16">
      <c r="B116" s="42">
        <v>8000</v>
      </c>
      <c r="C116" s="73">
        <f t="shared" si="34"/>
        <v>4063.02</v>
      </c>
      <c r="D116" s="73">
        <f t="shared" si="35"/>
        <v>4063.02</v>
      </c>
      <c r="E116" s="97">
        <f t="shared" si="32"/>
        <v>0</v>
      </c>
      <c r="F116" s="73">
        <f t="shared" si="36"/>
        <v>2508.982</v>
      </c>
      <c r="G116" s="73">
        <f t="shared" si="37"/>
        <v>2508.982</v>
      </c>
      <c r="H116" s="97">
        <f t="shared" si="33"/>
        <v>0</v>
      </c>
    </row>
    <row r="117" spans="2:16">
      <c r="B117" s="42">
        <v>9000</v>
      </c>
      <c r="C117" s="73">
        <f t="shared" si="34"/>
        <v>4569.71</v>
      </c>
      <c r="D117" s="73">
        <f t="shared" si="35"/>
        <v>4569.71</v>
      </c>
      <c r="E117" s="97">
        <f t="shared" si="32"/>
        <v>0</v>
      </c>
      <c r="F117" s="73">
        <f t="shared" si="36"/>
        <v>2804.4520000000002</v>
      </c>
      <c r="G117" s="73">
        <f t="shared" si="37"/>
        <v>2804.4520000000002</v>
      </c>
      <c r="H117" s="97">
        <f t="shared" si="33"/>
        <v>0</v>
      </c>
    </row>
    <row r="118" spans="2:16">
      <c r="B118" s="42">
        <v>10000</v>
      </c>
      <c r="C118" s="73">
        <f t="shared" si="34"/>
        <v>5076.3999999999996</v>
      </c>
      <c r="D118" s="73">
        <f t="shared" si="35"/>
        <v>5076.3999999999996</v>
      </c>
      <c r="E118" s="97">
        <f t="shared" si="32"/>
        <v>0</v>
      </c>
      <c r="F118" s="73">
        <f t="shared" si="36"/>
        <v>3099.922</v>
      </c>
      <c r="G118" s="73">
        <f t="shared" si="37"/>
        <v>3099.922</v>
      </c>
      <c r="H118" s="97">
        <f t="shared" si="33"/>
        <v>0</v>
      </c>
    </row>
    <row r="119" spans="2:16">
      <c r="B119" s="42">
        <v>11000</v>
      </c>
      <c r="C119" s="73">
        <f t="shared" si="34"/>
        <v>5583.09</v>
      </c>
      <c r="D119" s="73">
        <f t="shared" si="35"/>
        <v>5583.09</v>
      </c>
      <c r="E119" s="97">
        <f t="shared" si="32"/>
        <v>0</v>
      </c>
      <c r="F119" s="73">
        <f t="shared" si="36"/>
        <v>3395.3919999999998</v>
      </c>
      <c r="G119" s="73">
        <f t="shared" si="37"/>
        <v>3395.3919999999998</v>
      </c>
      <c r="H119" s="97">
        <f t="shared" si="33"/>
        <v>0</v>
      </c>
    </row>
    <row r="120" spans="2:16">
      <c r="B120" s="42">
        <v>12000</v>
      </c>
      <c r="C120" s="73">
        <f t="shared" si="34"/>
        <v>6089.78</v>
      </c>
      <c r="D120" s="73">
        <f t="shared" si="35"/>
        <v>6089.78</v>
      </c>
      <c r="E120" s="97">
        <f t="shared" si="32"/>
        <v>0</v>
      </c>
      <c r="F120" s="73">
        <f t="shared" si="36"/>
        <v>3690.8620000000001</v>
      </c>
      <c r="G120" s="73">
        <f t="shared" si="37"/>
        <v>3690.8620000000001</v>
      </c>
      <c r="H120" s="97">
        <f t="shared" si="33"/>
        <v>0</v>
      </c>
    </row>
    <row r="121" spans="2:16">
      <c r="B121" s="42">
        <v>13000</v>
      </c>
      <c r="C121" s="73">
        <f t="shared" si="34"/>
        <v>6596.47</v>
      </c>
      <c r="D121" s="73">
        <f t="shared" si="35"/>
        <v>6596.47</v>
      </c>
      <c r="E121" s="97">
        <f t="shared" si="32"/>
        <v>0</v>
      </c>
      <c r="F121" s="73">
        <f t="shared" si="36"/>
        <v>3986.3319999999999</v>
      </c>
      <c r="G121" s="73">
        <f t="shared" si="37"/>
        <v>3986.3319999999999</v>
      </c>
      <c r="H121" s="97">
        <f t="shared" si="33"/>
        <v>0</v>
      </c>
    </row>
    <row r="122" spans="2:16">
      <c r="B122" s="42">
        <v>14000</v>
      </c>
      <c r="C122" s="73">
        <f t="shared" si="34"/>
        <v>7103.16</v>
      </c>
      <c r="D122" s="73">
        <f t="shared" si="35"/>
        <v>7103.16</v>
      </c>
      <c r="E122" s="97">
        <f t="shared" si="32"/>
        <v>0</v>
      </c>
      <c r="F122" s="73">
        <f t="shared" si="36"/>
        <v>4281.8019999999997</v>
      </c>
      <c r="G122" s="73">
        <f t="shared" si="37"/>
        <v>4281.8019999999997</v>
      </c>
      <c r="H122" s="97">
        <f t="shared" si="33"/>
        <v>0</v>
      </c>
    </row>
  </sheetData>
  <phoneticPr fontId="18" type="noConversion"/>
  <conditionalFormatting sqref="O11:P11 O33:P33 D36:H37 D43:H43">
    <cfRule type="expression" dxfId="23" priority="29" stopIfTrue="1">
      <formula>D11-D1&lt;0</formula>
    </cfRule>
  </conditionalFormatting>
  <conditionalFormatting sqref="D63:H63">
    <cfRule type="expression" dxfId="22" priority="30" stopIfTrue="1">
      <formula>ABS(D63-D62)&gt;0.001</formula>
    </cfRule>
  </conditionalFormatting>
  <conditionalFormatting sqref="D82:H86">
    <cfRule type="expression" dxfId="21" priority="31" stopIfTrue="1">
      <formula>ABS(D82-D67)&gt;0.000001</formula>
    </cfRule>
  </conditionalFormatting>
  <conditionalFormatting sqref="C96">
    <cfRule type="expression" dxfId="20" priority="32" stopIfTrue="1">
      <formula>C95&lt;C96</formula>
    </cfRule>
  </conditionalFormatting>
  <conditionalFormatting sqref="D91:H91">
    <cfRule type="expression" dxfId="19" priority="33" stopIfTrue="1">
      <formula>ABS(D91)&gt;1000</formula>
    </cfRule>
  </conditionalFormatting>
  <conditionalFormatting sqref="C93:H94 C97:H97">
    <cfRule type="expression" dxfId="18" priority="34" stopIfTrue="1">
      <formula>ABS(C93)&gt;4000</formula>
    </cfRule>
  </conditionalFormatting>
  <conditionalFormatting sqref="U61:U62">
    <cfRule type="cellIs" dxfId="17" priority="23" operator="lessThan">
      <formula>0</formula>
    </cfRule>
    <cfRule type="cellIs" dxfId="16" priority="24" operator="greaterThan">
      <formula>0</formula>
    </cfRule>
  </conditionalFormatting>
  <conditionalFormatting sqref="D41">
    <cfRule type="expression" dxfId="15" priority="18" stopIfTrue="1">
      <formula>D41-D31&lt;0</formula>
    </cfRule>
  </conditionalFormatting>
  <conditionalFormatting sqref="D40">
    <cfRule type="expression" dxfId="14" priority="17" stopIfTrue="1">
      <formula>D40-D30&lt;0</formula>
    </cfRule>
  </conditionalFormatting>
  <conditionalFormatting sqref="G38:H38 D38:D39 H39:H42 G39:G41">
    <cfRule type="expression" dxfId="13" priority="15" stopIfTrue="1">
      <formula>D38-D28&lt;0</formula>
    </cfRule>
  </conditionalFormatting>
  <conditionalFormatting sqref="D42 G42">
    <cfRule type="expression" dxfId="12" priority="13" stopIfTrue="1">
      <formula>D42-D32&lt;0</formula>
    </cfRule>
  </conditionalFormatting>
  <conditionalFormatting sqref="D14:H15 D21:H21">
    <cfRule type="expression" dxfId="11" priority="6" stopIfTrue="1">
      <formula>D14-D4&lt;0</formula>
    </cfRule>
  </conditionalFormatting>
  <conditionalFormatting sqref="G16:H16 D16:D19 H17:H20 G17:G19">
    <cfRule type="expression" dxfId="10" priority="2" stopIfTrue="1">
      <formula>D16-D6&lt;0</formula>
    </cfRule>
  </conditionalFormatting>
  <conditionalFormatting sqref="D20 G20">
    <cfRule type="expression" dxfId="9" priority="1" stopIfTrue="1">
      <formula>D20-D10&lt;0</formula>
    </cfRule>
  </conditionalFormatting>
  <pageMargins left="0.5" right="0.5" top="0.5" bottom="0.5" header="0.5" footer="0.5"/>
  <pageSetup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92D050"/>
    <pageSetUpPr fitToPage="1"/>
  </sheetPr>
  <dimension ref="A1:Z64"/>
  <sheetViews>
    <sheetView showGridLines="0" view="pageBreakPreview" zoomScaleNormal="100" zoomScaleSheetLayoutView="100" workbookViewId="0">
      <selection activeCell="F12" sqref="F12"/>
    </sheetView>
  </sheetViews>
  <sheetFormatPr defaultColWidth="11.42578125" defaultRowHeight="12.75"/>
  <cols>
    <col min="1" max="1" width="5" style="245" customWidth="1"/>
    <col min="2" max="2" width="23.85546875" style="192" customWidth="1"/>
    <col min="3" max="3" width="11.140625" style="245" bestFit="1" customWidth="1"/>
    <col min="4" max="4" width="18.140625" style="252" bestFit="1" customWidth="1"/>
    <col min="5" max="5" width="9.7109375" style="252" customWidth="1"/>
    <col min="6" max="6" width="18.140625" style="252" bestFit="1" customWidth="1"/>
    <col min="7" max="7" width="9.5703125" style="143" customWidth="1"/>
    <col min="8" max="9" width="12.85546875" style="192" customWidth="1"/>
    <col min="10" max="10" width="12.85546875" style="331" hidden="1" customWidth="1"/>
    <col min="11" max="11" width="12.85546875" style="192" hidden="1" customWidth="1"/>
    <col min="12" max="12" width="12.85546875" style="387" customWidth="1"/>
    <col min="13" max="13" width="9.42578125" style="192" customWidth="1"/>
    <col min="14" max="14" width="12.85546875" style="29" customWidth="1"/>
    <col min="15" max="15" width="1.7109375" style="192" customWidth="1"/>
    <col min="16" max="16" width="11.42578125" style="192"/>
    <col min="17" max="17" width="11.85546875" style="192" bestFit="1" customWidth="1"/>
    <col min="18" max="18" width="11.42578125" style="192"/>
    <col min="19" max="19" width="12.85546875" style="192" bestFit="1" customWidth="1"/>
    <col min="20" max="24" width="11.42578125" style="192"/>
    <col min="25" max="25" width="12" style="192" bestFit="1" customWidth="1"/>
    <col min="26" max="16384" width="11.42578125" style="192"/>
  </cols>
  <sheetData>
    <row r="1" spans="1:26" s="245" customFormat="1">
      <c r="A1" s="146" t="s">
        <v>97</v>
      </c>
      <c r="B1" s="243"/>
      <c r="C1" s="243"/>
      <c r="D1" s="244"/>
      <c r="E1" s="243"/>
      <c r="F1" s="243"/>
      <c r="G1" s="144"/>
      <c r="H1" s="243"/>
      <c r="I1" s="243"/>
      <c r="J1" s="243"/>
      <c r="K1" s="243"/>
      <c r="L1" s="501"/>
      <c r="M1" s="192"/>
      <c r="O1" s="595" t="s">
        <v>232</v>
      </c>
      <c r="P1" s="595"/>
    </row>
    <row r="2" spans="1:26" s="245" customFormat="1">
      <c r="A2" s="146" t="s">
        <v>289</v>
      </c>
      <c r="B2" s="243"/>
      <c r="C2" s="243"/>
      <c r="D2" s="244"/>
      <c r="E2" s="243"/>
      <c r="F2" s="243"/>
      <c r="G2" s="144"/>
      <c r="H2" s="243"/>
      <c r="I2" s="243"/>
      <c r="J2" s="243"/>
      <c r="K2" s="243"/>
      <c r="L2" s="501"/>
      <c r="M2" s="192"/>
      <c r="O2" s="595"/>
      <c r="P2" s="595"/>
    </row>
    <row r="3" spans="1:26" s="245" customFormat="1">
      <c r="A3" s="146" t="s">
        <v>233</v>
      </c>
      <c r="B3" s="243"/>
      <c r="C3" s="243"/>
      <c r="D3" s="244"/>
      <c r="E3" s="243"/>
      <c r="F3" s="243"/>
      <c r="G3" s="144"/>
      <c r="H3" s="243"/>
      <c r="I3" s="243"/>
      <c r="J3" s="243"/>
      <c r="K3" s="243"/>
      <c r="L3" s="501"/>
      <c r="M3" s="192"/>
      <c r="O3" s="595"/>
      <c r="P3" s="595"/>
    </row>
    <row r="4" spans="1:26" s="245" customFormat="1">
      <c r="A4" s="146" t="s">
        <v>512</v>
      </c>
      <c r="B4" s="243"/>
      <c r="C4" s="243"/>
      <c r="D4" s="244"/>
      <c r="E4" s="243"/>
      <c r="F4" s="243"/>
      <c r="G4" s="144"/>
      <c r="H4" s="243"/>
      <c r="I4" s="243"/>
      <c r="J4" s="243"/>
      <c r="K4" s="243"/>
      <c r="L4" s="501"/>
      <c r="M4" s="192"/>
    </row>
    <row r="5" spans="1:26" s="245" customFormat="1">
      <c r="A5" s="146" t="s">
        <v>217</v>
      </c>
      <c r="B5" s="243"/>
      <c r="C5" s="243"/>
      <c r="D5" s="244"/>
      <c r="E5" s="243"/>
      <c r="F5" s="243"/>
      <c r="G5" s="144"/>
      <c r="H5" s="243"/>
      <c r="I5" s="243"/>
      <c r="J5" s="243"/>
      <c r="K5" s="243"/>
      <c r="L5" s="501"/>
      <c r="M5" s="192"/>
    </row>
    <row r="6" spans="1:26" s="245" customFormat="1">
      <c r="A6" s="286"/>
      <c r="C6" s="192"/>
      <c r="D6" s="246"/>
      <c r="E6" s="147"/>
      <c r="F6" s="147"/>
      <c r="G6" s="141"/>
      <c r="J6" s="333"/>
      <c r="L6" s="375"/>
      <c r="M6" s="30"/>
    </row>
    <row r="7" spans="1:26" s="245" customFormat="1">
      <c r="C7" s="192"/>
      <c r="D7" s="246"/>
      <c r="E7" s="147"/>
      <c r="F7" s="147"/>
      <c r="G7" s="141"/>
      <c r="J7" s="333"/>
      <c r="L7" s="375"/>
      <c r="M7" s="30"/>
    </row>
    <row r="8" spans="1:26" s="245" customFormat="1">
      <c r="C8" s="247"/>
      <c r="D8" s="246" t="s">
        <v>167</v>
      </c>
      <c r="E8" s="248"/>
      <c r="F8" s="246" t="s">
        <v>167</v>
      </c>
      <c r="G8" s="148" t="s">
        <v>227</v>
      </c>
      <c r="H8" s="245" t="s">
        <v>234</v>
      </c>
      <c r="J8" s="333"/>
      <c r="L8" s="502" t="s">
        <v>235</v>
      </c>
      <c r="M8" s="332"/>
      <c r="P8" s="333"/>
      <c r="Q8" s="333"/>
      <c r="R8" s="333"/>
      <c r="S8" s="333"/>
      <c r="T8" s="333"/>
      <c r="U8" s="333"/>
      <c r="V8" s="333"/>
      <c r="W8" s="333"/>
    </row>
    <row r="9" spans="1:26" s="245" customFormat="1">
      <c r="C9" s="247"/>
      <c r="D9" s="333" t="s">
        <v>376</v>
      </c>
      <c r="E9" s="246" t="s">
        <v>504</v>
      </c>
      <c r="F9" s="333" t="s">
        <v>376</v>
      </c>
      <c r="G9" s="148" t="s">
        <v>228</v>
      </c>
      <c r="H9" s="245" t="s">
        <v>218</v>
      </c>
      <c r="I9" s="246" t="s">
        <v>504</v>
      </c>
      <c r="J9" s="246" t="s">
        <v>498</v>
      </c>
      <c r="K9" s="333" t="s">
        <v>492</v>
      </c>
      <c r="L9" s="502" t="s">
        <v>214</v>
      </c>
      <c r="M9" s="332" t="s">
        <v>488</v>
      </c>
      <c r="N9" s="245" t="s">
        <v>218</v>
      </c>
      <c r="P9" s="333"/>
      <c r="Q9" s="333"/>
      <c r="R9" s="333"/>
      <c r="S9" s="333"/>
      <c r="T9" s="333"/>
      <c r="U9" s="333"/>
      <c r="V9" s="333"/>
      <c r="W9" s="333" t="s">
        <v>460</v>
      </c>
    </row>
    <row r="10" spans="1:26" s="245" customFormat="1">
      <c r="A10" s="245" t="s">
        <v>194</v>
      </c>
      <c r="B10" s="245" t="s">
        <v>219</v>
      </c>
      <c r="C10" s="245" t="s">
        <v>196</v>
      </c>
      <c r="D10" s="246" t="s">
        <v>236</v>
      </c>
      <c r="E10" s="246" t="s">
        <v>237</v>
      </c>
      <c r="F10" s="246" t="s">
        <v>238</v>
      </c>
      <c r="G10" s="141" t="s">
        <v>221</v>
      </c>
      <c r="H10" s="245" t="s">
        <v>239</v>
      </c>
      <c r="I10" s="246" t="s">
        <v>237</v>
      </c>
      <c r="J10" s="246" t="s">
        <v>487</v>
      </c>
      <c r="K10" s="333" t="s">
        <v>493</v>
      </c>
      <c r="L10" s="502" t="s">
        <v>240</v>
      </c>
      <c r="M10" s="332" t="s">
        <v>489</v>
      </c>
      <c r="N10" s="245" t="s">
        <v>468</v>
      </c>
      <c r="P10" s="333"/>
      <c r="Q10" s="333" t="s">
        <v>208</v>
      </c>
      <c r="R10" s="333"/>
      <c r="S10" s="333" t="s">
        <v>461</v>
      </c>
      <c r="T10" s="333" t="s">
        <v>462</v>
      </c>
      <c r="U10" s="333" t="s">
        <v>462</v>
      </c>
      <c r="V10" s="333"/>
      <c r="W10" s="333" t="s">
        <v>463</v>
      </c>
    </row>
    <row r="11" spans="1:26" s="249" customFormat="1">
      <c r="A11" s="249" t="s">
        <v>195</v>
      </c>
      <c r="B11" s="249" t="s">
        <v>222</v>
      </c>
      <c r="C11" s="249" t="s">
        <v>223</v>
      </c>
      <c r="D11" s="250" t="s">
        <v>242</v>
      </c>
      <c r="E11" s="250" t="s">
        <v>214</v>
      </c>
      <c r="F11" s="250" t="s">
        <v>242</v>
      </c>
      <c r="G11" s="142" t="s">
        <v>214</v>
      </c>
      <c r="H11" s="249" t="s">
        <v>377</v>
      </c>
      <c r="I11" s="250" t="s">
        <v>214</v>
      </c>
      <c r="J11" s="250" t="s">
        <v>214</v>
      </c>
      <c r="K11" s="249" t="s">
        <v>494</v>
      </c>
      <c r="L11" s="503" t="s">
        <v>218</v>
      </c>
      <c r="M11" s="149" t="s">
        <v>356</v>
      </c>
      <c r="N11" s="249" t="s">
        <v>469</v>
      </c>
      <c r="P11" s="249" t="s">
        <v>464</v>
      </c>
      <c r="Q11" s="249" t="s">
        <v>465</v>
      </c>
      <c r="S11" s="249" t="s">
        <v>466</v>
      </c>
      <c r="T11" s="249" t="s">
        <v>467</v>
      </c>
      <c r="U11" s="249" t="s">
        <v>218</v>
      </c>
      <c r="W11" s="249" t="s">
        <v>462</v>
      </c>
    </row>
    <row r="12" spans="1:26" s="245" customFormat="1">
      <c r="B12" s="245" t="s">
        <v>197</v>
      </c>
      <c r="C12" s="245" t="s">
        <v>198</v>
      </c>
      <c r="D12" s="246" t="s">
        <v>199</v>
      </c>
      <c r="E12" s="245" t="s">
        <v>200</v>
      </c>
      <c r="F12" s="245" t="s">
        <v>201</v>
      </c>
      <c r="G12" s="141" t="s">
        <v>202</v>
      </c>
      <c r="H12" s="245" t="s">
        <v>215</v>
      </c>
      <c r="I12" s="245" t="s">
        <v>224</v>
      </c>
      <c r="J12" s="333"/>
      <c r="K12" s="245" t="s">
        <v>495</v>
      </c>
      <c r="L12" s="502" t="s">
        <v>496</v>
      </c>
      <c r="M12" s="339"/>
      <c r="P12" s="333"/>
      <c r="Q12" s="333"/>
      <c r="R12" s="333"/>
      <c r="S12" s="333"/>
      <c r="T12" s="333"/>
      <c r="U12" s="333"/>
      <c r="V12" s="333"/>
      <c r="W12" s="333"/>
    </row>
    <row r="13" spans="1:26" ht="6" customHeight="1">
      <c r="D13" s="251"/>
      <c r="L13" s="401"/>
      <c r="N13" s="192"/>
      <c r="P13" s="331"/>
      <c r="Q13" s="331"/>
      <c r="R13" s="331"/>
      <c r="S13" s="331"/>
      <c r="T13" s="331"/>
      <c r="U13" s="331"/>
      <c r="V13" s="331"/>
      <c r="W13" s="331"/>
    </row>
    <row r="14" spans="1:26" ht="24.95" customHeight="1">
      <c r="A14" s="245">
        <v>1</v>
      </c>
      <c r="B14" s="192" t="s">
        <v>203</v>
      </c>
      <c r="C14" s="253" t="s">
        <v>229</v>
      </c>
      <c r="D14" s="246">
        <f ca="1">'Pres &amp; Prop Rev'!$D$145/1000</f>
        <v>97109.989760000011</v>
      </c>
      <c r="E14" s="246">
        <f ca="1">'Pres &amp; Prop Rev'!$D$195/1000</f>
        <v>0</v>
      </c>
      <c r="F14" s="246">
        <f ca="1">'Pres &amp; Prop Rev'!$D$192/1000</f>
        <v>97109.989760000011</v>
      </c>
      <c r="G14" s="215">
        <f ca="1">E14/D14</f>
        <v>0</v>
      </c>
      <c r="H14" s="500">
        <f>204183.65933-9606.154</f>
        <v>194577.50532999999</v>
      </c>
      <c r="I14" s="246">
        <f ca="1">E14</f>
        <v>0</v>
      </c>
      <c r="J14" s="246" t="e">
        <f>#REF!/1000</f>
        <v>#REF!</v>
      </c>
      <c r="K14" s="246" t="e">
        <f ca="1">-I14-J14</f>
        <v>#REF!</v>
      </c>
      <c r="L14" s="504" t="e">
        <f ca="1">(I14+J14+K14)/H14</f>
        <v>#REF!</v>
      </c>
      <c r="M14" s="75">
        <f ca="1">I14/H14</f>
        <v>0</v>
      </c>
      <c r="N14" s="309">
        <f ca="1">(D14*1000)/(P14/12)</f>
        <v>560.97651338801313</v>
      </c>
      <c r="O14" s="254"/>
      <c r="P14" s="363">
        <f>'Bill Determ'!C7</f>
        <v>2077306</v>
      </c>
      <c r="Q14" s="310" t="e">
        <f>#REF!</f>
        <v>#REF!</v>
      </c>
      <c r="R14" s="331"/>
      <c r="S14" s="363">
        <f>'Pres &amp; Prop Rev'!D23</f>
        <v>136106732.85768002</v>
      </c>
      <c r="T14" s="364">
        <v>0.40178999999999998</v>
      </c>
      <c r="U14" s="340">
        <f t="shared" ref="U14:U19" si="0">(S14*T14)/1000</f>
        <v>54686.324194887253</v>
      </c>
      <c r="V14" s="331"/>
      <c r="W14" s="252">
        <f ca="1">D14+U14</f>
        <v>151796.31395488727</v>
      </c>
      <c r="Y14" s="283">
        <f ca="1">I14/W14</f>
        <v>0</v>
      </c>
      <c r="Z14" s="192" t="s">
        <v>499</v>
      </c>
    </row>
    <row r="15" spans="1:26" ht="24.95" customHeight="1">
      <c r="A15" s="245">
        <v>2</v>
      </c>
      <c r="B15" s="192" t="s">
        <v>204</v>
      </c>
      <c r="C15" s="253" t="s">
        <v>453</v>
      </c>
      <c r="D15" s="246">
        <f ca="1">'Pres &amp; Prop Rev'!$E$145/1000</f>
        <v>23833.879520000002</v>
      </c>
      <c r="E15" s="246">
        <f ca="1">'Pres &amp; Prop Rev'!$E$195/1000</f>
        <v>0</v>
      </c>
      <c r="F15" s="246">
        <f ca="1">'Pres &amp; Prop Rev'!$E$192/1000</f>
        <v>23833.879520000002</v>
      </c>
      <c r="G15" s="215">
        <f t="shared" ref="G15:G19" ca="1" si="1">E15/D15</f>
        <v>0</v>
      </c>
      <c r="H15" s="246">
        <f>73864.958-126</f>
        <v>73738.957999999999</v>
      </c>
      <c r="I15" s="246">
        <f t="shared" ref="I15:I19" ca="1" si="2">E15</f>
        <v>0</v>
      </c>
      <c r="J15" s="246" t="e">
        <f>#REF!/1000</f>
        <v>#REF!</v>
      </c>
      <c r="K15" s="246" t="e">
        <f t="shared" ref="K15:K19" ca="1" si="3">-I15-J15</f>
        <v>#REF!</v>
      </c>
      <c r="L15" s="504" t="e">
        <f t="shared" ref="L15:L20" ca="1" si="4">(I15+J15+K15)/H15</f>
        <v>#REF!</v>
      </c>
      <c r="M15" s="75">
        <f t="shared" ref="M15:M20" ca="1" si="5">I15/H15</f>
        <v>0</v>
      </c>
      <c r="N15" s="340">
        <f ca="1">((D15+D16+D17)*1000)/((P15+P16+P17)/12)</f>
        <v>7055.0141792586555</v>
      </c>
      <c r="O15" s="254"/>
      <c r="P15" s="363">
        <f>'Bill Determ'!H17</f>
        <v>41579</v>
      </c>
      <c r="Q15" s="310">
        <f>(H15*1000)/P15</f>
        <v>1773.4663652324491</v>
      </c>
      <c r="R15" s="331"/>
      <c r="S15" s="363">
        <f>'Pres &amp; Prop Rev'!E23</f>
        <v>65945771.77595</v>
      </c>
      <c r="T15" s="364">
        <v>0.39200000000000002</v>
      </c>
      <c r="U15" s="340">
        <f t="shared" si="0"/>
        <v>25850.742536172402</v>
      </c>
      <c r="V15" s="331"/>
      <c r="W15" s="252">
        <f t="shared" ref="W15:W20" ca="1" si="6">D15+U15</f>
        <v>49684.622056172404</v>
      </c>
    </row>
    <row r="16" spans="1:26" ht="31.5" hidden="1" customHeight="1">
      <c r="A16" s="245">
        <v>3</v>
      </c>
      <c r="B16" s="255" t="s">
        <v>472</v>
      </c>
      <c r="C16" s="253" t="s">
        <v>454</v>
      </c>
      <c r="D16" s="246">
        <v>0</v>
      </c>
      <c r="E16" s="246">
        <f>'Pres &amp; Prop Rev'!$F$195/1000</f>
        <v>0</v>
      </c>
      <c r="F16" s="246">
        <f ca="1">'Pres &amp; Prop Rev'!$F$192/1000</f>
        <v>0</v>
      </c>
      <c r="G16" s="215">
        <v>0</v>
      </c>
      <c r="H16" s="246">
        <v>0</v>
      </c>
      <c r="I16" s="246">
        <f t="shared" si="2"/>
        <v>0</v>
      </c>
      <c r="J16" s="246"/>
      <c r="K16" s="246">
        <f t="shared" si="3"/>
        <v>0</v>
      </c>
      <c r="L16" s="504" t="e">
        <f t="shared" si="4"/>
        <v>#DIV/0!</v>
      </c>
      <c r="M16" s="75" t="e">
        <f t="shared" si="5"/>
        <v>#DIV/0!</v>
      </c>
      <c r="N16" s="340"/>
      <c r="O16" s="254"/>
      <c r="P16" s="363">
        <f>'Bill Determ'!H31</f>
        <v>0</v>
      </c>
      <c r="Q16" s="310" t="e">
        <f>(H16*1000)/P16</f>
        <v>#DIV/0!</v>
      </c>
      <c r="R16" s="331"/>
      <c r="S16" s="363">
        <f>'Pres &amp; Prop Rev'!F23</f>
        <v>0</v>
      </c>
      <c r="T16" s="364">
        <v>0.27573999999999999</v>
      </c>
      <c r="U16" s="340">
        <f t="shared" si="0"/>
        <v>0</v>
      </c>
      <c r="V16" s="331"/>
      <c r="W16" s="252">
        <f t="shared" si="6"/>
        <v>0</v>
      </c>
    </row>
    <row r="17" spans="1:23" ht="24.95" customHeight="1">
      <c r="A17" s="333">
        <v>3</v>
      </c>
      <c r="B17" s="192" t="s">
        <v>225</v>
      </c>
      <c r="C17" s="245" t="s">
        <v>305</v>
      </c>
      <c r="D17" s="246">
        <f ca="1">'Pres &amp; Prop Rev'!$G$145/1000</f>
        <v>639.37675000000002</v>
      </c>
      <c r="E17" s="246">
        <f ca="1">'Pres &amp; Prop Rev'!$G$195/1000</f>
        <v>0</v>
      </c>
      <c r="F17" s="246">
        <f ca="1">'Pres &amp; Prop Rev'!$G$192/1000</f>
        <v>639.37675000000002</v>
      </c>
      <c r="G17" s="215">
        <f ca="1">E17/D17</f>
        <v>0</v>
      </c>
      <c r="H17" s="246">
        <v>1707.0983199999998</v>
      </c>
      <c r="I17" s="246">
        <f ca="1">E17</f>
        <v>0</v>
      </c>
      <c r="J17" s="246" t="e">
        <f>#REF!/1000</f>
        <v>#REF!</v>
      </c>
      <c r="K17" s="246" t="e">
        <f t="shared" ca="1" si="3"/>
        <v>#REF!</v>
      </c>
      <c r="L17" s="504" t="e">
        <f t="shared" ca="1" si="4"/>
        <v>#REF!</v>
      </c>
      <c r="M17" s="75">
        <f t="shared" ca="1" si="5"/>
        <v>0</v>
      </c>
      <c r="N17" s="340"/>
      <c r="O17" s="254"/>
      <c r="P17" s="363">
        <f>'Bill Determ'!G38</f>
        <v>48</v>
      </c>
      <c r="Q17" s="310">
        <f>(H17*1000)/P17</f>
        <v>35564.548333333332</v>
      </c>
      <c r="R17" s="331"/>
      <c r="S17" s="363">
        <f>'Pres &amp; Prop Rev'!G23</f>
        <v>2692866.4820002159</v>
      </c>
      <c r="T17" s="364">
        <v>0.35948999999999998</v>
      </c>
      <c r="U17" s="340">
        <f t="shared" si="0"/>
        <v>968.05857161425752</v>
      </c>
      <c r="V17" s="331"/>
      <c r="W17" s="252">
        <f t="shared" ca="1" si="6"/>
        <v>1607.4353216142576</v>
      </c>
    </row>
    <row r="18" spans="1:23" ht="24.95" customHeight="1">
      <c r="A18" s="333">
        <v>4</v>
      </c>
      <c r="B18" s="192" t="s">
        <v>205</v>
      </c>
      <c r="C18" s="253" t="s">
        <v>231</v>
      </c>
      <c r="D18" s="246">
        <f ca="1">'Pres &amp; Prop Rev'!$H$145/1000</f>
        <v>3733.8183734999993</v>
      </c>
      <c r="E18" s="246">
        <f ca="1">'Pres &amp; Prop Rev'!$H$195/1000</f>
        <v>0</v>
      </c>
      <c r="F18" s="246">
        <f ca="1">'Pres &amp; Prop Rev'!$H$192/1000</f>
        <v>3733.8183734999993</v>
      </c>
      <c r="G18" s="215">
        <f ca="1">E18/D18</f>
        <v>0</v>
      </c>
      <c r="H18" s="246">
        <v>3604.4011135000001</v>
      </c>
      <c r="I18" s="246">
        <f t="shared" ca="1" si="2"/>
        <v>0</v>
      </c>
      <c r="J18" s="246" t="e">
        <f>#REF!/1000</f>
        <v>#REF!</v>
      </c>
      <c r="K18" s="246" t="e">
        <f t="shared" ca="1" si="3"/>
        <v>#REF!</v>
      </c>
      <c r="L18" s="504" t="e">
        <f t="shared" ca="1" si="4"/>
        <v>#REF!</v>
      </c>
      <c r="M18" s="75">
        <f t="shared" ca="1" si="5"/>
        <v>0</v>
      </c>
      <c r="N18" s="309"/>
      <c r="O18" s="254"/>
      <c r="P18" s="363">
        <f>'Bill Determ'!H42</f>
        <v>420</v>
      </c>
      <c r="Q18" s="310">
        <f>(H18*1000)/P18</f>
        <v>8581.9074130952376</v>
      </c>
      <c r="R18" s="331"/>
      <c r="S18" s="363">
        <f>'Pres &amp; Prop Rev'!H23</f>
        <v>32193352</v>
      </c>
      <c r="T18" s="364">
        <v>5.5999999999999995E-4</v>
      </c>
      <c r="U18" s="340">
        <f t="shared" si="0"/>
        <v>18.028277119999998</v>
      </c>
      <c r="V18" s="331"/>
      <c r="W18" s="252">
        <f t="shared" ca="1" si="6"/>
        <v>3751.8466506199993</v>
      </c>
    </row>
    <row r="19" spans="1:23" ht="24.95" customHeight="1">
      <c r="A19" s="333">
        <v>5</v>
      </c>
      <c r="B19" s="192" t="s">
        <v>226</v>
      </c>
      <c r="C19" s="253" t="s">
        <v>241</v>
      </c>
      <c r="D19" s="216">
        <f>SUM('Pres &amp; Prop Rev'!$I$145:$J$145)/1000</f>
        <v>1659.4252599999998</v>
      </c>
      <c r="E19" s="217">
        <f>SUM('Pres &amp; Prop Rev'!$I$195:$J$195)/1000</f>
        <v>0</v>
      </c>
      <c r="F19" s="217">
        <f>SUM('Pres &amp; Prop Rev'!$I$192:$J$192)/1000</f>
        <v>1659.4252599999998</v>
      </c>
      <c r="G19" s="215">
        <f t="shared" si="1"/>
        <v>0</v>
      </c>
      <c r="H19" s="217">
        <v>1659.4252599999998</v>
      </c>
      <c r="I19" s="217">
        <f t="shared" si="2"/>
        <v>0</v>
      </c>
      <c r="J19" s="217">
        <v>0</v>
      </c>
      <c r="K19" s="217">
        <f t="shared" si="3"/>
        <v>0</v>
      </c>
      <c r="L19" s="504">
        <f t="shared" si="4"/>
        <v>0</v>
      </c>
      <c r="M19" s="75">
        <f t="shared" si="5"/>
        <v>0</v>
      </c>
      <c r="N19" s="309"/>
      <c r="O19" s="254"/>
      <c r="P19" s="341"/>
      <c r="Q19" s="331"/>
      <c r="R19" s="331"/>
      <c r="S19" s="363">
        <f>'Pres &amp; Prop Rev'!I23+'Pres &amp; Prop Rev'!J23</f>
        <v>53933012</v>
      </c>
      <c r="T19" s="364">
        <v>0</v>
      </c>
      <c r="U19" s="340">
        <f t="shared" si="0"/>
        <v>0</v>
      </c>
      <c r="V19" s="331"/>
      <c r="W19" s="252">
        <f t="shared" si="6"/>
        <v>1659.4252599999998</v>
      </c>
    </row>
    <row r="20" spans="1:23" ht="24.95" customHeight="1">
      <c r="A20" s="333">
        <v>6</v>
      </c>
      <c r="B20" s="256" t="s">
        <v>59</v>
      </c>
      <c r="D20" s="246">
        <f ca="1">'Pres &amp; Prop Rev'!$C$145/1000</f>
        <v>126976.4896635</v>
      </c>
      <c r="E20" s="246">
        <f ca="1">'Pres &amp; Prop Rev'!$C$195/1000</f>
        <v>0</v>
      </c>
      <c r="F20" s="246">
        <f ca="1">'Pres &amp; Prop Rev'!$C$192/1000</f>
        <v>126976.4896635</v>
      </c>
      <c r="G20" s="215">
        <f ca="1">E20/D20</f>
        <v>0</v>
      </c>
      <c r="H20" s="328">
        <f>SUM(H14:H19)+0.4</f>
        <v>275287.7880235</v>
      </c>
      <c r="I20" s="246">
        <f ca="1">SUM(I14:I19)</f>
        <v>0</v>
      </c>
      <c r="J20" s="246" t="e">
        <f>SUM(J14:J19)</f>
        <v>#REF!</v>
      </c>
      <c r="K20" s="246" t="e">
        <f ca="1">SUM(K14:K19)</f>
        <v>#REF!</v>
      </c>
      <c r="L20" s="504" t="e">
        <f t="shared" ca="1" si="4"/>
        <v>#REF!</v>
      </c>
      <c r="M20" s="75">
        <f t="shared" ca="1" si="5"/>
        <v>0</v>
      </c>
      <c r="N20" s="309"/>
      <c r="O20" s="254"/>
      <c r="P20" s="341"/>
      <c r="Q20" s="331"/>
      <c r="R20" s="331"/>
      <c r="S20" s="363">
        <f>SUM(S14:S19)</f>
        <v>290871735.11563027</v>
      </c>
      <c r="T20" s="365"/>
      <c r="U20" s="366">
        <f>SUM(U14:U19)</f>
        <v>81523.153579793914</v>
      </c>
      <c r="V20" s="331"/>
      <c r="W20" s="252">
        <f t="shared" ca="1" si="6"/>
        <v>208499.64324329392</v>
      </c>
    </row>
    <row r="21" spans="1:23">
      <c r="D21" s="195">
        <f ca="1">ROUND(D20-SUM(D14:D19),0)</f>
        <v>0</v>
      </c>
      <c r="E21" s="195"/>
      <c r="F21" s="257">
        <f ca="1">ROUND(F20-SUM(F14:F19),0)</f>
        <v>0</v>
      </c>
      <c r="G21" s="215"/>
      <c r="I21" s="257"/>
      <c r="J21" s="257"/>
      <c r="K21" s="257" t="e">
        <f ca="1">ROUND(K20-SUM(K14:K19),-1)</f>
        <v>#REF!</v>
      </c>
      <c r="L21" s="505"/>
      <c r="M21" s="29"/>
      <c r="N21" s="192"/>
      <c r="P21" s="331"/>
      <c r="Q21" s="331"/>
      <c r="R21" s="331"/>
      <c r="S21" s="331"/>
      <c r="T21" s="331"/>
      <c r="U21" s="331"/>
      <c r="V21" s="331"/>
      <c r="W21" s="331"/>
    </row>
    <row r="22" spans="1:23">
      <c r="A22" s="374" t="s">
        <v>521</v>
      </c>
      <c r="B22" s="374"/>
      <c r="C22" s="375"/>
      <c r="D22" s="376"/>
      <c r="E22" s="376"/>
      <c r="F22" s="377"/>
      <c r="G22" s="378"/>
      <c r="H22" s="374"/>
      <c r="I22" s="374"/>
      <c r="J22" s="374"/>
      <c r="K22" s="374"/>
      <c r="L22" s="374"/>
      <c r="M22" s="29"/>
      <c r="N22" s="192"/>
      <c r="P22" s="331"/>
      <c r="Q22" s="331"/>
      <c r="R22" s="331"/>
      <c r="S22" s="331"/>
      <c r="T22" s="331"/>
      <c r="U22" s="331"/>
      <c r="V22" s="331"/>
      <c r="W22" s="331"/>
    </row>
    <row r="23" spans="1:23">
      <c r="A23" s="379" t="s">
        <v>522</v>
      </c>
      <c r="B23" s="374"/>
      <c r="C23" s="375"/>
      <c r="D23" s="376"/>
      <c r="E23" s="376"/>
      <c r="F23" s="380"/>
      <c r="G23" s="381"/>
      <c r="H23" s="374"/>
      <c r="I23" s="374"/>
      <c r="J23" s="374"/>
      <c r="K23" s="374"/>
      <c r="L23" s="374"/>
      <c r="M23" s="29"/>
      <c r="N23" s="192"/>
      <c r="P23" s="331"/>
      <c r="Q23" s="331"/>
      <c r="R23" s="331"/>
      <c r="S23" s="331"/>
      <c r="T23" s="331"/>
      <c r="U23" s="331"/>
      <c r="V23" s="331"/>
      <c r="W23" s="331"/>
    </row>
    <row r="24" spans="1:23" s="331" customFormat="1">
      <c r="A24" s="334"/>
      <c r="C24" s="333"/>
      <c r="D24" s="269"/>
      <c r="E24" s="269"/>
      <c r="F24" s="252"/>
      <c r="G24" s="143"/>
      <c r="L24" s="387"/>
      <c r="M24" s="29"/>
    </row>
    <row r="25" spans="1:23" s="331" customFormat="1">
      <c r="A25" s="334"/>
      <c r="C25" s="333"/>
      <c r="D25" s="372" t="s">
        <v>500</v>
      </c>
      <c r="E25" s="252"/>
      <c r="F25" s="252"/>
      <c r="G25" s="143"/>
      <c r="L25" s="387"/>
      <c r="M25" s="29"/>
    </row>
    <row r="26" spans="1:23" s="331" customFormat="1">
      <c r="A26" s="334"/>
      <c r="C26" s="333"/>
      <c r="D26" s="252" t="s">
        <v>460</v>
      </c>
      <c r="E26" s="252">
        <f ca="1">D14</f>
        <v>97109.989760000011</v>
      </c>
      <c r="F26" s="252"/>
      <c r="G26" s="143"/>
      <c r="L26" s="387"/>
      <c r="M26" s="29"/>
    </row>
    <row r="27" spans="1:23" ht="15">
      <c r="D27" s="252" t="s">
        <v>501</v>
      </c>
      <c r="E27" s="371">
        <f>U14</f>
        <v>54686.324194887253</v>
      </c>
      <c r="M27" s="29"/>
      <c r="N27" s="192"/>
      <c r="P27" s="331"/>
      <c r="Q27" s="331"/>
      <c r="R27" s="331"/>
      <c r="S27" s="331"/>
      <c r="T27" s="331"/>
      <c r="U27" s="331"/>
      <c r="V27" s="331"/>
      <c r="W27" s="331"/>
    </row>
    <row r="28" spans="1:23" s="331" customFormat="1">
      <c r="A28" s="333"/>
      <c r="C28" s="333"/>
      <c r="D28" s="252" t="s">
        <v>502</v>
      </c>
      <c r="E28" s="252">
        <f ca="1">SUM(E26:E27)</f>
        <v>151796.31395488727</v>
      </c>
      <c r="F28" s="252"/>
      <c r="G28" s="143"/>
      <c r="L28" s="387"/>
      <c r="M28" s="29"/>
    </row>
    <row r="29" spans="1:23" s="331" customFormat="1">
      <c r="A29" s="333"/>
      <c r="C29" s="333"/>
      <c r="D29" s="252"/>
      <c r="E29" s="252"/>
      <c r="F29" s="252"/>
      <c r="G29" s="143"/>
      <c r="L29" s="387"/>
      <c r="M29" s="29"/>
    </row>
    <row r="30" spans="1:23" s="331" customFormat="1">
      <c r="A30" s="333"/>
      <c r="C30" s="333"/>
      <c r="D30" s="252" t="s">
        <v>503</v>
      </c>
      <c r="E30" s="252">
        <f ca="1">I14</f>
        <v>0</v>
      </c>
      <c r="F30" s="252"/>
      <c r="G30" s="143"/>
      <c r="L30" s="387"/>
      <c r="M30" s="29"/>
    </row>
    <row r="31" spans="1:23" s="331" customFormat="1">
      <c r="A31" s="333"/>
      <c r="C31" s="333"/>
      <c r="D31" s="251" t="s">
        <v>505</v>
      </c>
      <c r="E31" s="283">
        <f ca="1">E30/E28</f>
        <v>0</v>
      </c>
      <c r="F31" s="252"/>
      <c r="G31" s="143"/>
      <c r="L31" s="387"/>
      <c r="M31" s="29"/>
    </row>
    <row r="32" spans="1:23">
      <c r="A32" s="596"/>
      <c r="B32" s="596"/>
      <c r="C32" s="596"/>
      <c r="D32" s="596"/>
      <c r="E32" s="596"/>
      <c r="F32" s="596"/>
      <c r="G32" s="596"/>
      <c r="H32" s="596"/>
      <c r="M32" s="29"/>
      <c r="N32" s="192"/>
      <c r="P32" s="331"/>
      <c r="Q32" s="331"/>
      <c r="R32" s="331"/>
      <c r="S32" s="331"/>
      <c r="T32" s="331"/>
      <c r="U32" s="331"/>
      <c r="V32" s="331"/>
      <c r="W32" s="331"/>
    </row>
    <row r="33" spans="1:23">
      <c r="A33" s="596"/>
      <c r="B33" s="596"/>
      <c r="C33" s="596"/>
      <c r="D33" s="596"/>
      <c r="E33" s="596"/>
      <c r="F33" s="596"/>
      <c r="G33" s="596"/>
      <c r="H33" s="596"/>
      <c r="M33" s="29"/>
      <c r="N33" s="192"/>
      <c r="P33" s="331"/>
      <c r="Q33" s="331"/>
      <c r="R33" s="331"/>
      <c r="S33" s="331"/>
      <c r="T33" s="331"/>
      <c r="U33" s="331"/>
      <c r="V33" s="331"/>
      <c r="W33" s="331"/>
    </row>
    <row r="34" spans="1:23">
      <c r="D34" s="269"/>
      <c r="M34" s="29"/>
      <c r="N34" s="192"/>
    </row>
    <row r="35" spans="1:23">
      <c r="D35" s="252">
        <f t="array" aca="1" ref="D35" ca="1">SUM(ROUND(D14:D19,0))</f>
        <v>126976</v>
      </c>
      <c r="E35" s="252">
        <f t="array" aca="1" ref="E35" ca="1">SUM(ROUND(E14:E19,0))</f>
        <v>0</v>
      </c>
      <c r="F35" s="252">
        <f t="array" aca="1" ref="F35" ca="1">SUM(ROUND(F14:F19,0))</f>
        <v>126976</v>
      </c>
      <c r="H35" s="258">
        <f t="array" ref="H35">SUM(ROUND(H14:H19,0))</f>
        <v>275287</v>
      </c>
      <c r="L35" s="404" t="e">
        <f t="array" aca="1" ref="L35" ca="1">SUM(ROUND(L14:L19,0))</f>
        <v>#REF!</v>
      </c>
      <c r="M35" s="29"/>
      <c r="N35" s="192"/>
    </row>
    <row r="36" spans="1:23">
      <c r="D36" s="258">
        <f ca="1">ROUND(D20,0)-D35</f>
        <v>0</v>
      </c>
      <c r="E36" s="258">
        <f ca="1">ROUND(E20,0)-E35</f>
        <v>0</v>
      </c>
      <c r="F36" s="258">
        <f ca="1">ROUND(F20,0)-F35</f>
        <v>0</v>
      </c>
      <c r="H36" s="258">
        <f>ROUND(H20,0)-H35</f>
        <v>1</v>
      </c>
      <c r="L36" s="405" t="e">
        <f ca="1">ROUND(L20,0)-L35</f>
        <v>#REF!</v>
      </c>
      <c r="M36" s="29"/>
      <c r="N36" s="192"/>
    </row>
    <row r="37" spans="1:23">
      <c r="D37" s="269"/>
      <c r="M37" s="29"/>
      <c r="N37" s="192"/>
    </row>
    <row r="38" spans="1:23" s="331" customFormat="1">
      <c r="A38" s="333"/>
      <c r="C38" s="333"/>
      <c r="D38" s="269"/>
      <c r="E38" s="252"/>
      <c r="F38" s="252"/>
      <c r="G38" s="143"/>
      <c r="K38" s="331" t="s">
        <v>378</v>
      </c>
      <c r="L38" s="387" t="s">
        <v>379</v>
      </c>
      <c r="M38" s="29"/>
    </row>
    <row r="39" spans="1:23" s="331" customFormat="1">
      <c r="A39" s="333"/>
      <c r="C39" s="333"/>
      <c r="D39" s="269"/>
      <c r="E39" s="252"/>
      <c r="F39" s="252"/>
      <c r="G39" s="225" t="s">
        <v>297</v>
      </c>
      <c r="H39" s="331" t="s">
        <v>298</v>
      </c>
      <c r="K39" s="331" t="s">
        <v>299</v>
      </c>
      <c r="L39" s="387" t="s">
        <v>299</v>
      </c>
      <c r="M39" s="331" t="s">
        <v>300</v>
      </c>
      <c r="N39" s="29"/>
    </row>
    <row r="40" spans="1:23" s="331" customFormat="1">
      <c r="A40" s="333"/>
      <c r="C40" s="333"/>
      <c r="D40" s="269"/>
      <c r="E40" s="252"/>
      <c r="F40" s="252"/>
      <c r="G40" s="224">
        <v>112</v>
      </c>
      <c r="H40" s="254">
        <f>'12MEJUN23'!P97</f>
        <v>439805.80900000001</v>
      </c>
      <c r="K40" s="196">
        <v>0.2868</v>
      </c>
      <c r="L40" s="387">
        <v>0</v>
      </c>
      <c r="M40" s="340">
        <f>(H40*(L40-K40)/1000)</f>
        <v>-126.1363060212</v>
      </c>
      <c r="N40" s="29"/>
    </row>
    <row r="41" spans="1:23" s="331" customFormat="1">
      <c r="A41" s="333"/>
      <c r="C41" s="333"/>
      <c r="D41" s="269"/>
      <c r="E41" s="252"/>
      <c r="F41" s="252"/>
      <c r="G41" s="224">
        <v>116</v>
      </c>
      <c r="H41" s="254">
        <v>0</v>
      </c>
      <c r="K41" s="196">
        <v>0.2868</v>
      </c>
      <c r="L41" s="387">
        <v>0</v>
      </c>
      <c r="M41" s="340">
        <f>(H41*(L41-K41)/1000)</f>
        <v>0</v>
      </c>
      <c r="N41" s="29" t="s">
        <v>458</v>
      </c>
    </row>
    <row r="42" spans="1:23" s="331" customFormat="1">
      <c r="A42" s="333"/>
      <c r="C42" s="333"/>
      <c r="D42" s="269"/>
      <c r="E42" s="252"/>
      <c r="F42" s="252"/>
      <c r="G42" s="224">
        <v>122</v>
      </c>
      <c r="H42" s="254">
        <v>0</v>
      </c>
      <c r="K42" s="196">
        <v>0</v>
      </c>
      <c r="L42" s="387">
        <v>0</v>
      </c>
      <c r="M42" s="340">
        <f>(H42*(L42-K42)/1000)</f>
        <v>0</v>
      </c>
      <c r="N42" s="29"/>
    </row>
    <row r="43" spans="1:23" s="331" customFormat="1">
      <c r="A43" s="333"/>
      <c r="C43" s="333"/>
      <c r="D43" s="269"/>
      <c r="E43" s="252"/>
      <c r="F43" s="252"/>
      <c r="G43" s="224">
        <v>126</v>
      </c>
      <c r="H43" s="254">
        <v>0</v>
      </c>
      <c r="K43" s="196">
        <v>0</v>
      </c>
      <c r="L43" s="387">
        <v>0</v>
      </c>
      <c r="M43" s="340">
        <f>(H43*(L43-K43)/1000)</f>
        <v>0</v>
      </c>
      <c r="N43" s="29" t="s">
        <v>459</v>
      </c>
    </row>
    <row r="44" spans="1:23">
      <c r="D44" s="269"/>
      <c r="E44" s="269"/>
      <c r="K44" s="331" t="s">
        <v>378</v>
      </c>
      <c r="L44" s="387" t="s">
        <v>379</v>
      </c>
      <c r="M44" s="29"/>
      <c r="N44" s="192"/>
    </row>
    <row r="45" spans="1:23">
      <c r="D45" s="269"/>
      <c r="E45" s="269"/>
      <c r="G45" s="225" t="s">
        <v>297</v>
      </c>
      <c r="H45" s="192" t="s">
        <v>298</v>
      </c>
      <c r="K45" s="192" t="s">
        <v>457</v>
      </c>
      <c r="L45" s="387" t="s">
        <v>457</v>
      </c>
      <c r="M45" s="192" t="s">
        <v>300</v>
      </c>
    </row>
    <row r="46" spans="1:23">
      <c r="D46" s="269"/>
      <c r="G46" s="224">
        <v>112</v>
      </c>
      <c r="H46" s="254">
        <f>'12MEJUN23'!P97</f>
        <v>439805.80900000001</v>
      </c>
      <c r="K46" s="196">
        <v>0</v>
      </c>
      <c r="L46" s="387">
        <v>0</v>
      </c>
      <c r="M46" s="309">
        <f>(H46*(L46-K46)/1000)</f>
        <v>0</v>
      </c>
    </row>
    <row r="47" spans="1:23">
      <c r="D47" s="269"/>
      <c r="E47" s="269"/>
      <c r="G47" s="224">
        <v>122</v>
      </c>
      <c r="H47" s="254">
        <f>'12MEJUN23'!P125</f>
        <v>0</v>
      </c>
      <c r="K47" s="196">
        <v>0</v>
      </c>
      <c r="L47" s="387">
        <v>0</v>
      </c>
      <c r="M47" s="259">
        <f>(H47*(L47-K47)/1000)</f>
        <v>0</v>
      </c>
    </row>
    <row r="48" spans="1:23">
      <c r="D48" s="269"/>
      <c r="E48" s="269"/>
      <c r="G48" s="224"/>
      <c r="H48" s="254"/>
      <c r="M48" s="259"/>
    </row>
    <row r="49" spans="4:13">
      <c r="D49" s="269"/>
      <c r="E49" s="269"/>
    </row>
    <row r="50" spans="4:13">
      <c r="D50" s="269"/>
      <c r="E50" s="269"/>
      <c r="G50" s="225" t="s">
        <v>297</v>
      </c>
      <c r="H50" s="331" t="s">
        <v>298</v>
      </c>
      <c r="I50" s="331"/>
      <c r="K50" s="331" t="s">
        <v>436</v>
      </c>
      <c r="L50" s="387" t="s">
        <v>299</v>
      </c>
      <c r="M50" s="331" t="s">
        <v>300</v>
      </c>
    </row>
    <row r="51" spans="4:13">
      <c r="D51" s="269"/>
      <c r="E51" s="269"/>
      <c r="G51" s="224">
        <v>102</v>
      </c>
      <c r="H51" s="254">
        <f>'12MEJUN23'!P69</f>
        <v>419261.61629999999</v>
      </c>
      <c r="I51" s="331"/>
      <c r="K51" s="331">
        <v>0</v>
      </c>
      <c r="M51" s="340">
        <f>((H51*K51)/1000)</f>
        <v>0</v>
      </c>
    </row>
    <row r="52" spans="4:13">
      <c r="D52" s="269"/>
    </row>
    <row r="53" spans="4:13">
      <c r="D53" s="269"/>
    </row>
    <row r="54" spans="4:13">
      <c r="D54" s="269"/>
    </row>
    <row r="55" spans="4:13">
      <c r="D55" s="269"/>
      <c r="E55" s="269"/>
    </row>
    <row r="56" spans="4:13">
      <c r="D56" s="269"/>
      <c r="E56" s="269"/>
    </row>
    <row r="57" spans="4:13">
      <c r="D57" s="269"/>
      <c r="E57" s="269"/>
    </row>
    <row r="58" spans="4:13">
      <c r="D58" s="269"/>
      <c r="E58" s="269"/>
    </row>
    <row r="59" spans="4:13">
      <c r="D59" s="269"/>
      <c r="E59" s="269"/>
    </row>
    <row r="60" spans="4:13">
      <c r="D60" s="269"/>
      <c r="E60" s="269"/>
    </row>
    <row r="61" spans="4:13">
      <c r="D61" s="269"/>
      <c r="E61" s="269"/>
    </row>
    <row r="62" spans="4:13">
      <c r="D62" s="269"/>
      <c r="E62" s="269"/>
    </row>
    <row r="63" spans="4:13">
      <c r="D63" s="269"/>
      <c r="E63" s="269"/>
    </row>
    <row r="64" spans="4:13">
      <c r="D64" s="269"/>
      <c r="E64" s="269"/>
    </row>
  </sheetData>
  <mergeCells count="2">
    <mergeCell ref="O1:P3"/>
    <mergeCell ref="A32:H33"/>
  </mergeCells>
  <phoneticPr fontId="0" type="noConversion"/>
  <conditionalFormatting sqref="D21:F21 K21:L21">
    <cfRule type="expression" dxfId="8" priority="1" stopIfTrue="1">
      <formula>ABS(D21)&gt;0.1</formula>
    </cfRule>
  </conditionalFormatting>
  <conditionalFormatting sqref="G36 I36:K36">
    <cfRule type="cellIs" dxfId="7" priority="2" stopIfTrue="1" operator="notEqual">
      <formula>0</formula>
    </cfRule>
  </conditionalFormatting>
  <conditionalFormatting sqref="L36 H36 D36:F36">
    <cfRule type="expression" dxfId="6" priority="3" stopIfTrue="1">
      <formula>ABS(D36)&gt;2</formula>
    </cfRule>
  </conditionalFormatting>
  <pageMargins left="0.5" right="0.5" top="1" bottom="1" header="0.5" footer="0.5"/>
  <pageSetup scale="97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pageSetUpPr fitToPage="1"/>
  </sheetPr>
  <dimension ref="A1:AE65"/>
  <sheetViews>
    <sheetView showGridLines="0" view="pageBreakPreview" zoomScale="110" zoomScaleNormal="85" zoomScaleSheetLayoutView="110" workbookViewId="0">
      <pane xSplit="3" ySplit="11" topLeftCell="D12" activePane="bottomRight" state="frozen"/>
      <selection activeCell="D48" sqref="D48"/>
      <selection pane="topRight" activeCell="D48" sqref="D48"/>
      <selection pane="bottomLeft" activeCell="D48" sqref="D48"/>
      <selection pane="bottomRight" activeCell="H17" sqref="H17"/>
    </sheetView>
  </sheetViews>
  <sheetFormatPr defaultColWidth="9.140625" defaultRowHeight="12.75"/>
  <cols>
    <col min="1" max="1" width="13.85546875" style="192" customWidth="1"/>
    <col min="2" max="2" width="9.140625" style="192"/>
    <col min="3" max="3" width="11.140625" style="192" customWidth="1"/>
    <col min="4" max="4" width="13.28515625" style="192" bestFit="1" customWidth="1"/>
    <col min="5" max="5" width="12.140625" style="192" bestFit="1" customWidth="1"/>
    <col min="6" max="6" width="13.28515625" style="192" bestFit="1" customWidth="1"/>
    <col min="7" max="8" width="11.7109375" style="29" customWidth="1"/>
    <col min="9" max="9" width="13.28515625" style="29" bestFit="1" customWidth="1"/>
    <col min="10" max="10" width="11.7109375" style="29" customWidth="1"/>
    <col min="11" max="11" width="13.42578125" style="29" bestFit="1" customWidth="1"/>
    <col min="12" max="12" width="9.42578125" style="192" bestFit="1" customWidth="1"/>
    <col min="13" max="13" width="9.42578125" style="192" customWidth="1"/>
    <col min="14" max="14" width="10" style="192" bestFit="1" customWidth="1"/>
    <col min="15" max="15" width="13.7109375" style="192" bestFit="1" customWidth="1"/>
    <col min="16" max="16" width="10.5703125" style="192" customWidth="1"/>
    <col min="17" max="17" width="9.42578125" style="192" customWidth="1"/>
    <col min="18" max="18" width="9.140625" style="192"/>
    <col min="19" max="19" width="9.5703125" style="192" bestFit="1" customWidth="1"/>
    <col min="20" max="21" width="9.42578125" style="192" bestFit="1" customWidth="1"/>
    <col min="22" max="22" width="9.140625" style="192"/>
    <col min="23" max="23" width="36.5703125" style="192" bestFit="1" customWidth="1"/>
    <col min="24" max="25" width="10" style="192" bestFit="1" customWidth="1"/>
    <col min="26" max="27" width="10" style="331" customWidth="1"/>
    <col min="28" max="28" width="9.42578125" style="192" bestFit="1" customWidth="1"/>
    <col min="29" max="29" width="9.140625" style="192"/>
    <col min="30" max="30" width="9.42578125" style="192" bestFit="1" customWidth="1"/>
    <col min="31" max="16384" width="9.140625" style="192"/>
  </cols>
  <sheetData>
    <row r="1" spans="1:31">
      <c r="A1" s="36" t="s">
        <v>97</v>
      </c>
      <c r="B1" s="243"/>
      <c r="C1" s="243"/>
      <c r="D1" s="243"/>
      <c r="E1" s="243"/>
      <c r="F1" s="243"/>
      <c r="G1" s="36"/>
      <c r="H1" s="36"/>
      <c r="I1" s="36"/>
      <c r="J1" s="36"/>
      <c r="K1" s="36"/>
      <c r="R1" s="192" t="s">
        <v>206</v>
      </c>
    </row>
    <row r="2" spans="1:31">
      <c r="A2" s="36" t="s">
        <v>289</v>
      </c>
      <c r="B2" s="243"/>
      <c r="C2" s="243"/>
      <c r="D2" s="243"/>
      <c r="E2" s="243"/>
      <c r="F2" s="243"/>
      <c r="G2" s="36"/>
      <c r="H2" s="36"/>
      <c r="I2" s="36"/>
      <c r="J2" s="36"/>
      <c r="K2" s="36"/>
    </row>
    <row r="3" spans="1:31">
      <c r="A3" s="36" t="s">
        <v>207</v>
      </c>
      <c r="B3" s="243"/>
      <c r="C3" s="243"/>
      <c r="D3" s="243"/>
      <c r="E3" s="243"/>
      <c r="F3" s="243"/>
      <c r="G3" s="36"/>
      <c r="H3" s="36"/>
      <c r="I3" s="36"/>
      <c r="J3" s="36"/>
      <c r="K3" s="36"/>
    </row>
    <row r="4" spans="1:31">
      <c r="F4" s="30"/>
    </row>
    <row r="6" spans="1:31" ht="18">
      <c r="A6" s="287"/>
      <c r="B6" s="260"/>
      <c r="C6" s="260"/>
    </row>
    <row r="7" spans="1:31" ht="18">
      <c r="A7" s="287"/>
      <c r="B7" s="260"/>
      <c r="C7" s="260"/>
      <c r="H7" s="332" t="s">
        <v>506</v>
      </c>
      <c r="I7" s="332" t="s">
        <v>507</v>
      </c>
      <c r="K7" s="145" t="s">
        <v>220</v>
      </c>
    </row>
    <row r="8" spans="1:31">
      <c r="A8" s="260"/>
      <c r="B8" s="260"/>
      <c r="C8" s="260"/>
      <c r="D8" s="145" t="s">
        <v>353</v>
      </c>
      <c r="E8" s="30" t="s">
        <v>208</v>
      </c>
      <c r="F8" s="30"/>
      <c r="G8" s="30" t="s">
        <v>209</v>
      </c>
      <c r="H8" s="332" t="s">
        <v>497</v>
      </c>
      <c r="I8" s="332" t="s">
        <v>490</v>
      </c>
      <c r="J8" s="30" t="s">
        <v>210</v>
      </c>
      <c r="K8" s="145" t="s">
        <v>375</v>
      </c>
    </row>
    <row r="9" spans="1:31">
      <c r="A9" s="260"/>
      <c r="B9" s="260"/>
      <c r="C9" s="260"/>
      <c r="D9" s="145" t="s">
        <v>380</v>
      </c>
      <c r="E9" s="30" t="s">
        <v>296</v>
      </c>
      <c r="F9" s="30" t="s">
        <v>211</v>
      </c>
      <c r="G9" s="30" t="s">
        <v>212</v>
      </c>
      <c r="H9" s="332" t="s">
        <v>295</v>
      </c>
      <c r="I9" s="332" t="s">
        <v>469</v>
      </c>
      <c r="J9" s="30" t="s">
        <v>213</v>
      </c>
      <c r="K9" s="145" t="s">
        <v>380</v>
      </c>
      <c r="O9" s="319" t="s">
        <v>356</v>
      </c>
      <c r="P9" s="319"/>
    </row>
    <row r="10" spans="1:31">
      <c r="A10" s="597" t="s">
        <v>290</v>
      </c>
      <c r="B10" s="597"/>
      <c r="C10" s="597"/>
      <c r="D10" s="222" t="s">
        <v>295</v>
      </c>
      <c r="E10" s="38" t="s">
        <v>381</v>
      </c>
      <c r="F10" s="38" t="s">
        <v>382</v>
      </c>
      <c r="G10" s="38" t="s">
        <v>214</v>
      </c>
      <c r="H10" s="38" t="s">
        <v>214</v>
      </c>
      <c r="I10" s="38" t="s">
        <v>486</v>
      </c>
      <c r="J10" s="38" t="s">
        <v>252</v>
      </c>
      <c r="K10" s="222" t="s">
        <v>295</v>
      </c>
      <c r="M10" s="320" t="s">
        <v>227</v>
      </c>
      <c r="N10" s="320" t="s">
        <v>357</v>
      </c>
      <c r="O10" s="321" t="s">
        <v>218</v>
      </c>
      <c r="P10" s="321"/>
    </row>
    <row r="11" spans="1:31">
      <c r="A11" s="260"/>
      <c r="B11" s="247" t="s">
        <v>197</v>
      </c>
      <c r="C11" s="260"/>
      <c r="D11" s="145" t="s">
        <v>198</v>
      </c>
      <c r="E11" s="332" t="s">
        <v>199</v>
      </c>
      <c r="F11" s="332" t="s">
        <v>200</v>
      </c>
      <c r="G11" s="332" t="s">
        <v>201</v>
      </c>
      <c r="H11" s="332"/>
      <c r="I11" s="332" t="s">
        <v>202</v>
      </c>
      <c r="J11" s="332" t="s">
        <v>215</v>
      </c>
      <c r="K11" s="332" t="s">
        <v>224</v>
      </c>
      <c r="M11" s="245" t="s">
        <v>96</v>
      </c>
      <c r="N11" s="245" t="s">
        <v>96</v>
      </c>
      <c r="O11" s="319" t="s">
        <v>358</v>
      </c>
      <c r="P11" s="319"/>
    </row>
    <row r="12" spans="1:31">
      <c r="A12" s="136" t="s">
        <v>245</v>
      </c>
      <c r="D12" s="29"/>
    </row>
    <row r="13" spans="1:31">
      <c r="A13" s="192" t="s">
        <v>216</v>
      </c>
      <c r="D13" s="139">
        <f>'Rate Design'!D4</f>
        <v>9.5</v>
      </c>
      <c r="E13" s="138">
        <f>F13-D13</f>
        <v>0</v>
      </c>
      <c r="F13" s="139">
        <f>'Rate Design'!D14</f>
        <v>9.5</v>
      </c>
      <c r="G13" s="139">
        <f>IF(ROUND(J13-F13,5)&lt;&gt;ROUND(K13-D13,5),#VALUE!,K13-D13)</f>
        <v>0</v>
      </c>
      <c r="H13" s="139"/>
      <c r="I13" s="139"/>
      <c r="J13" s="139">
        <f>'Rate Design'!D36</f>
        <v>9.5</v>
      </c>
      <c r="K13" s="139">
        <f>'Rate Design'!D26</f>
        <v>9.5</v>
      </c>
      <c r="L13" s="261">
        <f>K13/D13-1</f>
        <v>0</v>
      </c>
      <c r="M13" s="261"/>
      <c r="N13" s="261"/>
      <c r="O13" s="309">
        <f>G13*'Pres &amp; Prop Rev'!D25</f>
        <v>0</v>
      </c>
      <c r="P13" s="309"/>
      <c r="Q13" s="261"/>
      <c r="AB13" s="137"/>
      <c r="AD13" s="137"/>
    </row>
    <row r="14" spans="1:31">
      <c r="A14" s="192" t="s">
        <v>243</v>
      </c>
      <c r="D14" s="29"/>
      <c r="F14" s="29"/>
      <c r="O14" s="309"/>
      <c r="P14" s="309"/>
    </row>
    <row r="15" spans="1:31">
      <c r="A15" s="262" t="s">
        <v>325</v>
      </c>
      <c r="D15" s="140">
        <f>'Rate Design'!D6/100</f>
        <v>0.50668999999999997</v>
      </c>
      <c r="E15" s="157">
        <f>F15-D15</f>
        <v>0.7866890000000003</v>
      </c>
      <c r="F15" s="140">
        <f>'Rate Design'!D16/100</f>
        <v>1.2933790000000003</v>
      </c>
      <c r="G15" s="156">
        <f>K15-D15</f>
        <v>0</v>
      </c>
      <c r="H15" s="156" t="e">
        <f>#REF!</f>
        <v>#REF!</v>
      </c>
      <c r="I15" s="156" t="e">
        <f>-G15-H15</f>
        <v>#REF!</v>
      </c>
      <c r="J15" s="140" t="e">
        <f>F15+G15+I15+H15</f>
        <v>#REF!</v>
      </c>
      <c r="K15" s="140">
        <f>'Rate Design'!D28/100</f>
        <v>0.50668999999999997</v>
      </c>
      <c r="L15" s="261">
        <f>K15/D15-1</f>
        <v>0</v>
      </c>
      <c r="M15" s="325">
        <f>D15+G15-K15</f>
        <v>0</v>
      </c>
      <c r="N15" s="325" t="e">
        <f>F15+G15+I15-J15+H15</f>
        <v>#REF!</v>
      </c>
      <c r="O15" s="309">
        <f>G15*'Pres &amp; Prop Rev'!D31</f>
        <v>0</v>
      </c>
      <c r="P15" s="309"/>
      <c r="Q15" s="261"/>
      <c r="X15" s="598" t="s">
        <v>390</v>
      </c>
      <c r="Y15" s="598"/>
      <c r="Z15" s="362" t="s">
        <v>441</v>
      </c>
      <c r="AA15" s="354"/>
      <c r="AB15" s="140" t="s">
        <v>220</v>
      </c>
    </row>
    <row r="16" spans="1:31">
      <c r="A16" s="262" t="s">
        <v>326</v>
      </c>
      <c r="D16" s="140">
        <f>'Rate Design'!D7/100</f>
        <v>0.65852999999999995</v>
      </c>
      <c r="E16" s="262">
        <f>E15</f>
        <v>0.7866890000000003</v>
      </c>
      <c r="F16" s="140">
        <f>'Rate Design'!D17/100</f>
        <v>1.4452189999999998</v>
      </c>
      <c r="G16" s="156">
        <f>K16-D16</f>
        <v>0</v>
      </c>
      <c r="H16" s="156" t="e">
        <f>H15</f>
        <v>#REF!</v>
      </c>
      <c r="I16" s="156" t="e">
        <f>-G16-H16</f>
        <v>#REF!</v>
      </c>
      <c r="J16" s="140" t="e">
        <f>F16+G16+I16+H16</f>
        <v>#REF!</v>
      </c>
      <c r="K16" s="140">
        <f>'Rate Design'!D29/100</f>
        <v>0.65852999999999995</v>
      </c>
      <c r="L16" s="261">
        <f>K16/D16-1</f>
        <v>0</v>
      </c>
      <c r="M16" s="325">
        <f>D16+G16-K16</f>
        <v>0</v>
      </c>
      <c r="N16" s="325" t="e">
        <f>F16+G16+I16-J16+H16</f>
        <v>#REF!</v>
      </c>
      <c r="O16" s="323">
        <f>G16*'Pres &amp; Prop Rev'!D32</f>
        <v>0</v>
      </c>
      <c r="P16" s="324"/>
      <c r="Q16" s="261"/>
      <c r="R16" s="310">
        <f>(70*D15)+(130*D16)+D13</f>
        <v>130.5772</v>
      </c>
      <c r="S16" s="310">
        <f>(70*K15)+(130*K16)+K13</f>
        <v>130.5772</v>
      </c>
      <c r="T16" s="310">
        <f>(70*D15)+(430*D16)+D13</f>
        <v>328.13619999999997</v>
      </c>
      <c r="U16" s="310">
        <f>(70*K15)+(430*K16)+K13</f>
        <v>328.13619999999997</v>
      </c>
      <c r="V16" s="137"/>
      <c r="W16" s="137"/>
      <c r="X16" s="137"/>
      <c r="Y16" s="137"/>
      <c r="Z16" s="137"/>
      <c r="AA16" s="137"/>
      <c r="AB16" s="140" t="s">
        <v>296</v>
      </c>
      <c r="AC16" s="310"/>
      <c r="AD16" s="262"/>
      <c r="AE16" s="310"/>
    </row>
    <row r="17" spans="1:31">
      <c r="A17" s="136" t="s">
        <v>244</v>
      </c>
      <c r="D17" s="29"/>
      <c r="F17" s="29"/>
      <c r="K17" s="140"/>
      <c r="M17" s="325"/>
      <c r="N17" s="322"/>
      <c r="O17" s="309">
        <f>SUM(O13:O16)</f>
        <v>0</v>
      </c>
      <c r="P17" s="309">
        <f ca="1">O17-'Pres &amp; Prop Rev'!D195</f>
        <v>0</v>
      </c>
      <c r="W17" s="136" t="s">
        <v>389</v>
      </c>
      <c r="X17" s="137" t="s">
        <v>391</v>
      </c>
      <c r="Y17" s="137" t="s">
        <v>392</v>
      </c>
      <c r="Z17" s="137" t="s">
        <v>440</v>
      </c>
      <c r="AA17" s="137" t="s">
        <v>288</v>
      </c>
      <c r="AB17" s="140" t="s">
        <v>295</v>
      </c>
      <c r="AC17" s="310"/>
      <c r="AD17" s="262"/>
      <c r="AE17" s="310"/>
    </row>
    <row r="18" spans="1:31">
      <c r="A18" s="192" t="s">
        <v>243</v>
      </c>
      <c r="D18" s="140"/>
      <c r="E18" s="262"/>
      <c r="F18" s="140"/>
      <c r="G18" s="140"/>
      <c r="H18" s="140"/>
      <c r="I18" s="140"/>
      <c r="J18" s="140"/>
      <c r="K18" s="140"/>
      <c r="L18" s="263">
        <f>K25/200+K26-K19</f>
        <v>0</v>
      </c>
      <c r="M18" s="325"/>
      <c r="N18" s="322"/>
      <c r="P18" s="309"/>
      <c r="Q18" s="263"/>
      <c r="W18" s="331" t="s">
        <v>243</v>
      </c>
      <c r="Y18" s="137"/>
      <c r="Z18" s="137"/>
      <c r="AA18" s="137"/>
      <c r="AB18" s="29"/>
      <c r="AC18" s="137"/>
      <c r="AE18" s="137"/>
    </row>
    <row r="19" spans="1:31">
      <c r="A19" s="207" t="str">
        <f>"First "&amp;TEXT('Rate Design'!M6,"#,##0")&amp;" therms"</f>
        <v>First 200 therms</v>
      </c>
      <c r="D19" s="140">
        <f>'Rate Design'!M11/100</f>
        <v>0.65290000000000004</v>
      </c>
      <c r="E19" s="157">
        <f>F19-D19</f>
        <v>0.75867000000000018</v>
      </c>
      <c r="F19" s="140">
        <f>'Rate Design'!M21/100</f>
        <v>1.4115700000000002</v>
      </c>
      <c r="G19" s="156">
        <f>K19-D19</f>
        <v>0</v>
      </c>
      <c r="H19" s="156" t="e">
        <f>#REF!</f>
        <v>#REF!</v>
      </c>
      <c r="I19" s="156" t="e">
        <f>-G19-H19</f>
        <v>#REF!</v>
      </c>
      <c r="J19" s="140" t="e">
        <f>F19+G19+I19+H19</f>
        <v>#REF!</v>
      </c>
      <c r="K19" s="140">
        <f>'Rate Design'!M33/100</f>
        <v>0.65290000000000004</v>
      </c>
      <c r="L19" s="261">
        <f>K19/D19-1</f>
        <v>0</v>
      </c>
      <c r="M19" s="325">
        <f>D19+G19-K19</f>
        <v>0</v>
      </c>
      <c r="N19" s="325" t="e">
        <f>F19+G19+I19-J19+H19</f>
        <v>#REF!</v>
      </c>
      <c r="O19" s="309"/>
      <c r="P19" s="309"/>
      <c r="Q19" s="261"/>
      <c r="R19" s="310">
        <f>D19*200</f>
        <v>130.58000000000001</v>
      </c>
      <c r="S19" s="310">
        <f>K19*200</f>
        <v>130.58000000000001</v>
      </c>
      <c r="T19" s="264"/>
      <c r="U19" s="264"/>
      <c r="V19" s="264"/>
      <c r="W19" s="334" t="str">
        <f>"First "&amp;TEXT('Rate Design'!AG6,"#,##0")&amp;" therms"</f>
        <v>First 0 therms</v>
      </c>
      <c r="X19" s="355">
        <v>-7.9969999999999999E-2</v>
      </c>
      <c r="Y19" s="355">
        <v>0</v>
      </c>
      <c r="Z19" s="355">
        <v>6.9100000000000003E-3</v>
      </c>
      <c r="AA19" s="262">
        <f>X19-Y19+Z19</f>
        <v>-7.306E-2</v>
      </c>
      <c r="AB19" s="140" t="e">
        <f>J19-AA19</f>
        <v>#REF!</v>
      </c>
    </row>
    <row r="20" spans="1:31">
      <c r="A20" s="207" t="str">
        <f>TEXT('Rate Design'!M6,"#,##0")&amp;" - "&amp;TEXT('Rate Design'!M7,"#,##0")&amp;" therms"</f>
        <v>200 - 1,000 therms</v>
      </c>
      <c r="D20" s="140">
        <f>'Rate Design'!E7/100</f>
        <v>0.38764000000000004</v>
      </c>
      <c r="E20" s="157">
        <f>F20-D20</f>
        <v>0.75867000000000018</v>
      </c>
      <c r="F20" s="140">
        <f>'Rate Design'!E17/100</f>
        <v>1.1463100000000002</v>
      </c>
      <c r="G20" s="156">
        <f>K20-D20</f>
        <v>0</v>
      </c>
      <c r="H20" s="156" t="e">
        <f>H19</f>
        <v>#REF!</v>
      </c>
      <c r="I20" s="156" t="e">
        <f t="shared" ref="I20:I23" si="0">-G20-H20</f>
        <v>#REF!</v>
      </c>
      <c r="J20" s="140" t="e">
        <f t="shared" ref="J20:J23" si="1">F20+G20+I20+H20</f>
        <v>#REF!</v>
      </c>
      <c r="K20" s="140">
        <f>'Rate Design'!E29/100</f>
        <v>0.38764000000000004</v>
      </c>
      <c r="L20" s="261">
        <f>K20/D20-1</f>
        <v>0</v>
      </c>
      <c r="M20" s="325">
        <f>D20+G20-K20</f>
        <v>0</v>
      </c>
      <c r="N20" s="325" t="e">
        <f t="shared" ref="N20:N23" si="2">F20+G20+I20-J20+H20</f>
        <v>#REF!</v>
      </c>
      <c r="O20" s="309">
        <f>G20*'Pres &amp; Prop Rev'!E32</f>
        <v>0</v>
      </c>
      <c r="P20" s="309"/>
      <c r="Q20" s="261"/>
      <c r="W20" s="334" t="str">
        <f>TEXT('Rate Design'!AG6,"#,##0")&amp;" - "&amp;TEXT('Rate Design'!AG7,"#,##0")&amp;" therms"</f>
        <v>0 - 0 therms</v>
      </c>
      <c r="X20" s="262">
        <f>X19</f>
        <v>-7.9969999999999999E-2</v>
      </c>
      <c r="Y20" s="262">
        <f>Y19</f>
        <v>0</v>
      </c>
      <c r="Z20" s="262">
        <f>Z19</f>
        <v>6.9100000000000003E-3</v>
      </c>
      <c r="AA20" s="262">
        <f t="shared" ref="AA20:AA21" si="3">X20-Y20+Z20</f>
        <v>-7.306E-2</v>
      </c>
      <c r="AB20" s="140" t="e">
        <f t="shared" ref="AB20:AB26" si="4">J20-AA20</f>
        <v>#REF!</v>
      </c>
    </row>
    <row r="21" spans="1:31">
      <c r="A21" s="368" t="str">
        <f>TEXT('Rate Design'!N7,"#,##0")&amp;" - "&amp;TEXT('Rate Design'!N8,"#,##0")&amp;" therms"</f>
        <v>1,000 - 10,000 therms</v>
      </c>
      <c r="B21" s="196"/>
      <c r="C21" s="196"/>
      <c r="D21" s="140">
        <f>'Rate Design'!E8/100</f>
        <v>0.29547000000000001</v>
      </c>
      <c r="E21" s="157">
        <f>F21-D21</f>
        <v>0.75867000000000007</v>
      </c>
      <c r="F21" s="140">
        <f>'Rate Design'!E18/100</f>
        <v>1.0541400000000001</v>
      </c>
      <c r="G21" s="156">
        <f>K21-D21</f>
        <v>0</v>
      </c>
      <c r="H21" s="156" t="e">
        <f>H19</f>
        <v>#REF!</v>
      </c>
      <c r="I21" s="156" t="e">
        <f t="shared" si="0"/>
        <v>#REF!</v>
      </c>
      <c r="J21" s="140" t="e">
        <f t="shared" si="1"/>
        <v>#REF!</v>
      </c>
      <c r="K21" s="140">
        <f>'Rate Design'!E30/100</f>
        <v>0.29547000000000001</v>
      </c>
      <c r="L21" s="261">
        <f>K21/D21-1</f>
        <v>0</v>
      </c>
      <c r="M21" s="325">
        <f>D21+G21-K21</f>
        <v>0</v>
      </c>
      <c r="N21" s="325" t="e">
        <f t="shared" si="2"/>
        <v>#REF!</v>
      </c>
      <c r="O21" s="309">
        <f>G21*'Pres &amp; Prop Rev'!E33</f>
        <v>0</v>
      </c>
      <c r="P21" s="309"/>
      <c r="Q21" s="261"/>
      <c r="W21" s="334" t="str">
        <f>"All over "&amp;TEXT('Rate Design'!AG7,"#,##0")&amp;" therms"</f>
        <v>All over 0 therms</v>
      </c>
      <c r="X21" s="262">
        <f>X19</f>
        <v>-7.9969999999999999E-2</v>
      </c>
      <c r="Y21" s="262">
        <f>Y19</f>
        <v>0</v>
      </c>
      <c r="Z21" s="262">
        <f>Z19</f>
        <v>6.9100000000000003E-3</v>
      </c>
      <c r="AA21" s="262">
        <f t="shared" si="3"/>
        <v>-7.306E-2</v>
      </c>
      <c r="AB21" s="140" t="e">
        <f t="shared" si="4"/>
        <v>#REF!</v>
      </c>
    </row>
    <row r="22" spans="1:31" s="331" customFormat="1">
      <c r="A22" s="368" t="str">
        <f>TEXT('Rate Design'!N8,"#,##0")&amp;" - "&amp;TEXT('Rate Design'!N9,"#,##0")&amp;" therms"</f>
        <v>10,000 - 25,000 therms</v>
      </c>
      <c r="B22" s="196"/>
      <c r="C22" s="196"/>
      <c r="D22" s="140">
        <f>'Rate Design'!E9/100</f>
        <v>0.25211</v>
      </c>
      <c r="E22" s="157">
        <f t="shared" ref="E22:E23" si="5">F22-D22</f>
        <v>0.75867000000000018</v>
      </c>
      <c r="F22" s="140">
        <f>'Rate Design'!E19/100</f>
        <v>1.0107800000000002</v>
      </c>
      <c r="G22" s="156">
        <f>K22-D22</f>
        <v>0</v>
      </c>
      <c r="H22" s="156" t="e">
        <f>H19</f>
        <v>#REF!</v>
      </c>
      <c r="I22" s="156" t="e">
        <f t="shared" si="0"/>
        <v>#REF!</v>
      </c>
      <c r="J22" s="140" t="e">
        <f t="shared" si="1"/>
        <v>#REF!</v>
      </c>
      <c r="K22" s="140">
        <f>'Rate Design'!E31/100</f>
        <v>0.25211</v>
      </c>
      <c r="L22" s="261">
        <f>K22/D22-1</f>
        <v>0</v>
      </c>
      <c r="M22" s="325">
        <f>D22+G22-K22</f>
        <v>0</v>
      </c>
      <c r="N22" s="325" t="e">
        <f t="shared" si="2"/>
        <v>#REF!</v>
      </c>
      <c r="O22" s="340">
        <f>G22*'Pres &amp; Prop Rev'!E34</f>
        <v>0</v>
      </c>
      <c r="P22" s="340"/>
      <c r="Q22" s="261"/>
      <c r="W22" s="334"/>
      <c r="X22" s="262"/>
      <c r="Y22" s="262"/>
      <c r="Z22" s="262"/>
      <c r="AA22" s="262"/>
      <c r="AB22" s="140"/>
    </row>
    <row r="23" spans="1:31" s="331" customFormat="1">
      <c r="A23" s="334" t="str">
        <f>"All over "&amp;TEXT('Rate Design'!N9,"#,##0")&amp;" therms"</f>
        <v>All over 25,000 therms</v>
      </c>
      <c r="B23" s="196"/>
      <c r="C23" s="196"/>
      <c r="D23" s="140">
        <f>'Rate Design'!E10/100</f>
        <v>0.17685999999999999</v>
      </c>
      <c r="E23" s="157">
        <f t="shared" si="5"/>
        <v>0.75867000000000007</v>
      </c>
      <c r="F23" s="140">
        <f>'Rate Design'!E20/100</f>
        <v>0.93553000000000008</v>
      </c>
      <c r="G23" s="156">
        <f>K23-D23</f>
        <v>0</v>
      </c>
      <c r="H23" s="156" t="e">
        <f>H19</f>
        <v>#REF!</v>
      </c>
      <c r="I23" s="156" t="e">
        <f t="shared" si="0"/>
        <v>#REF!</v>
      </c>
      <c r="J23" s="140" t="e">
        <f t="shared" si="1"/>
        <v>#REF!</v>
      </c>
      <c r="K23" s="140">
        <f>'Rate Design'!E32/100</f>
        <v>0.17685999999999999</v>
      </c>
      <c r="L23" s="261">
        <f>K23/D23-1</f>
        <v>0</v>
      </c>
      <c r="M23" s="325">
        <f>D23+G23-K23</f>
        <v>0</v>
      </c>
      <c r="N23" s="325" t="e">
        <f t="shared" si="2"/>
        <v>#REF!</v>
      </c>
      <c r="O23" s="340">
        <f>G23*'Pres &amp; Prop Rev'!E35</f>
        <v>0</v>
      </c>
      <c r="P23" s="340"/>
      <c r="Q23" s="261"/>
      <c r="W23" s="334"/>
      <c r="X23" s="262"/>
      <c r="Y23" s="262"/>
      <c r="Z23" s="262"/>
      <c r="AA23" s="262"/>
      <c r="AB23" s="140"/>
    </row>
    <row r="24" spans="1:31">
      <c r="A24" s="192" t="s">
        <v>246</v>
      </c>
      <c r="D24" s="29"/>
      <c r="F24" s="29"/>
      <c r="M24" s="325"/>
      <c r="N24" s="325"/>
      <c r="O24" s="309"/>
      <c r="P24" s="309"/>
      <c r="W24" s="331" t="s">
        <v>246</v>
      </c>
      <c r="AA24" s="262"/>
      <c r="AB24" s="140"/>
      <c r="AC24" s="260"/>
      <c r="AD24" s="260"/>
    </row>
    <row r="25" spans="1:31">
      <c r="A25" s="207" t="s">
        <v>247</v>
      </c>
      <c r="D25" s="139">
        <f>'Rate Design'!E5</f>
        <v>130.58000000000001</v>
      </c>
      <c r="E25" s="138">
        <f>F25-D25</f>
        <v>0</v>
      </c>
      <c r="F25" s="139">
        <f>'Rate Design'!E15</f>
        <v>130.58000000000001</v>
      </c>
      <c r="G25" s="139">
        <f>IF(ROUND(J25-F25,5)&lt;&gt;ROUND(K25-D25,5),#VALUE!,K25-D25)</f>
        <v>0</v>
      </c>
      <c r="H25" s="139"/>
      <c r="I25" s="139"/>
      <c r="J25" s="139">
        <f>'Rate Design'!E37</f>
        <v>130.58000000000001</v>
      </c>
      <c r="K25" s="139">
        <f>'Rate Design'!E27</f>
        <v>130.58000000000001</v>
      </c>
      <c r="L25" s="261">
        <f>K25/D25-1</f>
        <v>0</v>
      </c>
      <c r="M25" s="325">
        <f>D25+G25-K25</f>
        <v>0</v>
      </c>
      <c r="N25" s="325">
        <f>F25+G25-J25</f>
        <v>0</v>
      </c>
      <c r="O25" s="309">
        <f>G25*'Pres &amp; Prop Rev'!E49</f>
        <v>0</v>
      </c>
      <c r="P25" s="309"/>
      <c r="Q25" s="261"/>
      <c r="R25" s="310"/>
      <c r="S25" s="310"/>
      <c r="W25" s="334" t="s">
        <v>247</v>
      </c>
      <c r="AA25" s="262"/>
      <c r="AB25" s="140"/>
      <c r="AC25" s="337"/>
      <c r="AD25" s="260"/>
    </row>
    <row r="26" spans="1:31">
      <c r="A26" s="207" t="s">
        <v>248</v>
      </c>
      <c r="D26" s="140">
        <f>'Rate Design'!E6/100</f>
        <v>0</v>
      </c>
      <c r="E26" s="157">
        <f>F26-D26</f>
        <v>0.75867000000000007</v>
      </c>
      <c r="F26" s="140">
        <f>'Rate Design'!E16/100</f>
        <v>0.75867000000000007</v>
      </c>
      <c r="G26" s="156">
        <f>K26-D26</f>
        <v>0</v>
      </c>
      <c r="H26" s="156"/>
      <c r="I26" s="156"/>
      <c r="J26" s="140" t="e">
        <f>E26+I19+H19</f>
        <v>#REF!</v>
      </c>
      <c r="K26" s="140">
        <f>'Rate Design'!E28/100</f>
        <v>0</v>
      </c>
      <c r="L26" s="261"/>
      <c r="M26" s="325">
        <f>D26+G26-K26</f>
        <v>0</v>
      </c>
      <c r="N26" s="325" t="e">
        <f>F26+G26-J26</f>
        <v>#REF!</v>
      </c>
      <c r="O26" s="323">
        <f>G26*'Pres &amp; Prop Rev'!E31</f>
        <v>0</v>
      </c>
      <c r="P26" s="309"/>
      <c r="Q26" s="261"/>
      <c r="R26" s="264"/>
      <c r="S26" s="264"/>
      <c r="T26" s="264"/>
      <c r="U26" s="264"/>
      <c r="V26" s="264"/>
      <c r="W26" s="334" t="s">
        <v>248</v>
      </c>
      <c r="X26" s="262">
        <f>X19</f>
        <v>-7.9969999999999999E-2</v>
      </c>
      <c r="Y26" s="262">
        <f>Y19</f>
        <v>0</v>
      </c>
      <c r="Z26" s="262">
        <f>Z19</f>
        <v>6.9100000000000003E-3</v>
      </c>
      <c r="AA26" s="262">
        <f>X26-Y26+Z26</f>
        <v>-7.306E-2</v>
      </c>
      <c r="AB26" s="140" t="e">
        <f t="shared" si="4"/>
        <v>#REF!</v>
      </c>
      <c r="AC26" s="338"/>
      <c r="AD26" s="260"/>
    </row>
    <row r="27" spans="1:31">
      <c r="D27" s="29"/>
      <c r="M27" s="325"/>
      <c r="N27" s="322"/>
      <c r="O27" s="309">
        <f>SUM(O19:O26)</f>
        <v>0</v>
      </c>
      <c r="P27" s="252">
        <f ca="1">-('Pres &amp; Prop Rev'!E190-'Pres &amp; Prop Rev'!E142-'Pres &amp; Prop Rev'!F142)</f>
        <v>0</v>
      </c>
      <c r="R27" s="264"/>
      <c r="S27" s="264"/>
      <c r="T27" s="264"/>
      <c r="U27" s="264"/>
      <c r="V27" s="264"/>
      <c r="X27" s="137"/>
      <c r="Y27" s="137"/>
      <c r="Z27" s="137"/>
      <c r="AA27" s="137"/>
      <c r="AB27" s="140" t="s">
        <v>296</v>
      </c>
      <c r="AC27" s="337"/>
      <c r="AD27" s="260"/>
    </row>
    <row r="28" spans="1:31" hidden="1">
      <c r="A28" s="136" t="s">
        <v>475</v>
      </c>
      <c r="D28" s="29"/>
      <c r="M28" s="325"/>
      <c r="N28" s="322"/>
      <c r="O28" s="309"/>
      <c r="P28" s="309"/>
      <c r="W28" s="136" t="s">
        <v>250</v>
      </c>
      <c r="X28" s="137" t="s">
        <v>61</v>
      </c>
      <c r="Y28" s="137" t="s">
        <v>401</v>
      </c>
      <c r="Z28" s="137" t="s">
        <v>440</v>
      </c>
      <c r="AA28" s="137" t="s">
        <v>288</v>
      </c>
      <c r="AB28" s="140" t="s">
        <v>295</v>
      </c>
      <c r="AC28" s="260"/>
      <c r="AD28" s="260"/>
    </row>
    <row r="29" spans="1:31" hidden="1">
      <c r="A29" s="192" t="s">
        <v>243</v>
      </c>
      <c r="D29" s="140"/>
      <c r="E29" s="262"/>
      <c r="F29" s="262"/>
      <c r="G29" s="140"/>
      <c r="H29" s="140"/>
      <c r="I29" s="140"/>
      <c r="J29" s="140"/>
      <c r="K29" s="140"/>
      <c r="L29" s="265">
        <f>K36/500+K37-K30</f>
        <v>0</v>
      </c>
      <c r="M29" s="325"/>
      <c r="N29" s="325"/>
      <c r="O29" s="309"/>
      <c r="P29" s="309"/>
      <c r="Q29" s="265"/>
      <c r="W29" s="331" t="s">
        <v>243</v>
      </c>
      <c r="X29" s="331"/>
      <c r="Y29" s="137"/>
      <c r="Z29" s="137"/>
      <c r="AA29" s="137"/>
      <c r="AB29" s="29"/>
      <c r="AC29" s="260"/>
      <c r="AD29" s="260"/>
    </row>
    <row r="30" spans="1:31" hidden="1">
      <c r="A30" s="207" t="str">
        <f>"First "&amp;TEXT('Rate Design'!N6,"#,##0")&amp;" therms"</f>
        <v>First 500 therms</v>
      </c>
      <c r="D30" s="140">
        <f>'Rate Design'!N11/100</f>
        <v>0</v>
      </c>
      <c r="E30" s="157">
        <f>F30-D30</f>
        <v>0</v>
      </c>
      <c r="F30" s="140">
        <f>'Rate Design'!N21/100</f>
        <v>0</v>
      </c>
      <c r="G30" s="156">
        <v>0</v>
      </c>
      <c r="H30" s="156"/>
      <c r="I30" s="156"/>
      <c r="J30" s="140" t="s">
        <v>476</v>
      </c>
      <c r="K30" s="140"/>
      <c r="L30" s="261" t="e">
        <f>K30/D30-1</f>
        <v>#DIV/0!</v>
      </c>
      <c r="M30" s="325">
        <f>D30+G30-K30</f>
        <v>0</v>
      </c>
      <c r="N30" s="325">
        <f>F30+G30</f>
        <v>0</v>
      </c>
      <c r="O30" s="309"/>
      <c r="P30" s="309"/>
      <c r="Q30" s="261"/>
      <c r="R30" s="264">
        <f>D30*500</f>
        <v>0</v>
      </c>
      <c r="S30" s="264">
        <f>K30*500</f>
        <v>0</v>
      </c>
      <c r="T30" s="264"/>
      <c r="U30" s="264"/>
      <c r="V30" s="264"/>
      <c r="W30" s="334" t="s">
        <v>393</v>
      </c>
      <c r="X30" s="355">
        <v>-5.0130000000000001E-2</v>
      </c>
      <c r="Y30" s="355">
        <v>0</v>
      </c>
      <c r="Z30" s="355">
        <v>6.9100000000000003E-3</v>
      </c>
      <c r="AA30" s="262">
        <f>X30-Y30+Z30</f>
        <v>-4.3220000000000001E-2</v>
      </c>
      <c r="AB30" s="140" t="e">
        <f>J30-AA30</f>
        <v>#VALUE!</v>
      </c>
      <c r="AC30" s="260"/>
      <c r="AD30" s="260"/>
    </row>
    <row r="31" spans="1:31" hidden="1">
      <c r="A31" s="207" t="str">
        <f>TEXT('Rate Design'!N6,"#,##0")&amp;" - "&amp;TEXT('Rate Design'!N7,"#,##0")&amp;" therms"</f>
        <v>500 - 1,000 therms</v>
      </c>
      <c r="D31" s="140">
        <f>'Rate Design'!F7/100</f>
        <v>0</v>
      </c>
      <c r="E31" s="157">
        <f>F31-D31</f>
        <v>0</v>
      </c>
      <c r="F31" s="140">
        <f>'Rate Design'!F17/100</f>
        <v>0</v>
      </c>
      <c r="G31" s="156"/>
      <c r="H31" s="156"/>
      <c r="I31" s="156"/>
      <c r="J31" s="140"/>
      <c r="K31" s="140"/>
      <c r="L31" s="261" t="e">
        <f>K31/D31-1</f>
        <v>#DIV/0!</v>
      </c>
      <c r="M31" s="325">
        <f>D31+G31-K31</f>
        <v>0</v>
      </c>
      <c r="N31" s="325">
        <f>F31+G31-J31</f>
        <v>0</v>
      </c>
      <c r="O31" s="309" t="e">
        <f>G31*'Pres &amp; Prop Rev'!F32</f>
        <v>#VALUE!</v>
      </c>
      <c r="P31" s="309"/>
      <c r="Q31" s="261"/>
      <c r="W31" s="334" t="s">
        <v>394</v>
      </c>
      <c r="X31" s="262">
        <f>X30</f>
        <v>-5.0130000000000001E-2</v>
      </c>
      <c r="Y31" s="262">
        <f>Y30</f>
        <v>0</v>
      </c>
      <c r="Z31" s="262">
        <f>Z30</f>
        <v>6.9100000000000003E-3</v>
      </c>
      <c r="AA31" s="262">
        <f t="shared" ref="AA31:AA34" si="6">X31-Y31+Z31</f>
        <v>-4.3220000000000001E-2</v>
      </c>
      <c r="AB31" s="140">
        <f t="shared" ref="AB31:AB34" si="7">J31-AA31</f>
        <v>4.3220000000000001E-2</v>
      </c>
    </row>
    <row r="32" spans="1:31" hidden="1">
      <c r="A32" s="207" t="str">
        <f>TEXT('Rate Design'!N7,"#,##0")&amp;" - "&amp;TEXT('Rate Design'!N8,"#,##0")&amp;" therms"</f>
        <v>1,000 - 10,000 therms</v>
      </c>
      <c r="D32" s="140">
        <f>'Rate Design'!F8/100</f>
        <v>0</v>
      </c>
      <c r="E32" s="157">
        <f>F32-D32</f>
        <v>0</v>
      </c>
      <c r="F32" s="140">
        <f>'Rate Design'!F18/100</f>
        <v>0</v>
      </c>
      <c r="G32" s="156"/>
      <c r="H32" s="156"/>
      <c r="I32" s="156"/>
      <c r="J32" s="140"/>
      <c r="K32" s="140"/>
      <c r="L32" s="261" t="e">
        <f>K32/D32-1</f>
        <v>#DIV/0!</v>
      </c>
      <c r="M32" s="325">
        <f>D32+G32-K32</f>
        <v>0</v>
      </c>
      <c r="N32" s="325">
        <f>F32+G32-J32</f>
        <v>0</v>
      </c>
      <c r="O32" s="309">
        <f>G32*'Pres &amp; Prop Rev'!F33</f>
        <v>0</v>
      </c>
      <c r="P32" s="309"/>
      <c r="Q32" s="261"/>
      <c r="W32" s="334" t="s">
        <v>395</v>
      </c>
      <c r="X32" s="262">
        <f>X30</f>
        <v>-5.0130000000000001E-2</v>
      </c>
      <c r="Y32" s="262">
        <f>Y30</f>
        <v>0</v>
      </c>
      <c r="Z32" s="262">
        <f>Z30</f>
        <v>6.9100000000000003E-3</v>
      </c>
      <c r="AA32" s="262">
        <f t="shared" si="6"/>
        <v>-4.3220000000000001E-2</v>
      </c>
      <c r="AB32" s="140">
        <f t="shared" si="7"/>
        <v>4.3220000000000001E-2</v>
      </c>
    </row>
    <row r="33" spans="1:28" hidden="1">
      <c r="A33" s="207" t="str">
        <f>TEXT('Rate Design'!N8,"#,##0")&amp;" - "&amp;TEXT('Rate Design'!N9,"#,##0")&amp;" therms"</f>
        <v>10,000 - 25,000 therms</v>
      </c>
      <c r="D33" s="140">
        <f>'Rate Design'!F9/100</f>
        <v>0</v>
      </c>
      <c r="E33" s="157">
        <f>F33-D33</f>
        <v>0</v>
      </c>
      <c r="F33" s="140">
        <f>'Rate Design'!F19/100</f>
        <v>0</v>
      </c>
      <c r="G33" s="156"/>
      <c r="H33" s="156"/>
      <c r="I33" s="156"/>
      <c r="J33" s="140"/>
      <c r="K33" s="140"/>
      <c r="L33" s="261" t="e">
        <f>K33/D33-1</f>
        <v>#DIV/0!</v>
      </c>
      <c r="M33" s="325">
        <f>D33+G33-K33</f>
        <v>0</v>
      </c>
      <c r="N33" s="325">
        <f>F33+G33-J33</f>
        <v>0</v>
      </c>
      <c r="O33" s="309">
        <f>G33*'Pres &amp; Prop Rev'!F34</f>
        <v>0</v>
      </c>
      <c r="P33" s="309"/>
      <c r="Q33" s="261"/>
      <c r="W33" s="334" t="s">
        <v>396</v>
      </c>
      <c r="X33" s="262">
        <f>X30</f>
        <v>-5.0130000000000001E-2</v>
      </c>
      <c r="Y33" s="262">
        <f>Y30</f>
        <v>0</v>
      </c>
      <c r="Z33" s="262">
        <f>Z30</f>
        <v>6.9100000000000003E-3</v>
      </c>
      <c r="AA33" s="262">
        <f t="shared" si="6"/>
        <v>-4.3220000000000001E-2</v>
      </c>
      <c r="AB33" s="140">
        <f t="shared" si="7"/>
        <v>4.3220000000000001E-2</v>
      </c>
    </row>
    <row r="34" spans="1:28" hidden="1">
      <c r="A34" s="207" t="str">
        <f>"All over "&amp;TEXT('Rate Design'!N9,"#,##0")&amp;" therms"</f>
        <v>All over 25,000 therms</v>
      </c>
      <c r="D34" s="140">
        <f>'Rate Design'!F10/100</f>
        <v>0</v>
      </c>
      <c r="E34" s="157">
        <f>F34-D34</f>
        <v>0</v>
      </c>
      <c r="F34" s="140">
        <f>'Rate Design'!F20/100</f>
        <v>0</v>
      </c>
      <c r="G34" s="156"/>
      <c r="H34" s="156"/>
      <c r="I34" s="156"/>
      <c r="J34" s="140"/>
      <c r="K34" s="140"/>
      <c r="L34" s="261" t="e">
        <f>K34/D34-1</f>
        <v>#DIV/0!</v>
      </c>
      <c r="M34" s="325">
        <f>D34+G34-K34</f>
        <v>0</v>
      </c>
      <c r="N34" s="325">
        <f>F34+G34-J34</f>
        <v>0</v>
      </c>
      <c r="O34" s="309">
        <f>G34*'Pres &amp; Prop Rev'!F35</f>
        <v>0</v>
      </c>
      <c r="P34" s="309"/>
      <c r="Q34" s="261"/>
      <c r="W34" s="334" t="s">
        <v>397</v>
      </c>
      <c r="X34" s="262">
        <f>X30</f>
        <v>-5.0130000000000001E-2</v>
      </c>
      <c r="Y34" s="262">
        <f>Y30</f>
        <v>0</v>
      </c>
      <c r="Z34" s="262">
        <f>Z30</f>
        <v>6.9100000000000003E-3</v>
      </c>
      <c r="AA34" s="262">
        <f t="shared" si="6"/>
        <v>-4.3220000000000001E-2</v>
      </c>
      <c r="AB34" s="140">
        <f t="shared" si="7"/>
        <v>4.3220000000000001E-2</v>
      </c>
    </row>
    <row r="35" spans="1:28" hidden="1">
      <c r="A35" s="192" t="s">
        <v>246</v>
      </c>
      <c r="D35" s="29"/>
      <c r="F35" s="29"/>
      <c r="M35" s="325"/>
      <c r="N35" s="325"/>
      <c r="O35" s="309"/>
      <c r="P35" s="309"/>
      <c r="W35" s="331" t="s">
        <v>246</v>
      </c>
    </row>
    <row r="36" spans="1:28" hidden="1">
      <c r="A36" s="207" t="s">
        <v>247</v>
      </c>
      <c r="D36" s="139">
        <f>'Rate Design'!F5</f>
        <v>0</v>
      </c>
      <c r="E36" s="138">
        <f>F36-D36</f>
        <v>0</v>
      </c>
      <c r="F36" s="139">
        <f>'Rate Design'!F15</f>
        <v>0</v>
      </c>
      <c r="G36" s="139"/>
      <c r="H36" s="139"/>
      <c r="I36" s="139"/>
      <c r="J36" s="139"/>
      <c r="K36" s="139"/>
      <c r="L36" s="261" t="e">
        <f>K36/D36-1</f>
        <v>#DIV/0!</v>
      </c>
      <c r="M36" s="325"/>
      <c r="N36" s="325"/>
      <c r="O36" s="309">
        <f>G36*'Pres &amp; Prop Rev'!F49</f>
        <v>0</v>
      </c>
      <c r="P36" s="309"/>
      <c r="Q36" s="261"/>
      <c r="W36" s="334" t="s">
        <v>247</v>
      </c>
      <c r="AB36" s="310"/>
    </row>
    <row r="37" spans="1:28" hidden="1">
      <c r="A37" s="207" t="s">
        <v>248</v>
      </c>
      <c r="D37" s="140">
        <f>'Rate Design'!F6/100</f>
        <v>0</v>
      </c>
      <c r="E37" s="157">
        <f>F37-D37</f>
        <v>0</v>
      </c>
      <c r="F37" s="140">
        <f>'Rate Design'!F16/100</f>
        <v>0</v>
      </c>
      <c r="G37" s="156"/>
      <c r="H37" s="156"/>
      <c r="I37" s="156"/>
      <c r="J37" s="140"/>
      <c r="K37" s="140"/>
      <c r="L37" s="261" t="e">
        <f>K37/D37-1</f>
        <v>#DIV/0!</v>
      </c>
      <c r="M37" s="325">
        <f>D37+G37-K37</f>
        <v>0</v>
      </c>
      <c r="N37" s="325">
        <f>F37+G37-J37</f>
        <v>0</v>
      </c>
      <c r="O37" s="323" t="e">
        <f>G37*'Pres &amp; Prop Rev'!F31</f>
        <v>#VALUE!</v>
      </c>
      <c r="P37" s="309"/>
      <c r="Q37" s="261"/>
      <c r="R37" s="264"/>
      <c r="S37" s="264"/>
      <c r="T37" s="264"/>
      <c r="U37" s="264"/>
      <c r="V37" s="264"/>
      <c r="W37" s="334" t="s">
        <v>248</v>
      </c>
      <c r="X37" s="262">
        <f>X30</f>
        <v>-5.0130000000000001E-2</v>
      </c>
      <c r="Y37" s="262">
        <f>Y30</f>
        <v>0</v>
      </c>
      <c r="Z37" s="262">
        <f>Z30</f>
        <v>6.9100000000000003E-3</v>
      </c>
      <c r="AA37" s="262">
        <f>X37-Y37+Z37</f>
        <v>-4.3220000000000001E-2</v>
      </c>
      <c r="AB37" s="140">
        <f>J37-AA37</f>
        <v>4.3220000000000001E-2</v>
      </c>
    </row>
    <row r="38" spans="1:28" hidden="1">
      <c r="A38" s="207" t="s">
        <v>265</v>
      </c>
      <c r="D38" s="266" t="s">
        <v>266</v>
      </c>
      <c r="E38" s="270">
        <v>0</v>
      </c>
      <c r="F38" s="260"/>
      <c r="G38" s="267"/>
      <c r="H38" s="267"/>
      <c r="I38" s="267"/>
      <c r="J38" s="267"/>
      <c r="K38" s="270"/>
      <c r="L38" s="261" t="e">
        <f>K38/E38-1</f>
        <v>#DIV/0!</v>
      </c>
      <c r="M38" s="325"/>
      <c r="N38" s="322"/>
      <c r="O38" s="309" t="e">
        <f>SUM(O30:O37)</f>
        <v>#VALUE!</v>
      </c>
      <c r="P38" s="309" t="e">
        <f>O38-'Pres &amp; Prop Rev'!F195</f>
        <v>#VALUE!</v>
      </c>
      <c r="Q38" s="261"/>
      <c r="R38" s="264"/>
      <c r="S38" s="264"/>
      <c r="T38" s="264"/>
      <c r="U38" s="264"/>
      <c r="V38" s="264"/>
      <c r="W38" s="334" t="s">
        <v>265</v>
      </c>
    </row>
    <row r="39" spans="1:28" hidden="1">
      <c r="D39" s="268"/>
      <c r="E39" s="245"/>
      <c r="F39" s="268"/>
      <c r="G39" s="30"/>
      <c r="H39" s="332"/>
      <c r="I39" s="332"/>
      <c r="J39" s="31"/>
      <c r="K39" s="31"/>
      <c r="M39" s="325"/>
      <c r="N39" s="322"/>
      <c r="O39" s="309"/>
      <c r="P39" s="309"/>
      <c r="X39" s="137"/>
      <c r="Y39" s="137"/>
      <c r="Z39" s="137"/>
      <c r="AA39" s="137"/>
      <c r="AB39" s="140" t="s">
        <v>296</v>
      </c>
    </row>
    <row r="40" spans="1:28">
      <c r="A40" s="136" t="s">
        <v>307</v>
      </c>
      <c r="M40" s="325"/>
      <c r="N40" s="322"/>
      <c r="O40" s="309"/>
      <c r="P40" s="309"/>
      <c r="W40" s="192" t="s">
        <v>307</v>
      </c>
      <c r="X40" s="137" t="s">
        <v>62</v>
      </c>
      <c r="Y40" s="137" t="s">
        <v>402</v>
      </c>
      <c r="Z40" s="137" t="s">
        <v>440</v>
      </c>
      <c r="AA40" s="137" t="s">
        <v>288</v>
      </c>
      <c r="AB40" s="140" t="s">
        <v>295</v>
      </c>
    </row>
    <row r="41" spans="1:28">
      <c r="A41" s="192" t="s">
        <v>243</v>
      </c>
      <c r="D41" s="262"/>
      <c r="E41" s="262"/>
      <c r="F41" s="262"/>
      <c r="G41" s="140"/>
      <c r="H41" s="140"/>
      <c r="I41" s="140"/>
      <c r="J41" s="140"/>
      <c r="K41" s="140"/>
      <c r="M41" s="325"/>
      <c r="N41" s="322"/>
      <c r="O41" s="309"/>
      <c r="P41" s="309"/>
      <c r="W41" s="192" t="s">
        <v>243</v>
      </c>
      <c r="X41" s="331"/>
      <c r="Y41" s="137"/>
      <c r="Z41" s="137"/>
      <c r="AA41" s="137"/>
      <c r="AB41" s="29"/>
    </row>
    <row r="42" spans="1:28">
      <c r="A42" s="207" t="str">
        <f>"First "&amp;TEXT('Rate Design'!O6,"#,##0")&amp;" therms"</f>
        <v>First 10,000 therms</v>
      </c>
      <c r="D42" s="140">
        <f>'Rate Design'!G6/100</f>
        <v>0.30317</v>
      </c>
      <c r="E42" s="157">
        <f>F42-D42</f>
        <v>0.39650000000000002</v>
      </c>
      <c r="F42" s="140">
        <f>'Rate Design'!G16/100</f>
        <v>0.69967000000000001</v>
      </c>
      <c r="G42" s="156">
        <f>K42-D42</f>
        <v>0</v>
      </c>
      <c r="H42" s="156" t="e">
        <f>#REF!</f>
        <v>#REF!</v>
      </c>
      <c r="I42" s="156" t="e">
        <f>-G42-H42</f>
        <v>#REF!</v>
      </c>
      <c r="J42" s="140" t="e">
        <f>F42+G42+I42+H42</f>
        <v>#REF!</v>
      </c>
      <c r="K42" s="140">
        <f>'Rate Design'!G28/100</f>
        <v>0.30317</v>
      </c>
      <c r="L42" s="261">
        <f>K42/D42-1</f>
        <v>0</v>
      </c>
      <c r="M42" s="325">
        <f>D42+G42-K42</f>
        <v>0</v>
      </c>
      <c r="N42" s="325" t="e">
        <f>F42+G42+I42-J42+H42</f>
        <v>#REF!</v>
      </c>
      <c r="O42" s="309">
        <f>G42*'Pres &amp; Prop Rev'!G31</f>
        <v>0</v>
      </c>
      <c r="P42" s="309"/>
      <c r="Q42" s="261"/>
      <c r="W42" s="192" t="s">
        <v>398</v>
      </c>
      <c r="X42" s="355">
        <v>0</v>
      </c>
      <c r="Y42" s="355">
        <v>0</v>
      </c>
      <c r="Z42" s="355">
        <v>6.9100000000000003E-3</v>
      </c>
      <c r="AA42" s="262">
        <f>X42-Y42+Z42</f>
        <v>6.9100000000000003E-3</v>
      </c>
      <c r="AB42" s="140" t="e">
        <f>J42+AA42</f>
        <v>#REF!</v>
      </c>
    </row>
    <row r="43" spans="1:28">
      <c r="A43" s="207" t="str">
        <f>TEXT('Rate Design'!O6,"#,##0")&amp;" - "&amp;TEXT('Rate Design'!O7,"#,##0")&amp;" therms"</f>
        <v>10,000 - 25,000 therms</v>
      </c>
      <c r="D43" s="140">
        <f>'Rate Design'!G7/100</f>
        <v>0.24337</v>
      </c>
      <c r="E43" s="157">
        <f>F43-D43</f>
        <v>0.39649999999999996</v>
      </c>
      <c r="F43" s="140">
        <f>'Rate Design'!G17/100</f>
        <v>0.63986999999999994</v>
      </c>
      <c r="G43" s="156">
        <f>K43-D43</f>
        <v>0</v>
      </c>
      <c r="H43" s="156" t="e">
        <f>H42</f>
        <v>#REF!</v>
      </c>
      <c r="I43" s="156" t="e">
        <f t="shared" ref="I43:I45" si="8">-G43-H43</f>
        <v>#REF!</v>
      </c>
      <c r="J43" s="140" t="e">
        <f t="shared" ref="J43:J45" si="9">F43+G43+I43+H43</f>
        <v>#REF!</v>
      </c>
      <c r="K43" s="140">
        <f>'Rate Design'!G29/100</f>
        <v>0.24337</v>
      </c>
      <c r="L43" s="261">
        <f>K43/D43-1</f>
        <v>0</v>
      </c>
      <c r="M43" s="325">
        <f>D43+G43-K43</f>
        <v>0</v>
      </c>
      <c r="N43" s="325" t="e">
        <f t="shared" ref="N43:N45" si="10">F43+G43+I43-J43+H43</f>
        <v>#REF!</v>
      </c>
      <c r="O43" s="309">
        <f>G43*'Pres &amp; Prop Rev'!G32</f>
        <v>0</v>
      </c>
      <c r="P43" s="309"/>
      <c r="Q43" s="261"/>
      <c r="W43" s="192" t="s">
        <v>396</v>
      </c>
      <c r="X43" s="262">
        <f>X42</f>
        <v>0</v>
      </c>
      <c r="Y43" s="262">
        <f>Y42</f>
        <v>0</v>
      </c>
      <c r="Z43" s="262">
        <f>Z42</f>
        <v>6.9100000000000003E-3</v>
      </c>
      <c r="AA43" s="262">
        <f t="shared" ref="AA43:AA45" si="11">X43-Y43+Z43</f>
        <v>6.9100000000000003E-3</v>
      </c>
      <c r="AB43" s="140" t="e">
        <f t="shared" ref="AB43:AB45" si="12">J43+AA43</f>
        <v>#REF!</v>
      </c>
    </row>
    <row r="44" spans="1:28">
      <c r="A44" s="207" t="str">
        <f>TEXT('Rate Design'!O7,"#,##0")&amp;" - "&amp;TEXT('Rate Design'!O8,"#,##0")&amp;" therms"</f>
        <v>25,000 - 50,000 therms</v>
      </c>
      <c r="D44" s="140">
        <f>'Rate Design'!G8/100</f>
        <v>0.22869</v>
      </c>
      <c r="E44" s="157">
        <f>F44-D44</f>
        <v>0.39649999999999991</v>
      </c>
      <c r="F44" s="140">
        <f>'Rate Design'!G18/100</f>
        <v>0.62518999999999991</v>
      </c>
      <c r="G44" s="156">
        <f>K44-D44</f>
        <v>0</v>
      </c>
      <c r="H44" s="156" t="e">
        <f>H42</f>
        <v>#REF!</v>
      </c>
      <c r="I44" s="156" t="e">
        <f t="shared" si="8"/>
        <v>#REF!</v>
      </c>
      <c r="J44" s="140" t="e">
        <f t="shared" si="9"/>
        <v>#REF!</v>
      </c>
      <c r="K44" s="140">
        <f>'Rate Design'!G30/100</f>
        <v>0.22869</v>
      </c>
      <c r="L44" s="261">
        <f>K44/D44-1</f>
        <v>0</v>
      </c>
      <c r="M44" s="325">
        <f>D44+G44-K44</f>
        <v>0</v>
      </c>
      <c r="N44" s="325" t="e">
        <f t="shared" si="10"/>
        <v>#REF!</v>
      </c>
      <c r="O44" s="309">
        <f>G44*'Pres &amp; Prop Rev'!G33</f>
        <v>0</v>
      </c>
      <c r="P44" s="309"/>
      <c r="Q44" s="261"/>
      <c r="W44" s="192" t="s">
        <v>399</v>
      </c>
      <c r="X44" s="262">
        <f t="shared" ref="X44:Z45" si="13">X42</f>
        <v>0</v>
      </c>
      <c r="Y44" s="262">
        <f t="shared" si="13"/>
        <v>0</v>
      </c>
      <c r="Z44" s="262">
        <f t="shared" si="13"/>
        <v>6.9100000000000003E-3</v>
      </c>
      <c r="AA44" s="262">
        <f t="shared" si="11"/>
        <v>6.9100000000000003E-3</v>
      </c>
      <c r="AB44" s="140" t="e">
        <f t="shared" si="12"/>
        <v>#REF!</v>
      </c>
    </row>
    <row r="45" spans="1:28">
      <c r="A45" s="207" t="str">
        <f>"All over "&amp;TEXT('Rate Design'!O8,"#,##0")&amp;" therms"</f>
        <v>All over 50,000 therms</v>
      </c>
      <c r="D45" s="140">
        <f>'Rate Design'!G9/100</f>
        <v>0.20433000000000001</v>
      </c>
      <c r="E45" s="157">
        <f>F45-D45</f>
        <v>0.39649999999999985</v>
      </c>
      <c r="F45" s="140">
        <f>'Rate Design'!G19/100</f>
        <v>0.60082999999999986</v>
      </c>
      <c r="G45" s="156">
        <f>K45-D45</f>
        <v>0</v>
      </c>
      <c r="H45" s="156" t="e">
        <f>H42</f>
        <v>#REF!</v>
      </c>
      <c r="I45" s="156" t="e">
        <f t="shared" si="8"/>
        <v>#REF!</v>
      </c>
      <c r="J45" s="140" t="e">
        <f t="shared" si="9"/>
        <v>#REF!</v>
      </c>
      <c r="K45" s="140">
        <f>'Rate Design'!G31/100</f>
        <v>0.20433000000000001</v>
      </c>
      <c r="L45" s="261">
        <f>K45/D45-1</f>
        <v>0</v>
      </c>
      <c r="M45" s="325">
        <f>D45+G45-K45</f>
        <v>0</v>
      </c>
      <c r="N45" s="325" t="e">
        <f t="shared" si="10"/>
        <v>#REF!</v>
      </c>
      <c r="O45" s="323">
        <f>G45*'Pres &amp; Prop Rev'!G34</f>
        <v>0</v>
      </c>
      <c r="P45" s="309"/>
      <c r="Q45" s="261"/>
      <c r="W45" s="192" t="s">
        <v>400</v>
      </c>
      <c r="X45" s="262">
        <f t="shared" si="13"/>
        <v>0</v>
      </c>
      <c r="Y45" s="262">
        <f t="shared" si="13"/>
        <v>0</v>
      </c>
      <c r="Z45" s="262">
        <f t="shared" si="13"/>
        <v>6.9100000000000003E-3</v>
      </c>
      <c r="AA45" s="262">
        <f t="shared" si="11"/>
        <v>6.9100000000000003E-3</v>
      </c>
      <c r="AB45" s="140" t="e">
        <f t="shared" si="12"/>
        <v>#REF!</v>
      </c>
    </row>
    <row r="46" spans="1:28">
      <c r="A46" s="207" t="s">
        <v>265</v>
      </c>
      <c r="D46" s="266" t="s">
        <v>266</v>
      </c>
      <c r="E46" s="270">
        <v>0.30031000000000002</v>
      </c>
      <c r="F46" s="223"/>
      <c r="G46" s="267"/>
      <c r="H46" s="267"/>
      <c r="I46" s="267"/>
      <c r="J46" s="267" t="s">
        <v>267</v>
      </c>
      <c r="K46" s="270">
        <f>D43+0.05694+N("Tariffed Demand Rate, 2020 PGA - Grossed up for Rev Related Items")+G43</f>
        <v>0.30031000000000002</v>
      </c>
      <c r="L46" s="261">
        <f>K46/E46-1</f>
        <v>0</v>
      </c>
      <c r="M46" s="325"/>
      <c r="N46" s="322"/>
      <c r="O46" s="309">
        <f>SUM(O42:O45)</f>
        <v>0</v>
      </c>
      <c r="P46" s="309">
        <f ca="1">O46-'Pres &amp; Prop Rev'!G195</f>
        <v>0</v>
      </c>
      <c r="Q46" s="261"/>
      <c r="W46" s="192" t="s">
        <v>265</v>
      </c>
    </row>
    <row r="47" spans="1:28">
      <c r="M47" s="325"/>
      <c r="N47" s="322"/>
      <c r="O47" s="309"/>
      <c r="P47" s="309"/>
    </row>
    <row r="48" spans="1:28">
      <c r="A48" s="136" t="s">
        <v>251</v>
      </c>
      <c r="M48" s="325"/>
      <c r="N48" s="322"/>
      <c r="O48" s="309"/>
      <c r="P48" s="309"/>
    </row>
    <row r="49" spans="1:21">
      <c r="A49" s="192" t="s">
        <v>216</v>
      </c>
      <c r="D49" s="137">
        <f>'Rate Design'!H4</f>
        <v>700</v>
      </c>
      <c r="E49" s="138">
        <f>F49-D49</f>
        <v>0</v>
      </c>
      <c r="F49" s="139">
        <f>'Rate Design'!H14</f>
        <v>700</v>
      </c>
      <c r="G49" s="139">
        <f>IF(ROUND(J49-F49,5)&lt;&gt;ROUND(K49-D49,5),#VALUE!,K49-D49)</f>
        <v>0</v>
      </c>
      <c r="H49" s="139"/>
      <c r="I49" s="139"/>
      <c r="J49" s="139">
        <f>'Rate Design'!H36</f>
        <v>700</v>
      </c>
      <c r="K49" s="139">
        <f>'Rate Design'!H26</f>
        <v>700</v>
      </c>
      <c r="L49" s="261">
        <f>K49/D49-1</f>
        <v>0</v>
      </c>
      <c r="M49" s="325"/>
      <c r="N49" s="322"/>
      <c r="O49" s="309">
        <f>G49*'Pres &amp; Prop Rev'!H48</f>
        <v>0</v>
      </c>
      <c r="P49" s="309"/>
      <c r="Q49" s="261"/>
    </row>
    <row r="50" spans="1:21">
      <c r="A50" s="192" t="s">
        <v>243</v>
      </c>
      <c r="D50" s="262"/>
      <c r="E50" s="262"/>
      <c r="F50" s="140"/>
      <c r="G50" s="140"/>
      <c r="H50" s="140"/>
      <c r="I50" s="140"/>
      <c r="J50" s="140"/>
      <c r="K50" s="140"/>
      <c r="M50" s="325"/>
      <c r="N50" s="322"/>
      <c r="O50" s="309"/>
      <c r="P50" s="309"/>
    </row>
    <row r="51" spans="1:21">
      <c r="A51" s="207" t="str">
        <f>"First "&amp;TEXT('Rate Design'!P6,"#,##0")&amp;" therms"</f>
        <v>First 20,000 therms</v>
      </c>
      <c r="D51" s="140">
        <f>'Rate Design'!H6/100</f>
        <v>0.12429999999999999</v>
      </c>
      <c r="E51" s="157">
        <f>F51-D51</f>
        <v>-4.0200000000000097E-3</v>
      </c>
      <c r="F51" s="140">
        <f>'Rate Design'!H16/100</f>
        <v>0.12027999999999998</v>
      </c>
      <c r="G51" s="156">
        <f>K51-D51</f>
        <v>0</v>
      </c>
      <c r="H51" s="156" t="e">
        <f>#REF!</f>
        <v>#REF!</v>
      </c>
      <c r="I51" s="156" t="e">
        <f>-G51+H51</f>
        <v>#REF!</v>
      </c>
      <c r="J51" s="140" t="e">
        <f>F51+G51+I51+H51</f>
        <v>#REF!</v>
      </c>
      <c r="K51" s="140">
        <f>'Rate Design'!H28/100</f>
        <v>0.12429999999999999</v>
      </c>
      <c r="L51" s="261">
        <f>K51/D51-1</f>
        <v>0</v>
      </c>
      <c r="M51" s="325">
        <f>D51+G51-K51</f>
        <v>0</v>
      </c>
      <c r="N51" s="325" t="e">
        <f>F51+G51+I51-J51+H51</f>
        <v>#REF!</v>
      </c>
      <c r="O51" s="309">
        <f>G51*'Pres &amp; Prop Rev'!H31</f>
        <v>0</v>
      </c>
      <c r="P51" s="309"/>
      <c r="Q51" s="261"/>
      <c r="S51" s="262">
        <f>F51+G51</f>
        <v>0.12027999999999998</v>
      </c>
      <c r="T51" s="262"/>
      <c r="U51" s="262"/>
    </row>
    <row r="52" spans="1:21">
      <c r="A52" s="207" t="str">
        <f>TEXT('Rate Design'!P6,"#,##0")&amp;" - "&amp;TEXT('Rate Design'!P7,"#,##0")&amp;" therms"</f>
        <v>20,000 - 50,000 therms</v>
      </c>
      <c r="D52" s="140">
        <f>'Rate Design'!H7/100</f>
        <v>0.11058</v>
      </c>
      <c r="E52" s="157">
        <f>F52-D52</f>
        <v>-4.0200000000000097E-3</v>
      </c>
      <c r="F52" s="140">
        <f>'Rate Design'!H17/100</f>
        <v>0.10655999999999999</v>
      </c>
      <c r="G52" s="156">
        <f>K52-D52</f>
        <v>0</v>
      </c>
      <c r="H52" s="156" t="e">
        <f>H51</f>
        <v>#REF!</v>
      </c>
      <c r="I52" s="156" t="e">
        <f t="shared" ref="I52:I55" si="14">-G52+H52</f>
        <v>#REF!</v>
      </c>
      <c r="J52" s="140" t="e">
        <f t="shared" ref="J52:J55" si="15">F52+G52+I52+H52</f>
        <v>#REF!</v>
      </c>
      <c r="K52" s="140">
        <f>'Rate Design'!H29/100</f>
        <v>0.11058</v>
      </c>
      <c r="L52" s="261">
        <f>K52/D52-1</f>
        <v>0</v>
      </c>
      <c r="M52" s="325">
        <f>D52+G52-K52</f>
        <v>0</v>
      </c>
      <c r="N52" s="325" t="e">
        <f t="shared" ref="N52:N55" si="16">F52+G52+I52-J52+H52</f>
        <v>#REF!</v>
      </c>
      <c r="O52" s="309">
        <f>G52*'Pres &amp; Prop Rev'!H32</f>
        <v>0</v>
      </c>
      <c r="P52" s="309"/>
      <c r="Q52" s="261"/>
      <c r="S52" s="262">
        <f>F52+G52</f>
        <v>0.10655999999999999</v>
      </c>
    </row>
    <row r="53" spans="1:21">
      <c r="A53" s="207" t="str">
        <f>TEXT('Rate Design'!P7,"#,##0")&amp;" - "&amp;TEXT('Rate Design'!P8,"#,##0")&amp;" therms"</f>
        <v>50,000 - 300,000 therms</v>
      </c>
      <c r="D53" s="140">
        <f>'Rate Design'!H8/100</f>
        <v>9.9710000000000007E-2</v>
      </c>
      <c r="E53" s="157">
        <f>F53-D53</f>
        <v>-4.0200000000000097E-3</v>
      </c>
      <c r="F53" s="140">
        <f>'Rate Design'!H18/100</f>
        <v>9.5689999999999997E-2</v>
      </c>
      <c r="G53" s="156">
        <f>K53-D53</f>
        <v>0</v>
      </c>
      <c r="H53" s="156" t="e">
        <f>H51</f>
        <v>#REF!</v>
      </c>
      <c r="I53" s="156" t="e">
        <f t="shared" si="14"/>
        <v>#REF!</v>
      </c>
      <c r="J53" s="140" t="e">
        <f t="shared" si="15"/>
        <v>#REF!</v>
      </c>
      <c r="K53" s="140">
        <f>'Rate Design'!H30/100</f>
        <v>9.9710000000000007E-2</v>
      </c>
      <c r="L53" s="261">
        <f>K53/D53-1</f>
        <v>0</v>
      </c>
      <c r="M53" s="325">
        <f>D53+G53-K53</f>
        <v>0</v>
      </c>
      <c r="N53" s="325" t="e">
        <f t="shared" si="16"/>
        <v>#REF!</v>
      </c>
      <c r="O53" s="309">
        <f>G53*'Pres &amp; Prop Rev'!H33</f>
        <v>0</v>
      </c>
      <c r="P53" s="309"/>
      <c r="Q53" s="261"/>
      <c r="S53" s="262">
        <f>F53+G53</f>
        <v>9.5689999999999997E-2</v>
      </c>
    </row>
    <row r="54" spans="1:21">
      <c r="A54" s="207" t="str">
        <f>TEXT('Rate Design'!P8,"#,##0")&amp;" - "&amp;TEXT('Rate Design'!P9,"#,##0")&amp;" therms"</f>
        <v>300,000 - 500,000 therms</v>
      </c>
      <c r="D54" s="140">
        <f>'Rate Design'!H9/100</f>
        <v>9.221E-2</v>
      </c>
      <c r="E54" s="157">
        <f>F54-D54</f>
        <v>-4.0200000000000097E-3</v>
      </c>
      <c r="F54" s="140">
        <f>'Rate Design'!H19/100</f>
        <v>8.8189999999999991E-2</v>
      </c>
      <c r="G54" s="156">
        <f>K54-D54</f>
        <v>0</v>
      </c>
      <c r="H54" s="156" t="e">
        <f>H51</f>
        <v>#REF!</v>
      </c>
      <c r="I54" s="156" t="e">
        <f t="shared" si="14"/>
        <v>#REF!</v>
      </c>
      <c r="J54" s="140" t="e">
        <f t="shared" si="15"/>
        <v>#REF!</v>
      </c>
      <c r="K54" s="140">
        <f>'Rate Design'!H31/100</f>
        <v>9.221E-2</v>
      </c>
      <c r="L54" s="261">
        <f>K54/D54-1</f>
        <v>0</v>
      </c>
      <c r="M54" s="325">
        <f>D54+G54-K54</f>
        <v>0</v>
      </c>
      <c r="N54" s="325" t="e">
        <f t="shared" si="16"/>
        <v>#REF!</v>
      </c>
      <c r="O54" s="309">
        <f>G54*'Pres &amp; Prop Rev'!H34</f>
        <v>0</v>
      </c>
      <c r="P54" s="309"/>
      <c r="Q54" s="261"/>
      <c r="S54" s="262">
        <f>F54+G54</f>
        <v>8.8189999999999991E-2</v>
      </c>
    </row>
    <row r="55" spans="1:21">
      <c r="A55" s="207" t="str">
        <f>"All over "&amp;TEXT('Rate Design'!P9,"#,##0")&amp;" therms"</f>
        <v>All over 500,000 therms</v>
      </c>
      <c r="D55" s="140">
        <f>'Rate Design'!H10/100</f>
        <v>6.93E-2</v>
      </c>
      <c r="E55" s="157">
        <f>F55-D55</f>
        <v>-4.0200000000000097E-3</v>
      </c>
      <c r="F55" s="140">
        <f>'Rate Design'!H20/100</f>
        <v>6.5279999999999991E-2</v>
      </c>
      <c r="G55" s="156">
        <f>K55-D55</f>
        <v>0</v>
      </c>
      <c r="H55" s="156" t="e">
        <f>H51</f>
        <v>#REF!</v>
      </c>
      <c r="I55" s="156" t="e">
        <f t="shared" si="14"/>
        <v>#REF!</v>
      </c>
      <c r="J55" s="140" t="e">
        <f t="shared" si="15"/>
        <v>#REF!</v>
      </c>
      <c r="K55" s="140">
        <f>'Rate Design'!H32/100</f>
        <v>6.93E-2</v>
      </c>
      <c r="L55" s="261">
        <f>K55/D55-1</f>
        <v>0</v>
      </c>
      <c r="M55" s="325">
        <f>D55+G55-K55</f>
        <v>0</v>
      </c>
      <c r="N55" s="325" t="e">
        <f t="shared" si="16"/>
        <v>#REF!</v>
      </c>
      <c r="O55" s="323">
        <f>G55*'Pres &amp; Prop Rev'!H35</f>
        <v>0</v>
      </c>
      <c r="P55" s="309"/>
      <c r="Q55" s="261"/>
      <c r="S55" s="262">
        <f>F55+G55</f>
        <v>6.5279999999999991E-2</v>
      </c>
    </row>
    <row r="56" spans="1:21">
      <c r="A56" s="207" t="s">
        <v>265</v>
      </c>
      <c r="D56" s="266" t="s">
        <v>266</v>
      </c>
      <c r="E56" s="270">
        <v>0.11058</v>
      </c>
      <c r="F56" s="260"/>
      <c r="G56" s="267"/>
      <c r="H56" s="267"/>
      <c r="I56" s="267"/>
      <c r="J56" s="267" t="s">
        <v>267</v>
      </c>
      <c r="K56" s="157">
        <f>K52</f>
        <v>0.11058</v>
      </c>
      <c r="L56" s="261">
        <f>K56/E56-1</f>
        <v>0</v>
      </c>
      <c r="M56" s="261"/>
      <c r="N56" s="261"/>
      <c r="O56" s="309">
        <f>SUM(O49:O55)</f>
        <v>0</v>
      </c>
      <c r="P56" s="309">
        <f ca="1">O56-'Pres &amp; Prop Rev'!H195</f>
        <v>0</v>
      </c>
      <c r="Q56" s="261"/>
    </row>
    <row r="57" spans="1:21">
      <c r="D57" s="262"/>
      <c r="E57" s="262"/>
      <c r="F57" s="262"/>
      <c r="G57" s="140"/>
      <c r="H57" s="140"/>
      <c r="I57" s="140"/>
      <c r="J57" s="140"/>
      <c r="O57" s="309">
        <f>'Pres &amp; Prop Rev'!H156-'Pres &amp; Prop Rev'!H107</f>
        <v>0</v>
      </c>
      <c r="P57" s="340" t="s">
        <v>363</v>
      </c>
    </row>
    <row r="58" spans="1:21">
      <c r="D58" s="262"/>
      <c r="E58" s="262"/>
      <c r="F58" s="262"/>
      <c r="G58" s="140"/>
      <c r="H58" s="140"/>
      <c r="I58" s="140"/>
      <c r="J58" s="140"/>
      <c r="O58" s="309"/>
      <c r="P58" s="309"/>
    </row>
    <row r="59" spans="1:21">
      <c r="D59" s="262"/>
      <c r="E59" s="262"/>
      <c r="F59" s="262"/>
      <c r="G59" s="140"/>
      <c r="H59" s="140"/>
      <c r="I59" s="140"/>
      <c r="J59" s="140"/>
      <c r="O59" s="309"/>
      <c r="P59" s="309"/>
    </row>
    <row r="60" spans="1:21">
      <c r="D60" s="262"/>
      <c r="E60" s="262"/>
      <c r="F60" s="262"/>
      <c r="G60" s="140"/>
      <c r="H60" s="140"/>
      <c r="I60" s="140"/>
      <c r="J60" s="140"/>
      <c r="O60" s="309"/>
      <c r="P60" s="309"/>
    </row>
    <row r="61" spans="1:21">
      <c r="A61" s="192" t="s">
        <v>485</v>
      </c>
      <c r="O61" s="309">
        <f>O17+O27+O46+O56</f>
        <v>0</v>
      </c>
      <c r="P61" s="309">
        <f ca="1">P17+P27+P46+P56</f>
        <v>0</v>
      </c>
    </row>
    <row r="62" spans="1:21">
      <c r="A62" s="334" t="s">
        <v>491</v>
      </c>
      <c r="O62" s="309"/>
      <c r="P62" s="309">
        <f ca="1">'Pres &amp; Prop Rev'!C190-'Pres &amp; Prop Rev'!C142</f>
        <v>0</v>
      </c>
      <c r="Q62" s="331" t="s">
        <v>362</v>
      </c>
    </row>
    <row r="63" spans="1:21">
      <c r="O63" s="309"/>
      <c r="P63" s="309">
        <f>O57</f>
        <v>0</v>
      </c>
      <c r="Q63" s="331" t="s">
        <v>364</v>
      </c>
    </row>
    <row r="64" spans="1:21" ht="13.5" thickBot="1">
      <c r="O64" s="309"/>
      <c r="P64" s="329">
        <f ca="1">SUM(P61:P63)</f>
        <v>0</v>
      </c>
    </row>
    <row r="65" ht="13.5" thickTop="1"/>
  </sheetData>
  <mergeCells count="2">
    <mergeCell ref="A10:C10"/>
    <mergeCell ref="X15:Y15"/>
  </mergeCells>
  <phoneticPr fontId="0" type="noConversion"/>
  <conditionalFormatting sqref="R38:V38 R27:V27">
    <cfRule type="expression" dxfId="5" priority="2" stopIfTrue="1">
      <formula>ROUND(R27,2)&lt;&gt;0</formula>
    </cfRule>
  </conditionalFormatting>
  <conditionalFormatting sqref="L18 Q18">
    <cfRule type="cellIs" dxfId="4" priority="1" operator="notEqual">
      <formula>0</formula>
    </cfRule>
  </conditionalFormatting>
  <pageMargins left="0.5" right="0.5" top="0.5" bottom="0.75" header="0.5" footer="0.25"/>
  <pageSetup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autoPageBreaks="0"/>
  </sheetPr>
  <dimension ref="A1:H24"/>
  <sheetViews>
    <sheetView showGridLines="0" workbookViewId="0">
      <selection activeCell="G23" sqref="A1:G23"/>
    </sheetView>
  </sheetViews>
  <sheetFormatPr defaultRowHeight="12.75"/>
  <cols>
    <col min="6" max="6" width="12.7109375" customWidth="1"/>
  </cols>
  <sheetData>
    <row r="1" spans="1:8">
      <c r="A1" s="36"/>
      <c r="B1" s="36"/>
      <c r="C1" s="36"/>
      <c r="D1" s="36"/>
      <c r="E1" s="36"/>
      <c r="F1" s="36"/>
    </row>
    <row r="2" spans="1:8">
      <c r="A2" s="36"/>
      <c r="B2" s="36"/>
      <c r="C2" s="36"/>
      <c r="D2" s="36"/>
      <c r="E2" s="36"/>
      <c r="F2" s="36"/>
    </row>
    <row r="3" spans="1:8">
      <c r="A3" s="36"/>
      <c r="B3" s="36"/>
      <c r="C3" s="36"/>
      <c r="D3" s="36"/>
      <c r="E3" s="36"/>
      <c r="F3" s="36"/>
    </row>
    <row r="4" spans="1:8">
      <c r="A4" s="36"/>
      <c r="B4" s="36"/>
      <c r="C4" s="36"/>
      <c r="D4" s="36"/>
      <c r="E4" s="36"/>
      <c r="F4" s="36"/>
    </row>
    <row r="5" spans="1:8">
      <c r="A5" s="192"/>
    </row>
    <row r="6" spans="1:8">
      <c r="F6" s="38"/>
    </row>
    <row r="7" spans="1:8">
      <c r="F7" s="42"/>
    </row>
    <row r="8" spans="1:8">
      <c r="F8" s="56"/>
    </row>
    <row r="9" spans="1:8">
      <c r="A9" s="35"/>
      <c r="F9" s="34"/>
    </row>
    <row r="10" spans="1:8">
      <c r="A10" s="35"/>
      <c r="F10" s="176"/>
      <c r="H10" s="176"/>
    </row>
    <row r="11" spans="1:8">
      <c r="A11" s="158"/>
      <c r="F11" s="134"/>
    </row>
    <row r="21" spans="1:6">
      <c r="A21" s="201"/>
    </row>
    <row r="24" spans="1:6">
      <c r="F24" s="34">
        <f>ROUND(F11-'Pres &amp; Prop Rev'!J113,0)</f>
        <v>0</v>
      </c>
    </row>
  </sheetData>
  <phoneticPr fontId="18" type="noConversion"/>
  <conditionalFormatting sqref="F24">
    <cfRule type="cellIs" dxfId="3" priority="1" stopIfTrue="1" operator="notEqual">
      <formula>0</formula>
    </cfRule>
  </conditionalFormatting>
  <printOptions horizontalCentered="1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tabColor rgb="FF92D050"/>
    <pageSetUpPr fitToPage="1"/>
  </sheetPr>
  <dimension ref="A1:P94"/>
  <sheetViews>
    <sheetView showGridLines="0" view="pageBreakPreview" topLeftCell="A57" zoomScaleNormal="85" zoomScaleSheetLayoutView="100" workbookViewId="0">
      <selection activeCell="A94" sqref="A94"/>
    </sheetView>
  </sheetViews>
  <sheetFormatPr defaultRowHeight="12.75"/>
  <cols>
    <col min="1" max="1" width="35.7109375" customWidth="1"/>
    <col min="2" max="2" width="14" customWidth="1"/>
    <col min="3" max="3" width="13" customWidth="1"/>
    <col min="4" max="4" width="11.140625" customWidth="1"/>
    <col min="5" max="5" width="11.85546875" customWidth="1"/>
    <col min="6" max="6" width="11.42578125" customWidth="1"/>
    <col min="7" max="7" width="13.140625" bestFit="1" customWidth="1"/>
    <col min="8" max="8" width="12.5703125" bestFit="1" customWidth="1"/>
    <col min="11" max="11" width="15.140625" bestFit="1" customWidth="1"/>
    <col min="12" max="12" width="13.5703125" bestFit="1" customWidth="1"/>
    <col min="13" max="13" width="12.85546875" bestFit="1" customWidth="1"/>
    <col min="14" max="14" width="10.28515625" bestFit="1" customWidth="1"/>
  </cols>
  <sheetData>
    <row r="1" spans="1:16" ht="14.1" customHeight="1">
      <c r="A1" s="181" t="s">
        <v>97</v>
      </c>
      <c r="B1" s="49"/>
      <c r="C1" s="171"/>
      <c r="D1" s="171"/>
      <c r="E1" s="171"/>
      <c r="F1" s="171"/>
      <c r="G1" s="171"/>
      <c r="H1" s="171"/>
    </row>
    <row r="2" spans="1:16" ht="14.1" customHeight="1">
      <c r="A2" s="181" t="s">
        <v>271</v>
      </c>
      <c r="B2" s="49"/>
      <c r="C2" s="171"/>
      <c r="D2" s="171"/>
      <c r="E2" s="171"/>
      <c r="F2" s="171"/>
      <c r="G2" s="171"/>
      <c r="H2" s="171"/>
    </row>
    <row r="3" spans="1:16" ht="14.1" customHeight="1">
      <c r="A3" s="181" t="s">
        <v>253</v>
      </c>
      <c r="B3" s="49"/>
      <c r="C3" s="171"/>
      <c r="D3" s="171"/>
      <c r="E3" s="171"/>
      <c r="F3" s="171"/>
      <c r="G3" s="171"/>
      <c r="H3" s="171"/>
    </row>
    <row r="4" spans="1:16" ht="14.1" customHeight="1">
      <c r="A4" s="181" t="s">
        <v>512</v>
      </c>
      <c r="B4" s="49"/>
      <c r="C4" s="171"/>
      <c r="D4" s="171"/>
      <c r="E4" s="171"/>
      <c r="F4" s="171"/>
      <c r="G4" s="171"/>
      <c r="H4" s="171"/>
    </row>
    <row r="5" spans="1:16">
      <c r="C5" s="48"/>
      <c r="D5" s="48"/>
      <c r="E5" s="273"/>
      <c r="F5" s="273"/>
      <c r="G5" s="273"/>
      <c r="H5" s="273"/>
    </row>
    <row r="6" spans="1:16">
      <c r="A6" s="40" t="s">
        <v>443</v>
      </c>
      <c r="B6" s="41" t="s">
        <v>65</v>
      </c>
      <c r="C6" s="172" t="s">
        <v>257</v>
      </c>
      <c r="D6" s="48"/>
      <c r="E6" s="280" t="s">
        <v>317</v>
      </c>
      <c r="F6" s="280" t="s">
        <v>311</v>
      </c>
      <c r="G6" s="278" t="s">
        <v>312</v>
      </c>
      <c r="H6" s="278"/>
    </row>
    <row r="7" spans="1:16">
      <c r="A7" s="331" t="s">
        <v>352</v>
      </c>
      <c r="B7" s="61">
        <f>'12MEJUN23'!P166</f>
        <v>136543272.85767996</v>
      </c>
      <c r="C7" s="335">
        <f>'12MEJUN23'!O26</f>
        <v>2077306</v>
      </c>
      <c r="D7" s="48"/>
      <c r="E7" s="305">
        <f>'Block Usage'!O17</f>
        <v>80993659.046190009</v>
      </c>
      <c r="F7" s="305">
        <f>'Block Usage'!O18</f>
        <v>55549613.811489999</v>
      </c>
      <c r="G7" s="279">
        <f>SUM(D7:F7)</f>
        <v>136543272.85768002</v>
      </c>
      <c r="H7" s="279"/>
      <c r="K7" s="301">
        <f>'12MEJUN23'!P166</f>
        <v>136543272.85767996</v>
      </c>
      <c r="L7" s="301">
        <f>G7-K7</f>
        <v>0</v>
      </c>
      <c r="M7" s="301">
        <f>'12MEJUN23'!P10+'12MEJUN23'!P11</f>
        <v>2077306</v>
      </c>
      <c r="N7" s="301">
        <f>M7-C7</f>
        <v>0</v>
      </c>
      <c r="O7" s="301"/>
      <c r="P7" s="301"/>
    </row>
    <row r="8" spans="1:16">
      <c r="B8" s="173"/>
      <c r="C8" s="173"/>
      <c r="D8" s="173"/>
      <c r="E8" s="273"/>
      <c r="F8" s="273"/>
      <c r="G8" s="281">
        <f>'12MEJUN23'!P166</f>
        <v>136543272.85767996</v>
      </c>
      <c r="H8" s="271"/>
      <c r="K8" s="301"/>
      <c r="L8" s="301"/>
      <c r="M8" s="301"/>
      <c r="N8" s="301"/>
      <c r="O8" s="301"/>
      <c r="P8" s="301"/>
    </row>
    <row r="9" spans="1:16">
      <c r="B9" s="173"/>
      <c r="C9" s="173"/>
      <c r="D9" s="173"/>
      <c r="E9" s="273"/>
      <c r="F9" s="273"/>
      <c r="G9" s="388">
        <f>G8-G7</f>
        <v>0</v>
      </c>
      <c r="H9" s="271"/>
      <c r="K9" s="301"/>
      <c r="L9" s="301"/>
      <c r="M9" s="301"/>
      <c r="N9" s="301"/>
      <c r="O9" s="301"/>
      <c r="P9" s="301"/>
    </row>
    <row r="10" spans="1:16">
      <c r="B10" s="173"/>
      <c r="C10" s="173"/>
      <c r="D10" s="173" t="s">
        <v>70</v>
      </c>
      <c r="E10" s="173" t="s">
        <v>71</v>
      </c>
      <c r="F10" s="273"/>
      <c r="G10" s="279"/>
      <c r="H10" s="271"/>
      <c r="K10" s="301"/>
      <c r="L10" s="301"/>
      <c r="M10" s="301"/>
      <c r="N10" s="301"/>
      <c r="O10" s="301"/>
      <c r="P10" s="301"/>
    </row>
    <row r="11" spans="1:16">
      <c r="A11" s="40" t="s">
        <v>479</v>
      </c>
      <c r="B11" s="172" t="s">
        <v>66</v>
      </c>
      <c r="C11" s="172" t="s">
        <v>67</v>
      </c>
      <c r="D11" s="172" t="s">
        <v>68</v>
      </c>
      <c r="E11" s="172" t="s">
        <v>74</v>
      </c>
      <c r="F11" s="164" t="s">
        <v>75</v>
      </c>
      <c r="G11" s="172" t="s">
        <v>59</v>
      </c>
      <c r="H11" s="172" t="s">
        <v>432</v>
      </c>
      <c r="I11" s="279"/>
      <c r="J11" s="279"/>
      <c r="K11" s="301"/>
      <c r="L11" s="301"/>
      <c r="M11" s="301"/>
      <c r="N11" s="301"/>
      <c r="O11" s="301"/>
      <c r="P11" s="301"/>
    </row>
    <row r="12" spans="1:16">
      <c r="A12" s="331" t="s">
        <v>69</v>
      </c>
      <c r="B12" s="63">
        <f>'Block Usage'!O39</f>
        <v>7001139.4199599996</v>
      </c>
      <c r="C12" s="63">
        <f>'Block Usage'!O40</f>
        <v>18279754.25451</v>
      </c>
      <c r="D12" s="63">
        <f>'Block Usage'!O41</f>
        <v>31224403.08151</v>
      </c>
      <c r="E12" s="63">
        <f>'Block Usage'!O42</f>
        <v>4966981.6339700008</v>
      </c>
      <c r="F12" s="63">
        <f>'Block Usage'!O43</f>
        <v>1946393.3860000002</v>
      </c>
      <c r="G12" s="220">
        <f>SUM(B12:F12)</f>
        <v>63418671.77595</v>
      </c>
      <c r="I12" s="48"/>
      <c r="J12" s="48"/>
      <c r="K12" s="301">
        <f>'12MEJUN23'!P167</f>
        <v>63418671.775950007</v>
      </c>
      <c r="L12" s="301">
        <f>G17-K12</f>
        <v>2470337.9999999925</v>
      </c>
      <c r="M12" s="301">
        <f>'12MEJUN23'!P12+'12MEJUN23'!P13</f>
        <v>41563</v>
      </c>
      <c r="N12" s="301">
        <f>H17-M12</f>
        <v>16</v>
      </c>
      <c r="O12" s="301"/>
      <c r="P12" s="301"/>
    </row>
    <row r="13" spans="1:16">
      <c r="A13" t="s">
        <v>294</v>
      </c>
      <c r="B13" s="63">
        <f t="shared" ref="B13:G13" si="0">SUM(B12:B12)</f>
        <v>7001139.4199599996</v>
      </c>
      <c r="C13" s="63">
        <f t="shared" si="0"/>
        <v>18279754.25451</v>
      </c>
      <c r="D13" s="63">
        <f t="shared" si="0"/>
        <v>31224403.08151</v>
      </c>
      <c r="E13" s="63">
        <f t="shared" si="0"/>
        <v>4966981.6339700008</v>
      </c>
      <c r="F13" s="63">
        <f t="shared" si="0"/>
        <v>1946393.3860000002</v>
      </c>
      <c r="G13" s="63">
        <f t="shared" si="0"/>
        <v>63418671.77595</v>
      </c>
      <c r="I13" s="48"/>
      <c r="J13" s="48"/>
      <c r="K13" s="301"/>
      <c r="L13" s="301"/>
      <c r="M13" s="301"/>
      <c r="N13" s="301"/>
      <c r="O13" s="301"/>
      <c r="P13" s="301"/>
    </row>
    <row r="14" spans="1:16">
      <c r="A14" s="35" t="s">
        <v>268</v>
      </c>
      <c r="B14" s="174"/>
      <c r="C14" s="174"/>
      <c r="D14" s="174"/>
      <c r="E14" s="174"/>
      <c r="F14" s="174"/>
      <c r="G14" s="477">
        <f>'12MEJUN23'!P167</f>
        <v>63418671.775950007</v>
      </c>
      <c r="H14" s="63">
        <f>'12MEJUN23'!O27</f>
        <v>41563</v>
      </c>
      <c r="I14" s="48"/>
      <c r="J14" s="48"/>
      <c r="K14" s="301"/>
      <c r="L14" s="301"/>
      <c r="M14" s="301"/>
      <c r="N14" s="301"/>
      <c r="O14" s="301"/>
      <c r="P14" s="301"/>
    </row>
    <row r="15" spans="1:16">
      <c r="A15" s="379" t="s">
        <v>516</v>
      </c>
      <c r="B15" s="478">
        <f>'Big Schedules'!Q54</f>
        <v>3200</v>
      </c>
      <c r="C15" s="478">
        <f>'Big Schedules'!R54</f>
        <v>15200</v>
      </c>
      <c r="D15" s="478">
        <f>'Big Schedules'!S54</f>
        <v>156000</v>
      </c>
      <c r="E15" s="478">
        <f>'Big Schedules'!T54</f>
        <v>296399</v>
      </c>
      <c r="F15" s="478">
        <f>'Big Schedules'!U54</f>
        <v>1999539</v>
      </c>
      <c r="G15" s="479">
        <f>SUM(B15:F15)</f>
        <v>2470338</v>
      </c>
      <c r="H15" s="481">
        <v>16</v>
      </c>
      <c r="I15" s="48"/>
      <c r="J15" s="48"/>
      <c r="K15" s="301"/>
      <c r="L15" s="301"/>
      <c r="M15" s="301"/>
      <c r="N15" s="301"/>
      <c r="O15" s="301"/>
      <c r="P15" s="301"/>
    </row>
    <row r="16" spans="1:16">
      <c r="A16" s="397"/>
      <c r="B16" s="478"/>
      <c r="C16" s="478"/>
      <c r="D16" s="478"/>
      <c r="E16" s="478"/>
      <c r="F16" s="478"/>
      <c r="G16" s="480"/>
      <c r="H16" s="482"/>
      <c r="I16" s="273"/>
      <c r="J16" s="273"/>
      <c r="K16" s="301"/>
      <c r="L16" s="301"/>
      <c r="M16" s="301"/>
      <c r="N16" s="301"/>
      <c r="O16" s="301"/>
      <c r="P16" s="301"/>
    </row>
    <row r="17" spans="1:16">
      <c r="A17" s="397" t="s">
        <v>59</v>
      </c>
      <c r="B17" s="398">
        <f>SUM(B13:B15)</f>
        <v>7004339.4199599996</v>
      </c>
      <c r="C17" s="398">
        <f>SUM(C13:C15)</f>
        <v>18294954.25451</v>
      </c>
      <c r="D17" s="398">
        <f>SUM(D13:D15)</f>
        <v>31380403.08151</v>
      </c>
      <c r="E17" s="398">
        <f>SUM(E13:E15)</f>
        <v>5263380.6339700008</v>
      </c>
      <c r="F17" s="398">
        <f>SUM(F13:F15)</f>
        <v>3945932.3859999999</v>
      </c>
      <c r="G17" s="398">
        <f>G13+G15</f>
        <v>65889009.77595</v>
      </c>
      <c r="H17" s="399">
        <f>H14+H15</f>
        <v>41579</v>
      </c>
      <c r="I17" s="48"/>
      <c r="J17" s="48"/>
      <c r="K17" s="301"/>
      <c r="L17" s="301"/>
      <c r="M17" s="301"/>
      <c r="N17" s="301"/>
      <c r="O17" s="301"/>
      <c r="P17" s="301"/>
    </row>
    <row r="18" spans="1:16">
      <c r="A18" s="158" t="s">
        <v>256</v>
      </c>
      <c r="B18" s="174"/>
      <c r="C18" s="174"/>
      <c r="D18" s="174"/>
      <c r="E18" s="174"/>
      <c r="F18" s="174"/>
      <c r="G18" s="174"/>
      <c r="H18" s="174"/>
      <c r="I18" s="48"/>
      <c r="J18" s="48"/>
      <c r="K18" s="301"/>
      <c r="L18" s="301"/>
      <c r="M18" s="301"/>
      <c r="N18" s="301"/>
      <c r="O18" s="301"/>
      <c r="P18" s="301"/>
    </row>
    <row r="19" spans="1:16" hidden="1">
      <c r="A19" s="158"/>
      <c r="B19" s="173"/>
      <c r="C19" s="173"/>
      <c r="D19" s="173" t="s">
        <v>70</v>
      </c>
      <c r="E19" s="173" t="s">
        <v>71</v>
      </c>
      <c r="F19" s="273"/>
      <c r="G19" s="173" t="s">
        <v>59</v>
      </c>
      <c r="H19" s="173"/>
      <c r="K19" s="301"/>
      <c r="L19" s="301"/>
      <c r="M19" s="301"/>
      <c r="N19" s="301"/>
      <c r="O19" s="301"/>
      <c r="P19" s="301"/>
    </row>
    <row r="20" spans="1:16" hidden="1">
      <c r="A20" s="40" t="s">
        <v>482</v>
      </c>
      <c r="B20" s="172" t="s">
        <v>66</v>
      </c>
      <c r="C20" s="172" t="s">
        <v>67</v>
      </c>
      <c r="D20" s="172" t="s">
        <v>68</v>
      </c>
      <c r="E20" s="172" t="s">
        <v>74</v>
      </c>
      <c r="F20" s="164" t="s">
        <v>75</v>
      </c>
      <c r="G20" s="172" t="s">
        <v>68</v>
      </c>
      <c r="H20" s="172" t="s">
        <v>257</v>
      </c>
      <c r="K20" s="301"/>
      <c r="L20" s="301"/>
      <c r="M20" s="301"/>
      <c r="N20" s="301"/>
      <c r="O20" s="301"/>
      <c r="P20" s="301"/>
    </row>
    <row r="21" spans="1:16" hidden="1">
      <c r="A21" t="s">
        <v>69</v>
      </c>
      <c r="B21" s="63">
        <v>0</v>
      </c>
      <c r="C21" s="63">
        <v>0</v>
      </c>
      <c r="D21" s="63">
        <v>0</v>
      </c>
      <c r="E21" s="63">
        <v>0</v>
      </c>
      <c r="F21" s="63">
        <v>0</v>
      </c>
      <c r="G21" s="174">
        <f>SUM(B21:F21)</f>
        <v>0</v>
      </c>
      <c r="H21" s="174">
        <v>0</v>
      </c>
      <c r="K21" s="301"/>
      <c r="L21" s="301"/>
      <c r="M21" s="301"/>
      <c r="N21" s="301"/>
      <c r="O21" s="301"/>
      <c r="P21" s="301"/>
    </row>
    <row r="22" spans="1:16" hidden="1">
      <c r="A22" s="331" t="s">
        <v>480</v>
      </c>
      <c r="B22" s="63">
        <f>'Big Schedules'!Q50</f>
        <v>0</v>
      </c>
      <c r="C22" s="63">
        <f>'Big Schedules'!R50</f>
        <v>0</v>
      </c>
      <c r="D22" s="63">
        <f>'Big Schedules'!S50</f>
        <v>0</v>
      </c>
      <c r="E22" s="63">
        <f>'Big Schedules'!T50</f>
        <v>0</v>
      </c>
      <c r="F22" s="63">
        <f>'Big Schedules'!U50</f>
        <v>0</v>
      </c>
      <c r="G22" s="174">
        <f t="shared" ref="G22:G24" si="1">SUM(B22:F22)</f>
        <v>0</v>
      </c>
      <c r="H22" s="63">
        <v>0</v>
      </c>
      <c r="K22" s="301"/>
      <c r="L22" s="301"/>
      <c r="M22" s="301"/>
      <c r="N22" s="301"/>
      <c r="O22" s="301"/>
      <c r="P22" s="301"/>
    </row>
    <row r="23" spans="1:16" hidden="1">
      <c r="A23" s="331" t="s">
        <v>481</v>
      </c>
      <c r="B23" s="63">
        <f>-'Big Schedules'!Q49</f>
        <v>0</v>
      </c>
      <c r="C23" s="63">
        <f>-'Big Schedules'!R49</f>
        <v>0</v>
      </c>
      <c r="D23" s="63">
        <f>-'Big Schedules'!S49</f>
        <v>0</v>
      </c>
      <c r="E23" s="63">
        <f>-'Big Schedules'!T49</f>
        <v>0</v>
      </c>
      <c r="F23" s="63">
        <f>-'Big Schedules'!U49</f>
        <v>0</v>
      </c>
      <c r="G23" s="174">
        <f t="shared" si="1"/>
        <v>0</v>
      </c>
      <c r="H23" s="63">
        <v>0</v>
      </c>
      <c r="K23" s="301"/>
      <c r="L23" s="301"/>
      <c r="M23" s="301"/>
      <c r="N23" s="301"/>
      <c r="O23" s="301"/>
      <c r="P23" s="301"/>
    </row>
    <row r="24" spans="1:16" hidden="1">
      <c r="A24" t="s">
        <v>470</v>
      </c>
      <c r="B24" s="221">
        <f>H29*200</f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f t="shared" si="1"/>
        <v>0</v>
      </c>
      <c r="H24" s="221">
        <f>H31</f>
        <v>0</v>
      </c>
      <c r="K24" s="301"/>
      <c r="L24" s="301"/>
      <c r="M24" s="301"/>
      <c r="N24" s="301"/>
      <c r="O24" s="301"/>
      <c r="P24" s="301"/>
    </row>
    <row r="25" spans="1:16" hidden="1">
      <c r="A25" t="s">
        <v>59</v>
      </c>
      <c r="B25" s="63">
        <f>SUM(B21:B24)</f>
        <v>0</v>
      </c>
      <c r="C25" s="63">
        <f t="shared" ref="C25:H25" si="2">SUM(C21:C24)</f>
        <v>0</v>
      </c>
      <c r="D25" s="63">
        <f t="shared" si="2"/>
        <v>0</v>
      </c>
      <c r="E25" s="63">
        <f t="shared" si="2"/>
        <v>0</v>
      </c>
      <c r="F25" s="63">
        <f t="shared" si="2"/>
        <v>0</v>
      </c>
      <c r="G25" s="63">
        <f t="shared" si="2"/>
        <v>0</v>
      </c>
      <c r="H25" s="63">
        <f t="shared" si="2"/>
        <v>0</v>
      </c>
      <c r="K25" s="301"/>
      <c r="L25" s="301"/>
      <c r="M25" s="301"/>
      <c r="N25" s="301"/>
      <c r="O25" s="301"/>
      <c r="P25" s="301"/>
    </row>
    <row r="26" spans="1:16" hidden="1">
      <c r="B26" s="63"/>
      <c r="C26" s="63"/>
      <c r="D26" s="63"/>
      <c r="E26" s="220"/>
      <c r="G26" s="273"/>
      <c r="H26" s="273"/>
      <c r="K26" s="301"/>
      <c r="L26" s="301"/>
      <c r="M26" s="301"/>
      <c r="N26" s="301"/>
      <c r="O26" s="301"/>
      <c r="P26" s="301"/>
    </row>
    <row r="27" spans="1:16" hidden="1">
      <c r="B27" s="173"/>
      <c r="C27" s="173"/>
      <c r="D27" s="173" t="s">
        <v>70</v>
      </c>
      <c r="E27" s="173" t="s">
        <v>71</v>
      </c>
      <c r="F27" s="48"/>
      <c r="G27" s="173" t="s">
        <v>59</v>
      </c>
      <c r="H27" s="173"/>
      <c r="K27" s="301"/>
      <c r="L27" s="301"/>
      <c r="M27" s="301"/>
      <c r="N27" s="301"/>
      <c r="O27" s="301"/>
      <c r="P27" s="301"/>
    </row>
    <row r="28" spans="1:16" hidden="1">
      <c r="A28" s="40" t="s">
        <v>483</v>
      </c>
      <c r="B28" s="172" t="s">
        <v>72</v>
      </c>
      <c r="C28" s="172" t="s">
        <v>73</v>
      </c>
      <c r="D28" s="172" t="s">
        <v>68</v>
      </c>
      <c r="E28" s="172" t="s">
        <v>74</v>
      </c>
      <c r="F28" s="164" t="s">
        <v>75</v>
      </c>
      <c r="G28" s="172" t="s">
        <v>68</v>
      </c>
      <c r="H28" s="172" t="s">
        <v>257</v>
      </c>
      <c r="K28" s="301"/>
      <c r="L28" s="301"/>
      <c r="M28" s="301"/>
      <c r="N28" s="301"/>
      <c r="O28" s="301"/>
      <c r="P28" s="301"/>
    </row>
    <row r="29" spans="1:16" hidden="1">
      <c r="A29" t="s">
        <v>76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f>SUM(B29:F29)</f>
        <v>0</v>
      </c>
      <c r="H29" s="196">
        <f>'12MEJUN23'!O28</f>
        <v>0</v>
      </c>
      <c r="K29" s="301"/>
      <c r="L29" s="301"/>
      <c r="M29" s="301"/>
      <c r="N29" s="301"/>
      <c r="O29" s="301"/>
      <c r="P29" s="301"/>
    </row>
    <row r="30" spans="1:16" hidden="1">
      <c r="A30" t="s">
        <v>449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f>SUM(B30:F30)</f>
        <v>0</v>
      </c>
      <c r="H30" s="221">
        <v>0</v>
      </c>
      <c r="K30" s="301"/>
      <c r="L30" s="301"/>
      <c r="M30" s="301"/>
      <c r="N30" s="301"/>
      <c r="O30" s="301"/>
      <c r="P30" s="301"/>
    </row>
    <row r="31" spans="1:16" hidden="1">
      <c r="A31" t="s">
        <v>294</v>
      </c>
      <c r="B31" s="174">
        <f>SUM(B29:B30)</f>
        <v>0</v>
      </c>
      <c r="C31" s="174">
        <f t="shared" ref="C31:H31" si="3">SUM(C29:C30)</f>
        <v>0</v>
      </c>
      <c r="D31" s="174">
        <f t="shared" si="3"/>
        <v>0</v>
      </c>
      <c r="E31" s="174">
        <f t="shared" si="3"/>
        <v>0</v>
      </c>
      <c r="F31" s="174">
        <f t="shared" si="3"/>
        <v>0</v>
      </c>
      <c r="G31" s="174">
        <f t="shared" si="3"/>
        <v>0</v>
      </c>
      <c r="H31" s="174">
        <f t="shared" si="3"/>
        <v>0</v>
      </c>
      <c r="K31" s="301"/>
      <c r="L31" s="301"/>
      <c r="M31" s="301"/>
      <c r="N31" s="301"/>
      <c r="O31" s="301"/>
      <c r="P31" s="301"/>
    </row>
    <row r="32" spans="1:16" hidden="1">
      <c r="A32" s="35" t="s">
        <v>268</v>
      </c>
      <c r="B32" s="174"/>
      <c r="C32" s="174"/>
      <c r="D32" s="174"/>
      <c r="E32" s="174"/>
      <c r="F32" s="174"/>
      <c r="G32" s="174">
        <f>'12MEJUN23'!P168</f>
        <v>0</v>
      </c>
      <c r="H32" s="174"/>
      <c r="K32" s="301"/>
      <c r="L32" s="301"/>
      <c r="M32" s="301"/>
      <c r="N32" s="301"/>
      <c r="O32" s="301"/>
      <c r="P32" s="301"/>
    </row>
    <row r="33" spans="1:16" hidden="1">
      <c r="A33" s="35" t="s">
        <v>450</v>
      </c>
      <c r="B33" s="174"/>
      <c r="C33" s="174"/>
      <c r="D33" s="174"/>
      <c r="E33" s="174"/>
      <c r="F33" s="174"/>
      <c r="G33" s="174">
        <f>G30</f>
        <v>0</v>
      </c>
      <c r="H33" s="174"/>
      <c r="K33" s="301"/>
      <c r="L33" s="301"/>
      <c r="M33" s="301"/>
      <c r="N33" s="301"/>
      <c r="O33" s="301"/>
      <c r="P33" s="301"/>
    </row>
    <row r="34" spans="1:16" hidden="1">
      <c r="A34" s="35" t="s">
        <v>59</v>
      </c>
      <c r="B34" s="174"/>
      <c r="C34" s="174"/>
      <c r="D34" s="174"/>
      <c r="E34" s="174"/>
      <c r="F34" s="174"/>
      <c r="G34" s="174">
        <f>G32+G33</f>
        <v>0</v>
      </c>
      <c r="H34" s="174"/>
      <c r="K34" s="301"/>
      <c r="L34" s="301"/>
      <c r="M34" s="301"/>
      <c r="N34" s="301"/>
      <c r="O34" s="301"/>
      <c r="P34" s="301"/>
    </row>
    <row r="35" spans="1:16" hidden="1">
      <c r="B35" s="174"/>
      <c r="C35" s="174"/>
      <c r="D35" s="174"/>
      <c r="E35" s="174"/>
      <c r="F35" s="174"/>
      <c r="G35" s="174">
        <f>G31-G34</f>
        <v>0</v>
      </c>
      <c r="H35" s="174"/>
      <c r="K35" s="301"/>
      <c r="L35" s="301"/>
      <c r="M35" s="301"/>
      <c r="N35" s="301"/>
      <c r="O35" s="301"/>
      <c r="P35" s="301"/>
    </row>
    <row r="36" spans="1:16">
      <c r="B36" s="173" t="s">
        <v>77</v>
      </c>
      <c r="C36" s="173" t="s">
        <v>78</v>
      </c>
      <c r="D36" s="173" t="s">
        <v>78</v>
      </c>
      <c r="E36" s="173" t="s">
        <v>79</v>
      </c>
      <c r="F36" s="173" t="s">
        <v>59</v>
      </c>
      <c r="G36" s="48"/>
      <c r="H36" s="48"/>
      <c r="K36" s="301"/>
      <c r="L36" s="301"/>
      <c r="M36" s="301"/>
      <c r="N36" s="301"/>
      <c r="O36" s="301"/>
      <c r="P36" s="301"/>
    </row>
    <row r="37" spans="1:16">
      <c r="A37" s="40" t="s">
        <v>109</v>
      </c>
      <c r="B37" s="172" t="s">
        <v>80</v>
      </c>
      <c r="C37" s="172" t="s">
        <v>81</v>
      </c>
      <c r="D37" s="172" t="s">
        <v>74</v>
      </c>
      <c r="E37" s="172" t="s">
        <v>82</v>
      </c>
      <c r="F37" s="172" t="s">
        <v>68</v>
      </c>
      <c r="G37" s="172" t="s">
        <v>257</v>
      </c>
      <c r="H37" s="48"/>
      <c r="K37" s="301"/>
      <c r="L37" s="301"/>
      <c r="M37" s="301"/>
      <c r="N37" s="301"/>
      <c r="O37" s="301"/>
      <c r="P37" s="301"/>
    </row>
    <row r="38" spans="1:16">
      <c r="A38" t="s">
        <v>308</v>
      </c>
      <c r="B38" s="61">
        <f>'Big Schedules'!Q79</f>
        <v>480000</v>
      </c>
      <c r="C38" s="61">
        <f>'Big Schedules'!R79</f>
        <v>640871.58799999999</v>
      </c>
      <c r="D38" s="61">
        <f>'Big Schedules'!S79</f>
        <v>684750.42000000016</v>
      </c>
      <c r="E38" s="61">
        <f>'Big Schedules'!T79</f>
        <v>887244.47400021553</v>
      </c>
      <c r="F38" s="62">
        <f>SUM(B38:E38)</f>
        <v>2692866.4820002159</v>
      </c>
      <c r="G38" s="493">
        <f>4*12</f>
        <v>48</v>
      </c>
      <c r="H38" s="48"/>
      <c r="K38" s="301">
        <f>'12MEJUN23'!P169</f>
        <v>2231175.7719999999</v>
      </c>
      <c r="L38" s="301">
        <f>F38-K38</f>
        <v>461690.71000021603</v>
      </c>
      <c r="M38" s="301">
        <f>'12MEJUN23'!P15</f>
        <v>39</v>
      </c>
      <c r="N38" s="301">
        <f>G38-M38</f>
        <v>9</v>
      </c>
      <c r="O38" s="301"/>
      <c r="P38" s="301"/>
    </row>
    <row r="39" spans="1:16">
      <c r="A39" s="158"/>
      <c r="B39" s="62"/>
      <c r="C39" s="273"/>
      <c r="D39" s="273"/>
      <c r="E39" s="273"/>
      <c r="F39" s="488"/>
      <c r="G39" s="273"/>
      <c r="H39" s="62"/>
      <c r="K39" s="301"/>
      <c r="L39" s="301"/>
      <c r="M39" s="301"/>
      <c r="N39" s="301"/>
      <c r="O39" s="301"/>
      <c r="P39" s="301"/>
    </row>
    <row r="40" spans="1:16">
      <c r="B40" s="173" t="s">
        <v>77</v>
      </c>
      <c r="C40" s="173" t="s">
        <v>78</v>
      </c>
      <c r="D40" s="173" t="s">
        <v>78</v>
      </c>
      <c r="E40" s="173" t="s">
        <v>78</v>
      </c>
      <c r="F40" s="173" t="s">
        <v>79</v>
      </c>
      <c r="G40" s="173" t="s">
        <v>59</v>
      </c>
      <c r="H40" s="48"/>
      <c r="K40" s="301"/>
      <c r="L40" s="301"/>
      <c r="M40" s="301"/>
      <c r="N40" s="301"/>
      <c r="O40" s="301"/>
      <c r="P40" s="301"/>
    </row>
    <row r="41" spans="1:16">
      <c r="A41" s="40" t="s">
        <v>84</v>
      </c>
      <c r="B41" s="172" t="s">
        <v>85</v>
      </c>
      <c r="C41" s="172" t="s">
        <v>86</v>
      </c>
      <c r="D41" s="172" t="s">
        <v>87</v>
      </c>
      <c r="E41" s="172" t="s">
        <v>88</v>
      </c>
      <c r="F41" s="164" t="s">
        <v>89</v>
      </c>
      <c r="G41" s="172" t="s">
        <v>68</v>
      </c>
      <c r="H41" s="172" t="s">
        <v>257</v>
      </c>
      <c r="K41" s="301">
        <f>'12MEJUN23'!P170</f>
        <v>33498214</v>
      </c>
      <c r="L41" s="301">
        <f>G42-K41</f>
        <v>-1304862</v>
      </c>
      <c r="M41" s="301">
        <f>'12MEJUN23'!P16</f>
        <v>431</v>
      </c>
      <c r="N41" s="301">
        <f>M41-H42</f>
        <v>11</v>
      </c>
      <c r="O41" s="301"/>
      <c r="P41" s="301"/>
    </row>
    <row r="42" spans="1:16">
      <c r="A42" t="s">
        <v>83</v>
      </c>
      <c r="B42" s="61">
        <f>'Big Schedules'!Q44</f>
        <v>7217935</v>
      </c>
      <c r="C42" s="61">
        <f>'Big Schedules'!R44</f>
        <v>7083974</v>
      </c>
      <c r="D42" s="61">
        <f>'Big Schedules'!S44</f>
        <v>13394294</v>
      </c>
      <c r="E42" s="61">
        <f>'Big Schedules'!T44</f>
        <v>2724881</v>
      </c>
      <c r="F42" s="61">
        <f>'Big Schedules'!U44</f>
        <v>1772268</v>
      </c>
      <c r="G42" s="62">
        <f>SUM(B42:F42)</f>
        <v>32193352</v>
      </c>
      <c r="H42" s="344">
        <f>35*12</f>
        <v>420</v>
      </c>
      <c r="K42" s="301"/>
      <c r="L42" s="301"/>
      <c r="M42" s="301"/>
      <c r="N42" s="301"/>
      <c r="O42" s="301"/>
      <c r="P42" s="301"/>
    </row>
    <row r="43" spans="1:16">
      <c r="B43" s="48"/>
      <c r="C43" s="48"/>
      <c r="D43" s="48"/>
      <c r="E43" s="48"/>
      <c r="F43" s="48"/>
      <c r="G43" s="48"/>
      <c r="H43" s="48"/>
      <c r="K43" s="301"/>
      <c r="L43" s="301"/>
      <c r="M43" s="301"/>
      <c r="N43" s="301"/>
      <c r="O43" s="301"/>
      <c r="P43" s="301"/>
    </row>
    <row r="44" spans="1:16">
      <c r="A44" s="40" t="s">
        <v>309</v>
      </c>
      <c r="B44" s="172" t="s">
        <v>65</v>
      </c>
      <c r="C44" s="48"/>
      <c r="D44" s="48"/>
      <c r="E44" s="48"/>
      <c r="F44" s="48"/>
      <c r="G44" s="48"/>
      <c r="H44" s="48"/>
      <c r="K44" s="301"/>
      <c r="L44" s="301"/>
      <c r="M44" s="301"/>
      <c r="N44" s="301"/>
      <c r="O44" s="301"/>
      <c r="P44" s="301"/>
    </row>
    <row r="45" spans="1:16">
      <c r="A45" t="s">
        <v>106</v>
      </c>
      <c r="B45" s="406">
        <f>'12MEJUN23'!P150</f>
        <v>10047176</v>
      </c>
      <c r="C45" s="48"/>
      <c r="D45" s="48"/>
      <c r="E45" s="48"/>
      <c r="F45" s="62"/>
      <c r="G45" s="48"/>
      <c r="H45" s="48"/>
      <c r="K45" s="301">
        <f>'12MEJUN23'!P171</f>
        <v>10047176</v>
      </c>
      <c r="L45" s="301">
        <f>B45-K45</f>
        <v>0</v>
      </c>
      <c r="M45" s="301"/>
      <c r="N45" s="301"/>
      <c r="O45" s="301"/>
      <c r="P45" s="301"/>
    </row>
    <row r="46" spans="1:16">
      <c r="B46" s="48"/>
      <c r="C46" s="48"/>
      <c r="D46" s="48"/>
      <c r="E46" s="48"/>
      <c r="F46" s="48"/>
      <c r="G46" s="48"/>
      <c r="H46" s="48"/>
      <c r="K46" s="301"/>
      <c r="L46" s="301"/>
      <c r="M46" s="301"/>
      <c r="N46" s="301"/>
      <c r="O46" s="301"/>
      <c r="P46" s="301"/>
    </row>
    <row r="47" spans="1:16">
      <c r="A47" s="40" t="s">
        <v>310</v>
      </c>
      <c r="B47" s="172" t="s">
        <v>65</v>
      </c>
      <c r="C47" s="172" t="s">
        <v>257</v>
      </c>
      <c r="D47" s="48"/>
      <c r="E47" s="48"/>
      <c r="F47" s="48"/>
      <c r="G47" s="48"/>
      <c r="H47" s="48"/>
      <c r="K47" s="301"/>
      <c r="L47" s="301"/>
      <c r="M47" s="301"/>
      <c r="N47" s="301"/>
      <c r="O47" s="301"/>
      <c r="P47" s="301"/>
    </row>
    <row r="48" spans="1:16">
      <c r="A48" s="352" t="s">
        <v>187</v>
      </c>
      <c r="B48" s="61">
        <f>'Big Schedules'!O93</f>
        <v>23379996</v>
      </c>
      <c r="C48" s="350">
        <v>12</v>
      </c>
      <c r="D48" s="48"/>
      <c r="E48" s="48"/>
      <c r="F48" s="48"/>
      <c r="G48" s="48"/>
      <c r="H48" s="48"/>
      <c r="K48" s="301"/>
      <c r="L48" s="301"/>
      <c r="M48" s="301"/>
      <c r="N48" s="301"/>
      <c r="O48" s="301"/>
      <c r="P48" s="301"/>
    </row>
    <row r="49" spans="1:16">
      <c r="A49" s="352" t="s">
        <v>94</v>
      </c>
      <c r="B49" s="61">
        <f>'Big Schedules'!O94</f>
        <v>5164136</v>
      </c>
      <c r="C49" s="350">
        <v>12</v>
      </c>
      <c r="D49" s="48"/>
      <c r="E49" s="48"/>
      <c r="F49" s="48"/>
      <c r="G49" s="48"/>
      <c r="H49" s="48"/>
      <c r="K49" s="301"/>
      <c r="L49" s="301"/>
      <c r="M49" s="301"/>
      <c r="N49" s="301"/>
      <c r="O49" s="301"/>
      <c r="P49" s="301"/>
    </row>
    <row r="50" spans="1:16">
      <c r="A50" s="352" t="s">
        <v>188</v>
      </c>
      <c r="B50" s="406">
        <v>0</v>
      </c>
      <c r="C50" s="407">
        <v>0</v>
      </c>
      <c r="D50" s="48"/>
      <c r="E50" s="48"/>
      <c r="F50" s="48"/>
      <c r="G50" s="48"/>
      <c r="H50" s="48"/>
      <c r="K50" s="301"/>
      <c r="L50" s="301"/>
      <c r="M50" s="301"/>
      <c r="N50" s="301"/>
      <c r="O50" s="301"/>
      <c r="P50" s="301"/>
    </row>
    <row r="51" spans="1:16">
      <c r="A51" s="352" t="s">
        <v>93</v>
      </c>
      <c r="B51" s="335">
        <f>'Big Schedules'!O95</f>
        <v>5714117</v>
      </c>
      <c r="C51" s="351">
        <v>12</v>
      </c>
      <c r="D51" s="48"/>
      <c r="E51" s="48"/>
      <c r="F51" s="48"/>
      <c r="G51" s="48"/>
      <c r="H51" s="48"/>
      <c r="K51" s="301">
        <f>'12MEJUN23'!P172</f>
        <v>45513003</v>
      </c>
      <c r="L51" s="301">
        <f>B52+B54-K51</f>
        <v>-1627167</v>
      </c>
      <c r="M51" s="301">
        <f>'12MEJUN23'!P17+'12MEJUN23'!P18</f>
        <v>95</v>
      </c>
      <c r="N51" s="301">
        <v>-12</v>
      </c>
      <c r="O51" s="301"/>
      <c r="P51" s="301"/>
    </row>
    <row r="52" spans="1:16">
      <c r="A52" s="35" t="s">
        <v>59</v>
      </c>
      <c r="B52" s="62">
        <f>SUM(B48:B51)</f>
        <v>34258249</v>
      </c>
      <c r="C52" s="62">
        <f>SUM(C48:C51)</f>
        <v>36</v>
      </c>
      <c r="D52" s="48"/>
      <c r="E52" s="48"/>
      <c r="F52" s="48"/>
      <c r="G52" s="48"/>
      <c r="H52" s="48"/>
      <c r="K52" s="301"/>
      <c r="L52" s="301"/>
      <c r="M52" s="301"/>
      <c r="N52" s="301"/>
      <c r="O52" s="301"/>
      <c r="P52" s="301"/>
    </row>
    <row r="53" spans="1:16">
      <c r="B53" s="62"/>
      <c r="C53" s="62"/>
      <c r="D53" s="48"/>
      <c r="E53" s="48"/>
      <c r="F53" s="48"/>
      <c r="G53" s="48"/>
      <c r="H53" s="48"/>
      <c r="K53" s="301"/>
      <c r="L53" s="301"/>
      <c r="M53" s="301" t="s">
        <v>520</v>
      </c>
      <c r="N53" s="301">
        <v>-24</v>
      </c>
      <c r="O53" s="301"/>
      <c r="P53" s="301"/>
    </row>
    <row r="54" spans="1:16">
      <c r="A54" s="352" t="s">
        <v>189</v>
      </c>
      <c r="B54" s="61">
        <f>MAX(8000000,'Big Schedules'!O96)</f>
        <v>9627587</v>
      </c>
      <c r="C54" s="344">
        <v>12</v>
      </c>
      <c r="D54" s="48"/>
      <c r="E54" s="48"/>
      <c r="F54" s="173"/>
      <c r="G54" s="173"/>
      <c r="H54" s="173"/>
      <c r="I54" s="32"/>
      <c r="K54" s="513"/>
      <c r="L54" s="301"/>
      <c r="M54" s="301"/>
      <c r="N54" s="301"/>
      <c r="O54" s="301"/>
      <c r="P54" s="301"/>
    </row>
    <row r="55" spans="1:16">
      <c r="B55" s="48"/>
      <c r="C55" s="48"/>
      <c r="D55" s="48"/>
      <c r="E55" s="48"/>
      <c r="F55" s="48"/>
      <c r="G55" s="48"/>
      <c r="H55" s="48"/>
      <c r="K55" s="301">
        <f>SUM(K7:K53)</f>
        <v>291251513.40562999</v>
      </c>
      <c r="L55" s="301">
        <f>SUM(L7:L53)</f>
        <v>-0.28999979142099619</v>
      </c>
      <c r="M55" s="301">
        <f t="shared" ref="M55" si="4">SUM(M7:M53)</f>
        <v>2119434</v>
      </c>
      <c r="N55" s="301">
        <f>SUM(N7:N53)</f>
        <v>0</v>
      </c>
      <c r="O55" s="301"/>
      <c r="P55" s="301"/>
    </row>
    <row r="56" spans="1:16">
      <c r="B56" s="48"/>
      <c r="C56" s="48"/>
      <c r="D56" s="48"/>
      <c r="E56" s="48"/>
      <c r="F56" s="48"/>
      <c r="G56" s="48"/>
      <c r="H56" s="48"/>
    </row>
    <row r="57" spans="1:16">
      <c r="B57" s="48"/>
      <c r="C57" s="48"/>
      <c r="D57" s="48"/>
      <c r="E57" s="48"/>
      <c r="F57" s="48"/>
      <c r="G57" s="48"/>
      <c r="H57" s="48"/>
    </row>
    <row r="58" spans="1:16">
      <c r="B58" s="48"/>
      <c r="C58" s="48"/>
      <c r="D58" s="48"/>
      <c r="E58" s="48"/>
      <c r="F58" s="48"/>
      <c r="G58" s="48"/>
      <c r="H58" s="48"/>
    </row>
    <row r="59" spans="1:16">
      <c r="B59" s="48"/>
      <c r="C59" s="48"/>
      <c r="D59" s="48"/>
      <c r="E59" s="48"/>
      <c r="F59" s="48"/>
      <c r="G59" s="48"/>
      <c r="H59" s="48"/>
    </row>
    <row r="60" spans="1:16">
      <c r="B60" s="48"/>
      <c r="C60" s="48"/>
      <c r="D60" s="48"/>
      <c r="E60" s="48"/>
      <c r="F60" s="48"/>
      <c r="G60" s="48"/>
      <c r="H60" s="48"/>
    </row>
    <row r="62" spans="1:16">
      <c r="A62" s="180" t="s">
        <v>280</v>
      </c>
    </row>
    <row r="63" spans="1:16" ht="13.5" thickBot="1">
      <c r="A63" s="58" t="s">
        <v>276</v>
      </c>
      <c r="B63" s="489">
        <f>B7+G17+F38+G42+B45+B52+B54+G29</f>
        <v>291251513.11563015</v>
      </c>
    </row>
    <row r="64" spans="1:16" ht="13.5" thickTop="1">
      <c r="A64" s="58"/>
      <c r="B64" s="490"/>
    </row>
    <row r="65" spans="1:7">
      <c r="A65" s="58" t="s">
        <v>277</v>
      </c>
      <c r="B65" s="411">
        <f>'12MEJUN23'!P173</f>
        <v>291251513.40562999</v>
      </c>
    </row>
    <row r="66" spans="1:7">
      <c r="A66" s="410" t="s">
        <v>107</v>
      </c>
      <c r="B66" s="411"/>
      <c r="D66" s="331"/>
    </row>
    <row r="67" spans="1:7">
      <c r="A67" s="410" t="s">
        <v>437</v>
      </c>
      <c r="B67" s="411">
        <f>-'Big Schedules'!C89</f>
        <v>4.0000000000873115E-2</v>
      </c>
      <c r="E67" s="34"/>
      <c r="F67" s="34"/>
      <c r="G67" s="34"/>
    </row>
    <row r="68" spans="1:7">
      <c r="A68" s="410" t="s">
        <v>438</v>
      </c>
      <c r="B68" s="411">
        <f>G30</f>
        <v>0</v>
      </c>
      <c r="E68" s="34"/>
      <c r="F68" s="34"/>
      <c r="G68" s="34"/>
    </row>
    <row r="69" spans="1:7">
      <c r="A69" s="410" t="s">
        <v>439</v>
      </c>
      <c r="B69" s="411"/>
      <c r="E69" s="34"/>
      <c r="F69" s="34"/>
      <c r="G69" s="34"/>
    </row>
    <row r="70" spans="1:7">
      <c r="A70" s="410" t="s">
        <v>293</v>
      </c>
      <c r="B70" s="411"/>
      <c r="E70" s="34"/>
      <c r="F70" s="34"/>
      <c r="G70" s="34"/>
    </row>
    <row r="71" spans="1:7" ht="13.5" thickBot="1">
      <c r="A71" s="58"/>
      <c r="B71" s="491">
        <f>B65-SUM(B66:B70)</f>
        <v>291251513.36562997</v>
      </c>
      <c r="E71" s="34"/>
      <c r="F71" s="34"/>
      <c r="G71" s="34"/>
    </row>
    <row r="72" spans="1:7" ht="13.5" thickTop="1">
      <c r="A72" s="58" t="s">
        <v>108</v>
      </c>
      <c r="B72" s="492">
        <f>B63-B71</f>
        <v>-0.24999982118606567</v>
      </c>
      <c r="E72" s="34"/>
      <c r="F72" s="34"/>
      <c r="G72" s="34"/>
    </row>
    <row r="73" spans="1:7">
      <c r="A73" s="58"/>
      <c r="B73" s="60"/>
      <c r="E73" s="34"/>
      <c r="F73" s="34"/>
      <c r="G73" s="34"/>
    </row>
    <row r="74" spans="1:7">
      <c r="A74" s="37" t="s">
        <v>258</v>
      </c>
      <c r="B74" s="60">
        <f>SUM('Pres &amp; Prop Rev'!D17:J17)</f>
        <v>291251513.11563027</v>
      </c>
      <c r="E74" s="34"/>
      <c r="F74" s="34"/>
      <c r="G74" s="34"/>
    </row>
    <row r="75" spans="1:7">
      <c r="A75" s="37" t="s">
        <v>259</v>
      </c>
      <c r="B75" s="133">
        <f>B63</f>
        <v>291251513.11563015</v>
      </c>
      <c r="E75" s="34"/>
      <c r="F75" s="34"/>
      <c r="G75" s="34"/>
    </row>
    <row r="76" spans="1:7">
      <c r="A76" s="58" t="s">
        <v>108</v>
      </c>
      <c r="B76" s="166">
        <f>B74-B75</f>
        <v>0</v>
      </c>
      <c r="E76" s="34"/>
      <c r="F76" s="34"/>
      <c r="G76" s="34"/>
    </row>
    <row r="77" spans="1:7">
      <c r="A77" s="168"/>
      <c r="B77" s="167"/>
      <c r="E77" s="34"/>
      <c r="F77" s="34"/>
      <c r="G77" s="34"/>
    </row>
    <row r="78" spans="1:7">
      <c r="B78" s="37"/>
      <c r="G78" s="34"/>
    </row>
    <row r="79" spans="1:7">
      <c r="A79" s="180" t="s">
        <v>98</v>
      </c>
      <c r="B79" s="37"/>
      <c r="G79" s="34"/>
    </row>
    <row r="80" spans="1:7" ht="13.5" thickBot="1">
      <c r="A80" s="58" t="s">
        <v>262</v>
      </c>
      <c r="B80" s="170">
        <f>C7+H17+G38+H42+C52+C54+H29</f>
        <v>2119401</v>
      </c>
      <c r="D80" s="512"/>
    </row>
    <row r="81" spans="1:8" ht="13.5" thickTop="1">
      <c r="B81" s="37"/>
    </row>
    <row r="82" spans="1:8">
      <c r="A82" s="37" t="s">
        <v>260</v>
      </c>
      <c r="B82" s="39">
        <f>'12MEJUN23'!O33</f>
        <v>2119434</v>
      </c>
    </row>
    <row r="83" spans="1:8">
      <c r="A83" s="59" t="s">
        <v>107</v>
      </c>
      <c r="B83" s="39"/>
    </row>
    <row r="84" spans="1:8">
      <c r="A84" s="59" t="s">
        <v>60</v>
      </c>
      <c r="B84" s="39">
        <f>-H15</f>
        <v>-16</v>
      </c>
      <c r="D84" s="196"/>
      <c r="G84">
        <v>12</v>
      </c>
      <c r="H84" t="s">
        <v>517</v>
      </c>
    </row>
    <row r="85" spans="1:8">
      <c r="A85" s="59" t="s">
        <v>278</v>
      </c>
      <c r="B85" s="39">
        <v>0</v>
      </c>
      <c r="D85" s="196"/>
      <c r="H85" t="s">
        <v>518</v>
      </c>
    </row>
    <row r="86" spans="1:8">
      <c r="A86" s="59" t="s">
        <v>274</v>
      </c>
      <c r="B86" s="165">
        <v>0</v>
      </c>
      <c r="C86" s="175"/>
      <c r="D86" s="356"/>
      <c r="H86" t="s">
        <v>518</v>
      </c>
    </row>
    <row r="87" spans="1:8">
      <c r="A87" s="59" t="s">
        <v>261</v>
      </c>
      <c r="B87" s="165">
        <f>'12MEJUN23'!O30-'Bill Determ'!H42</f>
        <v>11</v>
      </c>
      <c r="D87" s="356"/>
      <c r="H87" t="s">
        <v>519</v>
      </c>
    </row>
    <row r="88" spans="1:8">
      <c r="A88" s="59" t="s">
        <v>263</v>
      </c>
      <c r="B88" s="39">
        <f>'12MEJUN23'!O31</f>
        <v>35</v>
      </c>
      <c r="D88" s="356"/>
      <c r="H88" t="s">
        <v>519</v>
      </c>
    </row>
    <row r="89" spans="1:8">
      <c r="A89" s="59" t="s">
        <v>275</v>
      </c>
      <c r="B89" s="39">
        <v>12</v>
      </c>
    </row>
    <row r="90" spans="1:8" ht="13.5" thickBot="1">
      <c r="A90" s="37"/>
      <c r="B90" s="169">
        <f>B82-SUM(B83:B89)</f>
        <v>2119392</v>
      </c>
    </row>
    <row r="91" spans="1:8" ht="13.5" thickTop="1">
      <c r="A91" s="58" t="s">
        <v>108</v>
      </c>
      <c r="B91" s="166">
        <f>B80-B90</f>
        <v>9</v>
      </c>
    </row>
    <row r="92" spans="1:8">
      <c r="A92" s="37"/>
      <c r="B92" s="167"/>
    </row>
    <row r="93" spans="1:8" ht="13.5" thickBot="1">
      <c r="A93" s="37" t="s">
        <v>258</v>
      </c>
      <c r="B93" s="170">
        <f>SUM('Pres &amp; Prop Rev'!D25:J26)</f>
        <v>2119401</v>
      </c>
    </row>
    <row r="94" spans="1:8" ht="13.5" thickTop="1">
      <c r="A94" s="58" t="s">
        <v>108</v>
      </c>
      <c r="B94" s="166">
        <f>B90-B93</f>
        <v>-9</v>
      </c>
    </row>
  </sheetData>
  <phoneticPr fontId="0" type="noConversion"/>
  <conditionalFormatting sqref="B94 B91 B76:B77 B72">
    <cfRule type="expression" dxfId="2" priority="1" stopIfTrue="1">
      <formula>ABS(B72)&gt;0.5</formula>
    </cfRule>
  </conditionalFormatting>
  <pageMargins left="0.75" right="0.75" top="0.5" bottom="0.25" header="0.5" footer="0.5"/>
  <pageSetup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tabColor rgb="FF92D050"/>
    <pageSetUpPr fitToPage="1"/>
  </sheetPr>
  <dimension ref="A1:S73"/>
  <sheetViews>
    <sheetView workbookViewId="0">
      <selection activeCell="C39" sqref="C39"/>
    </sheetView>
  </sheetViews>
  <sheetFormatPr defaultRowHeight="12.75"/>
  <cols>
    <col min="1" max="1" width="11.7109375" customWidth="1"/>
    <col min="2" max="2" width="16.5703125" bestFit="1" customWidth="1"/>
    <col min="3" max="7" width="12.85546875" bestFit="1" customWidth="1"/>
    <col min="8" max="11" width="14" bestFit="1" customWidth="1"/>
    <col min="12" max="12" width="12.85546875" bestFit="1" customWidth="1"/>
    <col min="13" max="13" width="12.28515625" bestFit="1" customWidth="1"/>
    <col min="14" max="14" width="12.85546875" bestFit="1" customWidth="1"/>
    <col min="15" max="15" width="14.5703125" bestFit="1" customWidth="1"/>
    <col min="16" max="16" width="7.42578125" customWidth="1"/>
  </cols>
  <sheetData>
    <row r="1" spans="1:19">
      <c r="A1" t="s">
        <v>346</v>
      </c>
    </row>
    <row r="2" spans="1:19">
      <c r="C2" s="32" t="s">
        <v>332</v>
      </c>
      <c r="D2" s="32" t="s">
        <v>333</v>
      </c>
      <c r="E2" s="32" t="s">
        <v>334</v>
      </c>
      <c r="F2" s="32" t="s">
        <v>335</v>
      </c>
      <c r="G2" s="32" t="s">
        <v>336</v>
      </c>
      <c r="H2" s="32" t="s">
        <v>337</v>
      </c>
      <c r="I2" s="32" t="s">
        <v>338</v>
      </c>
      <c r="J2" s="32" t="s">
        <v>339</v>
      </c>
      <c r="K2" s="32" t="s">
        <v>340</v>
      </c>
      <c r="L2" s="32" t="s">
        <v>329</v>
      </c>
      <c r="M2" s="32" t="s">
        <v>330</v>
      </c>
      <c r="N2" s="32" t="s">
        <v>331</v>
      </c>
      <c r="O2" s="32" t="s">
        <v>341</v>
      </c>
      <c r="Q2" s="32"/>
      <c r="R2" s="32"/>
      <c r="S2" s="32"/>
    </row>
    <row r="3" spans="1:19">
      <c r="A3" t="s">
        <v>342</v>
      </c>
    </row>
    <row r="4" spans="1:19">
      <c r="A4" s="273"/>
      <c r="B4" s="306" t="s">
        <v>443</v>
      </c>
      <c r="O4" s="294"/>
    </row>
    <row r="5" spans="1:19">
      <c r="B5" t="s">
        <v>313</v>
      </c>
      <c r="C5" s="295">
        <f>'12MEJUN23'!D54+'12MEJUN23'!D67-51</f>
        <v>2524143.22163</v>
      </c>
      <c r="D5" s="295">
        <f>'12MEJUN23'!E54+'12MEJUN23'!E67-27</f>
        <v>1949455.5137100001</v>
      </c>
      <c r="E5" s="295">
        <f>'12MEJUN23'!F54+'12MEJUN23'!F67-20</f>
        <v>2060189.72288</v>
      </c>
      <c r="F5" s="295">
        <f>'12MEJUN23'!G54+'12MEJUN23'!G67</f>
        <v>2961933.4218199998</v>
      </c>
      <c r="G5" s="295">
        <f>'12MEJUN23'!H54+'12MEJUN23'!H67</f>
        <v>8811721.1217800006</v>
      </c>
      <c r="H5" s="295">
        <f>'12MEJUN23'!I54+'12MEJUN23'!I67</f>
        <v>11296886.843050001</v>
      </c>
      <c r="I5" s="295">
        <f>'12MEJUN23'!J54+'12MEJUN23'!J67-27</f>
        <v>11352523.17898</v>
      </c>
      <c r="J5" s="295">
        <f>'12MEJUN23'!K54+'12MEJUN23'!K67-26</f>
        <v>10219306.060729999</v>
      </c>
      <c r="K5" s="295">
        <f>'12MEJUN23'!L54+'12MEJUN23'!L67</f>
        <v>11859310.51471</v>
      </c>
      <c r="L5" s="295">
        <f>'12MEJUN23'!M54+'12MEJUN23'!M67</f>
        <v>9428292.4011899997</v>
      </c>
      <c r="M5" s="295">
        <f>'12MEJUN23'!N54+'12MEJUN23'!N67</f>
        <v>6041265.5646900004</v>
      </c>
      <c r="N5" s="295">
        <f>'12MEJUN23'!O54+'12MEJUN23'!O67-85</f>
        <v>2488631.4810200003</v>
      </c>
      <c r="O5" s="294">
        <f>SUM(C5:N5)</f>
        <v>80993659.046190009</v>
      </c>
    </row>
    <row r="6" spans="1:19">
      <c r="B6" t="s">
        <v>314</v>
      </c>
      <c r="C6" s="295">
        <f>'12MEJUN23'!D55+'12MEJUN23'!D68</f>
        <v>205356.61752</v>
      </c>
      <c r="D6" s="295">
        <f>'12MEJUN23'!E55+'12MEJUN23'!E68</f>
        <v>118826.30682</v>
      </c>
      <c r="E6" s="295">
        <f>'12MEJUN23'!F55+'12MEJUN23'!F68</f>
        <v>158438.59107000002</v>
      </c>
      <c r="F6" s="295">
        <f>'12MEJUN23'!G55+'12MEJUN23'!G68</f>
        <v>214275.83355000001</v>
      </c>
      <c r="G6" s="295">
        <f>'12MEJUN23'!H55+'12MEJUN23'!H68</f>
        <v>3761627.5144400001</v>
      </c>
      <c r="H6" s="295">
        <f>'12MEJUN23'!I55+'12MEJUN23'!I68</f>
        <v>13685450.651520001</v>
      </c>
      <c r="I6" s="295">
        <f>'12MEJUN23'!J55+'12MEJUN23'!J68</f>
        <v>13944350.82309</v>
      </c>
      <c r="J6" s="295">
        <f>'12MEJUN23'!K55+'12MEJUN23'!K68</f>
        <v>9360350.3668900002</v>
      </c>
      <c r="K6" s="295">
        <f>'12MEJUN23'!L55+'12MEJUN23'!L68</f>
        <v>9453154.1384100001</v>
      </c>
      <c r="L6" s="295">
        <f>'12MEJUN23'!M55+'12MEJUN23'!M68</f>
        <v>3749456.15093</v>
      </c>
      <c r="M6" s="295">
        <f>'12MEJUN23'!N55+'12MEJUN23'!N68</f>
        <v>710127.06712000002</v>
      </c>
      <c r="N6" s="295">
        <f>'12MEJUN23'!O55+'12MEJUN23'!O68</f>
        <v>188199.75013</v>
      </c>
      <c r="O6" s="294">
        <f>SUM(C6:N6)</f>
        <v>55549613.811489999</v>
      </c>
    </row>
    <row r="7" spans="1:19">
      <c r="A7" t="s">
        <v>298</v>
      </c>
      <c r="B7" s="32" t="s">
        <v>59</v>
      </c>
      <c r="C7" s="296">
        <f t="shared" ref="C7:O7" si="0">SUM(C5:C6)</f>
        <v>2729499.8391499999</v>
      </c>
      <c r="D7" s="296">
        <f t="shared" si="0"/>
        <v>2068281.8205300001</v>
      </c>
      <c r="E7" s="296">
        <f t="shared" si="0"/>
        <v>2218628.3139499999</v>
      </c>
      <c r="F7" s="296">
        <f t="shared" si="0"/>
        <v>3176209.2553699999</v>
      </c>
      <c r="G7" s="296">
        <f t="shared" si="0"/>
        <v>12573348.636220001</v>
      </c>
      <c r="H7" s="296">
        <f t="shared" si="0"/>
        <v>24982337.494570002</v>
      </c>
      <c r="I7" s="296">
        <f t="shared" si="0"/>
        <v>25296874.002070002</v>
      </c>
      <c r="J7" s="296">
        <f t="shared" si="0"/>
        <v>19579656.427620001</v>
      </c>
      <c r="K7" s="296">
        <f t="shared" si="0"/>
        <v>21312464.65312</v>
      </c>
      <c r="L7" s="296">
        <f t="shared" si="0"/>
        <v>13177748.55212</v>
      </c>
      <c r="M7" s="296">
        <f t="shared" si="0"/>
        <v>6751392.6318100002</v>
      </c>
      <c r="N7" s="296">
        <f t="shared" si="0"/>
        <v>2676831.2311500004</v>
      </c>
      <c r="O7" s="296">
        <f t="shared" si="0"/>
        <v>136543272.85768002</v>
      </c>
    </row>
    <row r="8" spans="1:19">
      <c r="B8" t="s">
        <v>343</v>
      </c>
      <c r="C8" s="297">
        <f>'12MEJUN23'!C26</f>
        <v>171944</v>
      </c>
      <c r="D8" s="297">
        <f>'12MEJUN23'!D26</f>
        <v>172697</v>
      </c>
      <c r="E8" s="297">
        <f>'12MEJUN23'!E26</f>
        <v>172525</v>
      </c>
      <c r="F8" s="297">
        <f>'12MEJUN23'!F26</f>
        <v>173078</v>
      </c>
      <c r="G8" s="297">
        <f>'12MEJUN23'!G26</f>
        <v>173064</v>
      </c>
      <c r="H8" s="297">
        <f>'12MEJUN23'!H26</f>
        <v>173277</v>
      </c>
      <c r="I8" s="297">
        <f>'12MEJUN23'!I26</f>
        <v>173633</v>
      </c>
      <c r="J8" s="297">
        <f>'12MEJUN23'!J26</f>
        <v>172712</v>
      </c>
      <c r="K8" s="297">
        <f>'12MEJUN23'!K26</f>
        <v>173942</v>
      </c>
      <c r="L8" s="297">
        <f>'12MEJUN23'!L26</f>
        <v>173889</v>
      </c>
      <c r="M8" s="297">
        <f>'12MEJUN23'!M26</f>
        <v>173225</v>
      </c>
      <c r="N8" s="297">
        <f>'12MEJUN23'!N26</f>
        <v>173320</v>
      </c>
      <c r="O8" s="298">
        <f>SUM(C8:N8)</f>
        <v>2077306</v>
      </c>
    </row>
    <row r="9" spans="1:19">
      <c r="B9" t="s">
        <v>344</v>
      </c>
      <c r="C9" s="294">
        <f>C8*70</f>
        <v>12036080</v>
      </c>
      <c r="D9" s="294">
        <f t="shared" ref="D9:N9" si="1">D8*70</f>
        <v>12088790</v>
      </c>
      <c r="E9" s="294">
        <f t="shared" si="1"/>
        <v>12076750</v>
      </c>
      <c r="F9" s="294">
        <f t="shared" si="1"/>
        <v>12115460</v>
      </c>
      <c r="G9" s="294">
        <f t="shared" si="1"/>
        <v>12114480</v>
      </c>
      <c r="H9" s="294">
        <f t="shared" si="1"/>
        <v>12129390</v>
      </c>
      <c r="I9" s="294">
        <f t="shared" si="1"/>
        <v>12154310</v>
      </c>
      <c r="J9" s="294">
        <f t="shared" si="1"/>
        <v>12089840</v>
      </c>
      <c r="K9" s="294">
        <f t="shared" si="1"/>
        <v>12175940</v>
      </c>
      <c r="L9" s="294">
        <f t="shared" si="1"/>
        <v>12172230</v>
      </c>
      <c r="M9" s="294">
        <f t="shared" si="1"/>
        <v>12125750</v>
      </c>
      <c r="N9" s="294">
        <f t="shared" si="1"/>
        <v>12132400</v>
      </c>
      <c r="O9" s="298">
        <f>SUM(C9:N9)</f>
        <v>145411420</v>
      </c>
    </row>
    <row r="10" spans="1:19">
      <c r="B10" t="s">
        <v>345</v>
      </c>
      <c r="C10" s="297">
        <f>'12MEJUN23'!D166</f>
        <v>2729499.8391499999</v>
      </c>
      <c r="D10" s="297">
        <f>'12MEJUN23'!E166</f>
        <v>2068281.8205299999</v>
      </c>
      <c r="E10" s="297">
        <f>'12MEJUN23'!F166</f>
        <v>2218628.3139500003</v>
      </c>
      <c r="F10" s="297">
        <f>'12MEJUN23'!G166</f>
        <v>3176209.2553699999</v>
      </c>
      <c r="G10" s="297">
        <f>'12MEJUN23'!H166</f>
        <v>12573348.636220001</v>
      </c>
      <c r="H10" s="297">
        <f>'12MEJUN23'!I166</f>
        <v>24982337.494570002</v>
      </c>
      <c r="I10" s="297">
        <f>'12MEJUN23'!J166</f>
        <v>25296874.002070002</v>
      </c>
      <c r="J10" s="297">
        <f>'12MEJUN23'!K166</f>
        <v>19579656.427620001</v>
      </c>
      <c r="K10" s="297">
        <f>'12MEJUN23'!L166</f>
        <v>21312464.65312</v>
      </c>
      <c r="L10" s="297">
        <f>'12MEJUN23'!M166</f>
        <v>13177748.55212</v>
      </c>
      <c r="M10" s="297">
        <f>'12MEJUN23'!N166</f>
        <v>6751392.6318100002</v>
      </c>
      <c r="N10" s="297">
        <f>'12MEJUN23'!O166</f>
        <v>2676831.2311500004</v>
      </c>
      <c r="O10" s="298">
        <f>SUM(C10:N10)</f>
        <v>136543272.85767999</v>
      </c>
    </row>
    <row r="11" spans="1:19">
      <c r="B11" t="s">
        <v>288</v>
      </c>
      <c r="C11" s="294">
        <f>C10-C7</f>
        <v>0</v>
      </c>
      <c r="D11" s="294">
        <f t="shared" ref="D11:N11" si="2">D10-D7</f>
        <v>0</v>
      </c>
      <c r="E11" s="294">
        <f t="shared" si="2"/>
        <v>0</v>
      </c>
      <c r="F11" s="294">
        <f t="shared" si="2"/>
        <v>0</v>
      </c>
      <c r="G11" s="294">
        <f t="shared" si="2"/>
        <v>0</v>
      </c>
      <c r="H11" s="294">
        <f t="shared" si="2"/>
        <v>0</v>
      </c>
      <c r="I11" s="299">
        <f t="shared" si="2"/>
        <v>0</v>
      </c>
      <c r="J11" s="299">
        <f t="shared" si="2"/>
        <v>0</v>
      </c>
      <c r="K11" s="299">
        <f t="shared" si="2"/>
        <v>0</v>
      </c>
      <c r="L11" s="299">
        <f t="shared" si="2"/>
        <v>0</v>
      </c>
      <c r="M11" s="299">
        <f t="shared" si="2"/>
        <v>0</v>
      </c>
      <c r="N11" s="299">
        <f t="shared" si="2"/>
        <v>0</v>
      </c>
      <c r="O11" s="298">
        <f>SUM(C11:N11)</f>
        <v>0</v>
      </c>
      <c r="P11" s="300">
        <f>O11/O10</f>
        <v>0</v>
      </c>
    </row>
    <row r="12" spans="1:19">
      <c r="C12" s="294"/>
      <c r="D12" s="294"/>
      <c r="E12" s="294"/>
      <c r="F12" s="294"/>
      <c r="G12" s="294"/>
      <c r="H12" s="294"/>
      <c r="I12" s="299"/>
      <c r="J12" s="299"/>
      <c r="K12" s="299"/>
      <c r="L12" s="299"/>
      <c r="M12" s="299"/>
      <c r="N12" s="299"/>
      <c r="O12" s="298"/>
      <c r="P12" s="300"/>
    </row>
    <row r="13" spans="1:19">
      <c r="B13" t="s">
        <v>313</v>
      </c>
      <c r="C13" s="301">
        <f t="shared" ref="C13:N13" si="3">(C5/C$7)*C$11</f>
        <v>0</v>
      </c>
      <c r="D13" s="301">
        <f t="shared" si="3"/>
        <v>0</v>
      </c>
      <c r="E13" s="301">
        <f t="shared" si="3"/>
        <v>0</v>
      </c>
      <c r="F13" s="301">
        <f t="shared" si="3"/>
        <v>0</v>
      </c>
      <c r="G13" s="301">
        <f t="shared" si="3"/>
        <v>0</v>
      </c>
      <c r="H13" s="301">
        <f t="shared" si="3"/>
        <v>0</v>
      </c>
      <c r="I13" s="301">
        <f t="shared" si="3"/>
        <v>0</v>
      </c>
      <c r="J13" s="301">
        <f t="shared" si="3"/>
        <v>0</v>
      </c>
      <c r="K13" s="301">
        <f t="shared" si="3"/>
        <v>0</v>
      </c>
      <c r="L13" s="301">
        <f t="shared" si="3"/>
        <v>0</v>
      </c>
      <c r="M13" s="301">
        <f t="shared" si="3"/>
        <v>0</v>
      </c>
      <c r="N13" s="301">
        <f t="shared" si="3"/>
        <v>0</v>
      </c>
      <c r="O13" s="301">
        <f>SUM(C13:N13)</f>
        <v>0</v>
      </c>
      <c r="P13" s="300"/>
    </row>
    <row r="14" spans="1:19">
      <c r="B14" t="s">
        <v>314</v>
      </c>
      <c r="C14" s="302">
        <f t="shared" ref="C14:N14" si="4">(C6/C$7)*C$11</f>
        <v>0</v>
      </c>
      <c r="D14" s="302">
        <f t="shared" si="4"/>
        <v>0</v>
      </c>
      <c r="E14" s="302">
        <f t="shared" si="4"/>
        <v>0</v>
      </c>
      <c r="F14" s="302">
        <f t="shared" si="4"/>
        <v>0</v>
      </c>
      <c r="G14" s="302">
        <f t="shared" si="4"/>
        <v>0</v>
      </c>
      <c r="H14" s="302">
        <f t="shared" si="4"/>
        <v>0</v>
      </c>
      <c r="I14" s="302">
        <f t="shared" si="4"/>
        <v>0</v>
      </c>
      <c r="J14" s="302">
        <f t="shared" si="4"/>
        <v>0</v>
      </c>
      <c r="K14" s="302">
        <f t="shared" si="4"/>
        <v>0</v>
      </c>
      <c r="L14" s="302">
        <f t="shared" si="4"/>
        <v>0</v>
      </c>
      <c r="M14" s="302">
        <f t="shared" si="4"/>
        <v>0</v>
      </c>
      <c r="N14" s="302">
        <f t="shared" si="4"/>
        <v>0</v>
      </c>
      <c r="O14" s="302">
        <f t="shared" ref="O14" si="5">SUM(C14:N14)</f>
        <v>0</v>
      </c>
      <c r="P14" s="300"/>
    </row>
    <row r="15" spans="1:19">
      <c r="C15" s="301">
        <f t="shared" ref="C15:O15" si="6">SUM(C13:C14)</f>
        <v>0</v>
      </c>
      <c r="D15" s="301">
        <f t="shared" si="6"/>
        <v>0</v>
      </c>
      <c r="E15" s="301">
        <f t="shared" si="6"/>
        <v>0</v>
      </c>
      <c r="F15" s="301">
        <f t="shared" si="6"/>
        <v>0</v>
      </c>
      <c r="G15" s="301">
        <f t="shared" si="6"/>
        <v>0</v>
      </c>
      <c r="H15" s="301">
        <f t="shared" si="6"/>
        <v>0</v>
      </c>
      <c r="I15" s="301">
        <f t="shared" si="6"/>
        <v>0</v>
      </c>
      <c r="J15" s="301">
        <f t="shared" si="6"/>
        <v>0</v>
      </c>
      <c r="K15" s="301">
        <f t="shared" si="6"/>
        <v>0</v>
      </c>
      <c r="L15" s="301">
        <f t="shared" si="6"/>
        <v>0</v>
      </c>
      <c r="M15" s="301">
        <f t="shared" si="6"/>
        <v>0</v>
      </c>
      <c r="N15" s="301">
        <f t="shared" si="6"/>
        <v>0</v>
      </c>
      <c r="O15" s="301">
        <f t="shared" si="6"/>
        <v>0</v>
      </c>
      <c r="P15" s="300"/>
    </row>
    <row r="16" spans="1:19"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0"/>
    </row>
    <row r="17" spans="1:16">
      <c r="B17" t="s">
        <v>313</v>
      </c>
      <c r="C17" s="301">
        <f t="shared" ref="C17:N17" si="7">C5+C13</f>
        <v>2524143.22163</v>
      </c>
      <c r="D17" s="301">
        <f t="shared" si="7"/>
        <v>1949455.5137100001</v>
      </c>
      <c r="E17" s="301">
        <f t="shared" si="7"/>
        <v>2060189.72288</v>
      </c>
      <c r="F17" s="301">
        <f t="shared" si="7"/>
        <v>2961933.4218199998</v>
      </c>
      <c r="G17" s="301">
        <f t="shared" si="7"/>
        <v>8811721.1217800006</v>
      </c>
      <c r="H17" s="301">
        <f t="shared" si="7"/>
        <v>11296886.843050001</v>
      </c>
      <c r="I17" s="301">
        <f t="shared" si="7"/>
        <v>11352523.17898</v>
      </c>
      <c r="J17" s="301">
        <f t="shared" si="7"/>
        <v>10219306.060729999</v>
      </c>
      <c r="K17" s="301">
        <f t="shared" si="7"/>
        <v>11859310.51471</v>
      </c>
      <c r="L17" s="301">
        <f t="shared" si="7"/>
        <v>9428292.4011899997</v>
      </c>
      <c r="M17" s="301">
        <f t="shared" si="7"/>
        <v>6041265.5646900004</v>
      </c>
      <c r="N17" s="301">
        <f t="shared" si="7"/>
        <v>2488631.4810200003</v>
      </c>
      <c r="O17" s="301">
        <f>SUM(C17:N17)</f>
        <v>80993659.046190009</v>
      </c>
      <c r="P17" s="300"/>
    </row>
    <row r="18" spans="1:16">
      <c r="B18" t="s">
        <v>314</v>
      </c>
      <c r="C18" s="386">
        <f t="shared" ref="C18:N18" si="8">C6+C14</f>
        <v>205356.61752</v>
      </c>
      <c r="D18" s="386">
        <f t="shared" si="8"/>
        <v>118826.30682</v>
      </c>
      <c r="E18" s="386">
        <f t="shared" si="8"/>
        <v>158438.59107000002</v>
      </c>
      <c r="F18" s="386">
        <f t="shared" si="8"/>
        <v>214275.83355000001</v>
      </c>
      <c r="G18" s="386">
        <f t="shared" si="8"/>
        <v>3761627.5144400001</v>
      </c>
      <c r="H18" s="386">
        <f t="shared" si="8"/>
        <v>13685450.651520001</v>
      </c>
      <c r="I18" s="386">
        <f t="shared" si="8"/>
        <v>13944350.82309</v>
      </c>
      <c r="J18" s="386">
        <f t="shared" si="8"/>
        <v>9360350.3668900002</v>
      </c>
      <c r="K18" s="386">
        <f t="shared" si="8"/>
        <v>9453154.1384100001</v>
      </c>
      <c r="L18" s="386">
        <f t="shared" si="8"/>
        <v>3749456.15093</v>
      </c>
      <c r="M18" s="386">
        <f t="shared" si="8"/>
        <v>710127.06712000002</v>
      </c>
      <c r="N18" s="386">
        <f t="shared" si="8"/>
        <v>188199.75013</v>
      </c>
      <c r="O18" s="386">
        <f>SUM(C18:N18)</f>
        <v>55549613.811489999</v>
      </c>
      <c r="P18" s="300"/>
    </row>
    <row r="19" spans="1:16">
      <c r="C19" s="301">
        <f t="shared" ref="C19:O19" si="9">SUM(C17:C18)</f>
        <v>2729499.8391499999</v>
      </c>
      <c r="D19" s="301">
        <f t="shared" si="9"/>
        <v>2068281.8205300001</v>
      </c>
      <c r="E19" s="301">
        <f t="shared" si="9"/>
        <v>2218628.3139499999</v>
      </c>
      <c r="F19" s="301">
        <f t="shared" si="9"/>
        <v>3176209.2553699999</v>
      </c>
      <c r="G19" s="301">
        <f t="shared" si="9"/>
        <v>12573348.636220001</v>
      </c>
      <c r="H19" s="301">
        <f t="shared" si="9"/>
        <v>24982337.494570002</v>
      </c>
      <c r="I19" s="301">
        <f t="shared" si="9"/>
        <v>25296874.002070002</v>
      </c>
      <c r="J19" s="301">
        <f t="shared" si="9"/>
        <v>19579656.427620001</v>
      </c>
      <c r="K19" s="301">
        <f t="shared" si="9"/>
        <v>21312464.65312</v>
      </c>
      <c r="L19" s="301">
        <f t="shared" si="9"/>
        <v>13177748.55212</v>
      </c>
      <c r="M19" s="301">
        <f t="shared" si="9"/>
        <v>6751392.6318100002</v>
      </c>
      <c r="N19" s="301">
        <f t="shared" si="9"/>
        <v>2676831.2311500004</v>
      </c>
      <c r="O19" s="301">
        <f t="shared" si="9"/>
        <v>136543272.85768002</v>
      </c>
      <c r="P19" s="300"/>
    </row>
    <row r="20" spans="1:16">
      <c r="C20" s="294">
        <f t="shared" ref="C20:O20" si="10">C19-C10</f>
        <v>0</v>
      </c>
      <c r="D20" s="294">
        <f t="shared" si="10"/>
        <v>0</v>
      </c>
      <c r="E20" s="294">
        <f t="shared" si="10"/>
        <v>0</v>
      </c>
      <c r="F20" s="294">
        <f t="shared" si="10"/>
        <v>0</v>
      </c>
      <c r="G20" s="294">
        <f t="shared" si="10"/>
        <v>0</v>
      </c>
      <c r="H20" s="294">
        <f t="shared" si="10"/>
        <v>0</v>
      </c>
      <c r="I20" s="294">
        <f t="shared" si="10"/>
        <v>0</v>
      </c>
      <c r="J20" s="294">
        <f t="shared" si="10"/>
        <v>0</v>
      </c>
      <c r="K20" s="294">
        <f t="shared" si="10"/>
        <v>0</v>
      </c>
      <c r="L20" s="294">
        <f t="shared" si="10"/>
        <v>0</v>
      </c>
      <c r="M20" s="294">
        <f t="shared" si="10"/>
        <v>0</v>
      </c>
      <c r="N20" s="294">
        <f t="shared" si="10"/>
        <v>0</v>
      </c>
      <c r="O20" s="294">
        <f t="shared" si="10"/>
        <v>0</v>
      </c>
      <c r="P20" s="300"/>
    </row>
    <row r="21" spans="1:16">
      <c r="C21" s="294"/>
      <c r="D21" s="294"/>
      <c r="E21" s="294"/>
      <c r="F21" s="294"/>
      <c r="G21" s="294"/>
      <c r="H21" s="294"/>
      <c r="I21" s="299"/>
      <c r="J21" s="299"/>
      <c r="K21" s="299"/>
      <c r="L21" s="299"/>
      <c r="M21" s="299"/>
      <c r="N21" s="299"/>
      <c r="O21" s="298"/>
      <c r="P21" s="300"/>
    </row>
    <row r="22" spans="1:16">
      <c r="A22" s="273"/>
      <c r="B22" s="373" t="s">
        <v>509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</row>
    <row r="23" spans="1:16">
      <c r="B23" t="s">
        <v>313</v>
      </c>
      <c r="C23" s="295">
        <f>'12MEJUN23'!D78+'12MEJUN23'!D92</f>
        <v>454064.17167000001</v>
      </c>
      <c r="D23" s="295">
        <f>'12MEJUN23'!E78+'12MEJUN23'!E92-98</f>
        <v>389326.97181999998</v>
      </c>
      <c r="E23" s="295">
        <f>'12MEJUN23'!F78+'12MEJUN23'!F92-69</f>
        <v>410075.21674</v>
      </c>
      <c r="F23" s="295">
        <f>'12MEJUN23'!G78+'12MEJUN23'!G92</f>
        <v>501518.12</v>
      </c>
      <c r="G23" s="295">
        <f>'12MEJUN23'!H78+'12MEJUN23'!H92</f>
        <v>650115.66200999997</v>
      </c>
      <c r="H23" s="295">
        <f>'12MEJUN23'!I78+'12MEJUN23'!I92</f>
        <v>687253.79359000002</v>
      </c>
      <c r="I23" s="295">
        <f>'12MEJUN23'!J78+'12MEJUN23'!J92</f>
        <v>710312.36008000001</v>
      </c>
      <c r="J23" s="295">
        <f>'12MEJUN23'!K78+'12MEJUN23'!K92</f>
        <v>613385.60036000004</v>
      </c>
      <c r="K23" s="295">
        <f>'12MEJUN23'!L78+'12MEJUN23'!L92</f>
        <v>779555.29093999998</v>
      </c>
      <c r="L23" s="295">
        <f>'12MEJUN23'!M78+'12MEJUN23'!M92</f>
        <v>660746.27141999989</v>
      </c>
      <c r="M23" s="295">
        <f>'12MEJUN23'!N78+'12MEJUN23'!N92</f>
        <v>663666.88196000003</v>
      </c>
      <c r="N23" s="295">
        <f>'12MEJUN23'!O78+'12MEJUN23'!O92</f>
        <v>481119.07936999999</v>
      </c>
      <c r="O23" s="294">
        <f t="shared" ref="O23:O27" si="11">SUM(C23:N23)</f>
        <v>7001139.4199599996</v>
      </c>
    </row>
    <row r="24" spans="1:16">
      <c r="B24" t="s">
        <v>314</v>
      </c>
      <c r="C24" s="295">
        <f>'12MEJUN23'!D79+'12MEJUN23'!D93</f>
        <v>686185.26384000003</v>
      </c>
      <c r="D24" s="295">
        <f>'12MEJUN23'!E79+'12MEJUN23'!E93</f>
        <v>560911.10641000001</v>
      </c>
      <c r="E24" s="295">
        <f>'12MEJUN23'!F79+'12MEJUN23'!F93</f>
        <v>608822.49942999997</v>
      </c>
      <c r="F24" s="295">
        <f>'12MEJUN23'!G79+'12MEJUN23'!G93</f>
        <v>784119.73300000001</v>
      </c>
      <c r="G24" s="295">
        <f>'12MEJUN23'!H79+'12MEJUN23'!H93</f>
        <v>1798232.0854499999</v>
      </c>
      <c r="H24" s="295">
        <f>'12MEJUN23'!I79+'12MEJUN23'!I93</f>
        <v>2446917.0905800001</v>
      </c>
      <c r="I24" s="295">
        <f>'12MEJUN23'!J79+'12MEJUN23'!J93</f>
        <v>2552925.0304299998</v>
      </c>
      <c r="J24" s="295">
        <f>'12MEJUN23'!K79+'12MEJUN23'!K93</f>
        <v>2133407.2811500002</v>
      </c>
      <c r="K24" s="295">
        <f>'12MEJUN23'!L79+'12MEJUN23'!L93</f>
        <v>2648122.6943000001</v>
      </c>
      <c r="L24" s="295">
        <f>'12MEJUN23'!M79+'12MEJUN23'!M93</f>
        <v>1968672.66974</v>
      </c>
      <c r="M24" s="295">
        <f>'12MEJUN23'!N79+'12MEJUN23'!N93</f>
        <v>1363690.44995</v>
      </c>
      <c r="N24" s="295">
        <f>'12MEJUN23'!O79+'12MEJUN23'!O93</f>
        <v>727748.35022999998</v>
      </c>
      <c r="O24" s="294">
        <f t="shared" si="11"/>
        <v>18279754.25451</v>
      </c>
    </row>
    <row r="25" spans="1:16">
      <c r="B25" t="s">
        <v>316</v>
      </c>
      <c r="C25" s="295">
        <f>'12MEJUN23'!D80+'12MEJUN23'!D94</f>
        <v>728414.26702000003</v>
      </c>
      <c r="D25" s="295">
        <f>'12MEJUN23'!E80+'12MEJUN23'!E94</f>
        <v>614434.96340000001</v>
      </c>
      <c r="E25" s="295">
        <f>'12MEJUN23'!F80+'12MEJUN23'!F94</f>
        <v>673457.33551</v>
      </c>
      <c r="F25" s="295">
        <f>'12MEJUN23'!G80+'12MEJUN23'!G94</f>
        <v>895490.55842000002</v>
      </c>
      <c r="G25" s="295">
        <f>'12MEJUN23'!H80+'12MEJUN23'!H94</f>
        <v>2645338.6680000001</v>
      </c>
      <c r="H25" s="295">
        <f>'12MEJUN23'!I80+'12MEJUN23'!I94</f>
        <v>5574348.6713300003</v>
      </c>
      <c r="I25" s="295">
        <f>'12MEJUN23'!J80+'12MEJUN23'!J94</f>
        <v>5958216.7159599997</v>
      </c>
      <c r="J25" s="295">
        <f>'12MEJUN23'!K80+'12MEJUN23'!K94</f>
        <v>4190289.7768000001</v>
      </c>
      <c r="K25" s="295">
        <f>'12MEJUN23'!L80+'12MEJUN23'!L94</f>
        <v>4896273.9494500002</v>
      </c>
      <c r="L25" s="295">
        <f>'12MEJUN23'!M80+'12MEJUN23'!M94</f>
        <v>2795152.8191900002</v>
      </c>
      <c r="M25" s="295">
        <f>'12MEJUN23'!N80+'12MEJUN23'!N94</f>
        <v>1496688.23814</v>
      </c>
      <c r="N25" s="295">
        <f>'12MEJUN23'!O80+'12MEJUN23'!O94</f>
        <v>756297.11829000001</v>
      </c>
      <c r="O25" s="294">
        <f t="shared" si="11"/>
        <v>31224403.08151</v>
      </c>
    </row>
    <row r="26" spans="1:16">
      <c r="B26" s="331" t="s">
        <v>351</v>
      </c>
      <c r="C26" s="295">
        <f>'12MEJUN23'!D81+'12MEJUN23'!D95</f>
        <v>172504.99221</v>
      </c>
      <c r="D26" s="295">
        <f>'12MEJUN23'!E81+'12MEJUN23'!E95</f>
        <v>148513.20282000001</v>
      </c>
      <c r="E26" s="295">
        <f>'12MEJUN23'!F81+'12MEJUN23'!F95</f>
        <v>126674.018</v>
      </c>
      <c r="F26" s="295">
        <f>'12MEJUN23'!G81+'12MEJUN23'!G95</f>
        <v>232629.32</v>
      </c>
      <c r="G26" s="295">
        <f>'12MEJUN23'!H81+'12MEJUN23'!H95</f>
        <v>468677.73119999998</v>
      </c>
      <c r="H26" s="295">
        <f>'12MEJUN23'!I81+'12MEJUN23'!I95</f>
        <v>968905.32608000003</v>
      </c>
      <c r="I26" s="295">
        <f>'12MEJUN23'!J81+'12MEJUN23'!J95</f>
        <v>910758.27890000003</v>
      </c>
      <c r="J26" s="295">
        <f>'12MEJUN23'!K81+'12MEJUN23'!K95</f>
        <v>610561.72132999997</v>
      </c>
      <c r="K26" s="295">
        <f>'12MEJUN23'!L81+'12MEJUN23'!L95</f>
        <v>661911.40720000002</v>
      </c>
      <c r="L26" s="295">
        <f>'12MEJUN23'!M81+'12MEJUN23'!M95</f>
        <v>310514.12219999998</v>
      </c>
      <c r="M26" s="295">
        <f>'12MEJUN23'!N81+'12MEJUN23'!N95</f>
        <v>204427.80960000001</v>
      </c>
      <c r="N26" s="295">
        <f>'12MEJUN23'!O81+'12MEJUN23'!O95</f>
        <v>150903.70442999998</v>
      </c>
      <c r="O26" s="294">
        <f t="shared" si="11"/>
        <v>4966981.6339700008</v>
      </c>
    </row>
    <row r="27" spans="1:16">
      <c r="B27" s="331" t="s">
        <v>374</v>
      </c>
      <c r="C27" s="295">
        <f>'12MEJUN23'!D82+'12MEJUN23'!D96</f>
        <v>56958.762000000002</v>
      </c>
      <c r="D27" s="295">
        <f>'12MEJUN23'!E82+'12MEJUN23'!E96</f>
        <v>79172.877999999997</v>
      </c>
      <c r="E27" s="295">
        <f>'12MEJUN23'!F82+'12MEJUN23'!F96</f>
        <v>94725.058999999994</v>
      </c>
      <c r="F27" s="295">
        <f>'12MEJUN23'!G82+'12MEJUN23'!G96</f>
        <v>84760.525999999998</v>
      </c>
      <c r="G27" s="295">
        <f>'12MEJUN23'!H82+'12MEJUN23'!H96</f>
        <v>195467.234</v>
      </c>
      <c r="H27" s="295">
        <f>'12MEJUN23'!I82+'12MEJUN23'!I96</f>
        <v>395536.891</v>
      </c>
      <c r="I27" s="295">
        <f>'12MEJUN23'!J82+'12MEJUN23'!J96</f>
        <v>324036.87300000002</v>
      </c>
      <c r="J27" s="295">
        <f>'12MEJUN23'!K82+'12MEJUN23'!K96</f>
        <v>253845.503</v>
      </c>
      <c r="K27" s="295">
        <f>'12MEJUN23'!L82+'12MEJUN23'!L96</f>
        <v>214148.976</v>
      </c>
      <c r="L27" s="295">
        <f>'12MEJUN23'!M82+'12MEJUN23'!M96</f>
        <v>93767.491000000009</v>
      </c>
      <c r="M27" s="295">
        <f>'12MEJUN23'!N82+'12MEJUN23'!N96</f>
        <v>118472.193</v>
      </c>
      <c r="N27" s="295">
        <f>'12MEJUN23'!O82+'12MEJUN23'!O96</f>
        <v>35501</v>
      </c>
      <c r="O27" s="294">
        <f t="shared" si="11"/>
        <v>1946393.3860000002</v>
      </c>
    </row>
    <row r="28" spans="1:16">
      <c r="A28" t="s">
        <v>298</v>
      </c>
      <c r="B28" s="32" t="s">
        <v>59</v>
      </c>
      <c r="C28" s="296">
        <f t="shared" ref="C28:O28" si="12">SUM(C23:C27)</f>
        <v>2098127.4567399998</v>
      </c>
      <c r="D28" s="296">
        <f t="shared" si="12"/>
        <v>1792359.1224499999</v>
      </c>
      <c r="E28" s="296">
        <f t="shared" si="12"/>
        <v>1913754.1286799998</v>
      </c>
      <c r="F28" s="296">
        <f t="shared" si="12"/>
        <v>2498518.2574200002</v>
      </c>
      <c r="G28" s="296">
        <f t="shared" si="12"/>
        <v>5757831.3806600003</v>
      </c>
      <c r="H28" s="296">
        <f t="shared" si="12"/>
        <v>10072961.772580002</v>
      </c>
      <c r="I28" s="296">
        <f t="shared" si="12"/>
        <v>10456249.258369999</v>
      </c>
      <c r="J28" s="296">
        <f t="shared" si="12"/>
        <v>7801489.8826399995</v>
      </c>
      <c r="K28" s="296">
        <f t="shared" si="12"/>
        <v>9200012.3178899996</v>
      </c>
      <c r="L28" s="296">
        <f t="shared" si="12"/>
        <v>5828853.3735500006</v>
      </c>
      <c r="M28" s="296">
        <f t="shared" si="12"/>
        <v>3846945.57265</v>
      </c>
      <c r="N28" s="296">
        <f t="shared" si="12"/>
        <v>2151569.25232</v>
      </c>
      <c r="O28" s="296">
        <f t="shared" si="12"/>
        <v>63418671.77595</v>
      </c>
    </row>
    <row r="29" spans="1:16">
      <c r="B29" t="s">
        <v>345</v>
      </c>
      <c r="C29" s="303">
        <f>'12MEJUN23'!D167</f>
        <v>2098127.4567399998</v>
      </c>
      <c r="D29" s="303">
        <f>'12MEJUN23'!E167</f>
        <v>1792359.1224499999</v>
      </c>
      <c r="E29" s="303">
        <f>'12MEJUN23'!F167</f>
        <v>1913754.1286799998</v>
      </c>
      <c r="F29" s="303">
        <f>'12MEJUN23'!G167</f>
        <v>2498518.2574199997</v>
      </c>
      <c r="G29" s="303">
        <f>'12MEJUN23'!H167</f>
        <v>5757831.3806599993</v>
      </c>
      <c r="H29" s="303">
        <f>'12MEJUN23'!I167</f>
        <v>10072961.77258</v>
      </c>
      <c r="I29" s="303">
        <f>'12MEJUN23'!J167</f>
        <v>10456249.258369999</v>
      </c>
      <c r="J29" s="303">
        <f>'12MEJUN23'!K167</f>
        <v>7801489.8826400004</v>
      </c>
      <c r="K29" s="303">
        <f>'12MEJUN23'!L167</f>
        <v>9200012.3178899996</v>
      </c>
      <c r="L29" s="303">
        <f>'12MEJUN23'!M167</f>
        <v>5828853.3735500006</v>
      </c>
      <c r="M29" s="303">
        <f>'12MEJUN23'!N167</f>
        <v>3846945.57265</v>
      </c>
      <c r="N29" s="303">
        <f>'12MEJUN23'!O167</f>
        <v>2151569.25232</v>
      </c>
      <c r="O29" s="294">
        <f>SUM(C29:N29)</f>
        <v>63418671.775949992</v>
      </c>
    </row>
    <row r="30" spans="1:16">
      <c r="C30" s="298">
        <f t="shared" ref="C30:N30" si="13">C29-C28</f>
        <v>0</v>
      </c>
      <c r="D30" s="298">
        <f t="shared" si="13"/>
        <v>0</v>
      </c>
      <c r="E30" s="298">
        <f t="shared" si="13"/>
        <v>0</v>
      </c>
      <c r="F30" s="298">
        <f t="shared" si="13"/>
        <v>0</v>
      </c>
      <c r="G30" s="298">
        <f t="shared" si="13"/>
        <v>0</v>
      </c>
      <c r="H30" s="298">
        <f t="shared" si="13"/>
        <v>0</v>
      </c>
      <c r="I30" s="298">
        <f t="shared" si="13"/>
        <v>0</v>
      </c>
      <c r="J30" s="304">
        <f t="shared" si="13"/>
        <v>0</v>
      </c>
      <c r="K30" s="298">
        <f t="shared" si="13"/>
        <v>0</v>
      </c>
      <c r="L30" s="304">
        <f t="shared" si="13"/>
        <v>0</v>
      </c>
      <c r="M30" s="298">
        <f t="shared" si="13"/>
        <v>0</v>
      </c>
      <c r="N30" s="298">
        <f t="shared" si="13"/>
        <v>0</v>
      </c>
      <c r="O30" s="294">
        <f>SUM(C30:N30)</f>
        <v>0</v>
      </c>
      <c r="P30" s="300">
        <f>O30/O29</f>
        <v>0</v>
      </c>
    </row>
    <row r="31" spans="1:16">
      <c r="C31" s="298"/>
      <c r="D31" s="298"/>
      <c r="E31" s="298"/>
      <c r="F31" s="298"/>
      <c r="G31" s="298"/>
      <c r="H31" s="298"/>
      <c r="I31" s="298"/>
      <c r="J31" s="304"/>
      <c r="K31" s="298"/>
      <c r="L31" s="304"/>
      <c r="M31" s="298"/>
      <c r="N31" s="298"/>
      <c r="O31" s="294"/>
      <c r="P31" s="300"/>
    </row>
    <row r="32" spans="1:16">
      <c r="B32" t="s">
        <v>313</v>
      </c>
      <c r="C32" s="301">
        <f t="shared" ref="C32:N32" si="14">(C23/C$28)*C$30</f>
        <v>0</v>
      </c>
      <c r="D32" s="301">
        <f t="shared" si="14"/>
        <v>0</v>
      </c>
      <c r="E32" s="301">
        <f t="shared" si="14"/>
        <v>0</v>
      </c>
      <c r="F32" s="301">
        <f t="shared" si="14"/>
        <v>0</v>
      </c>
      <c r="G32" s="301">
        <f t="shared" si="14"/>
        <v>0</v>
      </c>
      <c r="H32" s="301">
        <f t="shared" si="14"/>
        <v>0</v>
      </c>
      <c r="I32" s="301">
        <f t="shared" si="14"/>
        <v>0</v>
      </c>
      <c r="J32" s="301">
        <f t="shared" si="14"/>
        <v>0</v>
      </c>
      <c r="K32" s="301">
        <f t="shared" si="14"/>
        <v>0</v>
      </c>
      <c r="L32" s="301">
        <f t="shared" si="14"/>
        <v>0</v>
      </c>
      <c r="M32" s="301">
        <f t="shared" si="14"/>
        <v>0</v>
      </c>
      <c r="N32" s="301">
        <f t="shared" si="14"/>
        <v>0</v>
      </c>
      <c r="O32" s="301">
        <f>SUM(C32:N32)</f>
        <v>0</v>
      </c>
      <c r="P32" s="300"/>
    </row>
    <row r="33" spans="2:16">
      <c r="B33" t="s">
        <v>314</v>
      </c>
      <c r="C33" s="301">
        <f t="shared" ref="C33:N33" si="15">(C24/C$28)*C$30</f>
        <v>0</v>
      </c>
      <c r="D33" s="301">
        <f t="shared" si="15"/>
        <v>0</v>
      </c>
      <c r="E33" s="301">
        <f t="shared" si="15"/>
        <v>0</v>
      </c>
      <c r="F33" s="301">
        <f t="shared" si="15"/>
        <v>0</v>
      </c>
      <c r="G33" s="301">
        <f t="shared" si="15"/>
        <v>0</v>
      </c>
      <c r="H33" s="301">
        <f t="shared" si="15"/>
        <v>0</v>
      </c>
      <c r="I33" s="301">
        <f t="shared" si="15"/>
        <v>0</v>
      </c>
      <c r="J33" s="301">
        <f t="shared" si="15"/>
        <v>0</v>
      </c>
      <c r="K33" s="301">
        <f t="shared" si="15"/>
        <v>0</v>
      </c>
      <c r="L33" s="301">
        <f t="shared" si="15"/>
        <v>0</v>
      </c>
      <c r="M33" s="301">
        <f t="shared" si="15"/>
        <v>0</v>
      </c>
      <c r="N33" s="301">
        <f t="shared" si="15"/>
        <v>0</v>
      </c>
      <c r="O33" s="301">
        <f>SUM(C33:N33)</f>
        <v>0</v>
      </c>
      <c r="P33" s="300"/>
    </row>
    <row r="34" spans="2:16">
      <c r="B34" t="s">
        <v>316</v>
      </c>
      <c r="C34" s="301">
        <f t="shared" ref="C34:N34" si="16">(C25/C$28)*C$30</f>
        <v>0</v>
      </c>
      <c r="D34" s="301">
        <f t="shared" si="16"/>
        <v>0</v>
      </c>
      <c r="E34" s="301">
        <f t="shared" si="16"/>
        <v>0</v>
      </c>
      <c r="F34" s="301">
        <f t="shared" si="16"/>
        <v>0</v>
      </c>
      <c r="G34" s="301">
        <f t="shared" si="16"/>
        <v>0</v>
      </c>
      <c r="H34" s="301">
        <f t="shared" si="16"/>
        <v>0</v>
      </c>
      <c r="I34" s="301">
        <f t="shared" si="16"/>
        <v>0</v>
      </c>
      <c r="J34" s="301">
        <f t="shared" si="16"/>
        <v>0</v>
      </c>
      <c r="K34" s="301">
        <f t="shared" si="16"/>
        <v>0</v>
      </c>
      <c r="L34" s="301">
        <f t="shared" si="16"/>
        <v>0</v>
      </c>
      <c r="M34" s="301">
        <f t="shared" si="16"/>
        <v>0</v>
      </c>
      <c r="N34" s="301">
        <f t="shared" si="16"/>
        <v>0</v>
      </c>
      <c r="O34" s="301">
        <f>SUM(C34:N34)</f>
        <v>0</v>
      </c>
      <c r="P34" s="300"/>
    </row>
    <row r="35" spans="2:16">
      <c r="B35" s="331" t="s">
        <v>351</v>
      </c>
      <c r="C35" s="301">
        <f t="shared" ref="C35:N35" si="17">(C26/C$28)*C$30</f>
        <v>0</v>
      </c>
      <c r="D35" s="301">
        <f t="shared" si="17"/>
        <v>0</v>
      </c>
      <c r="E35" s="301">
        <f t="shared" si="17"/>
        <v>0</v>
      </c>
      <c r="F35" s="301">
        <f t="shared" si="17"/>
        <v>0</v>
      </c>
      <c r="G35" s="301">
        <f t="shared" si="17"/>
        <v>0</v>
      </c>
      <c r="H35" s="301">
        <f t="shared" si="17"/>
        <v>0</v>
      </c>
      <c r="I35" s="301">
        <f t="shared" si="17"/>
        <v>0</v>
      </c>
      <c r="J35" s="301">
        <f t="shared" si="17"/>
        <v>0</v>
      </c>
      <c r="K35" s="301">
        <f t="shared" si="17"/>
        <v>0</v>
      </c>
      <c r="L35" s="301">
        <f t="shared" si="17"/>
        <v>0</v>
      </c>
      <c r="M35" s="301">
        <f t="shared" si="17"/>
        <v>0</v>
      </c>
      <c r="N35" s="301">
        <f t="shared" si="17"/>
        <v>0</v>
      </c>
      <c r="O35" s="301">
        <f>SUM(C35:N35)</f>
        <v>0</v>
      </c>
      <c r="P35" s="300"/>
    </row>
    <row r="36" spans="2:16">
      <c r="B36" s="331" t="s">
        <v>374</v>
      </c>
      <c r="C36" s="301">
        <f t="shared" ref="C36:N36" si="18">(C27/C$28)*C$30</f>
        <v>0</v>
      </c>
      <c r="D36" s="301">
        <f t="shared" si="18"/>
        <v>0</v>
      </c>
      <c r="E36" s="301">
        <f t="shared" si="18"/>
        <v>0</v>
      </c>
      <c r="F36" s="301">
        <f t="shared" si="18"/>
        <v>0</v>
      </c>
      <c r="G36" s="301">
        <f t="shared" si="18"/>
        <v>0</v>
      </c>
      <c r="H36" s="301">
        <f t="shared" si="18"/>
        <v>0</v>
      </c>
      <c r="I36" s="301">
        <f t="shared" si="18"/>
        <v>0</v>
      </c>
      <c r="J36" s="301">
        <f t="shared" si="18"/>
        <v>0</v>
      </c>
      <c r="K36" s="301">
        <f t="shared" si="18"/>
        <v>0</v>
      </c>
      <c r="L36" s="301">
        <f t="shared" si="18"/>
        <v>0</v>
      </c>
      <c r="M36" s="301">
        <f t="shared" si="18"/>
        <v>0</v>
      </c>
      <c r="N36" s="301">
        <f t="shared" si="18"/>
        <v>0</v>
      </c>
      <c r="O36" s="301">
        <f>SUM(C36:N36)</f>
        <v>0</v>
      </c>
      <c r="P36" s="300"/>
    </row>
    <row r="37" spans="2:16">
      <c r="C37" s="301">
        <f>SUM(C32:C36)</f>
        <v>0</v>
      </c>
      <c r="D37" s="301">
        <f t="shared" ref="D37:O37" si="19">SUM(D32:D36)</f>
        <v>0</v>
      </c>
      <c r="E37" s="301">
        <f t="shared" si="19"/>
        <v>0</v>
      </c>
      <c r="F37" s="301">
        <f t="shared" si="19"/>
        <v>0</v>
      </c>
      <c r="G37" s="301">
        <f t="shared" si="19"/>
        <v>0</v>
      </c>
      <c r="H37" s="301">
        <f t="shared" si="19"/>
        <v>0</v>
      </c>
      <c r="I37" s="301">
        <f t="shared" si="19"/>
        <v>0</v>
      </c>
      <c r="J37" s="301">
        <f t="shared" si="19"/>
        <v>0</v>
      </c>
      <c r="K37" s="301">
        <f t="shared" si="19"/>
        <v>0</v>
      </c>
      <c r="L37" s="301">
        <f t="shared" si="19"/>
        <v>0</v>
      </c>
      <c r="M37" s="301">
        <f t="shared" si="19"/>
        <v>0</v>
      </c>
      <c r="N37" s="301">
        <f t="shared" si="19"/>
        <v>0</v>
      </c>
      <c r="O37" s="301">
        <f t="shared" si="19"/>
        <v>0</v>
      </c>
      <c r="P37" s="300"/>
    </row>
    <row r="38" spans="2:16"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0"/>
    </row>
    <row r="39" spans="2:16">
      <c r="B39" t="s">
        <v>313</v>
      </c>
      <c r="C39" s="301">
        <f t="shared" ref="C39:N39" si="20">C23+C32</f>
        <v>454064.17167000001</v>
      </c>
      <c r="D39" s="301">
        <f t="shared" si="20"/>
        <v>389326.97181999998</v>
      </c>
      <c r="E39" s="301">
        <f t="shared" si="20"/>
        <v>410075.21674</v>
      </c>
      <c r="F39" s="301">
        <f t="shared" si="20"/>
        <v>501518.12</v>
      </c>
      <c r="G39" s="301">
        <f t="shared" si="20"/>
        <v>650115.66200999997</v>
      </c>
      <c r="H39" s="301">
        <f t="shared" si="20"/>
        <v>687253.79359000002</v>
      </c>
      <c r="I39" s="301">
        <f t="shared" si="20"/>
        <v>710312.36008000001</v>
      </c>
      <c r="J39" s="301">
        <f t="shared" si="20"/>
        <v>613385.60036000004</v>
      </c>
      <c r="K39" s="301">
        <f t="shared" si="20"/>
        <v>779555.29093999998</v>
      </c>
      <c r="L39" s="301">
        <f t="shared" si="20"/>
        <v>660746.27141999989</v>
      </c>
      <c r="M39" s="301">
        <f t="shared" si="20"/>
        <v>663666.88196000003</v>
      </c>
      <c r="N39" s="301">
        <f t="shared" si="20"/>
        <v>481119.07936999999</v>
      </c>
      <c r="O39" s="301">
        <f>SUM(C39:N39)</f>
        <v>7001139.4199599996</v>
      </c>
      <c r="P39" s="300"/>
    </row>
    <row r="40" spans="2:16">
      <c r="B40" t="s">
        <v>314</v>
      </c>
      <c r="C40" s="301">
        <f t="shared" ref="C40:N40" si="21">C24+C33</f>
        <v>686185.26384000003</v>
      </c>
      <c r="D40" s="301">
        <f t="shared" si="21"/>
        <v>560911.10641000001</v>
      </c>
      <c r="E40" s="301">
        <f t="shared" si="21"/>
        <v>608822.49942999997</v>
      </c>
      <c r="F40" s="301">
        <f t="shared" si="21"/>
        <v>784119.73300000001</v>
      </c>
      <c r="G40" s="301">
        <f t="shared" si="21"/>
        <v>1798232.0854499999</v>
      </c>
      <c r="H40" s="301">
        <f t="shared" si="21"/>
        <v>2446917.0905800001</v>
      </c>
      <c r="I40" s="301">
        <f t="shared" si="21"/>
        <v>2552925.0304299998</v>
      </c>
      <c r="J40" s="301">
        <f t="shared" si="21"/>
        <v>2133407.2811500002</v>
      </c>
      <c r="K40" s="301">
        <f t="shared" si="21"/>
        <v>2648122.6943000001</v>
      </c>
      <c r="L40" s="301">
        <f t="shared" si="21"/>
        <v>1968672.66974</v>
      </c>
      <c r="M40" s="301">
        <f t="shared" si="21"/>
        <v>1363690.44995</v>
      </c>
      <c r="N40" s="301">
        <f t="shared" si="21"/>
        <v>727748.35022999998</v>
      </c>
      <c r="O40" s="301">
        <f>SUM(C40:N40)</f>
        <v>18279754.25451</v>
      </c>
      <c r="P40" s="300"/>
    </row>
    <row r="41" spans="2:16">
      <c r="B41" t="s">
        <v>316</v>
      </c>
      <c r="C41" s="301">
        <f t="shared" ref="C41:N41" si="22">C25+C34</f>
        <v>728414.26702000003</v>
      </c>
      <c r="D41" s="301">
        <f t="shared" si="22"/>
        <v>614434.96340000001</v>
      </c>
      <c r="E41" s="301">
        <f t="shared" si="22"/>
        <v>673457.33551</v>
      </c>
      <c r="F41" s="301">
        <f t="shared" si="22"/>
        <v>895490.55842000002</v>
      </c>
      <c r="G41" s="301">
        <f t="shared" si="22"/>
        <v>2645338.6680000001</v>
      </c>
      <c r="H41" s="301">
        <f t="shared" si="22"/>
        <v>5574348.6713300003</v>
      </c>
      <c r="I41" s="301">
        <f t="shared" si="22"/>
        <v>5958216.7159599997</v>
      </c>
      <c r="J41" s="301">
        <f t="shared" si="22"/>
        <v>4190289.7768000001</v>
      </c>
      <c r="K41" s="301">
        <f t="shared" si="22"/>
        <v>4896273.9494500002</v>
      </c>
      <c r="L41" s="301">
        <f t="shared" si="22"/>
        <v>2795152.8191900002</v>
      </c>
      <c r="M41" s="301">
        <f t="shared" si="22"/>
        <v>1496688.23814</v>
      </c>
      <c r="N41" s="301">
        <f t="shared" si="22"/>
        <v>756297.11829000001</v>
      </c>
      <c r="O41" s="301">
        <f t="shared" ref="O41" si="23">SUM(C41:N41)</f>
        <v>31224403.08151</v>
      </c>
      <c r="P41" s="300"/>
    </row>
    <row r="42" spans="2:16">
      <c r="B42" s="331" t="s">
        <v>351</v>
      </c>
      <c r="C42" s="301">
        <f t="shared" ref="C42:N42" si="24">C26+C35</f>
        <v>172504.99221</v>
      </c>
      <c r="D42" s="301">
        <f t="shared" si="24"/>
        <v>148513.20282000001</v>
      </c>
      <c r="E42" s="301">
        <f t="shared" si="24"/>
        <v>126674.018</v>
      </c>
      <c r="F42" s="301">
        <f t="shared" si="24"/>
        <v>232629.32</v>
      </c>
      <c r="G42" s="301">
        <f t="shared" si="24"/>
        <v>468677.73119999998</v>
      </c>
      <c r="H42" s="301">
        <f t="shared" si="24"/>
        <v>968905.32608000003</v>
      </c>
      <c r="I42" s="301">
        <f t="shared" si="24"/>
        <v>910758.27890000003</v>
      </c>
      <c r="J42" s="301">
        <f t="shared" si="24"/>
        <v>610561.72132999997</v>
      </c>
      <c r="K42" s="301">
        <f t="shared" si="24"/>
        <v>661911.40720000002</v>
      </c>
      <c r="L42" s="301">
        <f t="shared" si="24"/>
        <v>310514.12219999998</v>
      </c>
      <c r="M42" s="301">
        <f t="shared" si="24"/>
        <v>204427.80960000001</v>
      </c>
      <c r="N42" s="301">
        <f t="shared" si="24"/>
        <v>150903.70442999998</v>
      </c>
      <c r="O42" s="301">
        <f t="shared" ref="O42:O43" si="25">SUM(C42:N42)</f>
        <v>4966981.6339700008</v>
      </c>
      <c r="P42" s="300"/>
    </row>
    <row r="43" spans="2:16">
      <c r="B43" s="331" t="s">
        <v>374</v>
      </c>
      <c r="C43" s="301">
        <f t="shared" ref="C43:N43" si="26">C27+C36</f>
        <v>56958.762000000002</v>
      </c>
      <c r="D43" s="301">
        <f t="shared" si="26"/>
        <v>79172.877999999997</v>
      </c>
      <c r="E43" s="301">
        <f t="shared" si="26"/>
        <v>94725.058999999994</v>
      </c>
      <c r="F43" s="301">
        <f t="shared" si="26"/>
        <v>84760.525999999998</v>
      </c>
      <c r="G43" s="301">
        <f t="shared" si="26"/>
        <v>195467.234</v>
      </c>
      <c r="H43" s="301">
        <f t="shared" si="26"/>
        <v>395536.891</v>
      </c>
      <c r="I43" s="301">
        <f t="shared" si="26"/>
        <v>324036.87300000002</v>
      </c>
      <c r="J43" s="301">
        <f t="shared" si="26"/>
        <v>253845.503</v>
      </c>
      <c r="K43" s="301">
        <f t="shared" si="26"/>
        <v>214148.976</v>
      </c>
      <c r="L43" s="301">
        <f t="shared" si="26"/>
        <v>93767.491000000009</v>
      </c>
      <c r="M43" s="301">
        <f t="shared" si="26"/>
        <v>118472.193</v>
      </c>
      <c r="N43" s="301">
        <f t="shared" si="26"/>
        <v>35501</v>
      </c>
      <c r="O43" s="301">
        <f t="shared" si="25"/>
        <v>1946393.3860000002</v>
      </c>
      <c r="P43" s="300"/>
    </row>
    <row r="44" spans="2:16">
      <c r="C44" s="301">
        <f t="shared" ref="C44:O44" si="27">SUM(C39:C43)</f>
        <v>2098127.4567399998</v>
      </c>
      <c r="D44" s="301">
        <f t="shared" si="27"/>
        <v>1792359.1224499999</v>
      </c>
      <c r="E44" s="301">
        <f t="shared" si="27"/>
        <v>1913754.1286799998</v>
      </c>
      <c r="F44" s="301">
        <f t="shared" si="27"/>
        <v>2498518.2574200002</v>
      </c>
      <c r="G44" s="301">
        <f t="shared" si="27"/>
        <v>5757831.3806600003</v>
      </c>
      <c r="H44" s="301">
        <f t="shared" si="27"/>
        <v>10072961.772580002</v>
      </c>
      <c r="I44" s="301">
        <f t="shared" si="27"/>
        <v>10456249.258369999</v>
      </c>
      <c r="J44" s="301">
        <f t="shared" si="27"/>
        <v>7801489.8826399995</v>
      </c>
      <c r="K44" s="301">
        <f t="shared" si="27"/>
        <v>9200012.3178899996</v>
      </c>
      <c r="L44" s="301">
        <f t="shared" si="27"/>
        <v>5828853.3735500006</v>
      </c>
      <c r="M44" s="301">
        <f t="shared" si="27"/>
        <v>3846945.57265</v>
      </c>
      <c r="N44" s="301">
        <f t="shared" si="27"/>
        <v>2151569.25232</v>
      </c>
      <c r="O44" s="301">
        <f t="shared" si="27"/>
        <v>63418671.77595</v>
      </c>
      <c r="P44" s="300"/>
    </row>
    <row r="45" spans="2:16">
      <c r="C45" s="294">
        <f t="shared" ref="C45:O45" si="28">C44-C29</f>
        <v>0</v>
      </c>
      <c r="D45" s="294">
        <f t="shared" si="28"/>
        <v>0</v>
      </c>
      <c r="E45" s="294">
        <f t="shared" si="28"/>
        <v>0</v>
      </c>
      <c r="F45" s="294">
        <f t="shared" si="28"/>
        <v>0</v>
      </c>
      <c r="G45" s="294">
        <f t="shared" si="28"/>
        <v>0</v>
      </c>
      <c r="H45" s="294">
        <f t="shared" si="28"/>
        <v>0</v>
      </c>
      <c r="I45" s="294">
        <f t="shared" si="28"/>
        <v>0</v>
      </c>
      <c r="J45" s="294">
        <f t="shared" si="28"/>
        <v>0</v>
      </c>
      <c r="K45" s="294">
        <f t="shared" si="28"/>
        <v>0</v>
      </c>
      <c r="L45" s="294">
        <f t="shared" si="28"/>
        <v>0</v>
      </c>
      <c r="M45" s="294">
        <f t="shared" si="28"/>
        <v>0</v>
      </c>
      <c r="N45" s="294">
        <f t="shared" si="28"/>
        <v>0</v>
      </c>
      <c r="O45" s="294">
        <f t="shared" si="28"/>
        <v>0</v>
      </c>
      <c r="P45" s="300"/>
    </row>
    <row r="46" spans="2:16">
      <c r="C46" s="298"/>
      <c r="D46" s="298"/>
      <c r="E46" s="298"/>
      <c r="F46" s="298"/>
      <c r="G46" s="298"/>
      <c r="H46" s="298"/>
      <c r="I46" s="298"/>
      <c r="J46" s="304"/>
      <c r="K46" s="298"/>
      <c r="L46" s="304"/>
      <c r="M46" s="298"/>
      <c r="N46" s="298"/>
      <c r="O46" s="294"/>
      <c r="P46" s="300"/>
    </row>
    <row r="49" spans="1:16" hidden="1">
      <c r="A49" s="273"/>
      <c r="B49" s="373" t="s">
        <v>510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</row>
    <row r="50" spans="1:16" hidden="1">
      <c r="B50" t="s">
        <v>313</v>
      </c>
      <c r="C50" s="295">
        <f>'12MEJUN23'!D106+'12MEJUN23'!D120</f>
        <v>0</v>
      </c>
      <c r="D50" s="295">
        <f>'12MEJUN23'!E106+'12MEJUN23'!E120</f>
        <v>0</v>
      </c>
      <c r="E50" s="295">
        <f>'12MEJUN23'!F106+'12MEJUN23'!F120</f>
        <v>0</v>
      </c>
      <c r="F50" s="295">
        <f>'12MEJUN23'!G106+'12MEJUN23'!G120</f>
        <v>0</v>
      </c>
      <c r="G50" s="295">
        <f>'12MEJUN23'!H106+'12MEJUN23'!H120</f>
        <v>0</v>
      </c>
      <c r="H50" s="295">
        <f>'12MEJUN23'!I106+'12MEJUN23'!I120</f>
        <v>0</v>
      </c>
      <c r="I50" s="295">
        <f>'12MEJUN23'!J106+'12MEJUN23'!J120</f>
        <v>0</v>
      </c>
      <c r="J50" s="295">
        <f>'12MEJUN23'!K106+'12MEJUN23'!K120</f>
        <v>0</v>
      </c>
      <c r="K50" s="295">
        <f>'12MEJUN23'!L106+'12MEJUN23'!L120</f>
        <v>0</v>
      </c>
      <c r="L50" s="295">
        <f>'12MEJUN23'!M106+'12MEJUN23'!M120</f>
        <v>0</v>
      </c>
      <c r="M50" s="295">
        <f>'12MEJUN23'!N106+'12MEJUN23'!N120</f>
        <v>0</v>
      </c>
      <c r="N50" s="295">
        <f>'12MEJUN23'!O106+'12MEJUN23'!O120</f>
        <v>0</v>
      </c>
      <c r="O50" s="294">
        <f>SUM(C50:N50)</f>
        <v>0</v>
      </c>
    </row>
    <row r="51" spans="1:16" hidden="1">
      <c r="B51" t="s">
        <v>314</v>
      </c>
      <c r="C51" s="295">
        <f>'12MEJUN23'!D107+'12MEJUN23'!D121</f>
        <v>0</v>
      </c>
      <c r="D51" s="295">
        <f>'12MEJUN23'!E107+'12MEJUN23'!E121</f>
        <v>0</v>
      </c>
      <c r="E51" s="295">
        <f>'12MEJUN23'!F107+'12MEJUN23'!F121</f>
        <v>0</v>
      </c>
      <c r="F51" s="295">
        <f>'12MEJUN23'!G107+'12MEJUN23'!G121</f>
        <v>0</v>
      </c>
      <c r="G51" s="295">
        <f>'12MEJUN23'!H107+'12MEJUN23'!H121</f>
        <v>0</v>
      </c>
      <c r="H51" s="295">
        <f>'12MEJUN23'!I107+'12MEJUN23'!I121</f>
        <v>0</v>
      </c>
      <c r="I51" s="295">
        <f>'12MEJUN23'!J107+'12MEJUN23'!J121</f>
        <v>0</v>
      </c>
      <c r="J51" s="295">
        <f>'12MEJUN23'!K107+'12MEJUN23'!K121</f>
        <v>0</v>
      </c>
      <c r="K51" s="295">
        <f>'12MEJUN23'!L107+'12MEJUN23'!L121</f>
        <v>0</v>
      </c>
      <c r="L51" s="295">
        <f>'12MEJUN23'!M107+'12MEJUN23'!M121</f>
        <v>0</v>
      </c>
      <c r="M51" s="295">
        <f>'12MEJUN23'!N107+'12MEJUN23'!N121</f>
        <v>0</v>
      </c>
      <c r="N51" s="295">
        <f>'12MEJUN23'!O107+'12MEJUN23'!O121</f>
        <v>0</v>
      </c>
      <c r="O51" s="294">
        <f t="shared" ref="O51:O52" si="29">SUM(C51:N51)</f>
        <v>0</v>
      </c>
    </row>
    <row r="52" spans="1:16" hidden="1">
      <c r="B52" t="s">
        <v>316</v>
      </c>
      <c r="C52" s="295">
        <f>'12MEJUN23'!D108+'12MEJUN23'!D122</f>
        <v>0</v>
      </c>
      <c r="D52" s="295">
        <f>'12MEJUN23'!E108+'12MEJUN23'!E122</f>
        <v>0</v>
      </c>
      <c r="E52" s="295">
        <f>'12MEJUN23'!F108+'12MEJUN23'!F122</f>
        <v>0</v>
      </c>
      <c r="F52" s="295">
        <f>'12MEJUN23'!G108+'12MEJUN23'!G122</f>
        <v>0</v>
      </c>
      <c r="G52" s="295">
        <f>'12MEJUN23'!H108+'12MEJUN23'!H122</f>
        <v>0</v>
      </c>
      <c r="H52" s="295">
        <f>'12MEJUN23'!I108+'12MEJUN23'!I122</f>
        <v>0</v>
      </c>
      <c r="I52" s="295">
        <f>'12MEJUN23'!J108+'12MEJUN23'!J122</f>
        <v>0</v>
      </c>
      <c r="J52" s="295">
        <f>'12MEJUN23'!K108+'12MEJUN23'!K122</f>
        <v>0</v>
      </c>
      <c r="K52" s="295">
        <f>'12MEJUN23'!L108+'12MEJUN23'!L122</f>
        <v>0</v>
      </c>
      <c r="L52" s="295">
        <f>'12MEJUN23'!M108+'12MEJUN23'!M122</f>
        <v>0</v>
      </c>
      <c r="M52" s="295">
        <f>'12MEJUN23'!N108+'12MEJUN23'!N122</f>
        <v>0</v>
      </c>
      <c r="N52" s="295">
        <f>'12MEJUN23'!O108+'12MEJUN23'!O122</f>
        <v>0</v>
      </c>
      <c r="O52" s="294">
        <f t="shared" si="29"/>
        <v>0</v>
      </c>
    </row>
    <row r="53" spans="1:16" hidden="1">
      <c r="B53" t="s">
        <v>351</v>
      </c>
      <c r="C53" s="295">
        <f>'12MEJUN23'!D109+'12MEJUN23'!D123</f>
        <v>0</v>
      </c>
      <c r="D53" s="295">
        <f>'12MEJUN23'!E109+'12MEJUN23'!E123</f>
        <v>0</v>
      </c>
      <c r="E53" s="295">
        <f>'12MEJUN23'!F109+'12MEJUN23'!F123</f>
        <v>0</v>
      </c>
      <c r="F53" s="295">
        <f>'12MEJUN23'!G109+'12MEJUN23'!G123</f>
        <v>0</v>
      </c>
      <c r="G53" s="295">
        <f>'12MEJUN23'!H109+'12MEJUN23'!H123</f>
        <v>0</v>
      </c>
      <c r="H53" s="295">
        <f>'12MEJUN23'!I109+'12MEJUN23'!I123</f>
        <v>0</v>
      </c>
      <c r="I53" s="295">
        <f>'12MEJUN23'!J109+'12MEJUN23'!J123</f>
        <v>0</v>
      </c>
      <c r="J53" s="295">
        <f>'12MEJUN23'!K109+'12MEJUN23'!K123</f>
        <v>0</v>
      </c>
      <c r="K53" s="295">
        <f>'12MEJUN23'!L109+'12MEJUN23'!L123</f>
        <v>0</v>
      </c>
      <c r="L53" s="295">
        <f>'12MEJUN23'!M109+'12MEJUN23'!M123</f>
        <v>0</v>
      </c>
      <c r="M53" s="295">
        <f>'12MEJUN23'!N109+'12MEJUN23'!N123</f>
        <v>0</v>
      </c>
      <c r="N53" s="295">
        <f>'12MEJUN23'!O109+'12MEJUN23'!O123</f>
        <v>0</v>
      </c>
      <c r="O53" s="294">
        <f>SUM(C53:N53)</f>
        <v>0</v>
      </c>
    </row>
    <row r="54" spans="1:16" hidden="1">
      <c r="B54" t="s">
        <v>374</v>
      </c>
      <c r="C54" s="295">
        <f>'12MEJUN23'!D110+'12MEJUN23'!D124</f>
        <v>0</v>
      </c>
      <c r="D54" s="295">
        <f>'12MEJUN23'!E110+'12MEJUN23'!E124</f>
        <v>0</v>
      </c>
      <c r="E54" s="295">
        <f>'12MEJUN23'!F110+'12MEJUN23'!F124</f>
        <v>0</v>
      </c>
      <c r="F54" s="295">
        <f>'12MEJUN23'!G110+'12MEJUN23'!G124</f>
        <v>0</v>
      </c>
      <c r="G54" s="295">
        <f>'12MEJUN23'!H110+'12MEJUN23'!H124</f>
        <v>0</v>
      </c>
      <c r="H54" s="295">
        <f>'12MEJUN23'!I110+'12MEJUN23'!I124</f>
        <v>0</v>
      </c>
      <c r="I54" s="295">
        <f>'12MEJUN23'!J110+'12MEJUN23'!J124</f>
        <v>0</v>
      </c>
      <c r="J54" s="295">
        <f>'12MEJUN23'!K110+'12MEJUN23'!K124</f>
        <v>0</v>
      </c>
      <c r="K54" s="295">
        <f>'12MEJUN23'!L110+'12MEJUN23'!L124</f>
        <v>0</v>
      </c>
      <c r="L54" s="295">
        <f>'12MEJUN23'!M110+'12MEJUN23'!M124</f>
        <v>0</v>
      </c>
      <c r="M54" s="295">
        <f>'12MEJUN23'!N110+'12MEJUN23'!N124</f>
        <v>0</v>
      </c>
      <c r="N54" s="295">
        <f>'12MEJUN23'!O110+'12MEJUN23'!O124</f>
        <v>0</v>
      </c>
      <c r="O54" s="294">
        <f>SUM(C54:N54)</f>
        <v>0</v>
      </c>
    </row>
    <row r="55" spans="1:16" hidden="1">
      <c r="A55" t="s">
        <v>298</v>
      </c>
      <c r="B55" s="32" t="s">
        <v>59</v>
      </c>
      <c r="C55" s="296">
        <f>SUM(C50:C54)</f>
        <v>0</v>
      </c>
      <c r="D55" s="296">
        <f t="shared" ref="D55:H55" si="30">SUM(D50:D54)</f>
        <v>0</v>
      </c>
      <c r="E55" s="296">
        <f t="shared" si="30"/>
        <v>0</v>
      </c>
      <c r="F55" s="296">
        <f t="shared" si="30"/>
        <v>0</v>
      </c>
      <c r="G55" s="296">
        <f t="shared" si="30"/>
        <v>0</v>
      </c>
      <c r="H55" s="296">
        <f t="shared" si="30"/>
        <v>0</v>
      </c>
      <c r="I55" s="296">
        <f>SUM(I50:I54)</f>
        <v>0</v>
      </c>
      <c r="J55" s="296">
        <f t="shared" ref="J55:O55" si="31">SUM(J50:J54)</f>
        <v>0</v>
      </c>
      <c r="K55" s="296">
        <f t="shared" si="31"/>
        <v>0</v>
      </c>
      <c r="L55" s="296">
        <f t="shared" si="31"/>
        <v>0</v>
      </c>
      <c r="M55" s="296">
        <f t="shared" si="31"/>
        <v>0</v>
      </c>
      <c r="N55" s="296">
        <f t="shared" si="31"/>
        <v>0</v>
      </c>
      <c r="O55" s="296">
        <f t="shared" si="31"/>
        <v>0</v>
      </c>
    </row>
    <row r="56" spans="1:16" hidden="1">
      <c r="B56" t="s">
        <v>345</v>
      </c>
      <c r="C56" s="303">
        <f>'12MEJUN23'!D168</f>
        <v>0</v>
      </c>
      <c r="D56" s="303">
        <f>'12MEJUN23'!E168</f>
        <v>0</v>
      </c>
      <c r="E56" s="303">
        <f>'12MEJUN23'!F168</f>
        <v>0</v>
      </c>
      <c r="F56" s="303">
        <f>'12MEJUN23'!G168</f>
        <v>0</v>
      </c>
      <c r="G56" s="303">
        <f>'12MEJUN23'!H168</f>
        <v>0</v>
      </c>
      <c r="H56" s="303">
        <f>'12MEJUN23'!I168</f>
        <v>0</v>
      </c>
      <c r="I56" s="303">
        <f>'12MEJUN23'!J168</f>
        <v>0</v>
      </c>
      <c r="J56" s="303">
        <f>'12MEJUN23'!K168</f>
        <v>0</v>
      </c>
      <c r="K56" s="303">
        <f>'12MEJUN23'!L168</f>
        <v>0</v>
      </c>
      <c r="L56" s="303">
        <f>'12MEJUN23'!M168</f>
        <v>0</v>
      </c>
      <c r="M56" s="303">
        <f>'12MEJUN23'!N168</f>
        <v>0</v>
      </c>
      <c r="N56" s="303">
        <f>'12MEJUN23'!O168</f>
        <v>0</v>
      </c>
      <c r="O56" s="294">
        <f>SUM(C56:N56)</f>
        <v>0</v>
      </c>
    </row>
    <row r="57" spans="1:16" hidden="1">
      <c r="C57" s="298">
        <f t="shared" ref="C57:N57" si="32">C56-C55</f>
        <v>0</v>
      </c>
      <c r="D57" s="298">
        <f t="shared" si="32"/>
        <v>0</v>
      </c>
      <c r="E57" s="298">
        <f t="shared" si="32"/>
        <v>0</v>
      </c>
      <c r="F57" s="298">
        <f t="shared" si="32"/>
        <v>0</v>
      </c>
      <c r="G57" s="298">
        <f t="shared" si="32"/>
        <v>0</v>
      </c>
      <c r="H57" s="298">
        <f t="shared" si="32"/>
        <v>0</v>
      </c>
      <c r="I57" s="298">
        <f t="shared" si="32"/>
        <v>0</v>
      </c>
      <c r="J57" s="304">
        <f t="shared" si="32"/>
        <v>0</v>
      </c>
      <c r="K57" s="298">
        <f t="shared" si="32"/>
        <v>0</v>
      </c>
      <c r="L57" s="304">
        <f t="shared" si="32"/>
        <v>0</v>
      </c>
      <c r="M57" s="298">
        <f t="shared" si="32"/>
        <v>0</v>
      </c>
      <c r="N57" s="298">
        <f t="shared" si="32"/>
        <v>0</v>
      </c>
      <c r="O57" s="294">
        <f>SUM(C57:N57)</f>
        <v>0</v>
      </c>
      <c r="P57" s="300" t="e">
        <f>O57/O56</f>
        <v>#DIV/0!</v>
      </c>
    </row>
    <row r="58" spans="1:16" hidden="1">
      <c r="C58" s="298"/>
      <c r="D58" s="298"/>
      <c r="E58" s="298"/>
      <c r="F58" s="298"/>
      <c r="G58" s="298"/>
      <c r="H58" s="298"/>
      <c r="I58" s="298"/>
      <c r="J58" s="304"/>
      <c r="K58" s="298"/>
      <c r="L58" s="304"/>
      <c r="M58" s="298"/>
      <c r="N58" s="298"/>
      <c r="O58" s="294"/>
      <c r="P58" s="300"/>
    </row>
    <row r="59" spans="1:16" hidden="1">
      <c r="B59" t="s">
        <v>313</v>
      </c>
      <c r="C59" s="301" t="e">
        <f>(C50/C$55)*C$57</f>
        <v>#DIV/0!</v>
      </c>
      <c r="D59" s="301" t="e">
        <f t="shared" ref="D59:N59" si="33">(D50/D$55)*D$57</f>
        <v>#DIV/0!</v>
      </c>
      <c r="E59" s="301" t="e">
        <f t="shared" si="33"/>
        <v>#DIV/0!</v>
      </c>
      <c r="F59" s="301" t="e">
        <f t="shared" si="33"/>
        <v>#DIV/0!</v>
      </c>
      <c r="G59" s="301" t="e">
        <f t="shared" si="33"/>
        <v>#DIV/0!</v>
      </c>
      <c r="H59" s="301" t="e">
        <f t="shared" si="33"/>
        <v>#DIV/0!</v>
      </c>
      <c r="I59" s="301" t="e">
        <f t="shared" si="33"/>
        <v>#DIV/0!</v>
      </c>
      <c r="J59" s="301" t="e">
        <f t="shared" si="33"/>
        <v>#DIV/0!</v>
      </c>
      <c r="K59" s="301" t="e">
        <f t="shared" si="33"/>
        <v>#DIV/0!</v>
      </c>
      <c r="L59" s="301" t="e">
        <f t="shared" si="33"/>
        <v>#DIV/0!</v>
      </c>
      <c r="M59" s="301" t="e">
        <f t="shared" si="33"/>
        <v>#DIV/0!</v>
      </c>
      <c r="N59" s="301" t="e">
        <f t="shared" si="33"/>
        <v>#DIV/0!</v>
      </c>
      <c r="O59" s="301" t="e">
        <f>SUM(C59:N59)</f>
        <v>#DIV/0!</v>
      </c>
      <c r="P59" s="300"/>
    </row>
    <row r="60" spans="1:16" hidden="1">
      <c r="B60" t="s">
        <v>314</v>
      </c>
      <c r="C60" s="301" t="e">
        <f t="shared" ref="C60:N60" si="34">(C51/C$55)*C$57</f>
        <v>#DIV/0!</v>
      </c>
      <c r="D60" s="301" t="e">
        <f t="shared" si="34"/>
        <v>#DIV/0!</v>
      </c>
      <c r="E60" s="301" t="e">
        <f t="shared" si="34"/>
        <v>#DIV/0!</v>
      </c>
      <c r="F60" s="301" t="e">
        <f t="shared" si="34"/>
        <v>#DIV/0!</v>
      </c>
      <c r="G60" s="301" t="e">
        <f t="shared" si="34"/>
        <v>#DIV/0!</v>
      </c>
      <c r="H60" s="301" t="e">
        <f t="shared" si="34"/>
        <v>#DIV/0!</v>
      </c>
      <c r="I60" s="301" t="e">
        <f t="shared" si="34"/>
        <v>#DIV/0!</v>
      </c>
      <c r="J60" s="301" t="e">
        <f t="shared" si="34"/>
        <v>#DIV/0!</v>
      </c>
      <c r="K60" s="301" t="e">
        <f t="shared" si="34"/>
        <v>#DIV/0!</v>
      </c>
      <c r="L60" s="301" t="e">
        <f t="shared" si="34"/>
        <v>#DIV/0!</v>
      </c>
      <c r="M60" s="301" t="e">
        <f t="shared" si="34"/>
        <v>#DIV/0!</v>
      </c>
      <c r="N60" s="301" t="e">
        <f t="shared" si="34"/>
        <v>#DIV/0!</v>
      </c>
      <c r="O60" s="301" t="e">
        <f t="shared" ref="O60:O61" si="35">SUM(C60:N60)</f>
        <v>#DIV/0!</v>
      </c>
      <c r="P60" s="300"/>
    </row>
    <row r="61" spans="1:16" hidden="1">
      <c r="B61" t="s">
        <v>316</v>
      </c>
      <c r="C61" s="301" t="e">
        <f t="shared" ref="C61:N63" si="36">(C52/C$55)*C$57</f>
        <v>#DIV/0!</v>
      </c>
      <c r="D61" s="301" t="e">
        <f t="shared" si="36"/>
        <v>#DIV/0!</v>
      </c>
      <c r="E61" s="301" t="e">
        <f t="shared" si="36"/>
        <v>#DIV/0!</v>
      </c>
      <c r="F61" s="301" t="e">
        <f t="shared" si="36"/>
        <v>#DIV/0!</v>
      </c>
      <c r="G61" s="301" t="e">
        <f t="shared" si="36"/>
        <v>#DIV/0!</v>
      </c>
      <c r="H61" s="301" t="e">
        <f t="shared" si="36"/>
        <v>#DIV/0!</v>
      </c>
      <c r="I61" s="301" t="e">
        <f t="shared" si="36"/>
        <v>#DIV/0!</v>
      </c>
      <c r="J61" s="301" t="e">
        <f t="shared" si="36"/>
        <v>#DIV/0!</v>
      </c>
      <c r="K61" s="301" t="e">
        <f t="shared" si="36"/>
        <v>#DIV/0!</v>
      </c>
      <c r="L61" s="301" t="e">
        <f t="shared" si="36"/>
        <v>#DIV/0!</v>
      </c>
      <c r="M61" s="301" t="e">
        <f t="shared" si="36"/>
        <v>#DIV/0!</v>
      </c>
      <c r="N61" s="301" t="e">
        <f t="shared" si="36"/>
        <v>#DIV/0!</v>
      </c>
      <c r="O61" s="301" t="e">
        <f t="shared" si="35"/>
        <v>#DIV/0!</v>
      </c>
      <c r="P61" s="300"/>
    </row>
    <row r="62" spans="1:16" hidden="1">
      <c r="B62" t="s">
        <v>351</v>
      </c>
      <c r="C62" s="301" t="e">
        <f t="shared" si="36"/>
        <v>#DIV/0!</v>
      </c>
      <c r="D62" s="301" t="e">
        <f t="shared" si="36"/>
        <v>#DIV/0!</v>
      </c>
      <c r="E62" s="301" t="e">
        <f t="shared" si="36"/>
        <v>#DIV/0!</v>
      </c>
      <c r="F62" s="301" t="e">
        <f t="shared" si="36"/>
        <v>#DIV/0!</v>
      </c>
      <c r="G62" s="301" t="e">
        <f t="shared" si="36"/>
        <v>#DIV/0!</v>
      </c>
      <c r="H62" s="301" t="e">
        <f t="shared" si="36"/>
        <v>#DIV/0!</v>
      </c>
      <c r="I62" s="301" t="e">
        <f t="shared" si="36"/>
        <v>#DIV/0!</v>
      </c>
      <c r="J62" s="301" t="e">
        <f t="shared" si="36"/>
        <v>#DIV/0!</v>
      </c>
      <c r="K62" s="301" t="e">
        <f t="shared" si="36"/>
        <v>#DIV/0!</v>
      </c>
      <c r="L62" s="301" t="e">
        <f t="shared" si="36"/>
        <v>#DIV/0!</v>
      </c>
      <c r="M62" s="301" t="e">
        <f t="shared" si="36"/>
        <v>#DIV/0!</v>
      </c>
      <c r="N62" s="301" t="e">
        <f t="shared" si="36"/>
        <v>#DIV/0!</v>
      </c>
      <c r="O62" s="301" t="e">
        <f>SUM(C62:N62)</f>
        <v>#DIV/0!</v>
      </c>
      <c r="P62" s="300"/>
    </row>
    <row r="63" spans="1:16" hidden="1">
      <c r="B63" t="s">
        <v>374</v>
      </c>
      <c r="C63" s="302" t="e">
        <f t="shared" si="36"/>
        <v>#DIV/0!</v>
      </c>
      <c r="D63" s="302" t="e">
        <f t="shared" si="36"/>
        <v>#DIV/0!</v>
      </c>
      <c r="E63" s="302" t="e">
        <f t="shared" si="36"/>
        <v>#DIV/0!</v>
      </c>
      <c r="F63" s="302" t="e">
        <f t="shared" si="36"/>
        <v>#DIV/0!</v>
      </c>
      <c r="G63" s="302" t="e">
        <f t="shared" si="36"/>
        <v>#DIV/0!</v>
      </c>
      <c r="H63" s="302" t="e">
        <f t="shared" si="36"/>
        <v>#DIV/0!</v>
      </c>
      <c r="I63" s="302" t="e">
        <f t="shared" si="36"/>
        <v>#DIV/0!</v>
      </c>
      <c r="J63" s="302" t="e">
        <f t="shared" si="36"/>
        <v>#DIV/0!</v>
      </c>
      <c r="K63" s="302" t="e">
        <f t="shared" si="36"/>
        <v>#DIV/0!</v>
      </c>
      <c r="L63" s="302" t="e">
        <f t="shared" si="36"/>
        <v>#DIV/0!</v>
      </c>
      <c r="M63" s="302" t="e">
        <f t="shared" si="36"/>
        <v>#DIV/0!</v>
      </c>
      <c r="N63" s="302" t="e">
        <f t="shared" si="36"/>
        <v>#DIV/0!</v>
      </c>
      <c r="O63" s="302" t="e">
        <f>SUM(C63:N63)</f>
        <v>#DIV/0!</v>
      </c>
      <c r="P63" s="300"/>
    </row>
    <row r="64" spans="1:16" hidden="1">
      <c r="C64" s="301" t="e">
        <f>SUM(C59:C63)</f>
        <v>#DIV/0!</v>
      </c>
      <c r="D64" s="301" t="e">
        <f t="shared" ref="D64:N64" si="37">SUM(D59:D63)</f>
        <v>#DIV/0!</v>
      </c>
      <c r="E64" s="301" t="e">
        <f t="shared" si="37"/>
        <v>#DIV/0!</v>
      </c>
      <c r="F64" s="301" t="e">
        <f t="shared" si="37"/>
        <v>#DIV/0!</v>
      </c>
      <c r="G64" s="301" t="e">
        <f t="shared" si="37"/>
        <v>#DIV/0!</v>
      </c>
      <c r="H64" s="301" t="e">
        <f t="shared" si="37"/>
        <v>#DIV/0!</v>
      </c>
      <c r="I64" s="301" t="e">
        <f t="shared" si="37"/>
        <v>#DIV/0!</v>
      </c>
      <c r="J64" s="301" t="e">
        <f t="shared" si="37"/>
        <v>#DIV/0!</v>
      </c>
      <c r="K64" s="301" t="e">
        <f t="shared" si="37"/>
        <v>#DIV/0!</v>
      </c>
      <c r="L64" s="301" t="e">
        <f t="shared" si="37"/>
        <v>#DIV/0!</v>
      </c>
      <c r="M64" s="301" t="e">
        <f t="shared" si="37"/>
        <v>#DIV/0!</v>
      </c>
      <c r="N64" s="301" t="e">
        <f t="shared" si="37"/>
        <v>#DIV/0!</v>
      </c>
      <c r="O64" s="301" t="e">
        <f>SUM(O59:O63)</f>
        <v>#DIV/0!</v>
      </c>
      <c r="P64" s="300"/>
    </row>
    <row r="65" spans="2:16" hidden="1"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0"/>
    </row>
    <row r="66" spans="2:16" hidden="1">
      <c r="B66" t="s">
        <v>313</v>
      </c>
      <c r="C66" s="301" t="e">
        <f>C50+C59</f>
        <v>#DIV/0!</v>
      </c>
      <c r="D66" s="301" t="e">
        <f t="shared" ref="D66:N66" si="38">D50+D59</f>
        <v>#DIV/0!</v>
      </c>
      <c r="E66" s="301" t="e">
        <f t="shared" si="38"/>
        <v>#DIV/0!</v>
      </c>
      <c r="F66" s="301" t="e">
        <f t="shared" si="38"/>
        <v>#DIV/0!</v>
      </c>
      <c r="G66" s="301" t="e">
        <f t="shared" si="38"/>
        <v>#DIV/0!</v>
      </c>
      <c r="H66" s="301" t="e">
        <f t="shared" si="38"/>
        <v>#DIV/0!</v>
      </c>
      <c r="I66" s="301" t="e">
        <f t="shared" si="38"/>
        <v>#DIV/0!</v>
      </c>
      <c r="J66" s="301" t="e">
        <f t="shared" si="38"/>
        <v>#DIV/0!</v>
      </c>
      <c r="K66" s="301" t="e">
        <f t="shared" si="38"/>
        <v>#DIV/0!</v>
      </c>
      <c r="L66" s="301" t="e">
        <f t="shared" si="38"/>
        <v>#DIV/0!</v>
      </c>
      <c r="M66" s="301" t="e">
        <f t="shared" si="38"/>
        <v>#DIV/0!</v>
      </c>
      <c r="N66" s="301" t="e">
        <f t="shared" si="38"/>
        <v>#DIV/0!</v>
      </c>
      <c r="O66" s="301" t="e">
        <f>SUM(C66:N66)</f>
        <v>#DIV/0!</v>
      </c>
      <c r="P66" s="300"/>
    </row>
    <row r="67" spans="2:16" hidden="1">
      <c r="B67" t="s">
        <v>314</v>
      </c>
      <c r="C67" s="301" t="e">
        <f t="shared" ref="C67:N67" si="39">C51+C60</f>
        <v>#DIV/0!</v>
      </c>
      <c r="D67" s="301" t="e">
        <f t="shared" si="39"/>
        <v>#DIV/0!</v>
      </c>
      <c r="E67" s="301" t="e">
        <f t="shared" si="39"/>
        <v>#DIV/0!</v>
      </c>
      <c r="F67" s="301" t="e">
        <f t="shared" si="39"/>
        <v>#DIV/0!</v>
      </c>
      <c r="G67" s="301" t="e">
        <f t="shared" si="39"/>
        <v>#DIV/0!</v>
      </c>
      <c r="H67" s="301" t="e">
        <f t="shared" si="39"/>
        <v>#DIV/0!</v>
      </c>
      <c r="I67" s="301" t="e">
        <f t="shared" si="39"/>
        <v>#DIV/0!</v>
      </c>
      <c r="J67" s="301" t="e">
        <f t="shared" si="39"/>
        <v>#DIV/0!</v>
      </c>
      <c r="K67" s="301" t="e">
        <f t="shared" si="39"/>
        <v>#DIV/0!</v>
      </c>
      <c r="L67" s="301" t="e">
        <f t="shared" si="39"/>
        <v>#DIV/0!</v>
      </c>
      <c r="M67" s="301" t="e">
        <f t="shared" si="39"/>
        <v>#DIV/0!</v>
      </c>
      <c r="N67" s="301" t="e">
        <f t="shared" si="39"/>
        <v>#DIV/0!</v>
      </c>
      <c r="O67" s="301" t="e">
        <f t="shared" ref="O67:O68" si="40">SUM(C67:N67)</f>
        <v>#DIV/0!</v>
      </c>
      <c r="P67" s="300"/>
    </row>
    <row r="68" spans="2:16" hidden="1">
      <c r="B68" t="s">
        <v>316</v>
      </c>
      <c r="C68" s="301" t="e">
        <f t="shared" ref="C68:N68" si="41">C52+C61</f>
        <v>#DIV/0!</v>
      </c>
      <c r="D68" s="301" t="e">
        <f t="shared" si="41"/>
        <v>#DIV/0!</v>
      </c>
      <c r="E68" s="301" t="e">
        <f t="shared" si="41"/>
        <v>#DIV/0!</v>
      </c>
      <c r="F68" s="301" t="e">
        <f t="shared" si="41"/>
        <v>#DIV/0!</v>
      </c>
      <c r="G68" s="301" t="e">
        <f t="shared" si="41"/>
        <v>#DIV/0!</v>
      </c>
      <c r="H68" s="301" t="e">
        <f t="shared" si="41"/>
        <v>#DIV/0!</v>
      </c>
      <c r="I68" s="301" t="e">
        <f t="shared" si="41"/>
        <v>#DIV/0!</v>
      </c>
      <c r="J68" s="301" t="e">
        <f t="shared" si="41"/>
        <v>#DIV/0!</v>
      </c>
      <c r="K68" s="301" t="e">
        <f t="shared" si="41"/>
        <v>#DIV/0!</v>
      </c>
      <c r="L68" s="301" t="e">
        <f t="shared" si="41"/>
        <v>#DIV/0!</v>
      </c>
      <c r="M68" s="301" t="e">
        <f t="shared" si="41"/>
        <v>#DIV/0!</v>
      </c>
      <c r="N68" s="301" t="e">
        <f t="shared" si="41"/>
        <v>#DIV/0!</v>
      </c>
      <c r="O68" s="301" t="e">
        <f t="shared" si="40"/>
        <v>#DIV/0!</v>
      </c>
      <c r="P68" s="300"/>
    </row>
    <row r="69" spans="2:16" hidden="1">
      <c r="B69" t="s">
        <v>351</v>
      </c>
      <c r="C69" s="301" t="e">
        <f t="shared" ref="C69:N69" si="42">C53+C62</f>
        <v>#DIV/0!</v>
      </c>
      <c r="D69" s="301" t="e">
        <f t="shared" si="42"/>
        <v>#DIV/0!</v>
      </c>
      <c r="E69" s="301" t="e">
        <f t="shared" si="42"/>
        <v>#DIV/0!</v>
      </c>
      <c r="F69" s="301" t="e">
        <f t="shared" si="42"/>
        <v>#DIV/0!</v>
      </c>
      <c r="G69" s="301" t="e">
        <f t="shared" si="42"/>
        <v>#DIV/0!</v>
      </c>
      <c r="H69" s="301" t="e">
        <f t="shared" si="42"/>
        <v>#DIV/0!</v>
      </c>
      <c r="I69" s="301" t="e">
        <f t="shared" si="42"/>
        <v>#DIV/0!</v>
      </c>
      <c r="J69" s="301" t="e">
        <f t="shared" si="42"/>
        <v>#DIV/0!</v>
      </c>
      <c r="K69" s="301" t="e">
        <f t="shared" si="42"/>
        <v>#DIV/0!</v>
      </c>
      <c r="L69" s="301" t="e">
        <f t="shared" si="42"/>
        <v>#DIV/0!</v>
      </c>
      <c r="M69" s="301" t="e">
        <f t="shared" si="42"/>
        <v>#DIV/0!</v>
      </c>
      <c r="N69" s="301" t="e">
        <f t="shared" si="42"/>
        <v>#DIV/0!</v>
      </c>
      <c r="O69" s="301" t="e">
        <f>SUM(C69:N69)</f>
        <v>#DIV/0!</v>
      </c>
      <c r="P69" s="300"/>
    </row>
    <row r="70" spans="2:16" hidden="1">
      <c r="B70" t="s">
        <v>374</v>
      </c>
      <c r="C70" s="302" t="e">
        <f t="shared" ref="C70:N70" si="43">C54+C63</f>
        <v>#DIV/0!</v>
      </c>
      <c r="D70" s="302" t="e">
        <f t="shared" si="43"/>
        <v>#DIV/0!</v>
      </c>
      <c r="E70" s="302" t="e">
        <f t="shared" si="43"/>
        <v>#DIV/0!</v>
      </c>
      <c r="F70" s="302" t="e">
        <f t="shared" si="43"/>
        <v>#DIV/0!</v>
      </c>
      <c r="G70" s="302" t="e">
        <f t="shared" si="43"/>
        <v>#DIV/0!</v>
      </c>
      <c r="H70" s="302" t="e">
        <f t="shared" si="43"/>
        <v>#DIV/0!</v>
      </c>
      <c r="I70" s="302" t="e">
        <f t="shared" si="43"/>
        <v>#DIV/0!</v>
      </c>
      <c r="J70" s="302" t="e">
        <f t="shared" si="43"/>
        <v>#DIV/0!</v>
      </c>
      <c r="K70" s="302" t="e">
        <f t="shared" si="43"/>
        <v>#DIV/0!</v>
      </c>
      <c r="L70" s="302" t="e">
        <f t="shared" si="43"/>
        <v>#DIV/0!</v>
      </c>
      <c r="M70" s="302" t="e">
        <f t="shared" si="43"/>
        <v>#DIV/0!</v>
      </c>
      <c r="N70" s="302" t="e">
        <f t="shared" si="43"/>
        <v>#DIV/0!</v>
      </c>
      <c r="O70" s="302" t="e">
        <f t="shared" ref="O70" si="44">SUM(C70:N70)</f>
        <v>#DIV/0!</v>
      </c>
      <c r="P70" s="300"/>
    </row>
    <row r="71" spans="2:16" hidden="1">
      <c r="C71" s="301" t="e">
        <f t="shared" ref="C71:O71" si="45">SUM(C66:C70)</f>
        <v>#DIV/0!</v>
      </c>
      <c r="D71" s="301" t="e">
        <f t="shared" si="45"/>
        <v>#DIV/0!</v>
      </c>
      <c r="E71" s="301" t="e">
        <f t="shared" si="45"/>
        <v>#DIV/0!</v>
      </c>
      <c r="F71" s="301" t="e">
        <f t="shared" si="45"/>
        <v>#DIV/0!</v>
      </c>
      <c r="G71" s="301" t="e">
        <f t="shared" si="45"/>
        <v>#DIV/0!</v>
      </c>
      <c r="H71" s="301" t="e">
        <f t="shared" si="45"/>
        <v>#DIV/0!</v>
      </c>
      <c r="I71" s="301" t="e">
        <f t="shared" si="45"/>
        <v>#DIV/0!</v>
      </c>
      <c r="J71" s="301" t="e">
        <f t="shared" si="45"/>
        <v>#DIV/0!</v>
      </c>
      <c r="K71" s="301" t="e">
        <f t="shared" si="45"/>
        <v>#DIV/0!</v>
      </c>
      <c r="L71" s="301" t="e">
        <f t="shared" si="45"/>
        <v>#DIV/0!</v>
      </c>
      <c r="M71" s="301" t="e">
        <f t="shared" si="45"/>
        <v>#DIV/0!</v>
      </c>
      <c r="N71" s="301" t="e">
        <f t="shared" si="45"/>
        <v>#DIV/0!</v>
      </c>
      <c r="O71" s="301" t="e">
        <f t="shared" si="45"/>
        <v>#DIV/0!</v>
      </c>
      <c r="P71" s="300"/>
    </row>
    <row r="72" spans="2:16" hidden="1">
      <c r="C72" s="294" t="e">
        <f t="shared" ref="C72:O72" si="46">C71-C56</f>
        <v>#DIV/0!</v>
      </c>
      <c r="D72" s="294" t="e">
        <f t="shared" si="46"/>
        <v>#DIV/0!</v>
      </c>
      <c r="E72" s="294" t="e">
        <f t="shared" si="46"/>
        <v>#DIV/0!</v>
      </c>
      <c r="F72" s="294" t="e">
        <f t="shared" si="46"/>
        <v>#DIV/0!</v>
      </c>
      <c r="G72" s="294" t="e">
        <f t="shared" si="46"/>
        <v>#DIV/0!</v>
      </c>
      <c r="H72" s="294" t="e">
        <f t="shared" si="46"/>
        <v>#DIV/0!</v>
      </c>
      <c r="I72" s="294" t="e">
        <f t="shared" si="46"/>
        <v>#DIV/0!</v>
      </c>
      <c r="J72" s="294" t="e">
        <f t="shared" si="46"/>
        <v>#DIV/0!</v>
      </c>
      <c r="K72" s="294" t="e">
        <f t="shared" si="46"/>
        <v>#DIV/0!</v>
      </c>
      <c r="L72" s="294" t="e">
        <f t="shared" si="46"/>
        <v>#DIV/0!</v>
      </c>
      <c r="M72" s="294" t="e">
        <f t="shared" si="46"/>
        <v>#DIV/0!</v>
      </c>
      <c r="N72" s="294" t="e">
        <f t="shared" si="46"/>
        <v>#DIV/0!</v>
      </c>
      <c r="O72" s="294" t="e">
        <f t="shared" si="46"/>
        <v>#DIV/0!</v>
      </c>
      <c r="P72" s="300"/>
    </row>
    <row r="73" spans="2:16" hidden="1"/>
  </sheetData>
  <pageMargins left="0.38" right="0.41" top="0.75" bottom="0.75" header="0.3" footer="0.3"/>
  <pageSetup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tabColor rgb="FF92D050"/>
    <pageSetUpPr autoPageBreaks="0"/>
  </sheetPr>
  <dimension ref="A1:AT118"/>
  <sheetViews>
    <sheetView showGridLines="0" zoomScaleNormal="100" workbookViewId="0">
      <pane xSplit="2" ySplit="4" topLeftCell="C78" activePane="bottomRight" state="frozen"/>
      <selection pane="topRight"/>
      <selection pane="bottomLeft"/>
      <selection pane="bottomRight" activeCell="B110" sqref="B110"/>
    </sheetView>
  </sheetViews>
  <sheetFormatPr defaultRowHeight="12.75" outlineLevelCol="1"/>
  <cols>
    <col min="1" max="1" width="3.5703125" bestFit="1" customWidth="1"/>
    <col min="2" max="2" width="44.5703125" style="331" customWidth="1"/>
    <col min="3" max="3" width="11.5703125" bestFit="1" customWidth="1"/>
    <col min="4" max="7" width="11.28515625" bestFit="1" customWidth="1" outlineLevel="1"/>
    <col min="8" max="8" width="12.140625" bestFit="1" customWidth="1" outlineLevel="1"/>
    <col min="9" max="9" width="12.85546875" bestFit="1" customWidth="1" outlineLevel="1"/>
    <col min="10" max="10" width="11.28515625" bestFit="1" customWidth="1" outlineLevel="1"/>
    <col min="11" max="13" width="11.7109375" bestFit="1" customWidth="1" outlineLevel="1"/>
    <col min="14" max="14" width="11.7109375" bestFit="1" customWidth="1"/>
    <col min="15" max="15" width="13.5703125" bestFit="1" customWidth="1"/>
    <col min="16" max="16" width="1.7109375" customWidth="1"/>
    <col min="17" max="17" width="11.85546875" bestFit="1" customWidth="1"/>
    <col min="18" max="18" width="10.5703125" bestFit="1" customWidth="1"/>
    <col min="19" max="19" width="12.85546875" bestFit="1" customWidth="1"/>
    <col min="20" max="20" width="10.140625" customWidth="1"/>
    <col min="21" max="21" width="11.28515625" bestFit="1" customWidth="1"/>
    <col min="22" max="22" width="10.42578125" bestFit="1" customWidth="1"/>
    <col min="25" max="25" width="13.42578125" bestFit="1" customWidth="1"/>
    <col min="26" max="26" width="14.85546875" bestFit="1" customWidth="1"/>
    <col min="27" max="27" width="10.140625" bestFit="1" customWidth="1"/>
    <col min="28" max="28" width="12.7109375" bestFit="1" customWidth="1"/>
    <col min="29" max="29" width="11.28515625" bestFit="1" customWidth="1"/>
    <col min="30" max="31" width="9.28515625" bestFit="1" customWidth="1"/>
    <col min="32" max="32" width="11.28515625" bestFit="1" customWidth="1"/>
  </cols>
  <sheetData>
    <row r="1" spans="1:32" ht="15">
      <c r="B1" s="66" t="s">
        <v>272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Q1" s="49"/>
      <c r="R1" s="49"/>
      <c r="S1" s="49"/>
      <c r="T1" s="49"/>
      <c r="U1" s="49"/>
    </row>
    <row r="2" spans="1:32">
      <c r="G2" s="298"/>
      <c r="Q2" s="30" t="s">
        <v>91</v>
      </c>
      <c r="R2" s="44">
        <f>Q3</f>
        <v>20000</v>
      </c>
      <c r="S2" s="44">
        <f>R3</f>
        <v>50000</v>
      </c>
      <c r="T2" s="44">
        <f>S3</f>
        <v>300000</v>
      </c>
      <c r="U2" s="44">
        <f>T3</f>
        <v>500000</v>
      </c>
      <c r="W2" s="192" t="s">
        <v>208</v>
      </c>
      <c r="X2" s="192" t="s">
        <v>220</v>
      </c>
    </row>
    <row r="3" spans="1:32">
      <c r="B3" s="29" t="s">
        <v>102</v>
      </c>
      <c r="O3" s="188" t="s">
        <v>273</v>
      </c>
      <c r="Q3" s="46">
        <v>20000</v>
      </c>
      <c r="R3" s="46">
        <v>50000</v>
      </c>
      <c r="S3" s="46">
        <v>300000</v>
      </c>
      <c r="T3" s="46">
        <v>500000</v>
      </c>
      <c r="U3" s="47">
        <v>99999999</v>
      </c>
      <c r="W3" s="192" t="s">
        <v>360</v>
      </c>
      <c r="X3" s="192" t="s">
        <v>360</v>
      </c>
      <c r="Y3" t="s">
        <v>353</v>
      </c>
      <c r="Z3" t="s">
        <v>354</v>
      </c>
    </row>
    <row r="4" spans="1:32">
      <c r="B4" s="29" t="s">
        <v>58</v>
      </c>
      <c r="C4" s="193">
        <v>44772</v>
      </c>
      <c r="D4" s="193">
        <f>EOMONTH(C4,1)</f>
        <v>44804</v>
      </c>
      <c r="E4" s="193">
        <f t="shared" ref="E4:N4" si="0">EOMONTH(D4,1)</f>
        <v>44834</v>
      </c>
      <c r="F4" s="193">
        <f t="shared" si="0"/>
        <v>44865</v>
      </c>
      <c r="G4" s="193">
        <f t="shared" si="0"/>
        <v>44895</v>
      </c>
      <c r="H4" s="193">
        <f t="shared" si="0"/>
        <v>44926</v>
      </c>
      <c r="I4" s="193">
        <f t="shared" si="0"/>
        <v>44957</v>
      </c>
      <c r="J4" s="193">
        <f t="shared" si="0"/>
        <v>44985</v>
      </c>
      <c r="K4" s="193">
        <f t="shared" si="0"/>
        <v>45016</v>
      </c>
      <c r="L4" s="193">
        <f t="shared" si="0"/>
        <v>45046</v>
      </c>
      <c r="M4" s="193">
        <f t="shared" si="0"/>
        <v>45077</v>
      </c>
      <c r="N4" s="193">
        <f t="shared" si="0"/>
        <v>45107</v>
      </c>
      <c r="O4" s="189" t="s">
        <v>59</v>
      </c>
      <c r="P4" s="31"/>
      <c r="Q4" s="45" t="s">
        <v>90</v>
      </c>
      <c r="R4" s="45" t="s">
        <v>90</v>
      </c>
      <c r="S4" s="45" t="s">
        <v>90</v>
      </c>
      <c r="T4" s="45" t="s">
        <v>90</v>
      </c>
      <c r="U4" s="45" t="s">
        <v>90</v>
      </c>
      <c r="W4" s="326" t="s">
        <v>359</v>
      </c>
      <c r="X4" s="326" t="s">
        <v>359</v>
      </c>
      <c r="Y4" s="312" t="s">
        <v>218</v>
      </c>
      <c r="Z4" s="312" t="s">
        <v>218</v>
      </c>
    </row>
    <row r="5" spans="1:32">
      <c r="A5" s="389">
        <v>1</v>
      </c>
      <c r="B5" s="394"/>
      <c r="C5" s="357">
        <v>14610</v>
      </c>
      <c r="D5" s="357">
        <v>12772</v>
      </c>
      <c r="E5" s="357">
        <v>13260</v>
      </c>
      <c r="F5" s="357">
        <v>13522</v>
      </c>
      <c r="G5" s="357">
        <v>10702</v>
      </c>
      <c r="H5" s="357">
        <v>12361</v>
      </c>
      <c r="I5" s="357">
        <v>13216</v>
      </c>
      <c r="J5" s="357">
        <v>15090</v>
      </c>
      <c r="K5" s="357">
        <v>13617</v>
      </c>
      <c r="L5" s="357">
        <v>13657</v>
      </c>
      <c r="M5" s="357">
        <v>11810</v>
      </c>
      <c r="N5" s="357">
        <v>12358</v>
      </c>
      <c r="O5" s="414">
        <f t="shared" ref="O5:O40" si="1">SUM(C5:N5)</f>
        <v>156975</v>
      </c>
      <c r="P5" s="414"/>
      <c r="Q5" s="414" cm="1">
        <f t="array" ref="Q5">Q$3*12-SUMPRODUCT(--($C5:$N5&lt;=Q$3),Q$3-$C5:$N5)</f>
        <v>156975</v>
      </c>
      <c r="R5" s="414">
        <f>R$3*12-SUM($Q5:Q5)-SUMPRODUCT(--($C5:$N5&lt;=R$3),R$3-$C5:$N5)</f>
        <v>0</v>
      </c>
      <c r="S5" s="414">
        <f>S$3*12-SUM($Q5:R5)-SUMPRODUCT(--($C5:$N5&lt;=S$3),S$3-$C5:$N5)</f>
        <v>0</v>
      </c>
      <c r="T5" s="414">
        <f>T$3*12-SUM($Q5:S5)-SUMPRODUCT(--($C5:$N5&lt;=T$3),T$3-$C5:$N5)</f>
        <v>0</v>
      </c>
      <c r="U5" s="414">
        <f>U$3*12-SUM($Q5:T5)-SUMPRODUCT(--($C5:$N5&lt;=U$3),U$3-$C5:$N5)</f>
        <v>0</v>
      </c>
      <c r="V5" s="415"/>
      <c r="W5" s="414">
        <f>IF(O5&lt;250000,(250000-O5)*RD!$E$56,0)</f>
        <v>10286.7045</v>
      </c>
      <c r="X5" s="414">
        <f>IF(O5&lt;250000,(250000-O5)*RD!$K$56,0)</f>
        <v>10286.7045</v>
      </c>
      <c r="Y5" s="416">
        <f>Q5*RD!$D$51+'Big Schedules'!R5*RD!$D$52+'Big Schedules'!S5*RD!$D$53+'Big Schedules'!T5*RD!$D$54+'Big Schedules'!U5*RD!$D$55+RD!$D$49*12+W5</f>
        <v>38198.697</v>
      </c>
      <c r="Z5" s="416">
        <f>Q5*RD!$K$51+'Big Schedules'!R5*RD!$K$52+'Big Schedules'!S5*RD!$K$53+'Big Schedules'!T5*RD!$K$54+'Big Schedules'!U5*RD!$K$55+RD!$K$49*12+X5</f>
        <v>38198.697</v>
      </c>
      <c r="AA5" s="417">
        <f t="shared" ref="AA5:AA44" si="2">Z5/Y5-1</f>
        <v>0</v>
      </c>
      <c r="AB5" s="418"/>
      <c r="AC5" s="418"/>
      <c r="AD5" s="311"/>
      <c r="AE5" s="311"/>
      <c r="AF5" s="311"/>
    </row>
    <row r="6" spans="1:32">
      <c r="A6" s="389">
        <v>2</v>
      </c>
      <c r="B6" s="394"/>
      <c r="C6" s="357">
        <v>74001</v>
      </c>
      <c r="D6" s="357">
        <v>75480</v>
      </c>
      <c r="E6" s="357">
        <v>70177</v>
      </c>
      <c r="F6" s="357">
        <v>73755</v>
      </c>
      <c r="G6" s="357">
        <v>59924</v>
      </c>
      <c r="H6" s="357">
        <v>71053</v>
      </c>
      <c r="I6" s="357">
        <v>71703</v>
      </c>
      <c r="J6" s="357">
        <v>69418</v>
      </c>
      <c r="K6" s="357">
        <v>85650</v>
      </c>
      <c r="L6" s="357">
        <v>84975</v>
      </c>
      <c r="M6" s="357">
        <v>86324</v>
      </c>
      <c r="N6" s="357">
        <v>81367</v>
      </c>
      <c r="O6" s="414">
        <f t="shared" si="1"/>
        <v>903827</v>
      </c>
      <c r="P6" s="414"/>
      <c r="Q6" s="414" cm="1">
        <f t="array" ref="Q6">Q$3*12-SUMPRODUCT(--($C6:$N6&lt;=Q$3),Q$3-$C6:$N6)</f>
        <v>240000</v>
      </c>
      <c r="R6" s="414">
        <f>R$3*12-SUM($Q6:Q6)-SUMPRODUCT(--($C6:$N6&lt;=R$3),R$3-$C6:$N6)</f>
        <v>360000</v>
      </c>
      <c r="S6" s="414">
        <f>S$3*12-SUM($Q6:R6)-SUMPRODUCT(--($C6:$N6&lt;=S$3),S$3-$C6:$N6)</f>
        <v>303827</v>
      </c>
      <c r="T6" s="414">
        <f>T$3*12-SUM($Q6:S6)-SUMPRODUCT(--($C6:$N6&lt;=T$3),T$3-$C6:$N6)</f>
        <v>0</v>
      </c>
      <c r="U6" s="414">
        <f>U$3*12-SUM($Q6:T6)-SUMPRODUCT(--($C6:$N6&lt;=U$3),U$3-$C6:$N6)</f>
        <v>0</v>
      </c>
      <c r="V6" s="415"/>
      <c r="W6" s="414">
        <f>IF(O6&lt;250000,(250000-O6)*RD!$E$56,0)</f>
        <v>0</v>
      </c>
      <c r="X6" s="414">
        <f>IF(O6&lt;250000,(250000-O6)*RD!$K$56,0)</f>
        <v>0</v>
      </c>
      <c r="Y6" s="416">
        <f>Q6*RD!$D$51+'Big Schedules'!R6*RD!$D$52+'Big Schedules'!S6*RD!$D$53+'Big Schedules'!T6*RD!$D$54+'Big Schedules'!U6*RD!$D$55+RD!$D$49*12+W6</f>
        <v>108335.39017</v>
      </c>
      <c r="Z6" s="416">
        <f>Q6*RD!$K$51+'Big Schedules'!R6*RD!$K$52+'Big Schedules'!S6*RD!$K$53+'Big Schedules'!T6*RD!$K$54+'Big Schedules'!U6*RD!$K$55+RD!$K$49*12+X6</f>
        <v>108335.39017</v>
      </c>
      <c r="AA6" s="417">
        <f t="shared" si="2"/>
        <v>0</v>
      </c>
      <c r="AB6" s="415"/>
      <c r="AC6" s="415"/>
    </row>
    <row r="7" spans="1:32">
      <c r="A7" s="389">
        <v>3</v>
      </c>
      <c r="B7" s="394"/>
      <c r="C7" s="357">
        <v>22471</v>
      </c>
      <c r="D7" s="357">
        <v>18945</v>
      </c>
      <c r="E7" s="357">
        <v>19294</v>
      </c>
      <c r="F7" s="357">
        <v>19386</v>
      </c>
      <c r="G7" s="357">
        <v>21426</v>
      </c>
      <c r="H7" s="357">
        <v>29090</v>
      </c>
      <c r="I7" s="357">
        <v>31444</v>
      </c>
      <c r="J7" s="357">
        <v>31447</v>
      </c>
      <c r="K7" s="357">
        <v>29339</v>
      </c>
      <c r="L7" s="357">
        <v>31835</v>
      </c>
      <c r="M7" s="357">
        <v>25502</v>
      </c>
      <c r="N7" s="357">
        <v>22488</v>
      </c>
      <c r="O7" s="414">
        <f t="shared" si="1"/>
        <v>302667</v>
      </c>
      <c r="P7" s="414"/>
      <c r="Q7" s="414" cm="1">
        <f t="array" ref="Q7">Q$3*12-SUMPRODUCT(--($C7:$N7&lt;=Q$3),Q$3-$C7:$N7)</f>
        <v>237625</v>
      </c>
      <c r="R7" s="414">
        <f>R$3*12-SUM($Q7:Q7)-SUMPRODUCT(--($C7:$N7&lt;=R$3),R$3-$C7:$N7)</f>
        <v>65042</v>
      </c>
      <c r="S7" s="414">
        <f>S$3*12-SUM($Q7:R7)-SUMPRODUCT(--($C7:$N7&lt;=S$3),S$3-$C7:$N7)</f>
        <v>0</v>
      </c>
      <c r="T7" s="414">
        <f>T$3*12-SUM($Q7:S7)-SUMPRODUCT(--($C7:$N7&lt;=T$3),T$3-$C7:$N7)</f>
        <v>0</v>
      </c>
      <c r="U7" s="414">
        <f>U$3*12-SUM($Q7:T7)-SUMPRODUCT(--($C7:$N7&lt;=U$3),U$3-$C7:$N7)</f>
        <v>0</v>
      </c>
      <c r="V7" s="415"/>
      <c r="W7" s="414">
        <f>IF(O7&lt;250000,(250000-O7)*RD!$E$56,0)</f>
        <v>0</v>
      </c>
      <c r="X7" s="414">
        <f>IF(O7&lt;250000,(250000-O7)*RD!$K$56,0)</f>
        <v>0</v>
      </c>
      <c r="Y7" s="416">
        <f>Q7*RD!$D$51+'Big Schedules'!R7*RD!$D$52+'Big Schedules'!S7*RD!$D$53+'Big Schedules'!T7*RD!$D$54+'Big Schedules'!U7*RD!$D$55+RD!$D$49*12+W7</f>
        <v>45129.131860000001</v>
      </c>
      <c r="Z7" s="416">
        <f>Q7*RD!$K$51+'Big Schedules'!R7*RD!$K$52+'Big Schedules'!S7*RD!$K$53+'Big Schedules'!T7*RD!$K$54+'Big Schedules'!U7*RD!$K$55+RD!$K$49*12+X7</f>
        <v>45129.131860000001</v>
      </c>
      <c r="AA7" s="417">
        <f t="shared" si="2"/>
        <v>0</v>
      </c>
      <c r="AB7" s="415"/>
      <c r="AC7" s="415"/>
    </row>
    <row r="8" spans="1:32">
      <c r="A8" s="389">
        <v>4</v>
      </c>
      <c r="B8" s="394"/>
      <c r="C8" s="357">
        <v>28066</v>
      </c>
      <c r="D8" s="357">
        <v>28760</v>
      </c>
      <c r="E8" s="357">
        <v>29196</v>
      </c>
      <c r="F8" s="357">
        <v>26562</v>
      </c>
      <c r="G8" s="357">
        <v>29801</v>
      </c>
      <c r="H8" s="357">
        <v>27545</v>
      </c>
      <c r="I8" s="357">
        <v>30564</v>
      </c>
      <c r="J8" s="357">
        <v>29223</v>
      </c>
      <c r="K8" s="357">
        <v>26443</v>
      </c>
      <c r="L8" s="357">
        <v>30556</v>
      </c>
      <c r="M8" s="357">
        <v>33071</v>
      </c>
      <c r="N8" s="357">
        <v>31883</v>
      </c>
      <c r="O8" s="414">
        <f t="shared" si="1"/>
        <v>351670</v>
      </c>
      <c r="P8" s="414"/>
      <c r="Q8" s="414" cm="1">
        <f t="array" ref="Q8">Q$3*12-SUMPRODUCT(--($C8:$N8&lt;=Q$3),Q$3-$C8:$N8)</f>
        <v>240000</v>
      </c>
      <c r="R8" s="414">
        <f>R$3*12-SUM($Q8:Q8)-SUMPRODUCT(--($C8:$N8&lt;=R$3),R$3-$C8:$N8)</f>
        <v>111670</v>
      </c>
      <c r="S8" s="414">
        <f>S$3*12-SUM($Q8:R8)-SUMPRODUCT(--($C8:$N8&lt;=S$3),S$3-$C8:$N8)</f>
        <v>0</v>
      </c>
      <c r="T8" s="414">
        <f>T$3*12-SUM($Q8:S8)-SUMPRODUCT(--($C8:$N8&lt;=T$3),T$3-$C8:$N8)</f>
        <v>0</v>
      </c>
      <c r="U8" s="414">
        <f>U$3*12-SUM($Q8:T8)-SUMPRODUCT(--($C8:$N8&lt;=U$3),U$3-$C8:$N8)</f>
        <v>0</v>
      </c>
      <c r="V8" s="415"/>
      <c r="W8" s="414">
        <f>IF(O8&lt;250000,(250000-O8)*RD!$E$56,0)</f>
        <v>0</v>
      </c>
      <c r="X8" s="414">
        <f>IF(O8&lt;250000,(250000-O8)*RD!$K$56,0)</f>
        <v>0</v>
      </c>
      <c r="Y8" s="416">
        <f>Q8*RD!$D$51+'Big Schedules'!R8*RD!$D$52+'Big Schedules'!S8*RD!$D$53+'Big Schedules'!T8*RD!$D$54+'Big Schedules'!U8*RD!$D$55+RD!$D$49*12+W8</f>
        <v>50580.4686</v>
      </c>
      <c r="Z8" s="416">
        <f>Q8*RD!$K$51+'Big Schedules'!R8*RD!$K$52+'Big Schedules'!S8*RD!$K$53+'Big Schedules'!T8*RD!$K$54+'Big Schedules'!U8*RD!$K$55+RD!$K$49*12+X8</f>
        <v>50580.4686</v>
      </c>
      <c r="AA8" s="417">
        <f t="shared" si="2"/>
        <v>0</v>
      </c>
      <c r="AB8" s="415"/>
      <c r="AC8" s="415"/>
    </row>
    <row r="9" spans="1:32">
      <c r="A9" s="389">
        <v>5</v>
      </c>
      <c r="B9" s="394"/>
      <c r="C9" s="357">
        <v>26365</v>
      </c>
      <c r="D9" s="357">
        <v>20836</v>
      </c>
      <c r="E9" s="357">
        <v>22756</v>
      </c>
      <c r="F9" s="357">
        <v>23784</v>
      </c>
      <c r="G9" s="357">
        <v>25179</v>
      </c>
      <c r="H9" s="357">
        <v>28086</v>
      </c>
      <c r="I9" s="357">
        <v>29797</v>
      </c>
      <c r="J9" s="357">
        <v>26975</v>
      </c>
      <c r="K9" s="357">
        <v>23903</v>
      </c>
      <c r="L9" s="357">
        <v>23595</v>
      </c>
      <c r="M9" s="357">
        <v>22418</v>
      </c>
      <c r="N9" s="357">
        <v>21662</v>
      </c>
      <c r="O9" s="414">
        <f t="shared" si="1"/>
        <v>295356</v>
      </c>
      <c r="P9" s="414"/>
      <c r="Q9" s="414" cm="1">
        <f t="array" ref="Q9">Q$3*12-SUMPRODUCT(--($C9:$N9&lt;=Q$3),Q$3-$C9:$N9)</f>
        <v>240000</v>
      </c>
      <c r="R9" s="414">
        <f>R$3*12-SUM($Q9:Q9)-SUMPRODUCT(--($C9:$N9&lt;=R$3),R$3-$C9:$N9)</f>
        <v>55356</v>
      </c>
      <c r="S9" s="414">
        <f>S$3*12-SUM($Q9:R9)-SUMPRODUCT(--($C9:$N9&lt;=S$3),S$3-$C9:$N9)</f>
        <v>0</v>
      </c>
      <c r="T9" s="414">
        <f>T$3*12-SUM($Q9:S9)-SUMPRODUCT(--($C9:$N9&lt;=T$3),T$3-$C9:$N9)</f>
        <v>0</v>
      </c>
      <c r="U9" s="414">
        <f>U$3*12-SUM($Q9:T9)-SUMPRODUCT(--($C9:$N9&lt;=U$3),U$3-$C9:$N9)</f>
        <v>0</v>
      </c>
      <c r="V9" s="415"/>
      <c r="W9" s="414">
        <f>IF(O9&lt;250000,(250000-O9)*RD!$E$56,0)</f>
        <v>0</v>
      </c>
      <c r="X9" s="414">
        <f>IF(O9&lt;250000,(250000-O9)*RD!$K$56,0)</f>
        <v>0</v>
      </c>
      <c r="Y9" s="416">
        <f>Q9*RD!$D$51+'Big Schedules'!R9*RD!$D$52+'Big Schedules'!S9*RD!$D$53+'Big Schedules'!T9*RD!$D$54+'Big Schedules'!U9*RD!$D$55+RD!$D$49*12+W9</f>
        <v>44353.266479999998</v>
      </c>
      <c r="Z9" s="416">
        <f>Q9*RD!$K$51+'Big Schedules'!R9*RD!$K$52+'Big Schedules'!S9*RD!$K$53+'Big Schedules'!T9*RD!$K$54+'Big Schedules'!U9*RD!$K$55+RD!$K$49*12+X9</f>
        <v>44353.266479999998</v>
      </c>
      <c r="AA9" s="417">
        <f t="shared" si="2"/>
        <v>0</v>
      </c>
      <c r="AB9" s="415"/>
      <c r="AC9" s="415"/>
    </row>
    <row r="10" spans="1:32">
      <c r="A10" s="389">
        <v>6</v>
      </c>
      <c r="B10" s="394"/>
      <c r="C10" s="357">
        <v>40509</v>
      </c>
      <c r="D10" s="357">
        <v>36133</v>
      </c>
      <c r="E10" s="357">
        <v>34544</v>
      </c>
      <c r="F10" s="357">
        <v>37111</v>
      </c>
      <c r="G10" s="357">
        <v>45805</v>
      </c>
      <c r="H10" s="357">
        <v>82615</v>
      </c>
      <c r="I10" s="357">
        <v>93741</v>
      </c>
      <c r="J10" s="357">
        <v>78346</v>
      </c>
      <c r="K10" s="357">
        <v>70090</v>
      </c>
      <c r="L10" s="357">
        <v>68080</v>
      </c>
      <c r="M10" s="357">
        <v>52696</v>
      </c>
      <c r="N10" s="357">
        <v>39526</v>
      </c>
      <c r="O10" s="414">
        <f t="shared" si="1"/>
        <v>679196</v>
      </c>
      <c r="P10" s="414"/>
      <c r="Q10" s="414" cm="1">
        <f t="array" ref="Q10">Q$3*12-SUMPRODUCT(--($C10:$N10&lt;=Q$3),Q$3-$C10:$N10)</f>
        <v>240000</v>
      </c>
      <c r="R10" s="414">
        <f>R$3*12-SUM($Q10:Q10)-SUMPRODUCT(--($C10:$N10&lt;=R$3),R$3-$C10:$N10)</f>
        <v>293628</v>
      </c>
      <c r="S10" s="414">
        <f>S$3*12-SUM($Q10:R10)-SUMPRODUCT(--($C10:$N10&lt;=S$3),S$3-$C10:$N10)</f>
        <v>145568</v>
      </c>
      <c r="T10" s="414">
        <f>T$3*12-SUM($Q10:S10)-SUMPRODUCT(--($C10:$N10&lt;=T$3),T$3-$C10:$N10)</f>
        <v>0</v>
      </c>
      <c r="U10" s="414">
        <f>U$3*12-SUM($Q10:T10)-SUMPRODUCT(--($C10:$N10&lt;=U$3),U$3-$C10:$N10)</f>
        <v>0</v>
      </c>
      <c r="V10" s="415"/>
      <c r="W10" s="414">
        <f>IF(O10&lt;250000,(250000-O10)*RD!$E$56,0)</f>
        <v>0</v>
      </c>
      <c r="X10" s="414">
        <f>IF(O10&lt;250000,(250000-O10)*RD!$K$56,0)</f>
        <v>0</v>
      </c>
      <c r="Y10" s="416">
        <f>Q10*RD!$D$51+'Big Schedules'!R10*RD!$D$52+'Big Schedules'!S10*RD!$D$53+'Big Schedules'!T10*RD!$D$54+'Big Schedules'!U10*RD!$D$55+RD!$D$49*12+W10</f>
        <v>85215.969519999999</v>
      </c>
      <c r="Z10" s="416">
        <f>Q10*RD!$K$51+'Big Schedules'!R10*RD!$K$52+'Big Schedules'!S10*RD!$K$53+'Big Schedules'!T10*RD!$K$54+'Big Schedules'!U10*RD!$K$55+RD!$K$49*12+X10</f>
        <v>85215.969519999999</v>
      </c>
      <c r="AA10" s="417">
        <f t="shared" si="2"/>
        <v>0</v>
      </c>
      <c r="AB10" s="415"/>
      <c r="AC10" s="415"/>
    </row>
    <row r="11" spans="1:32">
      <c r="A11" s="389">
        <v>7</v>
      </c>
      <c r="B11" s="394"/>
      <c r="C11" s="357">
        <v>31116</v>
      </c>
      <c r="D11" s="357">
        <v>27584</v>
      </c>
      <c r="E11" s="357">
        <v>32584</v>
      </c>
      <c r="F11" s="357">
        <v>28928</v>
      </c>
      <c r="G11" s="357">
        <v>29328</v>
      </c>
      <c r="H11" s="357">
        <v>32073</v>
      </c>
      <c r="I11" s="357">
        <v>31797</v>
      </c>
      <c r="J11" s="357">
        <v>35342</v>
      </c>
      <c r="K11" s="357">
        <v>35192</v>
      </c>
      <c r="L11" s="357">
        <v>37359</v>
      </c>
      <c r="M11" s="357">
        <v>28979</v>
      </c>
      <c r="N11" s="357">
        <v>29875</v>
      </c>
      <c r="O11" s="414">
        <f t="shared" si="1"/>
        <v>380157</v>
      </c>
      <c r="P11" s="414"/>
      <c r="Q11" s="414" cm="1">
        <f t="array" ref="Q11">Q$3*12-SUMPRODUCT(--($C11:$N11&lt;=Q$3),Q$3-$C11:$N11)</f>
        <v>240000</v>
      </c>
      <c r="R11" s="414">
        <f>R$3*12-SUM($Q11:Q11)-SUMPRODUCT(--($C11:$N11&lt;=R$3),R$3-$C11:$N11)</f>
        <v>140157</v>
      </c>
      <c r="S11" s="414">
        <f>S$3*12-SUM($Q11:R11)-SUMPRODUCT(--($C11:$N11&lt;=S$3),S$3-$C11:$N11)</f>
        <v>0</v>
      </c>
      <c r="T11" s="414">
        <f>T$3*12-SUM($Q11:S11)-SUMPRODUCT(--($C11:$N11&lt;=T$3),T$3-$C11:$N11)</f>
        <v>0</v>
      </c>
      <c r="U11" s="414">
        <f>U$3*12-SUM($Q11:T11)-SUMPRODUCT(--($C11:$N11&lt;=U$3),U$3-$C11:$N11)</f>
        <v>0</v>
      </c>
      <c r="V11" s="415"/>
      <c r="W11" s="414">
        <f>IF(O11&lt;250000,(250000-O11)*RD!$E$56,0)</f>
        <v>0</v>
      </c>
      <c r="X11" s="414">
        <f>IF(O11&lt;250000,(250000-O11)*RD!$K$56,0)</f>
        <v>0</v>
      </c>
      <c r="Y11" s="416">
        <f>Q11*RD!$D$51+'Big Schedules'!R11*RD!$D$52+'Big Schedules'!S11*RD!$D$53+'Big Schedules'!T11*RD!$D$54+'Big Schedules'!U11*RD!$D$55+RD!$D$49*12+W11</f>
        <v>53730.56106</v>
      </c>
      <c r="Z11" s="416">
        <f>Q11*RD!$K$51+'Big Schedules'!R11*RD!$K$52+'Big Schedules'!S11*RD!$K$53+'Big Schedules'!T11*RD!$K$54+'Big Schedules'!U11*RD!$K$55+RD!$K$49*12+X11</f>
        <v>53730.56106</v>
      </c>
      <c r="AA11" s="417">
        <f t="shared" si="2"/>
        <v>0</v>
      </c>
      <c r="AB11" s="415"/>
      <c r="AC11" s="415"/>
    </row>
    <row r="12" spans="1:32">
      <c r="A12" s="389">
        <v>8</v>
      </c>
      <c r="B12" s="394"/>
      <c r="C12" s="357">
        <v>35984</v>
      </c>
      <c r="D12" s="357">
        <v>30714</v>
      </c>
      <c r="E12" s="357">
        <v>38375</v>
      </c>
      <c r="F12" s="357">
        <v>36472</v>
      </c>
      <c r="G12" s="357">
        <v>42695</v>
      </c>
      <c r="H12" s="357">
        <v>69204</v>
      </c>
      <c r="I12" s="357">
        <v>58337</v>
      </c>
      <c r="J12" s="357">
        <v>49818</v>
      </c>
      <c r="K12" s="357">
        <v>60876</v>
      </c>
      <c r="L12" s="357">
        <v>61398</v>
      </c>
      <c r="M12" s="357">
        <v>53708</v>
      </c>
      <c r="N12" s="357">
        <v>36110</v>
      </c>
      <c r="O12" s="414">
        <f t="shared" si="1"/>
        <v>573691</v>
      </c>
      <c r="P12" s="414"/>
      <c r="Q12" s="414" cm="1">
        <f t="array" ref="Q12">Q$3*12-SUMPRODUCT(--($C12:$N12&lt;=Q$3),Q$3-$C12:$N12)</f>
        <v>240000</v>
      </c>
      <c r="R12" s="414">
        <f>R$3*12-SUM($Q12:Q12)-SUMPRODUCT(--($C12:$N12&lt;=R$3),R$3-$C12:$N12)</f>
        <v>280168</v>
      </c>
      <c r="S12" s="414">
        <f>S$3*12-SUM($Q12:R12)-SUMPRODUCT(--($C12:$N12&lt;=S$3),S$3-$C12:$N12)</f>
        <v>53523</v>
      </c>
      <c r="T12" s="414">
        <f>T$3*12-SUM($Q12:S12)-SUMPRODUCT(--($C12:$N12&lt;=T$3),T$3-$C12:$N12)</f>
        <v>0</v>
      </c>
      <c r="U12" s="414">
        <f>U$3*12-SUM($Q12:T12)-SUMPRODUCT(--($C12:$N12&lt;=U$3),U$3-$C12:$N12)</f>
        <v>0</v>
      </c>
      <c r="V12" s="415"/>
      <c r="W12" s="414">
        <f>IF(O12&lt;250000,(250000-O12)*RD!$E$56,0)</f>
        <v>0</v>
      </c>
      <c r="X12" s="414">
        <f>IF(O12&lt;250000,(250000-O12)*RD!$K$56,0)</f>
        <v>0</v>
      </c>
      <c r="Y12" s="416">
        <f>Q12*RD!$D$51+'Big Schedules'!R12*RD!$D$52+'Big Schedules'!S12*RD!$D$53+'Big Schedules'!T12*RD!$D$54+'Big Schedules'!U12*RD!$D$55+RD!$D$49*12+W12</f>
        <v>74549.755770000003</v>
      </c>
      <c r="Z12" s="416">
        <f>Q12*RD!$K$51+'Big Schedules'!R12*RD!$K$52+'Big Schedules'!S12*RD!$K$53+'Big Schedules'!T12*RD!$K$54+'Big Schedules'!U12*RD!$K$55+RD!$K$49*12+X12</f>
        <v>74549.755770000003</v>
      </c>
      <c r="AA12" s="417">
        <f t="shared" si="2"/>
        <v>0</v>
      </c>
      <c r="AB12" s="415"/>
      <c r="AC12" s="415"/>
    </row>
    <row r="13" spans="1:32">
      <c r="A13" s="389">
        <v>9</v>
      </c>
      <c r="B13" s="394"/>
      <c r="C13" s="357">
        <v>16803</v>
      </c>
      <c r="D13" s="357">
        <v>21715</v>
      </c>
      <c r="E13" s="357">
        <v>17488</v>
      </c>
      <c r="F13" s="357">
        <v>11471</v>
      </c>
      <c r="G13" s="357">
        <v>12811</v>
      </c>
      <c r="H13" s="357">
        <v>20373</v>
      </c>
      <c r="I13" s="357">
        <v>11059</v>
      </c>
      <c r="J13" s="357">
        <v>330</v>
      </c>
      <c r="K13" s="357">
        <v>296</v>
      </c>
      <c r="L13" s="357">
        <v>13520</v>
      </c>
      <c r="M13" s="357">
        <v>13390</v>
      </c>
      <c r="N13" s="357">
        <v>16205</v>
      </c>
      <c r="O13" s="414">
        <f t="shared" si="1"/>
        <v>155461</v>
      </c>
      <c r="P13" s="414"/>
      <c r="Q13" s="414" cm="1">
        <f t="array" ref="Q13">Q$3*12-SUMPRODUCT(--($C13:$N13&lt;=Q$3),Q$3-$C13:$N13)</f>
        <v>153373</v>
      </c>
      <c r="R13" s="414">
        <f>R$3*12-SUM($Q13:Q13)-SUMPRODUCT(--($C13:$N13&lt;=R$3),R$3-$C13:$N13)</f>
        <v>2088</v>
      </c>
      <c r="S13" s="414">
        <f>S$3*12-SUM($Q13:R13)-SUMPRODUCT(--($C13:$N13&lt;=S$3),S$3-$C13:$N13)</f>
        <v>0</v>
      </c>
      <c r="T13" s="414">
        <f>T$3*12-SUM($Q13:S13)-SUMPRODUCT(--($C13:$N13&lt;=T$3),T$3-$C13:$N13)</f>
        <v>0</v>
      </c>
      <c r="U13" s="414">
        <f>U$3*12-SUM($Q13:T13)-SUMPRODUCT(--($C13:$N13&lt;=U$3),U$3-$C13:$N13)</f>
        <v>0</v>
      </c>
      <c r="V13" s="415"/>
      <c r="W13" s="414">
        <f>IF(O13&lt;250000,(250000-O13)*RD!$E$56,0)</f>
        <v>10454.12262</v>
      </c>
      <c r="X13" s="414">
        <f>IF(O13&lt;250000,(250000-O13)*RD!$K$56,0)</f>
        <v>10454.12262</v>
      </c>
      <c r="Y13" s="416">
        <f>Q13*RD!$D$51+'Big Schedules'!R13*RD!$D$52+'Big Schedules'!S13*RD!$D$53+'Big Schedules'!T13*RD!$D$54+'Big Schedules'!U13*RD!$D$55+RD!$D$49*12+W13</f>
        <v>38149.277559999995</v>
      </c>
      <c r="Z13" s="416">
        <f>Q13*RD!$K$51+'Big Schedules'!R13*RD!$K$52+'Big Schedules'!S13*RD!$K$53+'Big Schedules'!T13*RD!$K$54+'Big Schedules'!U13*RD!$K$55+RD!$K$49*12+X13</f>
        <v>38149.277559999995</v>
      </c>
      <c r="AA13" s="417">
        <f t="shared" si="2"/>
        <v>0</v>
      </c>
      <c r="AB13" s="415"/>
      <c r="AC13" s="415"/>
    </row>
    <row r="14" spans="1:32">
      <c r="A14" s="389">
        <v>10</v>
      </c>
      <c r="B14" s="394"/>
      <c r="C14" s="357">
        <v>38338</v>
      </c>
      <c r="D14" s="357">
        <v>37722</v>
      </c>
      <c r="E14" s="357">
        <v>37251</v>
      </c>
      <c r="F14" s="357">
        <v>35106</v>
      </c>
      <c r="G14" s="357">
        <v>40375</v>
      </c>
      <c r="H14" s="357">
        <v>57668</v>
      </c>
      <c r="I14" s="357">
        <v>60864</v>
      </c>
      <c r="J14" s="357">
        <v>54389</v>
      </c>
      <c r="K14" s="357">
        <v>49432</v>
      </c>
      <c r="L14" s="357">
        <v>49378</v>
      </c>
      <c r="M14" s="357">
        <v>40636</v>
      </c>
      <c r="N14" s="357">
        <v>40322</v>
      </c>
      <c r="O14" s="414">
        <f t="shared" si="1"/>
        <v>541481</v>
      </c>
      <c r="P14" s="414"/>
      <c r="Q14" s="414" cm="1">
        <f t="array" ref="Q14">Q$3*12-SUMPRODUCT(--($C14:$N14&lt;=Q$3),Q$3-$C14:$N14)</f>
        <v>240000</v>
      </c>
      <c r="R14" s="414">
        <f>R$3*12-SUM($Q14:Q14)-SUMPRODUCT(--($C14:$N14&lt;=R$3),R$3-$C14:$N14)</f>
        <v>278560</v>
      </c>
      <c r="S14" s="414">
        <f>S$3*12-SUM($Q14:R14)-SUMPRODUCT(--($C14:$N14&lt;=S$3),S$3-$C14:$N14)</f>
        <v>22921</v>
      </c>
      <c r="T14" s="414">
        <f>T$3*12-SUM($Q14:S14)-SUMPRODUCT(--($C14:$N14&lt;=T$3),T$3-$C14:$N14)</f>
        <v>0</v>
      </c>
      <c r="U14" s="414">
        <f>U$3*12-SUM($Q14:T14)-SUMPRODUCT(--($C14:$N14&lt;=U$3),U$3-$C14:$N14)</f>
        <v>0</v>
      </c>
      <c r="V14" s="415"/>
      <c r="W14" s="414">
        <f>IF(O14&lt;250000,(250000-O14)*RD!$E$56,0)</f>
        <v>0</v>
      </c>
      <c r="X14" s="414">
        <f>IF(O14&lt;250000,(250000-O14)*RD!$K$56,0)</f>
        <v>0</v>
      </c>
      <c r="Y14" s="416">
        <f>Q14*RD!$D$51+'Big Schedules'!R14*RD!$D$52+'Big Schedules'!S14*RD!$D$53+'Big Schedules'!T14*RD!$D$54+'Big Schedules'!U14*RD!$D$55+RD!$D$49*12+W14</f>
        <v>71320.617709999991</v>
      </c>
      <c r="Z14" s="416">
        <f>Q14*RD!$K$51+'Big Schedules'!R14*RD!$K$52+'Big Schedules'!S14*RD!$K$53+'Big Schedules'!T14*RD!$K$54+'Big Schedules'!U14*RD!$K$55+RD!$K$49*12+X14</f>
        <v>71320.617709999991</v>
      </c>
      <c r="AA14" s="417">
        <f t="shared" si="2"/>
        <v>0</v>
      </c>
      <c r="AB14" s="415"/>
      <c r="AC14" s="415"/>
    </row>
    <row r="15" spans="1:32">
      <c r="A15" s="389">
        <v>11</v>
      </c>
      <c r="B15" s="394"/>
      <c r="C15" s="357">
        <v>42857</v>
      </c>
      <c r="D15" s="357">
        <v>29955</v>
      </c>
      <c r="E15" s="357">
        <v>74624</v>
      </c>
      <c r="F15" s="357">
        <v>62796</v>
      </c>
      <c r="G15" s="357">
        <v>78657</v>
      </c>
      <c r="H15" s="357">
        <v>19603</v>
      </c>
      <c r="I15" s="357">
        <v>0</v>
      </c>
      <c r="J15" s="357">
        <v>0</v>
      </c>
      <c r="K15" s="357">
        <v>0</v>
      </c>
      <c r="L15" s="357">
        <v>0</v>
      </c>
      <c r="M15" s="357">
        <v>17741</v>
      </c>
      <c r="N15" s="357">
        <v>40998</v>
      </c>
      <c r="O15" s="414">
        <f t="shared" si="1"/>
        <v>367231</v>
      </c>
      <c r="P15" s="414"/>
      <c r="Q15" s="414" cm="1">
        <f t="array" ref="Q15">Q$3*12-SUMPRODUCT(--($C15:$N15&lt;=Q$3),Q$3-$C15:$N15)</f>
        <v>157344</v>
      </c>
      <c r="R15" s="414">
        <f>R$3*12-SUM($Q15:Q15)-SUMPRODUCT(--($C15:$N15&lt;=R$3),R$3-$C15:$N15)</f>
        <v>143810</v>
      </c>
      <c r="S15" s="414">
        <f>S$3*12-SUM($Q15:R15)-SUMPRODUCT(--($C15:$N15&lt;=S$3),S$3-$C15:$N15)</f>
        <v>66077</v>
      </c>
      <c r="T15" s="414">
        <f>T$3*12-SUM($Q15:S15)-SUMPRODUCT(--($C15:$N15&lt;=T$3),T$3-$C15:$N15)</f>
        <v>0</v>
      </c>
      <c r="U15" s="414">
        <f>U$3*12-SUM($Q15:T15)-SUMPRODUCT(--($C15:$N15&lt;=U$3),U$3-$C15:$N15)</f>
        <v>0</v>
      </c>
      <c r="V15" s="415"/>
      <c r="W15" s="414">
        <f>IF(O15&lt;250000,(250000-O15)*RD!$E$56,0)</f>
        <v>0</v>
      </c>
      <c r="X15" s="414">
        <f>IF(O15&lt;250000,(250000-O15)*RD!$K$56,0)</f>
        <v>0</v>
      </c>
      <c r="Y15" s="416">
        <f>Q15*RD!$D$51+'Big Schedules'!R15*RD!$D$52+'Big Schedules'!S15*RD!$D$53+'Big Schedules'!T15*RD!$D$54+'Big Schedules'!U15*RD!$D$55+RD!$D$49*12+W15</f>
        <v>50448.906669999997</v>
      </c>
      <c r="Z15" s="416">
        <f>Q15*RD!$K$51+'Big Schedules'!R15*RD!$K$52+'Big Schedules'!S15*RD!$K$53+'Big Schedules'!T15*RD!$K$54+'Big Schedules'!U15*RD!$K$55+RD!$K$49*12+X15</f>
        <v>50448.906669999997</v>
      </c>
      <c r="AA15" s="417">
        <f t="shared" si="2"/>
        <v>0</v>
      </c>
      <c r="AB15" s="415"/>
      <c r="AC15" s="415"/>
    </row>
    <row r="16" spans="1:32">
      <c r="A16" s="389">
        <v>12</v>
      </c>
      <c r="B16" s="394"/>
      <c r="C16" s="357">
        <v>36735</v>
      </c>
      <c r="D16" s="357">
        <v>60891</v>
      </c>
      <c r="E16" s="357">
        <v>0</v>
      </c>
      <c r="F16" s="357">
        <v>58</v>
      </c>
      <c r="G16" s="357">
        <v>0</v>
      </c>
      <c r="H16" s="357">
        <v>0</v>
      </c>
      <c r="I16" s="357">
        <v>0</v>
      </c>
      <c r="J16" s="357">
        <v>0</v>
      </c>
      <c r="K16" s="357">
        <v>35729</v>
      </c>
      <c r="L16" s="357">
        <v>0</v>
      </c>
      <c r="M16" s="357">
        <v>0</v>
      </c>
      <c r="N16" s="357">
        <v>77748</v>
      </c>
      <c r="O16" s="414">
        <f t="shared" si="1"/>
        <v>211161</v>
      </c>
      <c r="P16" s="414"/>
      <c r="Q16" s="414" cm="1">
        <f t="array" ref="Q16">Q$3*12-SUMPRODUCT(--($C16:$N16&lt;=Q$3),Q$3-$C16:$N16)</f>
        <v>80058</v>
      </c>
      <c r="R16" s="414">
        <f>R$3*12-SUM($Q16:Q16)-SUMPRODUCT(--($C16:$N16&lt;=R$3),R$3-$C16:$N16)</f>
        <v>92464</v>
      </c>
      <c r="S16" s="414">
        <f>S$3*12-SUM($Q16:R16)-SUMPRODUCT(--($C16:$N16&lt;=S$3),S$3-$C16:$N16)</f>
        <v>38639</v>
      </c>
      <c r="T16" s="414">
        <f>T$3*12-SUM($Q16:S16)-SUMPRODUCT(--($C16:$N16&lt;=T$3),T$3-$C16:$N16)</f>
        <v>0</v>
      </c>
      <c r="U16" s="414">
        <f>U$3*12-SUM($Q16:T16)-SUMPRODUCT(--($C16:$N16&lt;=U$3),U$3-$C16:$N16)</f>
        <v>0</v>
      </c>
      <c r="V16" s="415"/>
      <c r="W16" s="414">
        <f>IF(O16&lt;250000,(250000-O16)*RD!$E$56,0)</f>
        <v>4294.8166199999996</v>
      </c>
      <c r="X16" s="414">
        <f>IF(O16&lt;250000,(250000-O16)*RD!$K$56,0)</f>
        <v>4294.8166199999996</v>
      </c>
      <c r="Y16" s="416">
        <f>Q16*RD!$D$51+'Big Schedules'!R16*RD!$D$52+'Big Schedules'!S16*RD!$D$53+'Big Schedules'!T16*RD!$D$54+'Big Schedules'!U16*RD!$D$55+RD!$D$49*12+W16</f>
        <v>36723.38983</v>
      </c>
      <c r="Z16" s="416">
        <f>Q16*RD!$K$51+'Big Schedules'!R16*RD!$K$52+'Big Schedules'!S16*RD!$K$53+'Big Schedules'!T16*RD!$K$54+'Big Schedules'!U16*RD!$K$55+RD!$K$49*12+X16</f>
        <v>36723.38983</v>
      </c>
      <c r="AA16" s="417">
        <f t="shared" si="2"/>
        <v>0</v>
      </c>
      <c r="AB16" s="415"/>
      <c r="AC16" s="415"/>
    </row>
    <row r="17" spans="1:29">
      <c r="A17" s="389">
        <v>13</v>
      </c>
      <c r="B17" s="394"/>
      <c r="C17" s="357">
        <v>46180</v>
      </c>
      <c r="D17" s="357">
        <v>39398</v>
      </c>
      <c r="E17" s="357">
        <v>46421</v>
      </c>
      <c r="F17" s="357">
        <v>41745</v>
      </c>
      <c r="G17" s="357">
        <v>45952</v>
      </c>
      <c r="H17" s="357">
        <v>44872</v>
      </c>
      <c r="I17" s="357">
        <v>54697</v>
      </c>
      <c r="J17" s="357">
        <v>54397</v>
      </c>
      <c r="K17" s="357">
        <v>44005</v>
      </c>
      <c r="L17" s="357">
        <v>67786</v>
      </c>
      <c r="M17" s="357">
        <v>52114</v>
      </c>
      <c r="N17" s="357">
        <v>61290</v>
      </c>
      <c r="O17" s="414">
        <f t="shared" si="1"/>
        <v>598857</v>
      </c>
      <c r="P17" s="414"/>
      <c r="Q17" s="414" cm="1">
        <f t="array" ref="Q17">Q$3*12-SUMPRODUCT(--($C17:$N17&lt;=Q$3),Q$3-$C17:$N17)</f>
        <v>240000</v>
      </c>
      <c r="R17" s="414">
        <f>R$3*12-SUM($Q17:Q17)-SUMPRODUCT(--($C17:$N17&lt;=R$3),R$3-$C17:$N17)</f>
        <v>318573</v>
      </c>
      <c r="S17" s="414">
        <f>S$3*12-SUM($Q17:R17)-SUMPRODUCT(--($C17:$N17&lt;=S$3),S$3-$C17:$N17)</f>
        <v>40284</v>
      </c>
      <c r="T17" s="414">
        <f>T$3*12-SUM($Q17:S17)-SUMPRODUCT(--($C17:$N17&lt;=T$3),T$3-$C17:$N17)</f>
        <v>0</v>
      </c>
      <c r="U17" s="414">
        <f>U$3*12-SUM($Q17:T17)-SUMPRODUCT(--($C17:$N17&lt;=U$3),U$3-$C17:$N17)</f>
        <v>0</v>
      </c>
      <c r="V17" s="415"/>
      <c r="W17" s="414">
        <f>IF(O17&lt;250000,(250000-O17)*RD!$E$56,0)</f>
        <v>0</v>
      </c>
      <c r="X17" s="414">
        <f>IF(O17&lt;250000,(250000-O17)*RD!$K$56,0)</f>
        <v>0</v>
      </c>
      <c r="Y17" s="416">
        <f>Q17*RD!$D$51+'Big Schedules'!R17*RD!$D$52+'Big Schedules'!S17*RD!$D$53+'Big Schedules'!T17*RD!$D$54+'Big Schedules'!U17*RD!$D$55+RD!$D$49*12+W17</f>
        <v>77476.519979999997</v>
      </c>
      <c r="Z17" s="416">
        <f>Q17*RD!$K$51+'Big Schedules'!R17*RD!$K$52+'Big Schedules'!S17*RD!$K$53+'Big Schedules'!T17*RD!$K$54+'Big Schedules'!U17*RD!$K$55+RD!$K$49*12+X17</f>
        <v>77476.519979999997</v>
      </c>
      <c r="AA17" s="417">
        <f t="shared" si="2"/>
        <v>0</v>
      </c>
      <c r="AB17" s="415"/>
      <c r="AC17" s="415"/>
    </row>
    <row r="18" spans="1:29">
      <c r="A18" s="389">
        <v>14</v>
      </c>
      <c r="B18" s="394"/>
      <c r="C18" s="357">
        <v>40246</v>
      </c>
      <c r="D18" s="357">
        <v>36243</v>
      </c>
      <c r="E18" s="357">
        <v>37115</v>
      </c>
      <c r="F18" s="357">
        <v>37729</v>
      </c>
      <c r="G18" s="357">
        <v>50231</v>
      </c>
      <c r="H18" s="357">
        <v>106191</v>
      </c>
      <c r="I18" s="357">
        <v>121738</v>
      </c>
      <c r="J18" s="357">
        <v>105780</v>
      </c>
      <c r="K18" s="357">
        <v>94093</v>
      </c>
      <c r="L18" s="357">
        <v>89705</v>
      </c>
      <c r="M18" s="357">
        <v>69895</v>
      </c>
      <c r="N18" s="357">
        <v>45082</v>
      </c>
      <c r="O18" s="414">
        <f t="shared" si="1"/>
        <v>834048</v>
      </c>
      <c r="P18" s="414"/>
      <c r="Q18" s="414" cm="1">
        <f t="array" ref="Q18">Q$3*12-SUMPRODUCT(--($C18:$N18&lt;=Q$3),Q$3-$C18:$N18)</f>
        <v>240000</v>
      </c>
      <c r="R18" s="414">
        <f>R$3*12-SUM($Q18:Q18)-SUMPRODUCT(--($C18:$N18&lt;=R$3),R$3-$C18:$N18)</f>
        <v>306415</v>
      </c>
      <c r="S18" s="414">
        <f>S$3*12-SUM($Q18:R18)-SUMPRODUCT(--($C18:$N18&lt;=S$3),S$3-$C18:$N18)</f>
        <v>287633</v>
      </c>
      <c r="T18" s="414">
        <f>T$3*12-SUM($Q18:S18)-SUMPRODUCT(--($C18:$N18&lt;=T$3),T$3-$C18:$N18)</f>
        <v>0</v>
      </c>
      <c r="U18" s="414">
        <f>U$3*12-SUM($Q18:T18)-SUMPRODUCT(--($C18:$N18&lt;=U$3),U$3-$C18:$N18)</f>
        <v>0</v>
      </c>
      <c r="V18" s="415"/>
      <c r="W18" s="414">
        <f>IF(O18&lt;250000,(250000-O18)*RD!$E$56,0)</f>
        <v>0</v>
      </c>
      <c r="X18" s="414">
        <f>IF(O18&lt;250000,(250000-O18)*RD!$K$56,0)</f>
        <v>0</v>
      </c>
      <c r="Y18" s="416">
        <f>Q18*RD!$D$51+'Big Schedules'!R18*RD!$D$52+'Big Schedules'!S18*RD!$D$53+'Big Schedules'!T18*RD!$D$54+'Big Schedules'!U18*RD!$D$55+RD!$D$49*12+W18</f>
        <v>100795.25713</v>
      </c>
      <c r="Z18" s="416">
        <f>Q18*RD!$K$51+'Big Schedules'!R18*RD!$K$52+'Big Schedules'!S18*RD!$K$53+'Big Schedules'!T18*RD!$K$54+'Big Schedules'!U18*RD!$K$55+RD!$K$49*12+X18</f>
        <v>100795.25713</v>
      </c>
      <c r="AA18" s="417">
        <f t="shared" si="2"/>
        <v>0</v>
      </c>
      <c r="AB18" s="415"/>
      <c r="AC18" s="415"/>
    </row>
    <row r="19" spans="1:29">
      <c r="A19" s="389">
        <v>15</v>
      </c>
      <c r="B19" s="394"/>
      <c r="C19" s="357">
        <v>690859</v>
      </c>
      <c r="D19" s="357">
        <v>624231</v>
      </c>
      <c r="E19" s="357">
        <v>603399</v>
      </c>
      <c r="F19" s="357">
        <v>632717</v>
      </c>
      <c r="G19" s="357">
        <v>622416</v>
      </c>
      <c r="H19" s="357">
        <v>744303</v>
      </c>
      <c r="I19" s="357">
        <v>526285</v>
      </c>
      <c r="J19" s="357">
        <v>758355</v>
      </c>
      <c r="K19" s="357">
        <v>698780</v>
      </c>
      <c r="L19" s="357">
        <v>679458</v>
      </c>
      <c r="M19" s="357">
        <v>634483</v>
      </c>
      <c r="N19" s="357">
        <v>556982</v>
      </c>
      <c r="O19" s="414">
        <f t="shared" si="1"/>
        <v>7772268</v>
      </c>
      <c r="P19" s="414"/>
      <c r="Q19" s="414" cm="1">
        <f t="array" ref="Q19">Q$3*12-SUMPRODUCT(--($C19:$N19&lt;=Q$3),Q$3-$C19:$N19)</f>
        <v>240000</v>
      </c>
      <c r="R19" s="414">
        <f>R$3*12-SUM($Q19:Q19)-SUMPRODUCT(--($C19:$N19&lt;=R$3),R$3-$C19:$N19)</f>
        <v>360000</v>
      </c>
      <c r="S19" s="414">
        <f>S$3*12-SUM($Q19:R19)-SUMPRODUCT(--($C19:$N19&lt;=S$3),S$3-$C19:$N19)</f>
        <v>3000000</v>
      </c>
      <c r="T19" s="414">
        <f>T$3*12-SUM($Q19:S19)-SUMPRODUCT(--($C19:$N19&lt;=T$3),T$3-$C19:$N19)</f>
        <v>2400000</v>
      </c>
      <c r="U19" s="414">
        <f>U$3*12-SUM($Q19:T19)-SUMPRODUCT(--($C19:$N19&lt;=U$3),U$3-$C19:$N19)</f>
        <v>1772268</v>
      </c>
      <c r="V19" s="415"/>
      <c r="W19" s="414">
        <f>IF(O19&lt;250000,(250000-O19)*RD!$E$56,0)</f>
        <v>0</v>
      </c>
      <c r="X19" s="414">
        <f>IF(O19&lt;250000,(250000-O19)*RD!$K$56,0)</f>
        <v>0</v>
      </c>
      <c r="Y19" s="416">
        <f>Q19*RD!$D$51+'Big Schedules'!R19*RD!$D$52+'Big Schedules'!S19*RD!$D$53+'Big Schedules'!T19*RD!$D$54+'Big Schedules'!U19*RD!$D$55+RD!$D$49*12+W19</f>
        <v>721292.97240000009</v>
      </c>
      <c r="Z19" s="416">
        <f>Q19*RD!$K$51+'Big Schedules'!R19*RD!$K$52+'Big Schedules'!S19*RD!$K$53+'Big Schedules'!T19*RD!$K$54+'Big Schedules'!U19*RD!$K$55+RD!$K$49*12+X19</f>
        <v>721292.97240000009</v>
      </c>
      <c r="AA19" s="417">
        <f t="shared" si="2"/>
        <v>0</v>
      </c>
      <c r="AB19" s="415"/>
      <c r="AC19" s="415"/>
    </row>
    <row r="20" spans="1:29">
      <c r="A20" s="389">
        <v>16</v>
      </c>
      <c r="B20" s="394"/>
      <c r="C20" s="357">
        <v>36210</v>
      </c>
      <c r="D20" s="357">
        <v>32901</v>
      </c>
      <c r="E20" s="357">
        <v>36276</v>
      </c>
      <c r="F20" s="357">
        <v>34139</v>
      </c>
      <c r="G20" s="357">
        <v>37467</v>
      </c>
      <c r="H20" s="357">
        <v>41743</v>
      </c>
      <c r="I20" s="357">
        <v>46349</v>
      </c>
      <c r="J20" s="357">
        <v>48177</v>
      </c>
      <c r="K20" s="357">
        <v>46438</v>
      </c>
      <c r="L20" s="357">
        <v>46559</v>
      </c>
      <c r="M20" s="357">
        <v>43193</v>
      </c>
      <c r="N20" s="357">
        <v>41038</v>
      </c>
      <c r="O20" s="414">
        <f t="shared" si="1"/>
        <v>490490</v>
      </c>
      <c r="P20" s="414"/>
      <c r="Q20" s="414" cm="1">
        <f t="array" ref="Q20">Q$3*12-SUMPRODUCT(--($C20:$N20&lt;=Q$3),Q$3-$C20:$N20)</f>
        <v>240000</v>
      </c>
      <c r="R20" s="414">
        <f>R$3*12-SUM($Q20:Q20)-SUMPRODUCT(--($C20:$N20&lt;=R$3),R$3-$C20:$N20)</f>
        <v>250490</v>
      </c>
      <c r="S20" s="414">
        <f>S$3*12-SUM($Q20:R20)-SUMPRODUCT(--($C20:$N20&lt;=S$3),S$3-$C20:$N20)</f>
        <v>0</v>
      </c>
      <c r="T20" s="414">
        <f>T$3*12-SUM($Q20:S20)-SUMPRODUCT(--($C20:$N20&lt;=T$3),T$3-$C20:$N20)</f>
        <v>0</v>
      </c>
      <c r="U20" s="414">
        <f>U$3*12-SUM($Q20:T20)-SUMPRODUCT(--($C20:$N20&lt;=U$3),U$3-$C20:$N20)</f>
        <v>0</v>
      </c>
      <c r="V20" s="415"/>
      <c r="W20" s="414">
        <f>IF(O20&lt;250000,(250000-O20)*RD!$E$56,0)</f>
        <v>0</v>
      </c>
      <c r="X20" s="414">
        <f>IF(O20&lt;250000,(250000-O20)*RD!$K$56,0)</f>
        <v>0</v>
      </c>
      <c r="Y20" s="416">
        <f>Q20*RD!$D$51+'Big Schedules'!R20*RD!$D$52+'Big Schedules'!S20*RD!$D$53+'Big Schedules'!T20*RD!$D$54+'Big Schedules'!U20*RD!$D$55+RD!$D$49*12+W20</f>
        <v>65931.184200000003</v>
      </c>
      <c r="Z20" s="416">
        <f>Q20*RD!$K$51+'Big Schedules'!R20*RD!$K$52+'Big Schedules'!S20*RD!$K$53+'Big Schedules'!T20*RD!$K$54+'Big Schedules'!U20*RD!$K$55+RD!$K$49*12+X20</f>
        <v>65931.184200000003</v>
      </c>
      <c r="AA20" s="417">
        <f t="shared" si="2"/>
        <v>0</v>
      </c>
      <c r="AB20" s="415"/>
      <c r="AC20" s="415"/>
    </row>
    <row r="21" spans="1:29">
      <c r="A21" s="389">
        <v>17</v>
      </c>
      <c r="B21" s="394"/>
      <c r="C21" s="357">
        <v>38565</v>
      </c>
      <c r="D21" s="357">
        <v>29107</v>
      </c>
      <c r="E21" s="357">
        <v>33135</v>
      </c>
      <c r="F21" s="357">
        <v>55091</v>
      </c>
      <c r="G21" s="357">
        <v>70546</v>
      </c>
      <c r="H21" s="357">
        <v>10324</v>
      </c>
      <c r="I21" s="357">
        <v>31</v>
      </c>
      <c r="J21" s="357">
        <v>31</v>
      </c>
      <c r="K21" s="357">
        <v>28</v>
      </c>
      <c r="L21" s="357">
        <v>31</v>
      </c>
      <c r="M21" s="357">
        <v>23389</v>
      </c>
      <c r="N21" s="357">
        <v>46016</v>
      </c>
      <c r="O21" s="414">
        <f t="shared" si="1"/>
        <v>306294</v>
      </c>
      <c r="P21" s="414"/>
      <c r="Q21" s="414" cm="1">
        <f t="array" ref="Q21">Q$3*12-SUMPRODUCT(--($C21:$N21&lt;=Q$3),Q$3-$C21:$N21)</f>
        <v>150445</v>
      </c>
      <c r="R21" s="414">
        <f>R$3*12-SUM($Q21:Q21)-SUMPRODUCT(--($C21:$N21&lt;=R$3),R$3-$C21:$N21)</f>
        <v>130212</v>
      </c>
      <c r="S21" s="414">
        <f>S$3*12-SUM($Q21:R21)-SUMPRODUCT(--($C21:$N21&lt;=S$3),S$3-$C21:$N21)</f>
        <v>25637</v>
      </c>
      <c r="T21" s="414">
        <f>T$3*12-SUM($Q21:S21)-SUMPRODUCT(--($C21:$N21&lt;=T$3),T$3-$C21:$N21)</f>
        <v>0</v>
      </c>
      <c r="U21" s="414">
        <f>U$3*12-SUM($Q21:T21)-SUMPRODUCT(--($C21:$N21&lt;=U$3),U$3-$C21:$N21)</f>
        <v>0</v>
      </c>
      <c r="V21" s="415"/>
      <c r="W21" s="414">
        <f>IF(O21&lt;250000,(250000-O21)*RD!$E$56,0)</f>
        <v>0</v>
      </c>
      <c r="X21" s="414">
        <f>IF(O21&lt;250000,(250000-O21)*RD!$K$56,0)</f>
        <v>0</v>
      </c>
      <c r="Y21" s="416">
        <f>Q21*RD!$D$51+'Big Schedules'!R21*RD!$D$52+'Big Schedules'!S21*RD!$D$53+'Big Schedules'!T21*RD!$D$54+'Big Schedules'!U21*RD!$D$55+RD!$D$49*12+W21</f>
        <v>44055.421730000002</v>
      </c>
      <c r="Z21" s="416">
        <f>Q21*RD!$K$51+'Big Schedules'!R21*RD!$K$52+'Big Schedules'!S21*RD!$K$53+'Big Schedules'!T21*RD!$K$54+'Big Schedules'!U21*RD!$K$55+RD!$K$49*12+X21</f>
        <v>44055.421730000002</v>
      </c>
      <c r="AA21" s="417">
        <f t="shared" si="2"/>
        <v>0</v>
      </c>
      <c r="AB21" s="415"/>
      <c r="AC21" s="415"/>
    </row>
    <row r="22" spans="1:29">
      <c r="A22" s="389">
        <v>18</v>
      </c>
      <c r="B22" s="394"/>
      <c r="C22" s="357">
        <v>268324</v>
      </c>
      <c r="D22" s="357">
        <v>219109</v>
      </c>
      <c r="E22" s="357">
        <v>205757</v>
      </c>
      <c r="F22" s="357">
        <v>203148</v>
      </c>
      <c r="G22" s="357">
        <v>231465</v>
      </c>
      <c r="H22" s="357">
        <v>311298</v>
      </c>
      <c r="I22" s="357">
        <v>296706</v>
      </c>
      <c r="J22" s="357">
        <v>374676</v>
      </c>
      <c r="K22" s="357">
        <v>350357</v>
      </c>
      <c r="L22" s="357">
        <v>371132</v>
      </c>
      <c r="M22" s="357">
        <v>317580</v>
      </c>
      <c r="N22" s="357">
        <v>258583</v>
      </c>
      <c r="O22" s="414">
        <f t="shared" si="1"/>
        <v>3408135</v>
      </c>
      <c r="P22" s="414"/>
      <c r="Q22" s="414" cm="1">
        <f t="array" ref="Q22">Q$3*12-SUMPRODUCT(--($C22:$N22&lt;=Q$3),Q$3-$C22:$N22)</f>
        <v>240000</v>
      </c>
      <c r="R22" s="414">
        <f>R$3*12-SUM($Q22:Q22)-SUMPRODUCT(--($C22:$N22&lt;=R$3),R$3-$C22:$N22)</f>
        <v>360000</v>
      </c>
      <c r="S22" s="414">
        <f>S$3*12-SUM($Q22:R22)-SUMPRODUCT(--($C22:$N22&lt;=S$3),S$3-$C22:$N22)</f>
        <v>2583092</v>
      </c>
      <c r="T22" s="414">
        <f>T$3*12-SUM($Q22:S22)-SUMPRODUCT(--($C22:$N22&lt;=T$3),T$3-$C22:$N22)</f>
        <v>225043</v>
      </c>
      <c r="U22" s="414">
        <f>U$3*12-SUM($Q22:T22)-SUMPRODUCT(--($C22:$N22&lt;=U$3),U$3-$C22:$N22)</f>
        <v>0</v>
      </c>
      <c r="V22" s="415"/>
      <c r="W22" s="414">
        <f>IF(O22&lt;250000,(250000-O22)*RD!$E$56,0)</f>
        <v>0</v>
      </c>
      <c r="X22" s="414">
        <f>IF(O22&lt;250000,(250000-O22)*RD!$K$56,0)</f>
        <v>0</v>
      </c>
      <c r="Y22" s="416">
        <f>Q22*RD!$D$51+'Big Schedules'!R22*RD!$D$52+'Big Schedules'!S22*RD!$D$53+'Big Schedules'!T22*RD!$D$54+'Big Schedules'!U22*RD!$D$55+RD!$D$49*12+W22</f>
        <v>356352.11835000006</v>
      </c>
      <c r="Z22" s="416">
        <f>Q22*RD!$K$51+'Big Schedules'!R22*RD!$K$52+'Big Schedules'!S22*RD!$K$53+'Big Schedules'!T22*RD!$K$54+'Big Schedules'!U22*RD!$K$55+RD!$K$49*12+X22</f>
        <v>356352.11835000006</v>
      </c>
      <c r="AA22" s="417">
        <f t="shared" si="2"/>
        <v>0</v>
      </c>
      <c r="AB22" s="415"/>
      <c r="AC22" s="415"/>
    </row>
    <row r="23" spans="1:29">
      <c r="A23" s="389">
        <v>19</v>
      </c>
      <c r="B23" s="394"/>
      <c r="C23" s="357">
        <v>149458</v>
      </c>
      <c r="D23" s="357">
        <v>136172</v>
      </c>
      <c r="E23" s="357">
        <v>141075</v>
      </c>
      <c r="F23" s="357">
        <v>145157</v>
      </c>
      <c r="G23" s="357">
        <v>133142</v>
      </c>
      <c r="H23" s="357">
        <v>144961</v>
      </c>
      <c r="I23" s="357">
        <v>152520</v>
      </c>
      <c r="J23" s="357">
        <v>144071</v>
      </c>
      <c r="K23" s="357">
        <v>152079</v>
      </c>
      <c r="L23" s="357">
        <v>163755</v>
      </c>
      <c r="M23" s="357">
        <v>146436</v>
      </c>
      <c r="N23" s="357">
        <v>146008</v>
      </c>
      <c r="O23" s="414">
        <f t="shared" si="1"/>
        <v>1754834</v>
      </c>
      <c r="P23" s="414"/>
      <c r="Q23" s="414" cm="1">
        <f t="array" ref="Q23">Q$3*12-SUMPRODUCT(--($C23:$N23&lt;=Q$3),Q$3-$C23:$N23)</f>
        <v>240000</v>
      </c>
      <c r="R23" s="414">
        <f>R$3*12-SUM($Q23:Q23)-SUMPRODUCT(--($C23:$N23&lt;=R$3),R$3-$C23:$N23)</f>
        <v>360000</v>
      </c>
      <c r="S23" s="414">
        <f>S$3*12-SUM($Q23:R23)-SUMPRODUCT(--($C23:$N23&lt;=S$3),S$3-$C23:$N23)</f>
        <v>1154834</v>
      </c>
      <c r="T23" s="414">
        <f>T$3*12-SUM($Q23:S23)-SUMPRODUCT(--($C23:$N23&lt;=T$3),T$3-$C23:$N23)</f>
        <v>0</v>
      </c>
      <c r="U23" s="414">
        <f>U$3*12-SUM($Q23:T23)-SUMPRODUCT(--($C23:$N23&lt;=U$3),U$3-$C23:$N23)</f>
        <v>0</v>
      </c>
      <c r="V23" s="415"/>
      <c r="W23" s="414">
        <f>IF(O23&lt;250000,(250000-O23)*RD!$E$56,0)</f>
        <v>0</v>
      </c>
      <c r="X23" s="414">
        <f>IF(O23&lt;250000,(250000-O23)*RD!$K$56,0)</f>
        <v>0</v>
      </c>
      <c r="Y23" s="416">
        <f>Q23*RD!$D$51+'Big Schedules'!R23*RD!$D$52+'Big Schedules'!S23*RD!$D$53+'Big Schedules'!T23*RD!$D$54+'Big Schedules'!U23*RD!$D$55+RD!$D$49*12+W23</f>
        <v>193189.29814</v>
      </c>
      <c r="Z23" s="416">
        <f>Q23*RD!$K$51+'Big Schedules'!R23*RD!$K$52+'Big Schedules'!S23*RD!$K$53+'Big Schedules'!T23*RD!$K$54+'Big Schedules'!U23*RD!$K$55+RD!$K$49*12+X23</f>
        <v>193189.29814</v>
      </c>
      <c r="AA23" s="417">
        <f t="shared" si="2"/>
        <v>0</v>
      </c>
      <c r="AB23" s="415"/>
      <c r="AC23" s="415"/>
    </row>
    <row r="24" spans="1:29">
      <c r="A24" s="389">
        <v>20</v>
      </c>
      <c r="B24" s="394"/>
      <c r="C24" s="357">
        <v>7162</v>
      </c>
      <c r="D24" s="357">
        <v>4069</v>
      </c>
      <c r="E24" s="357">
        <v>5893</v>
      </c>
      <c r="F24" s="357">
        <v>14489</v>
      </c>
      <c r="G24" s="357">
        <v>38787</v>
      </c>
      <c r="H24" s="357">
        <v>101949</v>
      </c>
      <c r="I24" s="357">
        <v>122152</v>
      </c>
      <c r="J24" s="357">
        <v>102764</v>
      </c>
      <c r="K24" s="357">
        <v>94337</v>
      </c>
      <c r="L24" s="357">
        <v>77715</v>
      </c>
      <c r="M24" s="357">
        <v>52985</v>
      </c>
      <c r="N24" s="357">
        <v>14910</v>
      </c>
      <c r="O24" s="414">
        <f t="shared" si="1"/>
        <v>637212</v>
      </c>
      <c r="P24" s="414"/>
      <c r="Q24" s="414" cm="1">
        <f t="array" ref="Q24">Q$3*12-SUMPRODUCT(--($C24:$N24&lt;=Q$3),Q$3-$C24:$N24)</f>
        <v>186523</v>
      </c>
      <c r="R24" s="414">
        <f>R$3*12-SUM($Q24:Q24)-SUMPRODUCT(--($C24:$N24&lt;=R$3),R$3-$C24:$N24)</f>
        <v>198787</v>
      </c>
      <c r="S24" s="414">
        <f>S$3*12-SUM($Q24:R24)-SUMPRODUCT(--($C24:$N24&lt;=S$3),S$3-$C24:$N24)</f>
        <v>251902</v>
      </c>
      <c r="T24" s="414">
        <f>T$3*12-SUM($Q24:S24)-SUMPRODUCT(--($C24:$N24&lt;=T$3),T$3-$C24:$N24)</f>
        <v>0</v>
      </c>
      <c r="U24" s="414">
        <f>U$3*12-SUM($Q24:T24)-SUMPRODUCT(--($C24:$N24&lt;=U$3),U$3-$C24:$N24)</f>
        <v>0</v>
      </c>
      <c r="V24" s="415"/>
      <c r="W24" s="414">
        <f>IF(O24&lt;250000,(250000-O24)*RD!$E$56,0)</f>
        <v>0</v>
      </c>
      <c r="X24" s="414">
        <f>IF(O24&lt;250000,(250000-O24)*RD!$K$56,0)</f>
        <v>0</v>
      </c>
      <c r="Y24" s="416">
        <f>Q24*RD!$D$51+'Big Schedules'!R24*RD!$D$52+'Big Schedules'!S24*RD!$D$53+'Big Schedules'!T24*RD!$D$54+'Big Schedules'!U24*RD!$D$55+RD!$D$49*12+W24</f>
        <v>78683.823780000006</v>
      </c>
      <c r="Z24" s="416">
        <f>Q24*RD!$K$51+'Big Schedules'!R24*RD!$K$52+'Big Schedules'!S24*RD!$K$53+'Big Schedules'!T24*RD!$K$54+'Big Schedules'!U24*RD!$K$55+RD!$K$49*12+X24</f>
        <v>78683.823780000006</v>
      </c>
      <c r="AA24" s="417">
        <f t="shared" si="2"/>
        <v>0</v>
      </c>
      <c r="AB24" s="415"/>
      <c r="AC24" s="415"/>
    </row>
    <row r="25" spans="1:29">
      <c r="A25" s="389">
        <v>21</v>
      </c>
      <c r="B25" s="394"/>
      <c r="C25" s="357">
        <v>63686</v>
      </c>
      <c r="D25" s="357">
        <v>58028</v>
      </c>
      <c r="E25" s="357">
        <v>63437</v>
      </c>
      <c r="F25" s="357">
        <v>60294</v>
      </c>
      <c r="G25" s="357">
        <v>58181</v>
      </c>
      <c r="H25" s="357">
        <v>58258</v>
      </c>
      <c r="I25" s="357">
        <v>54166</v>
      </c>
      <c r="J25" s="357">
        <v>52469</v>
      </c>
      <c r="K25" s="357">
        <v>48494</v>
      </c>
      <c r="L25" s="357">
        <v>61583</v>
      </c>
      <c r="M25" s="357">
        <v>55284</v>
      </c>
      <c r="N25" s="357">
        <v>63765</v>
      </c>
      <c r="O25" s="414">
        <f t="shared" si="1"/>
        <v>697645</v>
      </c>
      <c r="P25" s="414"/>
      <c r="Q25" s="414" cm="1">
        <f t="array" ref="Q25">Q$3*12-SUMPRODUCT(--($C25:$N25&lt;=Q$3),Q$3-$C25:$N25)</f>
        <v>240000</v>
      </c>
      <c r="R25" s="414">
        <f>R$3*12-SUM($Q25:Q25)-SUMPRODUCT(--($C25:$N25&lt;=R$3),R$3-$C25:$N25)</f>
        <v>358494</v>
      </c>
      <c r="S25" s="414">
        <f>S$3*12-SUM($Q25:R25)-SUMPRODUCT(--($C25:$N25&lt;=S$3),S$3-$C25:$N25)</f>
        <v>99151</v>
      </c>
      <c r="T25" s="414">
        <f>T$3*12-SUM($Q25:S25)-SUMPRODUCT(--($C25:$N25&lt;=T$3),T$3-$C25:$N25)</f>
        <v>0</v>
      </c>
      <c r="U25" s="414">
        <f>U$3*12-SUM($Q25:T25)-SUMPRODUCT(--($C25:$N25&lt;=U$3),U$3-$C25:$N25)</f>
        <v>0</v>
      </c>
      <c r="V25" s="415"/>
      <c r="W25" s="414">
        <f>IF(O25&lt;250000,(250000-O25)*RD!$E$56,0)</f>
        <v>0</v>
      </c>
      <c r="X25" s="414">
        <f>IF(O25&lt;250000,(250000-O25)*RD!$K$56,0)</f>
        <v>0</v>
      </c>
      <c r="Y25" s="416">
        <f>Q25*RD!$D$51+'Big Schedules'!R25*RD!$D$52+'Big Schedules'!S25*RD!$D$53+'Big Schedules'!T25*RD!$D$54+'Big Schedules'!U25*RD!$D$55+RD!$D$49*12+W25</f>
        <v>87760.612730000008</v>
      </c>
      <c r="Z25" s="416">
        <f>Q25*RD!$K$51+'Big Schedules'!R25*RD!$K$52+'Big Schedules'!S25*RD!$K$53+'Big Schedules'!T25*RD!$K$54+'Big Schedules'!U25*RD!$K$55+RD!$K$49*12+X25</f>
        <v>87760.612730000008</v>
      </c>
      <c r="AA25" s="417">
        <f t="shared" si="2"/>
        <v>0</v>
      </c>
      <c r="AB25" s="415"/>
      <c r="AC25" s="415"/>
    </row>
    <row r="26" spans="1:29">
      <c r="A26" s="389">
        <v>22</v>
      </c>
      <c r="B26" s="394"/>
      <c r="C26" s="357">
        <v>9623</v>
      </c>
      <c r="D26" s="357">
        <v>8281</v>
      </c>
      <c r="E26" s="357">
        <v>8253</v>
      </c>
      <c r="F26" s="357">
        <v>8784</v>
      </c>
      <c r="G26" s="357">
        <v>9855</v>
      </c>
      <c r="H26" s="357">
        <v>13935</v>
      </c>
      <c r="I26" s="357">
        <v>15319</v>
      </c>
      <c r="J26" s="357">
        <v>14527</v>
      </c>
      <c r="K26" s="357">
        <v>12385</v>
      </c>
      <c r="L26" s="357">
        <v>13222</v>
      </c>
      <c r="M26" s="357">
        <v>10461</v>
      </c>
      <c r="N26" s="357">
        <v>11132</v>
      </c>
      <c r="O26" s="414">
        <f t="shared" si="1"/>
        <v>135777</v>
      </c>
      <c r="P26" s="414"/>
      <c r="Q26" s="414" cm="1">
        <f t="array" ref="Q26">Q$3*12-SUMPRODUCT(--($C26:$N26&lt;=Q$3),Q$3-$C26:$N26)</f>
        <v>135777</v>
      </c>
      <c r="R26" s="414">
        <f>R$3*12-SUM($Q26:Q26)-SUMPRODUCT(--($C26:$N26&lt;=R$3),R$3-$C26:$N26)</f>
        <v>0</v>
      </c>
      <c r="S26" s="414">
        <f>S$3*12-SUM($Q26:R26)-SUMPRODUCT(--($C26:$N26&lt;=S$3),S$3-$C26:$N26)</f>
        <v>0</v>
      </c>
      <c r="T26" s="414">
        <f>T$3*12-SUM($Q26:S26)-SUMPRODUCT(--($C26:$N26&lt;=T$3),T$3-$C26:$N26)</f>
        <v>0</v>
      </c>
      <c r="U26" s="414">
        <f>U$3*12-SUM($Q26:T26)-SUMPRODUCT(--($C26:$N26&lt;=U$3),U$3-$C26:$N26)</f>
        <v>0</v>
      </c>
      <c r="V26" s="415"/>
      <c r="W26" s="414">
        <f>IF(O26&lt;250000,(250000-O26)*RD!$E$56,0)</f>
        <v>12630.779339999999</v>
      </c>
      <c r="X26" s="414">
        <f>IF(O26&lt;250000,(250000-O26)*RD!$K$56,0)</f>
        <v>12630.779339999999</v>
      </c>
      <c r="Y26" s="416">
        <f>Q26*RD!$D$51+'Big Schedules'!R26*RD!$D$52+'Big Schedules'!S26*RD!$D$53+'Big Schedules'!T26*RD!$D$54+'Big Schedules'!U26*RD!$D$55+RD!$D$49*12+W26</f>
        <v>37907.860439999997</v>
      </c>
      <c r="Z26" s="416">
        <f>Q26*RD!$K$51+'Big Schedules'!R26*RD!$K$52+'Big Schedules'!S26*RD!$K$53+'Big Schedules'!T26*RD!$K$54+'Big Schedules'!U26*RD!$K$55+RD!$K$49*12+X26</f>
        <v>37907.860439999997</v>
      </c>
      <c r="AA26" s="417">
        <f t="shared" si="2"/>
        <v>0</v>
      </c>
      <c r="AB26" s="415"/>
      <c r="AC26" s="415"/>
    </row>
    <row r="27" spans="1:29">
      <c r="A27" s="389">
        <v>23</v>
      </c>
      <c r="B27" s="394"/>
      <c r="C27" s="357">
        <v>11923</v>
      </c>
      <c r="D27" s="357">
        <v>3567</v>
      </c>
      <c r="E27" s="357">
        <v>3058</v>
      </c>
      <c r="F27" s="357">
        <v>8637</v>
      </c>
      <c r="G27" s="357">
        <v>25701</v>
      </c>
      <c r="H27" s="357">
        <v>72314</v>
      </c>
      <c r="I27" s="357">
        <v>85866</v>
      </c>
      <c r="J27" s="357">
        <v>66592</v>
      </c>
      <c r="K27" s="357">
        <v>61057</v>
      </c>
      <c r="L27" s="357">
        <v>53758</v>
      </c>
      <c r="M27" s="357">
        <v>36500</v>
      </c>
      <c r="N27" s="357">
        <v>11002</v>
      </c>
      <c r="O27" s="414">
        <f t="shared" si="1"/>
        <v>439975</v>
      </c>
      <c r="P27" s="414"/>
      <c r="Q27" s="414" cm="1">
        <f t="array" ref="Q27">Q$3*12-SUMPRODUCT(--($C27:$N27&lt;=Q$3),Q$3-$C27:$N27)</f>
        <v>178187</v>
      </c>
      <c r="R27" s="414">
        <f>R$3*12-SUM($Q27:Q27)-SUMPRODUCT(--($C27:$N27&lt;=R$3),R$3-$C27:$N27)</f>
        <v>172201</v>
      </c>
      <c r="S27" s="414">
        <f>S$3*12-SUM($Q27:R27)-SUMPRODUCT(--($C27:$N27&lt;=S$3),S$3-$C27:$N27)</f>
        <v>89587</v>
      </c>
      <c r="T27" s="414">
        <f>T$3*12-SUM($Q27:S27)-SUMPRODUCT(--($C27:$N27&lt;=T$3),T$3-$C27:$N27)</f>
        <v>0</v>
      </c>
      <c r="U27" s="414">
        <f>U$3*12-SUM($Q27:T27)-SUMPRODUCT(--($C27:$N27&lt;=U$3),U$3-$C27:$N27)</f>
        <v>0</v>
      </c>
      <c r="V27" s="415"/>
      <c r="W27" s="414">
        <f>IF(O27&lt;250000,(250000-O27)*RD!$E$56,0)</f>
        <v>0</v>
      </c>
      <c r="X27" s="414">
        <f>IF(O27&lt;250000,(250000-O27)*RD!$K$56,0)</f>
        <v>0</v>
      </c>
      <c r="Y27" s="416">
        <f>Q27*RD!$D$51+'Big Schedules'!R27*RD!$D$52+'Big Schedules'!S27*RD!$D$53+'Big Schedules'!T27*RD!$D$54+'Big Schedules'!U27*RD!$D$55+RD!$D$49*12+W27</f>
        <v>58523.350450000005</v>
      </c>
      <c r="Z27" s="416">
        <f>Q27*RD!$K$51+'Big Schedules'!R27*RD!$K$52+'Big Schedules'!S27*RD!$K$53+'Big Schedules'!T27*RD!$K$54+'Big Schedules'!U27*RD!$K$55+RD!$K$49*12+X27</f>
        <v>58523.350450000005</v>
      </c>
      <c r="AA27" s="417">
        <f t="shared" si="2"/>
        <v>0</v>
      </c>
      <c r="AB27" s="415"/>
      <c r="AC27" s="415"/>
    </row>
    <row r="28" spans="1:29">
      <c r="A28" s="389">
        <v>24</v>
      </c>
      <c r="B28" s="394"/>
      <c r="C28" s="357">
        <v>27470</v>
      </c>
      <c r="D28" s="357">
        <v>23321</v>
      </c>
      <c r="E28" s="357">
        <v>21547</v>
      </c>
      <c r="F28" s="357">
        <v>17539</v>
      </c>
      <c r="G28" s="357">
        <v>13307</v>
      </c>
      <c r="H28" s="357">
        <v>2708</v>
      </c>
      <c r="I28" s="357">
        <v>0</v>
      </c>
      <c r="J28" s="357">
        <v>0</v>
      </c>
      <c r="K28" s="357">
        <v>0</v>
      </c>
      <c r="L28" s="357">
        <v>0</v>
      </c>
      <c r="M28" s="357">
        <v>10846</v>
      </c>
      <c r="N28" s="357">
        <v>24813</v>
      </c>
      <c r="O28" s="414">
        <f t="shared" si="1"/>
        <v>141551</v>
      </c>
      <c r="P28" s="414"/>
      <c r="Q28" s="414" cm="1">
        <f t="array" ref="Q28">Q$3*12-SUMPRODUCT(--($C28:$N28&lt;=Q$3),Q$3-$C28:$N28)</f>
        <v>124400</v>
      </c>
      <c r="R28" s="414">
        <f>R$3*12-SUM($Q28:Q28)-SUMPRODUCT(--($C28:$N28&lt;=R$3),R$3-$C28:$N28)</f>
        <v>17151</v>
      </c>
      <c r="S28" s="414">
        <f>S$3*12-SUM($Q28:R28)-SUMPRODUCT(--($C28:$N28&lt;=S$3),S$3-$C28:$N28)</f>
        <v>0</v>
      </c>
      <c r="T28" s="414">
        <f>T$3*12-SUM($Q28:S28)-SUMPRODUCT(--($C28:$N28&lt;=T$3),T$3-$C28:$N28)</f>
        <v>0</v>
      </c>
      <c r="U28" s="414">
        <f>U$3*12-SUM($Q28:T28)-SUMPRODUCT(--($C28:$N28&lt;=U$3),U$3-$C28:$N28)</f>
        <v>0</v>
      </c>
      <c r="V28" s="415"/>
      <c r="W28" s="414">
        <f>IF(O28&lt;250000,(250000-O28)*RD!$E$56,0)</f>
        <v>11992.290419999999</v>
      </c>
      <c r="X28" s="414">
        <f>IF(O28&lt;250000,(250000-O28)*RD!$K$56,0)</f>
        <v>11992.290419999999</v>
      </c>
      <c r="Y28" s="416">
        <f>Q28*RD!$D$51+'Big Schedules'!R28*RD!$D$52+'Big Schedules'!S28*RD!$D$53+'Big Schedules'!T28*RD!$D$54+'Big Schedules'!U28*RD!$D$55+RD!$D$49*12+W28</f>
        <v>37751.767999999996</v>
      </c>
      <c r="Z28" s="416">
        <f>Q28*RD!$K$51+'Big Schedules'!R28*RD!$K$52+'Big Schedules'!S28*RD!$K$53+'Big Schedules'!T28*RD!$K$54+'Big Schedules'!U28*RD!$K$55+RD!$K$49*12+X28</f>
        <v>37751.767999999996</v>
      </c>
      <c r="AA28" s="417">
        <f t="shared" si="2"/>
        <v>0</v>
      </c>
      <c r="AB28" s="415"/>
      <c r="AC28" s="415"/>
    </row>
    <row r="29" spans="1:29">
      <c r="A29" s="389">
        <v>25</v>
      </c>
      <c r="B29" s="394"/>
      <c r="C29" s="357">
        <v>119822</v>
      </c>
      <c r="D29" s="357">
        <v>97045</v>
      </c>
      <c r="E29" s="357">
        <v>95231</v>
      </c>
      <c r="F29" s="357">
        <v>98614</v>
      </c>
      <c r="G29" s="357">
        <v>148104</v>
      </c>
      <c r="H29" s="357">
        <v>324475</v>
      </c>
      <c r="I29" s="357">
        <v>367914</v>
      </c>
      <c r="J29" s="357">
        <v>297510</v>
      </c>
      <c r="K29" s="357">
        <v>274043</v>
      </c>
      <c r="L29" s="357">
        <v>258987</v>
      </c>
      <c r="M29" s="357">
        <v>196084</v>
      </c>
      <c r="N29" s="357">
        <v>119031</v>
      </c>
      <c r="O29" s="414">
        <f t="shared" si="1"/>
        <v>2396860</v>
      </c>
      <c r="P29" s="414"/>
      <c r="Q29" s="414" cm="1">
        <f t="array" ref="Q29">Q$3*12-SUMPRODUCT(--($C29:$N29&lt;=Q$3),Q$3-$C29:$N29)</f>
        <v>240000</v>
      </c>
      <c r="R29" s="414">
        <f>R$3*12-SUM($Q29:Q29)-SUMPRODUCT(--($C29:$N29&lt;=R$3),R$3-$C29:$N29)</f>
        <v>360000</v>
      </c>
      <c r="S29" s="414">
        <f>S$3*12-SUM($Q29:R29)-SUMPRODUCT(--($C29:$N29&lt;=S$3),S$3-$C29:$N29)</f>
        <v>1704471</v>
      </c>
      <c r="T29" s="414">
        <f>T$3*12-SUM($Q29:S29)-SUMPRODUCT(--($C29:$N29&lt;=T$3),T$3-$C29:$N29)</f>
        <v>92389</v>
      </c>
      <c r="U29" s="414">
        <f>U$3*12-SUM($Q29:T29)-SUMPRODUCT(--($C29:$N29&lt;=U$3),U$3-$C29:$N29)</f>
        <v>0</v>
      </c>
      <c r="V29" s="415"/>
      <c r="W29" s="414">
        <f>IF(O29&lt;250000,(250000-O29)*RD!$E$56,0)</f>
        <v>0</v>
      </c>
      <c r="X29" s="414">
        <f>IF(O29&lt;250000,(250000-O29)*RD!$K$56,0)</f>
        <v>0</v>
      </c>
      <c r="Y29" s="416">
        <f>Q29*RD!$D$51+'Big Schedules'!R29*RD!$D$52+'Big Schedules'!S29*RD!$D$53+'Big Schedules'!T29*RD!$D$54+'Big Schedules'!U29*RD!$D$55+RD!$D$49*12+W29</f>
        <v>256512.79310000001</v>
      </c>
      <c r="Z29" s="416">
        <f>Q29*RD!$K$51+'Big Schedules'!R29*RD!$K$52+'Big Schedules'!S29*RD!$K$53+'Big Schedules'!T29*RD!$K$54+'Big Schedules'!U29*RD!$K$55+RD!$K$49*12+X29</f>
        <v>256512.79310000001</v>
      </c>
      <c r="AA29" s="417">
        <f t="shared" si="2"/>
        <v>0</v>
      </c>
      <c r="AB29" s="415"/>
      <c r="AC29" s="415"/>
    </row>
    <row r="30" spans="1:29">
      <c r="A30" s="389">
        <v>26</v>
      </c>
      <c r="B30" s="394"/>
      <c r="C30" s="357">
        <v>30351</v>
      </c>
      <c r="D30" s="357">
        <v>27536</v>
      </c>
      <c r="E30" s="357">
        <v>27921</v>
      </c>
      <c r="F30" s="357">
        <v>30077</v>
      </c>
      <c r="G30" s="357">
        <v>37493</v>
      </c>
      <c r="H30" s="357">
        <v>57006</v>
      </c>
      <c r="I30" s="357">
        <v>64629</v>
      </c>
      <c r="J30" s="357">
        <v>58865</v>
      </c>
      <c r="K30" s="357">
        <v>26204</v>
      </c>
      <c r="L30" s="357">
        <v>14342</v>
      </c>
      <c r="M30" s="357">
        <v>11565</v>
      </c>
      <c r="N30" s="357">
        <v>8190</v>
      </c>
      <c r="O30" s="414">
        <f t="shared" si="1"/>
        <v>394179</v>
      </c>
      <c r="P30" s="414"/>
      <c r="Q30" s="414" cm="1">
        <f t="array" ref="Q30">Q$3*12-SUMPRODUCT(--($C30:$N30&lt;=Q$3),Q$3-$C30:$N30)</f>
        <v>214097</v>
      </c>
      <c r="R30" s="414">
        <f>R$3*12-SUM($Q30:Q30)-SUMPRODUCT(--($C30:$N30&lt;=R$3),R$3-$C30:$N30)</f>
        <v>149582</v>
      </c>
      <c r="S30" s="414">
        <f>S$3*12-SUM($Q30:R30)-SUMPRODUCT(--($C30:$N30&lt;=S$3),S$3-$C30:$N30)</f>
        <v>30500</v>
      </c>
      <c r="T30" s="414">
        <f>T$3*12-SUM($Q30:S30)-SUMPRODUCT(--($C30:$N30&lt;=T$3),T$3-$C30:$N30)</f>
        <v>0</v>
      </c>
      <c r="U30" s="414">
        <f>U$3*12-SUM($Q30:T30)-SUMPRODUCT(--($C30:$N30&lt;=U$3),U$3-$C30:$N30)</f>
        <v>0</v>
      </c>
      <c r="V30" s="415"/>
      <c r="W30" s="414">
        <f>IF(O30&lt;250000,(250000-O30)*RD!$E$56,0)</f>
        <v>0</v>
      </c>
      <c r="X30" s="414">
        <f>IF(O30&lt;250000,(250000-O30)*RD!$K$56,0)</f>
        <v>0</v>
      </c>
      <c r="Y30" s="416">
        <f>Q30*RD!$D$51+'Big Schedules'!R30*RD!$D$52+'Big Schedules'!S30*RD!$D$53+'Big Schedules'!T30*RD!$D$54+'Big Schedules'!U30*RD!$D$55+RD!$D$49*12+W30</f>
        <v>54594.189659999996</v>
      </c>
      <c r="Z30" s="416">
        <f>Q30*RD!$K$51+'Big Schedules'!R30*RD!$K$52+'Big Schedules'!S30*RD!$K$53+'Big Schedules'!T30*RD!$K$54+'Big Schedules'!U30*RD!$K$55+RD!$K$49*12+X30</f>
        <v>54594.189659999996</v>
      </c>
      <c r="AA30" s="417">
        <f t="shared" si="2"/>
        <v>0</v>
      </c>
      <c r="AB30" s="415"/>
      <c r="AC30" s="415"/>
    </row>
    <row r="31" spans="1:29">
      <c r="A31" s="389">
        <v>27</v>
      </c>
      <c r="B31" s="394"/>
      <c r="C31" s="357">
        <v>8911</v>
      </c>
      <c r="D31" s="357">
        <v>2413</v>
      </c>
      <c r="E31" s="357">
        <v>3374</v>
      </c>
      <c r="F31" s="357">
        <v>7375</v>
      </c>
      <c r="G31" s="357">
        <v>18638</v>
      </c>
      <c r="H31" s="357">
        <v>49880</v>
      </c>
      <c r="I31" s="357">
        <v>62865</v>
      </c>
      <c r="J31" s="357">
        <v>46559</v>
      </c>
      <c r="K31" s="357">
        <v>42173</v>
      </c>
      <c r="L31" s="357">
        <v>35498</v>
      </c>
      <c r="M31" s="357">
        <v>24145</v>
      </c>
      <c r="N31" s="357">
        <v>8472</v>
      </c>
      <c r="O31" s="414">
        <f t="shared" si="1"/>
        <v>310303</v>
      </c>
      <c r="P31" s="414"/>
      <c r="Q31" s="414" cm="1">
        <f t="array" ref="Q31">Q$3*12-SUMPRODUCT(--($C31:$N31&lt;=Q$3),Q$3-$C31:$N31)</f>
        <v>169183</v>
      </c>
      <c r="R31" s="414">
        <f>R$3*12-SUM($Q31:Q31)-SUMPRODUCT(--($C31:$N31&lt;=R$3),R$3-$C31:$N31)</f>
        <v>128255</v>
      </c>
      <c r="S31" s="414">
        <f>S$3*12-SUM($Q31:R31)-SUMPRODUCT(--($C31:$N31&lt;=S$3),S$3-$C31:$N31)</f>
        <v>12865</v>
      </c>
      <c r="T31" s="414">
        <f>T$3*12-SUM($Q31:S31)-SUMPRODUCT(--($C31:$N31&lt;=T$3),T$3-$C31:$N31)</f>
        <v>0</v>
      </c>
      <c r="U31" s="414">
        <f>U$3*12-SUM($Q31:T31)-SUMPRODUCT(--($C31:$N31&lt;=U$3),U$3-$C31:$N31)</f>
        <v>0</v>
      </c>
      <c r="V31" s="415"/>
      <c r="W31" s="414">
        <f>IF(O31&lt;250000,(250000-O31)*RD!$E$56,0)</f>
        <v>0</v>
      </c>
      <c r="X31" s="414">
        <f>IF(O31&lt;250000,(250000-O31)*RD!$K$56,0)</f>
        <v>0</v>
      </c>
      <c r="Y31" s="416">
        <f>Q31*RD!$D$51+'Big Schedules'!R31*RD!$D$52+'Big Schedules'!S31*RD!$D$53+'Big Schedules'!T31*RD!$D$54+'Big Schedules'!U31*RD!$D$55+RD!$D$49*12+W31</f>
        <v>44894.65395</v>
      </c>
      <c r="Z31" s="416">
        <f>Q31*RD!$K$51+'Big Schedules'!R31*RD!$K$52+'Big Schedules'!S31*RD!$K$53+'Big Schedules'!T31*RD!$K$54+'Big Schedules'!U31*RD!$K$55+RD!$K$49*12+X31</f>
        <v>44894.65395</v>
      </c>
      <c r="AA31" s="417">
        <f t="shared" si="2"/>
        <v>0</v>
      </c>
      <c r="AB31" s="415"/>
      <c r="AC31" s="415"/>
    </row>
    <row r="32" spans="1:29">
      <c r="A32" s="389">
        <v>28</v>
      </c>
      <c r="B32" s="394"/>
      <c r="C32" s="357">
        <v>22818</v>
      </c>
      <c r="D32" s="357">
        <v>19208</v>
      </c>
      <c r="E32" s="357">
        <v>21125</v>
      </c>
      <c r="F32" s="357">
        <v>19746</v>
      </c>
      <c r="G32" s="357">
        <v>20514</v>
      </c>
      <c r="H32" s="357">
        <v>23663</v>
      </c>
      <c r="I32" s="357">
        <v>24251</v>
      </c>
      <c r="J32" s="357">
        <v>23611</v>
      </c>
      <c r="K32" s="357">
        <v>19906</v>
      </c>
      <c r="L32" s="357">
        <v>23440</v>
      </c>
      <c r="M32" s="357">
        <v>19866</v>
      </c>
      <c r="N32" s="357">
        <v>20172</v>
      </c>
      <c r="O32" s="414">
        <f t="shared" si="1"/>
        <v>258320</v>
      </c>
      <c r="P32" s="414"/>
      <c r="Q32" s="414" cm="1">
        <f t="array" ref="Q32">Q$3*12-SUMPRODUCT(--($C32:$N32&lt;=Q$3),Q$3-$C32:$N32)</f>
        <v>238726</v>
      </c>
      <c r="R32" s="414">
        <f>R$3*12-SUM($Q32:Q32)-SUMPRODUCT(--($C32:$N32&lt;=R$3),R$3-$C32:$N32)</f>
        <v>19594</v>
      </c>
      <c r="S32" s="414">
        <f>S$3*12-SUM($Q32:R32)-SUMPRODUCT(--($C32:$N32&lt;=S$3),S$3-$C32:$N32)</f>
        <v>0</v>
      </c>
      <c r="T32" s="414">
        <f>T$3*12-SUM($Q32:S32)-SUMPRODUCT(--($C32:$N32&lt;=T$3),T$3-$C32:$N32)</f>
        <v>0</v>
      </c>
      <c r="U32" s="414">
        <f>U$3*12-SUM($Q32:T32)-SUMPRODUCT(--($C32:$N32&lt;=U$3),U$3-$C32:$N32)</f>
        <v>0</v>
      </c>
      <c r="V32" s="415"/>
      <c r="W32" s="414">
        <f>IF(O32&lt;250000,(250000-O32)*RD!$E$56,0)</f>
        <v>0</v>
      </c>
      <c r="X32" s="414">
        <f>IF(O32&lt;250000,(250000-O32)*RD!$K$56,0)</f>
        <v>0</v>
      </c>
      <c r="Y32" s="416">
        <f>Q32*RD!$D$51+'Big Schedules'!R32*RD!$D$52+'Big Schedules'!S32*RD!$D$53+'Big Schedules'!T32*RD!$D$54+'Big Schedules'!U32*RD!$D$55+RD!$D$49*12+W32</f>
        <v>40240.346319999997</v>
      </c>
      <c r="Z32" s="416">
        <f>Q32*RD!$K$51+'Big Schedules'!R32*RD!$K$52+'Big Schedules'!S32*RD!$K$53+'Big Schedules'!T32*RD!$K$54+'Big Schedules'!U32*RD!$K$55+RD!$K$49*12+X32</f>
        <v>40240.346319999997</v>
      </c>
      <c r="AA32" s="417">
        <f t="shared" si="2"/>
        <v>0</v>
      </c>
      <c r="AB32" s="419"/>
      <c r="AC32" s="415"/>
    </row>
    <row r="33" spans="1:29">
      <c r="A33" s="389">
        <v>29</v>
      </c>
      <c r="B33" s="394"/>
      <c r="C33" s="357">
        <v>174</v>
      </c>
      <c r="D33" s="357">
        <v>0</v>
      </c>
      <c r="E33" s="357">
        <v>0</v>
      </c>
      <c r="F33" s="357">
        <v>0</v>
      </c>
      <c r="G33" s="357">
        <v>10285</v>
      </c>
      <c r="H33" s="357">
        <v>94896</v>
      </c>
      <c r="I33" s="357">
        <v>126078</v>
      </c>
      <c r="J33" s="357">
        <v>112937</v>
      </c>
      <c r="K33" s="357">
        <v>83516</v>
      </c>
      <c r="L33" s="357">
        <v>36270</v>
      </c>
      <c r="M33" s="357">
        <v>32684</v>
      </c>
      <c r="N33" s="357">
        <v>7258</v>
      </c>
      <c r="O33" s="414">
        <f t="shared" si="1"/>
        <v>504098</v>
      </c>
      <c r="P33" s="414"/>
      <c r="Q33" s="414" cm="1">
        <f t="array" ref="Q33">Q$3*12-SUMPRODUCT(--($C33:$N33&lt;=Q$3),Q$3-$C33:$N33)</f>
        <v>137717</v>
      </c>
      <c r="R33" s="414">
        <f>R$3*12-SUM($Q33:Q33)-SUMPRODUCT(--($C33:$N33&lt;=R$3),R$3-$C33:$N33)</f>
        <v>148954</v>
      </c>
      <c r="S33" s="414">
        <f>S$3*12-SUM($Q33:R33)-SUMPRODUCT(--($C33:$N33&lt;=S$3),S$3-$C33:$N33)</f>
        <v>217427</v>
      </c>
      <c r="T33" s="414">
        <f>T$3*12-SUM($Q33:S33)-SUMPRODUCT(--($C33:$N33&lt;=T$3),T$3-$C33:$N33)</f>
        <v>0</v>
      </c>
      <c r="U33" s="414">
        <f>U$3*12-SUM($Q33:T33)-SUMPRODUCT(--($C33:$N33&lt;=U$3),U$3-$C33:$N33)</f>
        <v>0</v>
      </c>
      <c r="V33" s="415"/>
      <c r="W33" s="414">
        <f>IF(O33&lt;250000,(250000-O33)*RD!$E$56,0)</f>
        <v>0</v>
      </c>
      <c r="X33" s="414">
        <f>IF(O33&lt;250000,(250000-O33)*RD!$K$56,0)</f>
        <v>0</v>
      </c>
      <c r="Y33" s="416">
        <f>Q33*RD!$D$51+'Big Schedules'!R33*RD!$D$52+'Big Schedules'!S33*RD!$D$53+'Big Schedules'!T33*RD!$D$54+'Big Schedules'!U33*RD!$D$55+RD!$D$49*12+W33</f>
        <v>63669.202589999994</v>
      </c>
      <c r="Z33" s="416">
        <f>Q33*RD!$K$51+'Big Schedules'!R33*RD!$K$52+'Big Schedules'!S33*RD!$K$53+'Big Schedules'!T33*RD!$K$54+'Big Schedules'!U33*RD!$K$55+RD!$K$49*12+X33</f>
        <v>63669.202589999994</v>
      </c>
      <c r="AA33" s="417">
        <f t="shared" si="2"/>
        <v>0</v>
      </c>
      <c r="AB33" s="415"/>
      <c r="AC33" s="415"/>
    </row>
    <row r="34" spans="1:29">
      <c r="A34" s="389">
        <v>30</v>
      </c>
      <c r="B34" s="394"/>
      <c r="C34" s="357">
        <v>7664</v>
      </c>
      <c r="D34" s="357">
        <v>2760</v>
      </c>
      <c r="E34" s="357">
        <v>2370</v>
      </c>
      <c r="F34" s="357">
        <v>6044</v>
      </c>
      <c r="G34" s="357">
        <v>27444</v>
      </c>
      <c r="H34" s="357">
        <v>64769</v>
      </c>
      <c r="I34" s="357">
        <v>59230</v>
      </c>
      <c r="J34" s="357">
        <v>54375</v>
      </c>
      <c r="K34" s="357">
        <v>62077</v>
      </c>
      <c r="L34" s="357">
        <v>62707</v>
      </c>
      <c r="M34" s="357">
        <v>35216</v>
      </c>
      <c r="N34" s="357">
        <v>4745</v>
      </c>
      <c r="O34" s="414">
        <f t="shared" si="1"/>
        <v>389401</v>
      </c>
      <c r="P34" s="414"/>
      <c r="Q34" s="414" cm="1">
        <f t="array" ref="Q34">Q$3*12-SUMPRODUCT(--($C34:$N34&lt;=Q$3),Q$3-$C34:$N34)</f>
        <v>163583</v>
      </c>
      <c r="R34" s="414">
        <f>R$3*12-SUM($Q34:Q34)-SUMPRODUCT(--($C34:$N34&lt;=R$3),R$3-$C34:$N34)</f>
        <v>172660</v>
      </c>
      <c r="S34" s="414">
        <f>S$3*12-SUM($Q34:R34)-SUMPRODUCT(--($C34:$N34&lt;=S$3),S$3-$C34:$N34)</f>
        <v>53158</v>
      </c>
      <c r="T34" s="414">
        <f>T$3*12-SUM($Q34:S34)-SUMPRODUCT(--($C34:$N34&lt;=T$3),T$3-$C34:$N34)</f>
        <v>0</v>
      </c>
      <c r="U34" s="414">
        <f>U$3*12-SUM($Q34:T34)-SUMPRODUCT(--($C34:$N34&lt;=U$3),U$3-$C34:$N34)</f>
        <v>0</v>
      </c>
      <c r="V34" s="415"/>
      <c r="W34" s="414">
        <f>IF(O34&lt;250000,(250000-O34)*RD!$E$56,0)</f>
        <v>0</v>
      </c>
      <c r="X34" s="414">
        <f>IF(O34&lt;250000,(250000-O34)*RD!$K$56,0)</f>
        <v>0</v>
      </c>
      <c r="Y34" s="416">
        <f>Q34*RD!$D$51+'Big Schedules'!R34*RD!$D$52+'Big Schedules'!S34*RD!$D$53+'Big Schedules'!T34*RD!$D$54+'Big Schedules'!U34*RD!$D$55+RD!$D$49*12+W34</f>
        <v>53126.493880000002</v>
      </c>
      <c r="Z34" s="416">
        <f>Q34*RD!$K$51+'Big Schedules'!R34*RD!$K$52+'Big Schedules'!S34*RD!$K$53+'Big Schedules'!T34*RD!$K$54+'Big Schedules'!U34*RD!$K$55+RD!$K$49*12+X34</f>
        <v>53126.493880000002</v>
      </c>
      <c r="AA34" s="417">
        <f t="shared" si="2"/>
        <v>0</v>
      </c>
      <c r="AB34" s="415"/>
      <c r="AC34" s="415"/>
    </row>
    <row r="35" spans="1:29">
      <c r="A35" s="389">
        <v>31</v>
      </c>
      <c r="B35" s="394"/>
      <c r="C35" s="357">
        <v>131152</v>
      </c>
      <c r="D35" s="357">
        <v>125854</v>
      </c>
      <c r="E35" s="357">
        <v>129618</v>
      </c>
      <c r="F35" s="357">
        <v>135019</v>
      </c>
      <c r="G35" s="357">
        <v>155730</v>
      </c>
      <c r="H35" s="357">
        <v>273516</v>
      </c>
      <c r="I35" s="357">
        <v>307449</v>
      </c>
      <c r="J35" s="357">
        <v>261278</v>
      </c>
      <c r="K35" s="357">
        <v>236945</v>
      </c>
      <c r="L35" s="357">
        <v>232364</v>
      </c>
      <c r="M35" s="357">
        <v>188252</v>
      </c>
      <c r="N35" s="357">
        <v>140328</v>
      </c>
      <c r="O35" s="414">
        <f t="shared" si="1"/>
        <v>2317505</v>
      </c>
      <c r="P35" s="414"/>
      <c r="Q35" s="414" cm="1">
        <f t="array" ref="Q35">Q$3*12-SUMPRODUCT(--($C35:$N35&lt;=Q$3),Q$3-$C35:$N35)</f>
        <v>240000</v>
      </c>
      <c r="R35" s="414">
        <f>R$3*12-SUM($Q35:Q35)-SUMPRODUCT(--($C35:$N35&lt;=R$3),R$3-$C35:$N35)</f>
        <v>360000</v>
      </c>
      <c r="S35" s="414">
        <f>S$3*12-SUM($Q35:R35)-SUMPRODUCT(--($C35:$N35&lt;=S$3),S$3-$C35:$N35)</f>
        <v>1710056</v>
      </c>
      <c r="T35" s="414">
        <f>T$3*12-SUM($Q35:S35)-SUMPRODUCT(--($C35:$N35&lt;=T$3),T$3-$C35:$N35)</f>
        <v>7449</v>
      </c>
      <c r="U35" s="414">
        <f>U$3*12-SUM($Q35:T35)-SUMPRODUCT(--($C35:$N35&lt;=U$3),U$3-$C35:$N35)</f>
        <v>0</v>
      </c>
      <c r="V35" s="415"/>
      <c r="W35" s="414">
        <f>IF(O35&lt;250000,(250000-O35)*RD!$E$56,0)</f>
        <v>0</v>
      </c>
      <c r="X35" s="414">
        <f>IF(O35&lt;250000,(250000-O35)*RD!$K$56,0)</f>
        <v>0</v>
      </c>
      <c r="Y35" s="416">
        <f>Q35*RD!$D$51+'Big Schedules'!R35*RD!$D$52+'Big Schedules'!S35*RD!$D$53+'Big Schedules'!T35*RD!$D$54+'Big Schedules'!U35*RD!$D$55+RD!$D$49*12+W35</f>
        <v>249237.35605</v>
      </c>
      <c r="Z35" s="416">
        <f>Q35*RD!$K$51+'Big Schedules'!R35*RD!$K$52+'Big Schedules'!S35*RD!$K$53+'Big Schedules'!T35*RD!$K$54+'Big Schedules'!U35*RD!$K$55+RD!$K$49*12+X35</f>
        <v>249237.35605</v>
      </c>
      <c r="AA35" s="417">
        <f t="shared" si="2"/>
        <v>0</v>
      </c>
      <c r="AB35" s="415"/>
      <c r="AC35" s="415"/>
    </row>
    <row r="36" spans="1:29">
      <c r="A36" s="389">
        <v>32</v>
      </c>
      <c r="B36" s="394"/>
      <c r="C36" s="357">
        <v>48399</v>
      </c>
      <c r="D36" s="357">
        <v>41355</v>
      </c>
      <c r="E36" s="357">
        <v>42058</v>
      </c>
      <c r="F36" s="357">
        <v>47577</v>
      </c>
      <c r="G36" s="357">
        <v>6873</v>
      </c>
      <c r="H36" s="357">
        <v>72227</v>
      </c>
      <c r="I36" s="357">
        <v>79940</v>
      </c>
      <c r="J36" s="357">
        <v>71373</v>
      </c>
      <c r="K36" s="357">
        <v>64983</v>
      </c>
      <c r="L36" s="357">
        <v>65990</v>
      </c>
      <c r="M36" s="357">
        <v>58279</v>
      </c>
      <c r="N36" s="357">
        <v>46417</v>
      </c>
      <c r="O36" s="414">
        <f t="shared" si="1"/>
        <v>645471</v>
      </c>
      <c r="P36" s="414"/>
      <c r="Q36" s="414" cm="1">
        <f t="array" ref="Q36">Q$3*12-SUMPRODUCT(--($C36:$N36&lt;=Q$3),Q$3-$C36:$N36)</f>
        <v>226873</v>
      </c>
      <c r="R36" s="414">
        <f>R$3*12-SUM($Q36:Q36)-SUMPRODUCT(--($C36:$N36&lt;=R$3),R$3-$C36:$N36)</f>
        <v>305806</v>
      </c>
      <c r="S36" s="414">
        <f>S$3*12-SUM($Q36:R36)-SUMPRODUCT(--($C36:$N36&lt;=S$3),S$3-$C36:$N36)</f>
        <v>112792</v>
      </c>
      <c r="T36" s="414">
        <f>T$3*12-SUM($Q36:S36)-SUMPRODUCT(--($C36:$N36&lt;=T$3),T$3-$C36:$N36)</f>
        <v>0</v>
      </c>
      <c r="U36" s="414">
        <f>U$3*12-SUM($Q36:T36)-SUMPRODUCT(--($C36:$N36&lt;=U$3),U$3-$C36:$N36)</f>
        <v>0</v>
      </c>
      <c r="V36" s="415"/>
      <c r="W36" s="414">
        <f>IF(O36&lt;250000,(250000-O36)*RD!$E$56,0)</f>
        <v>0</v>
      </c>
      <c r="X36" s="414">
        <f>IF(O36&lt;250000,(250000-O36)*RD!$K$56,0)</f>
        <v>0</v>
      </c>
      <c r="Y36" s="416">
        <f>Q36*RD!$D$51+'Big Schedules'!R36*RD!$D$52+'Big Schedules'!S36*RD!$D$53+'Big Schedules'!T36*RD!$D$54+'Big Schedules'!U36*RD!$D$55+RD!$D$49*12+W36</f>
        <v>81662.831699999995</v>
      </c>
      <c r="Z36" s="416">
        <f>Q36*RD!$K$51+'Big Schedules'!R36*RD!$K$52+'Big Schedules'!S36*RD!$K$53+'Big Schedules'!T36*RD!$K$54+'Big Schedules'!U36*RD!$K$55+RD!$K$49*12+X36</f>
        <v>81662.831699999995</v>
      </c>
      <c r="AA36" s="417">
        <f t="shared" si="2"/>
        <v>0</v>
      </c>
      <c r="AB36" s="415"/>
      <c r="AC36" s="415"/>
    </row>
    <row r="37" spans="1:29">
      <c r="A37" s="389">
        <v>33</v>
      </c>
      <c r="B37" s="394"/>
      <c r="C37" s="357">
        <v>8226</v>
      </c>
      <c r="D37" s="357">
        <v>7418</v>
      </c>
      <c r="E37" s="357">
        <v>7990</v>
      </c>
      <c r="F37" s="357">
        <v>10141</v>
      </c>
      <c r="G37" s="357">
        <v>16676</v>
      </c>
      <c r="H37" s="357">
        <v>34697</v>
      </c>
      <c r="I37" s="357">
        <v>40914</v>
      </c>
      <c r="J37" s="357">
        <v>32604</v>
      </c>
      <c r="K37" s="357">
        <v>28638</v>
      </c>
      <c r="L37" s="357">
        <v>26762</v>
      </c>
      <c r="M37" s="357">
        <v>20242</v>
      </c>
      <c r="N37" s="357">
        <v>16598</v>
      </c>
      <c r="O37" s="414">
        <f t="shared" si="1"/>
        <v>250906</v>
      </c>
      <c r="P37" s="414"/>
      <c r="Q37" s="414" cm="1">
        <f t="array" ref="Q37">Q$3*12-SUMPRODUCT(--($C37:$N37&lt;=Q$3),Q$3-$C37:$N37)</f>
        <v>187049</v>
      </c>
      <c r="R37" s="414">
        <f>R$3*12-SUM($Q37:Q37)-SUMPRODUCT(--($C37:$N37&lt;=R$3),R$3-$C37:$N37)</f>
        <v>63857</v>
      </c>
      <c r="S37" s="414">
        <f>S$3*12-SUM($Q37:R37)-SUMPRODUCT(--($C37:$N37&lt;=S$3),S$3-$C37:$N37)</f>
        <v>0</v>
      </c>
      <c r="T37" s="414">
        <f>T$3*12-SUM($Q37:S37)-SUMPRODUCT(--($C37:$N37&lt;=T$3),T$3-$C37:$N37)</f>
        <v>0</v>
      </c>
      <c r="U37" s="414">
        <f>U$3*12-SUM($Q37:T37)-SUMPRODUCT(--($C37:$N37&lt;=U$3),U$3-$C37:$N37)</f>
        <v>0</v>
      </c>
      <c r="V37" s="415"/>
      <c r="W37" s="414">
        <f>IF(O37&lt;250000,(250000-O37)*RD!$E$56,0)</f>
        <v>0</v>
      </c>
      <c r="X37" s="414">
        <f>IF(O37&lt;250000,(250000-O37)*RD!$K$56,0)</f>
        <v>0</v>
      </c>
      <c r="Y37" s="416">
        <f>Q37*RD!$D$51+'Big Schedules'!R37*RD!$D$52+'Big Schedules'!S37*RD!$D$53+'Big Schedules'!T37*RD!$D$54+'Big Schedules'!U37*RD!$D$55+RD!$D$49*12+W37</f>
        <v>38711.497759999998</v>
      </c>
      <c r="Z37" s="416">
        <f>Q37*RD!$K$51+'Big Schedules'!R37*RD!$K$52+'Big Schedules'!S37*RD!$K$53+'Big Schedules'!T37*RD!$K$54+'Big Schedules'!U37*RD!$K$55+RD!$K$49*12+X37</f>
        <v>38711.497759999998</v>
      </c>
      <c r="AA37" s="417">
        <f t="shared" si="2"/>
        <v>0</v>
      </c>
      <c r="AB37" s="415"/>
      <c r="AC37" s="415"/>
    </row>
    <row r="38" spans="1:29">
      <c r="A38" s="389">
        <v>34</v>
      </c>
      <c r="B38" s="394"/>
      <c r="C38" s="357">
        <v>83960</v>
      </c>
      <c r="D38" s="357">
        <v>87312</v>
      </c>
      <c r="E38" s="357">
        <v>81340</v>
      </c>
      <c r="F38" s="357">
        <v>79841</v>
      </c>
      <c r="G38" s="357">
        <v>72223</v>
      </c>
      <c r="H38" s="357">
        <v>77211</v>
      </c>
      <c r="I38" s="357">
        <v>77120</v>
      </c>
      <c r="J38" s="357">
        <v>76999</v>
      </c>
      <c r="K38" s="357">
        <v>69720</v>
      </c>
      <c r="L38" s="357">
        <v>84716</v>
      </c>
      <c r="M38" s="357">
        <v>81210</v>
      </c>
      <c r="N38" s="357">
        <v>91531</v>
      </c>
      <c r="O38" s="414">
        <f t="shared" si="1"/>
        <v>963183</v>
      </c>
      <c r="P38" s="414"/>
      <c r="Q38" s="414" cm="1">
        <f t="array" ref="Q38">Q$3*12-SUMPRODUCT(--($C38:$N38&lt;=Q$3),Q$3-$C38:$N38)</f>
        <v>240000</v>
      </c>
      <c r="R38" s="414">
        <f>R$3*12-SUM($Q38:Q38)-SUMPRODUCT(--($C38:$N38&lt;=R$3),R$3-$C38:$N38)</f>
        <v>360000</v>
      </c>
      <c r="S38" s="414">
        <f>S$3*12-SUM($Q38:R38)-SUMPRODUCT(--($C38:$N38&lt;=S$3),S$3-$C38:$N38)</f>
        <v>363183</v>
      </c>
      <c r="T38" s="414">
        <f>T$3*12-SUM($Q38:S38)-SUMPRODUCT(--($C38:$N38&lt;=T$3),T$3-$C38:$N38)</f>
        <v>0</v>
      </c>
      <c r="U38" s="414">
        <f>U$3*12-SUM($Q38:T38)-SUMPRODUCT(--($C38:$N38&lt;=U$3),U$3-$C38:$N38)</f>
        <v>0</v>
      </c>
      <c r="V38" s="415"/>
      <c r="W38" s="414">
        <f>IF(O38&lt;250000,(250000-O38)*RD!$E$56,0)</f>
        <v>0</v>
      </c>
      <c r="X38" s="414">
        <f>IF(O38&lt;250000,(250000-O38)*RD!$K$56,0)</f>
        <v>0</v>
      </c>
      <c r="Y38" s="416">
        <f>Q38*RD!$D$51+'Big Schedules'!R38*RD!$D$52+'Big Schedules'!S38*RD!$D$53+'Big Schedules'!T38*RD!$D$54+'Big Schedules'!U38*RD!$D$55+RD!$D$49*12+W38</f>
        <v>114253.77692999999</v>
      </c>
      <c r="Z38" s="416">
        <f>Q38*RD!$K$51+'Big Schedules'!R38*RD!$K$52+'Big Schedules'!S38*RD!$K$53+'Big Schedules'!T38*RD!$K$54+'Big Schedules'!U38*RD!$K$55+RD!$K$49*12+X38</f>
        <v>114253.77692999999</v>
      </c>
      <c r="AA38" s="417">
        <f t="shared" si="2"/>
        <v>0</v>
      </c>
      <c r="AB38" s="415"/>
      <c r="AC38" s="415"/>
    </row>
    <row r="39" spans="1:29" s="389" customFormat="1">
      <c r="A39" s="389">
        <v>35</v>
      </c>
      <c r="B39" s="394"/>
      <c r="C39" s="420">
        <v>130366</v>
      </c>
      <c r="D39" s="420">
        <v>133042</v>
      </c>
      <c r="E39" s="420">
        <v>131722</v>
      </c>
      <c r="F39" s="420">
        <v>128845</v>
      </c>
      <c r="G39" s="420">
        <v>141732</v>
      </c>
      <c r="H39" s="420">
        <v>150014</v>
      </c>
      <c r="I39" s="420">
        <v>162460</v>
      </c>
      <c r="J39" s="420">
        <v>118145</v>
      </c>
      <c r="K39" s="420">
        <v>134273</v>
      </c>
      <c r="L39" s="420">
        <v>143718</v>
      </c>
      <c r="M39" s="420">
        <v>126712</v>
      </c>
      <c r="N39" s="420">
        <v>126138</v>
      </c>
      <c r="O39" s="414">
        <f t="shared" si="1"/>
        <v>1627167</v>
      </c>
      <c r="P39" s="421"/>
      <c r="Q39" s="414" cm="1">
        <f t="array" ref="Q39">Q$3*12-SUMPRODUCT(--($C39:$N39&lt;=Q$3),Q$3-$C39:$N39)</f>
        <v>240000</v>
      </c>
      <c r="R39" s="414">
        <f>R$3*12-SUM($Q39:Q39)-SUMPRODUCT(--($C39:$N39&lt;=R$3),R$3-$C39:$N39)</f>
        <v>360000</v>
      </c>
      <c r="S39" s="414">
        <f>S$3*12-SUM($Q39:R39)-SUMPRODUCT(--($C39:$N39&lt;=S$3),S$3-$C39:$N39)</f>
        <v>1027167</v>
      </c>
      <c r="T39" s="414">
        <f>T$3*12-SUM($Q39:S39)-SUMPRODUCT(--($C39:$N39&lt;=T$3),T$3-$C39:$N39)</f>
        <v>0</v>
      </c>
      <c r="U39" s="414">
        <f>U$3*12-SUM($Q39:T39)-SUMPRODUCT(--($C39:$N39&lt;=U$3),U$3-$C39:$N39)</f>
        <v>0</v>
      </c>
      <c r="V39" s="422"/>
      <c r="W39" s="414">
        <f>IF(O39&lt;250000,(250000-O39)*RD!$E$56,0)</f>
        <v>0</v>
      </c>
      <c r="X39" s="414">
        <f>IF(O39&lt;250000,(250000-O39)*RD!$K$56,0)</f>
        <v>0</v>
      </c>
      <c r="Y39" s="416">
        <f>Q39*RD!$D$51+'Big Schedules'!R39*RD!$D$52+'Big Schedules'!S39*RD!$D$53+'Big Schedules'!T39*RD!$D$54+'Big Schedules'!U39*RD!$D$55+RD!$D$49*12+W39</f>
        <v>180459.62156999999</v>
      </c>
      <c r="Z39" s="416">
        <f>Q39*RD!$K$51+'Big Schedules'!R39*RD!$K$52+'Big Schedules'!S39*RD!$K$53+'Big Schedules'!T39*RD!$K$54+'Big Schedules'!U39*RD!$K$55+RD!$K$49*12+X39</f>
        <v>180459.62156999999</v>
      </c>
      <c r="AA39" s="417">
        <f t="shared" si="2"/>
        <v>0</v>
      </c>
      <c r="AB39" s="422"/>
      <c r="AC39" s="422"/>
    </row>
    <row r="40" spans="1:29">
      <c r="B40" s="356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423">
        <f t="shared" si="1"/>
        <v>0</v>
      </c>
      <c r="P40" s="424"/>
      <c r="Q40" s="424">
        <f t="shared" ref="Q40" si="3">Q$3*12-SUMPRODUCT(--($C40:$N40&lt;=Q$3),Q$3-$C40:$N40)</f>
        <v>0</v>
      </c>
      <c r="R40" s="424">
        <f>R$3*12-SUM($Q40:Q40)-SUMPRODUCT(--($C40:$N40&lt;=R$3),R$3-$C40:$N40)</f>
        <v>0</v>
      </c>
      <c r="S40" s="424">
        <f>S$3*12-SUM($Q40:R40)-SUMPRODUCT(--($C40:$N40&lt;=S$3),S$3-$C40:$N40)</f>
        <v>0</v>
      </c>
      <c r="T40" s="414">
        <f>T$3*12-SUM($Q40:S40)-SUMPRODUCT(--($C40:$N40&lt;=T$3),T$3-$C40:$N40)</f>
        <v>0</v>
      </c>
      <c r="U40" s="414">
        <f>U$3*12-SUM($Q40:T40)-SUMPRODUCT(--($C40:$N40&lt;=U$3),U$3-$C40:$N40)</f>
        <v>0</v>
      </c>
      <c r="V40" s="415"/>
      <c r="W40" s="414"/>
      <c r="X40" s="414"/>
      <c r="Y40" s="416"/>
      <c r="Z40" s="416"/>
      <c r="AA40" s="417"/>
      <c r="AB40" s="415"/>
      <c r="AC40" s="415"/>
    </row>
    <row r="41" spans="1:29">
      <c r="B41" s="343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425"/>
      <c r="P41" s="414"/>
      <c r="Q41" s="414"/>
      <c r="R41" s="414"/>
      <c r="S41" s="414"/>
      <c r="T41" s="414"/>
      <c r="U41" s="414"/>
      <c r="V41" s="415"/>
      <c r="W41" s="414"/>
      <c r="X41" s="414"/>
      <c r="Y41" s="416"/>
      <c r="Z41" s="416"/>
      <c r="AA41" s="417"/>
      <c r="AB41" s="415"/>
      <c r="AC41" s="415"/>
    </row>
    <row r="42" spans="1:29">
      <c r="B42" s="343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414"/>
      <c r="P42" s="414"/>
      <c r="Q42" s="414"/>
      <c r="R42" s="414"/>
      <c r="S42" s="414"/>
      <c r="T42" s="414"/>
      <c r="U42" s="414"/>
      <c r="V42" s="415"/>
      <c r="W42" s="414"/>
      <c r="X42" s="415"/>
      <c r="Y42" s="416"/>
      <c r="Z42" s="416"/>
      <c r="AA42" s="417"/>
      <c r="AB42" s="415"/>
      <c r="AC42" s="415"/>
    </row>
    <row r="43" spans="1:29"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5"/>
      <c r="W43" s="424"/>
      <c r="X43" s="426"/>
      <c r="Y43" s="416"/>
      <c r="Z43" s="415"/>
      <c r="AA43" s="417"/>
      <c r="AB43" s="415"/>
      <c r="AC43" s="415"/>
    </row>
    <row r="44" spans="1:29" ht="13.5" thickBot="1">
      <c r="B44" s="334" t="s">
        <v>101</v>
      </c>
      <c r="C44" s="427">
        <f t="shared" ref="C44:N44" si="4">SUM(C5:C43)</f>
        <v>2389404</v>
      </c>
      <c r="D44" s="427">
        <f t="shared" si="4"/>
        <v>2159877</v>
      </c>
      <c r="E44" s="427">
        <f t="shared" si="4"/>
        <v>2137664</v>
      </c>
      <c r="F44" s="427">
        <f t="shared" si="4"/>
        <v>2191699</v>
      </c>
      <c r="G44" s="427">
        <f t="shared" si="4"/>
        <v>2389465</v>
      </c>
      <c r="H44" s="427">
        <f t="shared" si="4"/>
        <v>3324881</v>
      </c>
      <c r="I44" s="427">
        <f t="shared" si="4"/>
        <v>3281201</v>
      </c>
      <c r="J44" s="427">
        <f t="shared" si="4"/>
        <v>3266473</v>
      </c>
      <c r="K44" s="427">
        <f t="shared" si="4"/>
        <v>3075098</v>
      </c>
      <c r="L44" s="427">
        <f t="shared" si="4"/>
        <v>3023851</v>
      </c>
      <c r="M44" s="427">
        <f t="shared" si="4"/>
        <v>2633696</v>
      </c>
      <c r="N44" s="427">
        <f t="shared" si="4"/>
        <v>2320043</v>
      </c>
      <c r="O44" s="428">
        <f>IF(ROUND(SUM(O5:O43),3)&lt;&gt;ROUND(SUM(C44:N44),3),#VALUE!,SUM(C44:N44))</f>
        <v>32193352</v>
      </c>
      <c r="P44" s="429"/>
      <c r="Q44" s="427">
        <f>SUM(Q5:Q43)</f>
        <v>7217935</v>
      </c>
      <c r="R44" s="427">
        <f>SUM(R5:R43)</f>
        <v>7083974</v>
      </c>
      <c r="S44" s="427">
        <f>SUM(S5:S43)</f>
        <v>13394294</v>
      </c>
      <c r="T44" s="427">
        <f>SUM(T5:T43)</f>
        <v>2724881</v>
      </c>
      <c r="U44" s="427">
        <f>SUM(U5:U43)</f>
        <v>1772268</v>
      </c>
      <c r="V44" s="415"/>
      <c r="W44" s="414">
        <f>SUM(W5:W43)</f>
        <v>49658.713499999998</v>
      </c>
      <c r="X44" s="414">
        <f>SUM(X5:X43)</f>
        <v>49658.713499999998</v>
      </c>
      <c r="Y44" s="416">
        <f>SUM(Y5:Y43)</f>
        <v>3733818.3830700009</v>
      </c>
      <c r="Z44" s="416">
        <f>SUM(Z5:Z43)</f>
        <v>3733818.3830700009</v>
      </c>
      <c r="AA44" s="417">
        <f t="shared" si="2"/>
        <v>0</v>
      </c>
      <c r="AB44" s="415"/>
      <c r="AC44" s="415"/>
    </row>
    <row r="45" spans="1:29" ht="13.5" thickTop="1">
      <c r="B45" s="334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0"/>
      <c r="N45" s="430"/>
      <c r="O45" s="430"/>
      <c r="P45" s="431"/>
      <c r="Q45" s="430"/>
      <c r="R45" s="430"/>
      <c r="S45" s="430"/>
      <c r="T45" s="430"/>
      <c r="U45" s="414">
        <f>SUM(Q44:U44)</f>
        <v>32193352</v>
      </c>
      <c r="V45" s="415"/>
      <c r="W45" s="415"/>
      <c r="X45" s="415"/>
      <c r="Y45" s="416">
        <f ca="1">(Y44/1000)-RS!D18</f>
        <v>9.5700015663169324E-6</v>
      </c>
      <c r="Z45" s="416">
        <f ca="1">(Z44/1000)-RS!F18</f>
        <v>9.5700015663169324E-6</v>
      </c>
      <c r="AA45" s="419"/>
      <c r="AB45" s="415"/>
      <c r="AC45" s="415"/>
    </row>
    <row r="46" spans="1:29">
      <c r="B46" s="288" t="s">
        <v>99</v>
      </c>
      <c r="C46" s="315">
        <f>'12MEJUN23'!D170</f>
        <v>2422810</v>
      </c>
      <c r="D46" s="315">
        <f>'12MEJUN23'!E170</f>
        <v>2139256</v>
      </c>
      <c r="E46" s="315">
        <f>'12MEJUN23'!F170</f>
        <v>2116204</v>
      </c>
      <c r="F46" s="315">
        <f>'12MEJUN23'!G170</f>
        <v>2189947</v>
      </c>
      <c r="G46" s="315">
        <f>'12MEJUN23'!H170</f>
        <v>2469519</v>
      </c>
      <c r="H46" s="315">
        <f>'12MEJUN23'!I170</f>
        <v>3578929</v>
      </c>
      <c r="I46" s="315">
        <f>'12MEJUN23'!J170</f>
        <v>3591717</v>
      </c>
      <c r="J46" s="315">
        <f>'12MEJUN23'!K170</f>
        <v>3528113</v>
      </c>
      <c r="K46" s="315">
        <f>'12MEJUN23'!L170</f>
        <v>3299634</v>
      </c>
      <c r="L46" s="315">
        <f>'12MEJUN23'!M170</f>
        <v>3194133</v>
      </c>
      <c r="M46" s="315">
        <f>'12MEJUN23'!N170</f>
        <v>2720728</v>
      </c>
      <c r="N46" s="315">
        <f>'12MEJUN23'!O170</f>
        <v>2247224</v>
      </c>
      <c r="O46" s="315">
        <f>SUM(C46:N46)</f>
        <v>33498214</v>
      </c>
      <c r="P46" s="315"/>
      <c r="Q46" s="432" t="s">
        <v>91</v>
      </c>
      <c r="R46" s="433">
        <f>Q47</f>
        <v>200</v>
      </c>
      <c r="S46" s="433">
        <f>R47</f>
        <v>1000</v>
      </c>
      <c r="T46" s="433">
        <f>S47</f>
        <v>10000</v>
      </c>
      <c r="U46" s="433">
        <f>T47</f>
        <v>25000</v>
      </c>
      <c r="V46" s="415"/>
      <c r="W46" s="415"/>
      <c r="X46" s="415"/>
      <c r="Y46" s="415"/>
      <c r="Z46" s="415"/>
      <c r="AA46" s="415"/>
      <c r="AB46" s="415"/>
      <c r="AC46" s="415"/>
    </row>
    <row r="47" spans="1:29">
      <c r="B47" s="379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5" t="s">
        <v>392</v>
      </c>
      <c r="P47" s="431"/>
      <c r="Q47" s="436">
        <v>200</v>
      </c>
      <c r="R47" s="436">
        <v>1000</v>
      </c>
      <c r="S47" s="436">
        <v>10000</v>
      </c>
      <c r="T47" s="436">
        <v>25000</v>
      </c>
      <c r="U47" s="437">
        <v>99999999</v>
      </c>
      <c r="V47" s="415"/>
      <c r="W47" s="415"/>
      <c r="X47" s="415"/>
      <c r="Y47" s="415"/>
      <c r="Z47" s="415"/>
      <c r="AA47" s="415"/>
      <c r="AB47" s="415"/>
      <c r="AC47" s="415"/>
    </row>
    <row r="48" spans="1:29">
      <c r="B48" s="379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5" t="s">
        <v>402</v>
      </c>
      <c r="P48" s="431"/>
      <c r="Q48" s="436">
        <v>10000</v>
      </c>
      <c r="R48" s="436">
        <v>25000</v>
      </c>
      <c r="S48" s="436">
        <v>50000</v>
      </c>
      <c r="T48" s="437">
        <v>99999999</v>
      </c>
      <c r="U48" s="437"/>
      <c r="V48" s="415"/>
      <c r="W48" s="415"/>
      <c r="X48" s="415"/>
      <c r="Y48" s="415"/>
      <c r="Z48" s="415"/>
      <c r="AA48" s="415"/>
      <c r="AB48" s="415"/>
      <c r="AC48" s="415"/>
    </row>
    <row r="49" spans="2:46" s="389" customFormat="1">
      <c r="B49" s="394" t="s">
        <v>523</v>
      </c>
      <c r="C49" s="412">
        <v>81449</v>
      </c>
      <c r="D49" s="412">
        <v>66130</v>
      </c>
      <c r="E49" s="412">
        <v>65135</v>
      </c>
      <c r="F49" s="412">
        <v>67845</v>
      </c>
      <c r="G49" s="412">
        <v>81688</v>
      </c>
      <c r="H49" s="438">
        <v>0</v>
      </c>
      <c r="I49" s="412">
        <v>0</v>
      </c>
      <c r="J49" s="412">
        <v>0</v>
      </c>
      <c r="K49" s="412">
        <v>0</v>
      </c>
      <c r="L49" s="412">
        <v>0</v>
      </c>
      <c r="M49" s="412">
        <v>0</v>
      </c>
      <c r="N49" s="412">
        <v>0</v>
      </c>
      <c r="O49" s="439">
        <f t="shared" ref="O49" si="5">SUM(C49:N49)</f>
        <v>362247</v>
      </c>
      <c r="P49" s="440"/>
      <c r="Q49" s="441"/>
      <c r="R49" s="442"/>
      <c r="S49" s="442"/>
      <c r="T49" s="442"/>
      <c r="U49" s="443"/>
      <c r="V49" s="422"/>
      <c r="W49" s="422"/>
      <c r="X49" s="422"/>
      <c r="Y49" s="422"/>
      <c r="Z49" s="422"/>
      <c r="AA49" s="422"/>
      <c r="AB49" s="422"/>
      <c r="AC49" s="422"/>
    </row>
    <row r="50" spans="2:46" s="389" customFormat="1">
      <c r="B50" s="394" t="s">
        <v>523</v>
      </c>
      <c r="C50" s="412">
        <v>20629</v>
      </c>
      <c r="D50" s="412">
        <v>18096</v>
      </c>
      <c r="E50" s="412">
        <v>18108</v>
      </c>
      <c r="F50" s="412">
        <v>19181</v>
      </c>
      <c r="G50" s="412">
        <v>23430</v>
      </c>
      <c r="H50" s="438">
        <v>0</v>
      </c>
      <c r="I50" s="412">
        <v>0</v>
      </c>
      <c r="J50" s="412">
        <v>0</v>
      </c>
      <c r="K50" s="412">
        <v>0</v>
      </c>
      <c r="L50" s="412">
        <v>0</v>
      </c>
      <c r="M50" s="412">
        <v>0</v>
      </c>
      <c r="N50" s="412">
        <v>0</v>
      </c>
      <c r="O50" s="439">
        <f>SUM(C50:N50)</f>
        <v>99444</v>
      </c>
      <c r="P50" s="440"/>
      <c r="Q50" s="444"/>
      <c r="R50" s="445"/>
      <c r="S50" s="445"/>
      <c r="T50" s="445"/>
      <c r="U50" s="446"/>
      <c r="V50" s="422"/>
      <c r="W50" s="422"/>
      <c r="X50" s="422"/>
      <c r="Y50" s="422"/>
      <c r="Z50" s="422"/>
      <c r="AA50" s="422"/>
      <c r="AB50" s="422"/>
      <c r="AC50" s="422"/>
    </row>
    <row r="51" spans="2:46" s="389" customFormat="1">
      <c r="B51" s="394" t="s">
        <v>524</v>
      </c>
      <c r="C51" s="412">
        <v>16118</v>
      </c>
      <c r="D51" s="412">
        <v>12095</v>
      </c>
      <c r="E51" s="412">
        <v>12352</v>
      </c>
      <c r="F51" s="412">
        <v>16198</v>
      </c>
      <c r="G51" s="438">
        <v>0</v>
      </c>
      <c r="H51" s="412">
        <v>0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39">
        <f>SUM(C51:N51)</f>
        <v>56763</v>
      </c>
      <c r="P51" s="440"/>
      <c r="Q51" s="444" cm="1">
        <f t="array" ref="Q51">Q$47*12-SUMPRODUCT(--($C51:$N51&lt;=Q$47),Q$47-$C51:$N51)</f>
        <v>800</v>
      </c>
      <c r="R51" s="445" cm="1">
        <f t="array" ref="R51">R$47*12-SUM($Q51:Q51)-SUMPRODUCT(--($C51:$N51&lt;=R$47),R$47-$C51:$N51)</f>
        <v>3200</v>
      </c>
      <c r="S51" s="445" cm="1">
        <f t="array" ref="S51">S$47*12-SUM($Q51:R51)-SUMPRODUCT(--($C51:$N51&lt;=S$47),S$47-$C51:$N51)</f>
        <v>36000</v>
      </c>
      <c r="T51" s="445" cm="1">
        <f t="array" ref="T51">T$47*12-SUM($Q51:S51)-SUMPRODUCT(--($C51:$N51&lt;=T$47),T$47-$C51:$N51)</f>
        <v>16763</v>
      </c>
      <c r="U51" s="446" cm="1">
        <f t="array" ref="U51">U$47*12-SUM($Q51:T51)-SUMPRODUCT(--($C51:$N51&lt;=U$47),U$47-$C51:$N51)</f>
        <v>0</v>
      </c>
      <c r="V51" s="422"/>
      <c r="W51" s="422"/>
      <c r="X51" s="422"/>
      <c r="Y51" s="422"/>
      <c r="Z51" s="422"/>
      <c r="AA51" s="422"/>
      <c r="AB51" s="422"/>
      <c r="AC51" s="422"/>
    </row>
    <row r="52" spans="2:46" s="389" customFormat="1">
      <c r="B52" s="394" t="s">
        <v>524</v>
      </c>
      <c r="C52" s="412">
        <v>45576</v>
      </c>
      <c r="D52" s="412">
        <v>16100</v>
      </c>
      <c r="E52" s="412">
        <v>14667</v>
      </c>
      <c r="F52" s="412">
        <v>23869</v>
      </c>
      <c r="G52" s="412">
        <v>116668</v>
      </c>
      <c r="H52" s="412">
        <v>404062</v>
      </c>
      <c r="I52" s="412">
        <v>472976</v>
      </c>
      <c r="J52" s="412">
        <v>379785</v>
      </c>
      <c r="K52" s="412">
        <v>358809</v>
      </c>
      <c r="L52" s="412">
        <v>314000</v>
      </c>
      <c r="M52" s="412">
        <v>213744</v>
      </c>
      <c r="N52" s="412">
        <v>53319</v>
      </c>
      <c r="O52" s="421">
        <f>SUM(C52:N52)</f>
        <v>2413575</v>
      </c>
      <c r="P52" s="421"/>
      <c r="Q52" s="444" cm="1">
        <f t="array" ref="Q52">Q$47*12-SUMPRODUCT(--($C52:$N52&lt;=Q$47),Q$47-$C52:$N52)</f>
        <v>2400</v>
      </c>
      <c r="R52" s="445" cm="1">
        <f t="array" ref="R52">R$47*12-SUMPRODUCT(--($C52:$N52&lt;=R$47),R$47-$C52:$N52)</f>
        <v>12000</v>
      </c>
      <c r="S52" s="445" cm="1">
        <f t="array" ref="S52">S$47*12-SUMPRODUCT(--($C52:$N52&lt;=S$47),S$47-$C52:$N52)</f>
        <v>120000</v>
      </c>
      <c r="T52" s="445" cm="1">
        <f t="array" ref="T52">T$47*12-SUMPRODUCT(--($C52:$N52&lt;=T$47),T$47-$C52:$N52)</f>
        <v>279636</v>
      </c>
      <c r="U52" s="446" cm="1">
        <f t="array" ref="U52">U$47*12-SUM($Q52:T52)-SUMPRODUCT(--($C52:$N52&lt;=U$47),U$47-$C52:$N52)</f>
        <v>1999539</v>
      </c>
      <c r="V52" s="422"/>
      <c r="W52" s="421">
        <f>IF(O52&lt;250000,(250000-O52)*RD!$E$56,0)</f>
        <v>0</v>
      </c>
      <c r="X52" s="421">
        <f>IF(O52&lt;250000,(250000-O52)*RD!$K$56,0)</f>
        <v>0</v>
      </c>
      <c r="Y52" s="447">
        <f>Q52*RD!$D$51+'Big Schedules'!R52*RD!$D$52+'Big Schedules'!S52*RD!$D$53+'Big Schedules'!T52*RD!$D$54+'Big Schedules'!U52*RD!$D$55+RD!$D$49*12+W52</f>
        <v>186343.76826000001</v>
      </c>
      <c r="Z52" s="447">
        <f>Q52*RD!$K$51+'Big Schedules'!R52*RD!$K$52+'Big Schedules'!S52*RD!$K$53+'Big Schedules'!T52*RD!$K$54+'Big Schedules'!U52*RD!$K$55+RD!$K$49*12+X52</f>
        <v>186343.76826000001</v>
      </c>
      <c r="AA52" s="448">
        <f>Z52/Y52-1</f>
        <v>0</v>
      </c>
      <c r="AB52" s="422"/>
      <c r="AC52" s="422"/>
    </row>
    <row r="53" spans="2:46" s="389" customFormat="1">
      <c r="B53" s="394" t="s">
        <v>525</v>
      </c>
      <c r="C53" s="412">
        <v>-130366</v>
      </c>
      <c r="D53" s="412">
        <v>-133042</v>
      </c>
      <c r="E53" s="412">
        <v>-131722</v>
      </c>
      <c r="F53" s="412">
        <v>-128845</v>
      </c>
      <c r="G53" s="412">
        <v>-141732</v>
      </c>
      <c r="H53" s="412">
        <v>-150014</v>
      </c>
      <c r="I53" s="412">
        <v>-162460</v>
      </c>
      <c r="J53" s="412">
        <v>-118145</v>
      </c>
      <c r="K53" s="412">
        <v>-134273</v>
      </c>
      <c r="L53" s="412">
        <v>-143718</v>
      </c>
      <c r="M53" s="412">
        <v>-126712</v>
      </c>
      <c r="N53" s="412">
        <v>-126138</v>
      </c>
      <c r="O53" s="474">
        <f>SUM(C53:N53)</f>
        <v>-1627167</v>
      </c>
      <c r="P53" s="421"/>
      <c r="Q53" s="444"/>
      <c r="R53" s="445"/>
      <c r="S53" s="445"/>
      <c r="T53" s="445"/>
      <c r="U53" s="446"/>
      <c r="V53" s="422"/>
      <c r="W53" s="421"/>
      <c r="X53" s="421"/>
      <c r="Y53" s="447"/>
      <c r="Z53" s="447"/>
      <c r="AA53" s="448"/>
      <c r="AB53" s="422"/>
      <c r="AC53" s="422"/>
    </row>
    <row r="54" spans="2:46" s="389" customFormat="1">
      <c r="B54" s="374"/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21">
        <f t="shared" ref="O54" si="6">SUM(C54:N54)</f>
        <v>0</v>
      </c>
      <c r="P54" s="421"/>
      <c r="Q54" s="449">
        <f>SUM(Q49:Q52)</f>
        <v>3200</v>
      </c>
      <c r="R54" s="450">
        <f>SUM(R49:R52)</f>
        <v>15200</v>
      </c>
      <c r="S54" s="450">
        <f t="shared" ref="S54:U54" si="7">SUM(S49:S52)</f>
        <v>156000</v>
      </c>
      <c r="T54" s="450">
        <f t="shared" si="7"/>
        <v>296399</v>
      </c>
      <c r="U54" s="451">
        <f t="shared" si="7"/>
        <v>1999539</v>
      </c>
      <c r="V54" s="422"/>
      <c r="W54" s="422"/>
      <c r="X54" s="422"/>
      <c r="Y54" s="422"/>
      <c r="Z54" s="422"/>
      <c r="AA54" s="422"/>
      <c r="AB54" s="422"/>
      <c r="AC54" s="422"/>
    </row>
    <row r="55" spans="2:46">
      <c r="B55" s="334" t="s">
        <v>100</v>
      </c>
      <c r="C55" s="452">
        <f t="shared" ref="C55:O55" si="8">C46-SUM(C49:C53)</f>
        <v>2389404</v>
      </c>
      <c r="D55" s="452">
        <f t="shared" si="8"/>
        <v>2159877</v>
      </c>
      <c r="E55" s="452">
        <f t="shared" si="8"/>
        <v>2137664</v>
      </c>
      <c r="F55" s="452">
        <f t="shared" si="8"/>
        <v>2191699</v>
      </c>
      <c r="G55" s="452">
        <f t="shared" si="8"/>
        <v>2389465</v>
      </c>
      <c r="H55" s="452">
        <f t="shared" si="8"/>
        <v>3324881</v>
      </c>
      <c r="I55" s="452">
        <f t="shared" si="8"/>
        <v>3281201</v>
      </c>
      <c r="J55" s="452">
        <f t="shared" si="8"/>
        <v>3266473</v>
      </c>
      <c r="K55" s="452">
        <f t="shared" si="8"/>
        <v>3075098</v>
      </c>
      <c r="L55" s="452">
        <f t="shared" si="8"/>
        <v>3023851</v>
      </c>
      <c r="M55" s="452">
        <f t="shared" si="8"/>
        <v>2633696</v>
      </c>
      <c r="N55" s="452">
        <f t="shared" si="8"/>
        <v>2320043</v>
      </c>
      <c r="O55" s="452">
        <f t="shared" si="8"/>
        <v>32193352</v>
      </c>
      <c r="P55" s="414"/>
      <c r="Q55" s="415"/>
      <c r="R55" s="415"/>
      <c r="S55" s="415"/>
      <c r="T55" s="415"/>
      <c r="U55" s="415"/>
      <c r="V55" s="415"/>
      <c r="W55" s="414"/>
      <c r="X55" s="415"/>
      <c r="Y55" s="415"/>
      <c r="Z55" s="415"/>
      <c r="AA55" s="415"/>
      <c r="AB55" s="415"/>
      <c r="AC55" s="415"/>
    </row>
    <row r="56" spans="2:46">
      <c r="B56" s="390"/>
      <c r="C56" s="438">
        <f t="shared" ref="C56:O56" si="9">C44-C55</f>
        <v>0</v>
      </c>
      <c r="D56" s="438">
        <f t="shared" si="9"/>
        <v>0</v>
      </c>
      <c r="E56" s="438">
        <f t="shared" si="9"/>
        <v>0</v>
      </c>
      <c r="F56" s="438">
        <f t="shared" si="9"/>
        <v>0</v>
      </c>
      <c r="G56" s="438">
        <f t="shared" si="9"/>
        <v>0</v>
      </c>
      <c r="H56" s="438">
        <f>H44-H55</f>
        <v>0</v>
      </c>
      <c r="I56" s="438">
        <f t="shared" si="9"/>
        <v>0</v>
      </c>
      <c r="J56" s="438">
        <f t="shared" si="9"/>
        <v>0</v>
      </c>
      <c r="K56" s="438">
        <f t="shared" si="9"/>
        <v>0</v>
      </c>
      <c r="L56" s="438">
        <f t="shared" si="9"/>
        <v>0</v>
      </c>
      <c r="M56" s="438">
        <f t="shared" si="9"/>
        <v>0</v>
      </c>
      <c r="N56" s="438">
        <f t="shared" si="9"/>
        <v>0</v>
      </c>
      <c r="O56" s="439">
        <f t="shared" si="9"/>
        <v>0</v>
      </c>
      <c r="P56" s="415"/>
      <c r="Q56" s="414">
        <f>SUM(Q49:Q52)</f>
        <v>3200</v>
      </c>
      <c r="R56" s="414">
        <f>SUM(R49:R52)</f>
        <v>15200</v>
      </c>
      <c r="S56" s="414">
        <f>SUM(S49:S52)</f>
        <v>156000</v>
      </c>
      <c r="T56" s="414">
        <f>SUM(T49:T52)</f>
        <v>296399</v>
      </c>
      <c r="U56" s="414">
        <f>SUM(U49:U52)</f>
        <v>1999539</v>
      </c>
      <c r="V56" s="414">
        <f>SUM(Q56:U56)</f>
        <v>2470338</v>
      </c>
      <c r="W56" s="415"/>
      <c r="X56" s="415"/>
      <c r="Y56" s="415"/>
      <c r="Z56" s="415"/>
      <c r="AA56" s="415"/>
      <c r="AB56" s="415"/>
      <c r="AC56" s="415"/>
    </row>
    <row r="57" spans="2:46">
      <c r="B57" s="390"/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9"/>
      <c r="P57" s="415"/>
      <c r="Q57" s="414"/>
      <c r="R57" s="414"/>
      <c r="S57" s="414"/>
      <c r="T57" s="415"/>
      <c r="U57" s="415"/>
      <c r="V57" s="415"/>
      <c r="W57" s="415"/>
      <c r="X57" s="415"/>
      <c r="Y57" s="415"/>
      <c r="Z57" s="415"/>
      <c r="AA57" s="415"/>
      <c r="AB57" s="415"/>
      <c r="AC57" s="415"/>
    </row>
    <row r="58" spans="2:46">
      <c r="B58" s="334"/>
      <c r="C58" s="453">
        <f t="shared" ref="C58:N58" si="10">COUNT(C5:C40)</f>
        <v>35</v>
      </c>
      <c r="D58" s="453">
        <f t="shared" si="10"/>
        <v>35</v>
      </c>
      <c r="E58" s="453">
        <f t="shared" si="10"/>
        <v>35</v>
      </c>
      <c r="F58" s="453">
        <f t="shared" si="10"/>
        <v>35</v>
      </c>
      <c r="G58" s="453">
        <f t="shared" si="10"/>
        <v>35</v>
      </c>
      <c r="H58" s="453">
        <f t="shared" si="10"/>
        <v>35</v>
      </c>
      <c r="I58" s="453">
        <f t="shared" si="10"/>
        <v>35</v>
      </c>
      <c r="J58" s="453">
        <f t="shared" si="10"/>
        <v>35</v>
      </c>
      <c r="K58" s="453">
        <f t="shared" si="10"/>
        <v>35</v>
      </c>
      <c r="L58" s="453">
        <f t="shared" si="10"/>
        <v>35</v>
      </c>
      <c r="M58" s="453">
        <f t="shared" si="10"/>
        <v>35</v>
      </c>
      <c r="N58" s="453">
        <f t="shared" si="10"/>
        <v>35</v>
      </c>
      <c r="O58" s="415"/>
      <c r="P58" s="415"/>
      <c r="Q58" s="432" t="s">
        <v>91</v>
      </c>
      <c r="R58" s="433">
        <f>Q59</f>
        <v>200</v>
      </c>
      <c r="S58" s="433">
        <f>R59</f>
        <v>1000</v>
      </c>
      <c r="T58" s="433">
        <f>S59</f>
        <v>10000</v>
      </c>
      <c r="U58" s="433">
        <f>T59</f>
        <v>25000</v>
      </c>
      <c r="V58" s="415"/>
      <c r="W58" s="415"/>
      <c r="X58" s="415"/>
      <c r="Y58" s="415"/>
      <c r="Z58" s="415"/>
      <c r="AA58" s="415"/>
      <c r="AB58" s="415"/>
      <c r="AC58" s="415"/>
    </row>
    <row r="59" spans="2:46" hidden="1">
      <c r="B59" s="29" t="s">
        <v>291</v>
      </c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36">
        <v>200</v>
      </c>
      <c r="R59" s="436">
        <v>1000</v>
      </c>
      <c r="S59" s="436">
        <v>10000</v>
      </c>
      <c r="T59" s="436">
        <v>25000</v>
      </c>
      <c r="U59" s="437">
        <v>99999999</v>
      </c>
      <c r="V59" s="415"/>
      <c r="W59" s="415"/>
      <c r="X59" s="415"/>
      <c r="Y59" s="415"/>
      <c r="Z59" s="415"/>
      <c r="AA59" s="415"/>
      <c r="AB59" s="415"/>
      <c r="AC59" s="415"/>
    </row>
    <row r="60" spans="2:46" hidden="1">
      <c r="B60" s="29" t="s">
        <v>58</v>
      </c>
      <c r="C60" s="454">
        <f t="shared" ref="C60:N60" si="11">C4</f>
        <v>44772</v>
      </c>
      <c r="D60" s="454">
        <f t="shared" si="11"/>
        <v>44804</v>
      </c>
      <c r="E60" s="454">
        <f t="shared" si="11"/>
        <v>44834</v>
      </c>
      <c r="F60" s="454">
        <f t="shared" si="11"/>
        <v>44865</v>
      </c>
      <c r="G60" s="454">
        <f t="shared" si="11"/>
        <v>44895</v>
      </c>
      <c r="H60" s="454">
        <f t="shared" si="11"/>
        <v>44926</v>
      </c>
      <c r="I60" s="454">
        <f t="shared" si="11"/>
        <v>44957</v>
      </c>
      <c r="J60" s="454">
        <f t="shared" si="11"/>
        <v>44985</v>
      </c>
      <c r="K60" s="454">
        <f t="shared" si="11"/>
        <v>45016</v>
      </c>
      <c r="L60" s="454">
        <f t="shared" si="11"/>
        <v>45046</v>
      </c>
      <c r="M60" s="454">
        <f t="shared" si="11"/>
        <v>45077</v>
      </c>
      <c r="N60" s="454">
        <f t="shared" si="11"/>
        <v>45107</v>
      </c>
      <c r="O60" s="455" t="s">
        <v>59</v>
      </c>
      <c r="P60" s="455"/>
      <c r="Q60" s="456" t="s">
        <v>90</v>
      </c>
      <c r="R60" s="456" t="s">
        <v>90</v>
      </c>
      <c r="S60" s="456" t="s">
        <v>90</v>
      </c>
      <c r="T60" s="456" t="s">
        <v>90</v>
      </c>
      <c r="U60" s="456" t="s">
        <v>90</v>
      </c>
      <c r="V60" s="415"/>
      <c r="W60" s="415"/>
      <c r="X60" s="457">
        <v>41913</v>
      </c>
      <c r="Y60" s="457"/>
      <c r="Z60" s="457"/>
      <c r="AA60" s="457"/>
      <c r="AB60" s="415"/>
      <c r="AC60" s="415"/>
      <c r="AD60" s="193">
        <v>41944</v>
      </c>
      <c r="AE60" s="193"/>
      <c r="AF60" s="193"/>
      <c r="AG60" s="193"/>
      <c r="AJ60" s="193">
        <v>41974</v>
      </c>
      <c r="AK60" s="193"/>
      <c r="AL60" s="193"/>
      <c r="AM60" s="193"/>
      <c r="AP60" s="193">
        <v>42005</v>
      </c>
      <c r="AQ60" s="193"/>
      <c r="AR60" s="193"/>
      <c r="AS60" s="193"/>
    </row>
    <row r="61" spans="2:46" hidden="1">
      <c r="B61" s="370" t="s">
        <v>484</v>
      </c>
      <c r="C61" s="415"/>
      <c r="D61" s="290"/>
      <c r="E61" s="290"/>
      <c r="F61" s="290"/>
      <c r="G61" s="290"/>
      <c r="H61" s="290"/>
      <c r="I61" s="289"/>
      <c r="J61" s="291"/>
      <c r="K61" s="291"/>
      <c r="L61" s="291"/>
      <c r="M61" s="291"/>
      <c r="N61" s="291"/>
      <c r="O61" s="425">
        <f>SUM(B61:N61)</f>
        <v>0</v>
      </c>
      <c r="P61" s="414"/>
      <c r="Q61" s="414" t="e" cm="1">
        <f t="array" ref="Q61">Q$59*12-SUMPRODUCT(--($B61:$N61&lt;=Q$59),Q$59-$B61:$N61)</f>
        <v>#VALUE!</v>
      </c>
      <c r="R61" s="414" t="e">
        <f>R$59*12-SUM($Q61:Q61)-SUMPRODUCT(--($B61:$N61&lt;=R$59),R$59-$B61:$N61)</f>
        <v>#VALUE!</v>
      </c>
      <c r="S61" s="414" t="e">
        <f>S$59*12-SUM($Q61:R61)-SUMPRODUCT(--($B61:$N61&lt;=S$59),S$59-$B61:$N61)</f>
        <v>#VALUE!</v>
      </c>
      <c r="T61" s="414" t="e">
        <f>T$59*12-SUM($Q61:S61)-SUMPRODUCT(--($B61:$N61&lt;=T$59),T$59-$B61:$N61)</f>
        <v>#VALUE!</v>
      </c>
      <c r="U61" s="414" t="e">
        <f>U$59*12-SUM($Q61:T61)-SUMPRODUCT(--($B61:$N61&lt;=U$59),U$59-$B61:$N61)</f>
        <v>#VALUE!</v>
      </c>
      <c r="V61" s="415"/>
      <c r="W61" s="415"/>
      <c r="X61" s="415"/>
      <c r="Y61" s="415"/>
      <c r="Z61" s="415"/>
      <c r="AA61" s="415"/>
      <c r="AB61" s="415"/>
      <c r="AC61" s="415"/>
    </row>
    <row r="62" spans="2:46" hidden="1">
      <c r="B62" s="196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25">
        <f t="shared" ref="O62" si="12">SUM(C62:N62)</f>
        <v>0</v>
      </c>
      <c r="P62" s="414"/>
      <c r="Q62" s="414">
        <f t="shared" ref="Q62" si="13">Q$59*12-SUMPRODUCT(--($C62:$N62&lt;=Q$59),Q$59-$C62:$N62)</f>
        <v>0</v>
      </c>
      <c r="R62" s="414">
        <f>R$59*12-SUM($Q62:Q62)-SUMPRODUCT(--($C62:$N62&lt;=R$59),R$59-$C62:$N62)</f>
        <v>0</v>
      </c>
      <c r="S62" s="414">
        <f>S$59*12-SUM($Q62:R62)-SUMPRODUCT(--($C62:$N62&lt;=S$59),S$59-$C62:$N62)</f>
        <v>0</v>
      </c>
      <c r="T62" s="414">
        <f>T$59*12-SUM($Q62:S62)-SUMPRODUCT(--($C62:$N62&lt;=T$59),T$59-$C62:$N62)</f>
        <v>0</v>
      </c>
      <c r="U62" s="414">
        <f>U$59*12-SUM($Q62:T62)-SUMPRODUCT(--($C62:$N62&lt;=U$59),U$59-$C62:$N62)</f>
        <v>0</v>
      </c>
      <c r="V62" s="415"/>
      <c r="W62" s="415"/>
      <c r="X62" s="415"/>
      <c r="Y62" s="415"/>
      <c r="Z62" s="415"/>
      <c r="AA62" s="415"/>
      <c r="AB62" s="415"/>
      <c r="AC62" s="415"/>
    </row>
    <row r="63" spans="2:46" ht="13.5" hidden="1" thickBot="1">
      <c r="B63" s="334" t="s">
        <v>292</v>
      </c>
      <c r="C63" s="427">
        <f>SUM(B61:B61)</f>
        <v>0</v>
      </c>
      <c r="D63" s="427">
        <f t="shared" ref="D63:N63" si="14">SUM(D61:D62)</f>
        <v>0</v>
      </c>
      <c r="E63" s="427">
        <f t="shared" si="14"/>
        <v>0</v>
      </c>
      <c r="F63" s="427">
        <f t="shared" si="14"/>
        <v>0</v>
      </c>
      <c r="G63" s="427">
        <f t="shared" si="14"/>
        <v>0</v>
      </c>
      <c r="H63" s="427">
        <f t="shared" si="14"/>
        <v>0</v>
      </c>
      <c r="I63" s="427">
        <f t="shared" si="14"/>
        <v>0</v>
      </c>
      <c r="J63" s="427">
        <f t="shared" si="14"/>
        <v>0</v>
      </c>
      <c r="K63" s="427">
        <f t="shared" si="14"/>
        <v>0</v>
      </c>
      <c r="L63" s="427">
        <f t="shared" si="14"/>
        <v>0</v>
      </c>
      <c r="M63" s="427">
        <f t="shared" si="14"/>
        <v>0</v>
      </c>
      <c r="N63" s="427">
        <f t="shared" si="14"/>
        <v>0</v>
      </c>
      <c r="O63" s="428">
        <f>IF(ROUND(SUM(O61:O62),3)&lt;&gt;ROUND(SUM(C63:N63),3),#VALUE!,SUM(C63:N63))</f>
        <v>0</v>
      </c>
      <c r="P63" s="415"/>
      <c r="Q63" s="427" t="e">
        <f>SUM(Q61:Q62)</f>
        <v>#VALUE!</v>
      </c>
      <c r="R63" s="427" t="e">
        <f>SUM(R61:R62)</f>
        <v>#VALUE!</v>
      </c>
      <c r="S63" s="427" t="e">
        <f>SUM(S61:S62)</f>
        <v>#VALUE!</v>
      </c>
      <c r="T63" s="427" t="e">
        <f>SUM(T61:T62)</f>
        <v>#VALUE!</v>
      </c>
      <c r="U63" s="427" t="e">
        <f>SUM(U61:U62)</f>
        <v>#VALUE!</v>
      </c>
      <c r="V63" s="415"/>
      <c r="W63" s="415"/>
      <c r="X63" s="414">
        <f>SUM(X61:X62)</f>
        <v>0</v>
      </c>
      <c r="Y63" s="414">
        <f>SUM(Y61:Y62)</f>
        <v>0</v>
      </c>
      <c r="Z63" s="414">
        <f>SUM(Z61:Z62)</f>
        <v>0</v>
      </c>
      <c r="AA63" s="414">
        <f>SUM(AA61:AA62)</f>
        <v>0</v>
      </c>
      <c r="AB63" s="414">
        <f>SUM(AB61:AB62)</f>
        <v>0</v>
      </c>
      <c r="AC63" s="415"/>
      <c r="AD63" s="33">
        <f>SUM(AD61:AD62)</f>
        <v>0</v>
      </c>
      <c r="AE63" s="33">
        <f>SUM(AE61:AE62)</f>
        <v>0</v>
      </c>
      <c r="AF63" s="33">
        <f>SUM(AF61:AF62)</f>
        <v>0</v>
      </c>
      <c r="AG63" s="33">
        <f>SUM(AG61:AG62)</f>
        <v>0</v>
      </c>
      <c r="AH63" s="33">
        <f>SUM(AH61:AH62)</f>
        <v>0</v>
      </c>
      <c r="AJ63" s="33">
        <f>SUM(AJ61:AJ62)</f>
        <v>0</v>
      </c>
      <c r="AK63" s="33">
        <f>SUM(AK61:AK62)</f>
        <v>0</v>
      </c>
      <c r="AL63" s="33">
        <f>SUM(AL61:AL62)</f>
        <v>0</v>
      </c>
      <c r="AM63" s="33">
        <f>SUM(AM61:AM62)</f>
        <v>0</v>
      </c>
      <c r="AN63" s="33">
        <f>SUM(AN61:AN62)</f>
        <v>0</v>
      </c>
      <c r="AP63" s="33">
        <f>SUM(AP61:AP62)</f>
        <v>0</v>
      </c>
      <c r="AQ63" s="33">
        <f>SUM(AQ61:AQ62)</f>
        <v>0</v>
      </c>
      <c r="AR63" s="33">
        <f>SUM(AR61:AR62)</f>
        <v>0</v>
      </c>
      <c r="AS63" s="33">
        <f>SUM(AS61:AS62)</f>
        <v>0</v>
      </c>
      <c r="AT63" s="33">
        <f>SUM(AT61:AT62)</f>
        <v>0</v>
      </c>
    </row>
    <row r="64" spans="2:46" ht="13.5" hidden="1" thickTop="1">
      <c r="C64" s="430"/>
      <c r="D64" s="430"/>
      <c r="E64" s="430"/>
      <c r="F64" s="430"/>
      <c r="G64" s="430"/>
      <c r="H64" s="430"/>
      <c r="I64" s="430"/>
      <c r="J64" s="430"/>
      <c r="K64" s="458"/>
      <c r="L64" s="430"/>
      <c r="M64" s="430"/>
      <c r="N64" s="430"/>
      <c r="O64" s="430"/>
      <c r="P64" s="415"/>
      <c r="Q64" s="430"/>
      <c r="R64" s="430"/>
      <c r="S64" s="430"/>
      <c r="T64" s="430"/>
      <c r="U64" s="414" t="e">
        <f>SUM(Q63:U63)</f>
        <v>#VALUE!</v>
      </c>
      <c r="V64" s="415"/>
      <c r="W64" s="415"/>
      <c r="X64" s="415"/>
      <c r="Y64" s="415"/>
      <c r="Z64" s="415"/>
      <c r="AA64" s="415"/>
      <c r="AB64" s="415"/>
      <c r="AC64" s="415"/>
    </row>
    <row r="65" spans="1:29" hidden="1">
      <c r="B65" s="288" t="s">
        <v>99</v>
      </c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459">
        <f>SUM(C65:N65)</f>
        <v>0</v>
      </c>
      <c r="P65" s="431"/>
      <c r="Q65" s="414"/>
      <c r="R65" s="414"/>
      <c r="S65" s="414"/>
      <c r="T65" s="414"/>
      <c r="U65" s="414"/>
      <c r="V65" s="415"/>
      <c r="W65" s="415"/>
      <c r="X65" s="415"/>
      <c r="Y65" s="415"/>
      <c r="Z65" s="415"/>
      <c r="AA65" s="415"/>
      <c r="AB65" s="415"/>
      <c r="AC65" s="415"/>
    </row>
    <row r="66" spans="1:29" hidden="1">
      <c r="B66" s="348"/>
      <c r="C66" s="346"/>
      <c r="D66" s="346"/>
      <c r="E66" s="346"/>
      <c r="F66" s="347"/>
      <c r="G66" s="347"/>
      <c r="H66" s="347"/>
      <c r="I66" s="347"/>
      <c r="J66" s="347"/>
      <c r="K66" s="347"/>
      <c r="L66" s="434"/>
      <c r="M66" s="434"/>
      <c r="N66" s="434"/>
      <c r="O66" s="459">
        <f>SUM(C66:N66)</f>
        <v>0</v>
      </c>
      <c r="P66" s="431"/>
      <c r="Q66" s="414">
        <f>Q$59*12-SUMPRODUCT(--($C66:$N66&lt;=Q$59),Q$59-$C66:$N66)</f>
        <v>0</v>
      </c>
      <c r="R66" s="414">
        <f>R$59*12-SUM($Q66:Q66)-SUMPRODUCT(--($C66:$N66&lt;=R$59),R$59-$C66:$N66)</f>
        <v>0</v>
      </c>
      <c r="S66" s="414">
        <f>S$59*12-SUM($Q66:R66)-SUMPRODUCT(--($C66:$N66&lt;=S$59),S$59-$C66:$N66)</f>
        <v>0</v>
      </c>
      <c r="T66" s="414">
        <f>T$59*12-SUM($Q66:S66)-SUMPRODUCT(--($C66:$N66&lt;=T$59),T$59-$C66:$N66)</f>
        <v>0</v>
      </c>
      <c r="U66" s="414">
        <f>U$59*12-SUM($Q66:T66)-SUMPRODUCT(--($C66:$N66&lt;=U$59),U$59-$C66:$N66)</f>
        <v>0</v>
      </c>
      <c r="V66" s="415"/>
      <c r="W66" s="415"/>
      <c r="X66" s="415"/>
      <c r="Y66" s="415"/>
      <c r="Z66" s="415"/>
      <c r="AA66" s="415"/>
      <c r="AB66" s="415"/>
      <c r="AC66" s="415"/>
    </row>
    <row r="67" spans="1:29" hidden="1">
      <c r="B67" s="313"/>
      <c r="C67" s="460"/>
      <c r="D67" s="434"/>
      <c r="E67" s="434"/>
      <c r="F67" s="434"/>
      <c r="G67" s="434"/>
      <c r="H67" s="460"/>
      <c r="I67" s="434"/>
      <c r="J67" s="434"/>
      <c r="K67" s="460"/>
      <c r="L67" s="434"/>
      <c r="M67" s="460"/>
      <c r="N67" s="434"/>
      <c r="O67" s="459">
        <f t="shared" ref="O67:O68" si="15">SUM(C67:N67)</f>
        <v>0</v>
      </c>
      <c r="P67" s="431"/>
      <c r="Q67" s="414"/>
      <c r="R67" s="414"/>
      <c r="S67" s="414"/>
      <c r="T67" s="414"/>
      <c r="U67" s="414"/>
      <c r="V67" s="415"/>
      <c r="W67" s="415"/>
      <c r="X67" s="415"/>
      <c r="Y67" s="415">
        <f>COUNT(#REF!)</f>
        <v>0</v>
      </c>
      <c r="Z67" s="415"/>
      <c r="AA67" s="415"/>
      <c r="AB67" s="415"/>
      <c r="AC67" s="415"/>
    </row>
    <row r="68" spans="1:29" ht="15.75" hidden="1" customHeight="1">
      <c r="B68" s="314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59">
        <f t="shared" si="15"/>
        <v>0</v>
      </c>
      <c r="P68" s="414"/>
      <c r="Q68" s="415"/>
      <c r="R68" s="415"/>
      <c r="S68" s="415"/>
      <c r="T68" s="415"/>
      <c r="U68" s="415"/>
      <c r="V68" s="415"/>
      <c r="W68" s="415"/>
      <c r="X68" s="415"/>
      <c r="Y68" s="415"/>
      <c r="Z68" s="415"/>
      <c r="AA68" s="415"/>
      <c r="AB68" s="415"/>
      <c r="AC68" s="415"/>
    </row>
    <row r="69" spans="1:29" ht="13.5" hidden="1" thickBot="1">
      <c r="B69" s="334" t="s">
        <v>292</v>
      </c>
      <c r="C69" s="462">
        <f>C65-SUM(C66:C68)</f>
        <v>0</v>
      </c>
      <c r="D69" s="462">
        <f t="shared" ref="D69:N69" si="16">D65-SUM(D66:D68)</f>
        <v>0</v>
      </c>
      <c r="E69" s="462">
        <f t="shared" si="16"/>
        <v>0</v>
      </c>
      <c r="F69" s="462">
        <f t="shared" si="16"/>
        <v>0</v>
      </c>
      <c r="G69" s="462">
        <f t="shared" si="16"/>
        <v>0</v>
      </c>
      <c r="H69" s="462">
        <f t="shared" si="16"/>
        <v>0</v>
      </c>
      <c r="I69" s="462">
        <f t="shared" si="16"/>
        <v>0</v>
      </c>
      <c r="J69" s="462">
        <f t="shared" si="16"/>
        <v>0</v>
      </c>
      <c r="K69" s="462">
        <f t="shared" si="16"/>
        <v>0</v>
      </c>
      <c r="L69" s="462">
        <f t="shared" si="16"/>
        <v>0</v>
      </c>
      <c r="M69" s="462">
        <f t="shared" si="16"/>
        <v>0</v>
      </c>
      <c r="N69" s="462">
        <f t="shared" si="16"/>
        <v>0</v>
      </c>
      <c r="O69" s="428">
        <f>IF(ROUND(O65-SUM(O66:O68),3)&lt;&gt;ROUND(SUM(C69:N69),3),#VALUE!,SUM(C69:N69))</f>
        <v>0</v>
      </c>
      <c r="P69" s="414"/>
      <c r="Q69" s="415"/>
      <c r="R69" s="415"/>
      <c r="S69" s="415"/>
      <c r="T69" s="415"/>
      <c r="U69" s="414"/>
      <c r="V69" s="415"/>
      <c r="W69" s="415"/>
      <c r="X69" s="415"/>
      <c r="Y69" s="415"/>
      <c r="Z69" s="415"/>
      <c r="AA69" s="415"/>
      <c r="AB69" s="415"/>
      <c r="AC69" s="415"/>
    </row>
    <row r="70" spans="1:29" ht="13.5" hidden="1" thickTop="1">
      <c r="C70" s="453"/>
      <c r="D70" s="453"/>
      <c r="E70" s="453"/>
      <c r="F70" s="453"/>
      <c r="G70" s="453"/>
      <c r="H70" s="453"/>
      <c r="I70" s="453"/>
      <c r="J70" s="453"/>
      <c r="K70" s="453"/>
      <c r="L70" s="453"/>
      <c r="M70" s="453"/>
      <c r="N70" s="453"/>
      <c r="O70" s="453">
        <f t="shared" ref="O70" si="17">O63-O69</f>
        <v>0</v>
      </c>
      <c r="P70" s="415"/>
      <c r="Q70" s="430"/>
      <c r="R70" s="430"/>
      <c r="S70" s="430"/>
      <c r="T70" s="430"/>
      <c r="U70" s="430"/>
      <c r="V70" s="415"/>
      <c r="W70" s="415"/>
      <c r="X70" s="415"/>
      <c r="Y70" s="415"/>
      <c r="Z70" s="415"/>
      <c r="AA70" s="415"/>
      <c r="AB70" s="415"/>
      <c r="AC70" s="415"/>
    </row>
    <row r="71" spans="1:29" hidden="1">
      <c r="C71" s="453"/>
      <c r="D71" s="453"/>
      <c r="E71" s="453"/>
      <c r="F71" s="453"/>
      <c r="G71" s="453"/>
      <c r="H71" s="453"/>
      <c r="I71" s="453"/>
      <c r="J71" s="453"/>
      <c r="K71" s="453"/>
      <c r="L71" s="453">
        <f>COUNT(#REF!)</f>
        <v>0</v>
      </c>
      <c r="M71" s="453">
        <f>COUNT(#REF!)</f>
        <v>0</v>
      </c>
      <c r="N71" s="453">
        <f>COUNT(#REF!)</f>
        <v>0</v>
      </c>
      <c r="O71" s="453"/>
      <c r="P71" s="415"/>
      <c r="Q71" s="430"/>
      <c r="R71" s="430"/>
      <c r="S71" s="430"/>
      <c r="T71" s="430"/>
      <c r="U71" s="430"/>
      <c r="V71" s="415"/>
      <c r="W71" s="415"/>
      <c r="X71" s="415"/>
      <c r="Y71" s="415"/>
      <c r="Z71" s="415"/>
      <c r="AA71" s="415"/>
      <c r="AB71" s="415"/>
      <c r="AC71" s="415"/>
    </row>
    <row r="72" spans="1:29">
      <c r="B72" s="29" t="s">
        <v>355</v>
      </c>
      <c r="C72" s="453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63" t="s">
        <v>273</v>
      </c>
      <c r="P72" s="415"/>
      <c r="Q72" s="436">
        <v>10000</v>
      </c>
      <c r="R72" s="436">
        <v>25000</v>
      </c>
      <c r="S72" s="436">
        <v>50000</v>
      </c>
      <c r="T72" s="437">
        <v>99999999</v>
      </c>
      <c r="U72" s="415"/>
      <c r="V72" s="415"/>
      <c r="W72" s="415"/>
      <c r="X72" s="415"/>
      <c r="Y72" s="415"/>
      <c r="Z72" s="415"/>
      <c r="AA72" s="415"/>
      <c r="AB72" s="415"/>
      <c r="AC72" s="415"/>
    </row>
    <row r="73" spans="1:29">
      <c r="B73" s="29" t="s">
        <v>58</v>
      </c>
      <c r="C73" s="467">
        <f t="shared" ref="C73:N73" si="18">C4</f>
        <v>44772</v>
      </c>
      <c r="D73" s="467">
        <f t="shared" si="18"/>
        <v>44804</v>
      </c>
      <c r="E73" s="467">
        <f t="shared" si="18"/>
        <v>44834</v>
      </c>
      <c r="F73" s="467">
        <f t="shared" si="18"/>
        <v>44865</v>
      </c>
      <c r="G73" s="467">
        <f t="shared" si="18"/>
        <v>44895</v>
      </c>
      <c r="H73" s="467">
        <f t="shared" si="18"/>
        <v>44926</v>
      </c>
      <c r="I73" s="467">
        <f t="shared" si="18"/>
        <v>44957</v>
      </c>
      <c r="J73" s="467">
        <f t="shared" si="18"/>
        <v>44985</v>
      </c>
      <c r="K73" s="467">
        <f t="shared" si="18"/>
        <v>45016</v>
      </c>
      <c r="L73" s="467">
        <f t="shared" si="18"/>
        <v>45046</v>
      </c>
      <c r="M73" s="467">
        <f t="shared" si="18"/>
        <v>45077</v>
      </c>
      <c r="N73" s="467">
        <f t="shared" si="18"/>
        <v>45107</v>
      </c>
      <c r="O73" s="472" t="s">
        <v>59</v>
      </c>
      <c r="P73" s="455"/>
      <c r="Q73" s="456" t="s">
        <v>90</v>
      </c>
      <c r="R73" s="456" t="s">
        <v>90</v>
      </c>
      <c r="S73" s="456" t="s">
        <v>90</v>
      </c>
      <c r="T73" s="456" t="s">
        <v>90</v>
      </c>
      <c r="U73" s="415"/>
      <c r="V73" s="415"/>
      <c r="W73" s="415"/>
      <c r="X73" s="415"/>
      <c r="Y73" s="415"/>
      <c r="Z73" s="415"/>
      <c r="AA73" s="415"/>
      <c r="AB73" s="415"/>
      <c r="AC73" s="415"/>
    </row>
    <row r="74" spans="1:29">
      <c r="A74" s="389"/>
      <c r="B74" s="374" t="s">
        <v>526</v>
      </c>
      <c r="C74" s="391">
        <v>81449</v>
      </c>
      <c r="D74" s="391">
        <v>66130</v>
      </c>
      <c r="E74" s="391">
        <v>65135</v>
      </c>
      <c r="F74" s="391">
        <v>67845</v>
      </c>
      <c r="G74" s="391">
        <f>103634.154+81688</f>
        <v>185322.15399999998</v>
      </c>
      <c r="H74" s="391">
        <v>152982.82999999999</v>
      </c>
      <c r="I74" s="391">
        <v>160824.69</v>
      </c>
      <c r="J74" s="391">
        <v>137576.951</v>
      </c>
      <c r="K74" s="391">
        <v>131320.68799999999</v>
      </c>
      <c r="L74" s="391">
        <v>105375.197</v>
      </c>
      <c r="M74" s="391">
        <v>77353.847999999998</v>
      </c>
      <c r="N74" s="391">
        <v>68475.792000000001</v>
      </c>
      <c r="O74" s="421">
        <f t="shared" ref="O74:O76" si="19">SUM(C74:N74)</f>
        <v>1299791.1499999997</v>
      </c>
      <c r="P74" s="455"/>
      <c r="Q74" s="414" cm="1">
        <f t="array" ref="Q74">Q$72*12-SUMPRODUCT(--($C74:$N74&lt;=Q$72),Q$72-$C74:$N74)</f>
        <v>120000</v>
      </c>
      <c r="R74" s="414">
        <f>R$72*12-SUM($Q74:Q74)-SUMPRODUCT(--($C74:$N74&lt;=R$72),R$72-$C74:$N74)</f>
        <v>180000</v>
      </c>
      <c r="S74" s="414">
        <f>S$72*12-SUM($Q74:R74)-SUMPRODUCT(--($C74:$N74&lt;=S$72),S$72-$C74:$N74)</f>
        <v>300000</v>
      </c>
      <c r="T74" s="414">
        <f>T$72*12-SUM($Q74:S74)-SUMPRODUCT(--($C74:$N74&lt;=T$72),T$72-$C74:$N74)</f>
        <v>699791.15000009537</v>
      </c>
      <c r="U74" s="415"/>
      <c r="V74" s="415"/>
      <c r="W74" s="415"/>
      <c r="X74" s="415"/>
      <c r="Y74" s="415"/>
      <c r="Z74" s="415"/>
      <c r="AA74" s="415"/>
      <c r="AB74" s="415"/>
      <c r="AC74" s="415"/>
    </row>
    <row r="75" spans="1:29">
      <c r="A75" s="389"/>
      <c r="B75" s="374" t="s">
        <v>527</v>
      </c>
      <c r="C75" s="391">
        <v>27128</v>
      </c>
      <c r="D75" s="391">
        <v>28661</v>
      </c>
      <c r="E75" s="391">
        <v>31050.58</v>
      </c>
      <c r="F75" s="391">
        <v>37774.923000000003</v>
      </c>
      <c r="G75" s="391">
        <v>36376.199999999997</v>
      </c>
      <c r="H75" s="391">
        <v>124333.86</v>
      </c>
      <c r="I75" s="391">
        <v>75698.763999999996</v>
      </c>
      <c r="J75" s="391">
        <v>71508</v>
      </c>
      <c r="K75" s="391">
        <v>54565</v>
      </c>
      <c r="L75" s="391">
        <v>54148.512000000002</v>
      </c>
      <c r="M75" s="391">
        <v>41986.245000000003</v>
      </c>
      <c r="N75" s="391">
        <v>31772.44</v>
      </c>
      <c r="O75" s="421">
        <f t="shared" si="19"/>
        <v>615003.52399999986</v>
      </c>
      <c r="P75" s="455"/>
      <c r="Q75" s="414">
        <f t="shared" ref="Q75" si="20">Q$72*12-SUMPRODUCT(--($C75:$N75&lt;=Q$72),Q$72-$C75:$N75)</f>
        <v>120000</v>
      </c>
      <c r="R75" s="414">
        <f>R$72*12-SUM($Q75:Q75)-SUMPRODUCT(--($C75:$N75&lt;=R$72),R$72-$C75:$N75)</f>
        <v>180000</v>
      </c>
      <c r="S75" s="414">
        <f>S$72*12-SUM($Q75:R75)-SUMPRODUCT(--($C75:$N75&lt;=S$72),S$72-$C75:$N75)</f>
        <v>184749.38800000001</v>
      </c>
      <c r="T75" s="414">
        <f>T$72*12-SUM($Q75:S75)-SUMPRODUCT(--($C75:$N75&lt;=T$72),T$72-$C75:$N75)</f>
        <v>130254.13599991798</v>
      </c>
      <c r="U75" s="415"/>
      <c r="V75" s="415"/>
      <c r="W75" s="415"/>
      <c r="X75" s="415"/>
      <c r="Y75" s="415"/>
      <c r="Z75" s="415"/>
      <c r="AA75" s="415"/>
      <c r="AB75" s="415"/>
      <c r="AC75" s="415"/>
    </row>
    <row r="76" spans="1:29">
      <c r="A76" s="389"/>
      <c r="B76" s="374" t="s">
        <v>527</v>
      </c>
      <c r="C76" s="391">
        <v>16522</v>
      </c>
      <c r="D76" s="391">
        <v>12002.798000000001</v>
      </c>
      <c r="E76" s="391">
        <v>11073.072</v>
      </c>
      <c r="F76" s="391">
        <v>13009.168</v>
      </c>
      <c r="G76" s="391">
        <f>23534.574</f>
        <v>23534.574000000001</v>
      </c>
      <c r="H76" s="391">
        <v>62831.457000000002</v>
      </c>
      <c r="I76" s="391">
        <v>73597.854999999996</v>
      </c>
      <c r="J76" s="391">
        <v>57054.167999999998</v>
      </c>
      <c r="K76" s="391">
        <v>59728.2</v>
      </c>
      <c r="L76" s="391">
        <v>53987.508000000002</v>
      </c>
      <c r="M76" s="391">
        <v>38547.675000000003</v>
      </c>
      <c r="N76" s="391">
        <v>20285.975999999999</v>
      </c>
      <c r="O76" s="421">
        <f t="shared" si="19"/>
        <v>442174.45100000006</v>
      </c>
      <c r="P76" s="414"/>
      <c r="Q76" s="414">
        <f>Q$72*12-SUMPRODUCT(--($C76:$N76&lt;=Q$72),Q$72-$C76:$N76)</f>
        <v>120000</v>
      </c>
      <c r="R76" s="414">
        <f>R$72*12-SUM($Q76:Q76)-SUMPRODUCT(--($C76:$N76&lt;=R$72),R$72-$C76:$N76)</f>
        <v>126427.588</v>
      </c>
      <c r="S76" s="414">
        <f>S$72*12-SUM($Q76:R76)-SUMPRODUCT(--($C76:$N76&lt;=S$72),S$72-$C76:$N76)</f>
        <v>138547.67500000002</v>
      </c>
      <c r="T76" s="414">
        <f>T$72*12-SUM($Q76:S76)-SUMPRODUCT(--($C76:$N76&lt;=T$72),T$72-$C76:$N76)</f>
        <v>57199.188000202179</v>
      </c>
      <c r="U76" s="415"/>
      <c r="V76" s="415"/>
      <c r="W76" s="415"/>
      <c r="X76" s="415"/>
      <c r="Y76" s="415"/>
      <c r="Z76" s="415"/>
      <c r="AA76" s="415"/>
      <c r="AB76" s="415"/>
      <c r="AC76" s="415"/>
    </row>
    <row r="77" spans="1:29">
      <c r="A77" s="389"/>
      <c r="B77" s="374" t="s">
        <v>526</v>
      </c>
      <c r="C77" s="395">
        <v>20629</v>
      </c>
      <c r="D77" s="395">
        <v>18096</v>
      </c>
      <c r="E77" s="395">
        <v>18108</v>
      </c>
      <c r="F77" s="395">
        <v>19181</v>
      </c>
      <c r="G77" s="395">
        <v>23430</v>
      </c>
      <c r="H77" s="395">
        <v>37233.027000000002</v>
      </c>
      <c r="I77" s="395">
        <v>37976.834999999999</v>
      </c>
      <c r="J77" s="395">
        <v>34495.08</v>
      </c>
      <c r="K77" s="395">
        <v>32361</v>
      </c>
      <c r="L77" s="395">
        <v>30449.64</v>
      </c>
      <c r="M77" s="395">
        <v>34880.375</v>
      </c>
      <c r="N77" s="395">
        <v>29057.4</v>
      </c>
      <c r="O77" s="466">
        <f>SUM(C77:N77)</f>
        <v>335897.35700000002</v>
      </c>
      <c r="P77" s="414"/>
      <c r="Q77" s="414">
        <f>Q$72*12-SUMPRODUCT(--($C77:$N77&lt;=Q$72),Q$72-$C77:$N77)</f>
        <v>120000</v>
      </c>
      <c r="R77" s="414">
        <f>R$72*12-SUM($Q77:Q77)-SUMPRODUCT(--($C77:$N77&lt;=R$72),R$72-$C77:$N77)</f>
        <v>154444</v>
      </c>
      <c r="S77" s="414">
        <f>S$72*12-SUM($Q77:R77)-SUMPRODUCT(--($C77:$N77&lt;=S$72),S$72-$C77:$N77)</f>
        <v>61453.357000000018</v>
      </c>
      <c r="T77" s="414">
        <f>T$72*12-SUM($Q77:S77)-SUMPRODUCT(--($C77:$N77&lt;=T$72),T$72-$C77:$N77)</f>
        <v>0</v>
      </c>
      <c r="U77" s="415"/>
      <c r="V77" s="415"/>
      <c r="W77" s="415"/>
      <c r="X77" s="415"/>
      <c r="Y77" s="415"/>
      <c r="Z77" s="415"/>
      <c r="AA77" s="415"/>
      <c r="AB77" s="415"/>
      <c r="AC77" s="415"/>
    </row>
    <row r="78" spans="1:29">
      <c r="A78" s="389"/>
      <c r="B78" s="392"/>
      <c r="C78" s="422"/>
      <c r="D78" s="422"/>
      <c r="E78" s="422"/>
      <c r="F78" s="422"/>
      <c r="G78" s="422"/>
      <c r="H78" s="422"/>
      <c r="I78" s="422"/>
      <c r="J78" s="422"/>
      <c r="K78" s="422"/>
      <c r="L78" s="422"/>
      <c r="M78" s="422"/>
      <c r="N78" s="422"/>
      <c r="O78" s="422"/>
      <c r="P78" s="415"/>
      <c r="Q78" s="415"/>
      <c r="R78" s="415"/>
      <c r="S78" s="415"/>
      <c r="T78" s="415"/>
      <c r="U78" s="415"/>
      <c r="V78" s="415"/>
      <c r="W78" s="415"/>
      <c r="X78" s="415"/>
      <c r="Y78" s="415"/>
      <c r="Z78" s="415"/>
      <c r="AA78" s="415"/>
      <c r="AB78" s="415"/>
      <c r="AC78" s="415"/>
    </row>
    <row r="79" spans="1:29">
      <c r="A79" s="389"/>
      <c r="B79" s="374"/>
      <c r="C79" s="442">
        <f t="shared" ref="C79:N79" si="21">SUM(C74:C78)</f>
        <v>145728</v>
      </c>
      <c r="D79" s="442">
        <f t="shared" si="21"/>
        <v>124889.798</v>
      </c>
      <c r="E79" s="442">
        <f t="shared" si="21"/>
        <v>125366.652</v>
      </c>
      <c r="F79" s="442">
        <f t="shared" si="21"/>
        <v>137810.09100000001</v>
      </c>
      <c r="G79" s="442">
        <f t="shared" si="21"/>
        <v>268662.92799999996</v>
      </c>
      <c r="H79" s="442">
        <f t="shared" si="21"/>
        <v>377381.174</v>
      </c>
      <c r="I79" s="442">
        <f t="shared" si="21"/>
        <v>348098.14400000003</v>
      </c>
      <c r="J79" s="442">
        <f t="shared" si="21"/>
        <v>300634.19900000002</v>
      </c>
      <c r="K79" s="442">
        <f t="shared" si="21"/>
        <v>277974.88799999998</v>
      </c>
      <c r="L79" s="442">
        <f t="shared" si="21"/>
        <v>243960.85700000002</v>
      </c>
      <c r="M79" s="442">
        <f t="shared" si="21"/>
        <v>192768.14299999998</v>
      </c>
      <c r="N79" s="442">
        <f t="shared" si="21"/>
        <v>149591.60800000001</v>
      </c>
      <c r="O79" s="442">
        <f>IF(ROUND(SUM(O74:O78),3)&lt;&gt;ROUND(SUM(C79:N79),3),#VALUE!,SUM(C79:N79))</f>
        <v>2692866.4819999998</v>
      </c>
      <c r="P79" s="415"/>
      <c r="Q79" s="427">
        <f>SUM(Q74:Q78)</f>
        <v>480000</v>
      </c>
      <c r="R79" s="427">
        <f t="shared" ref="R79:T79" si="22">SUM(R74:R78)</f>
        <v>640871.58799999999</v>
      </c>
      <c r="S79" s="427">
        <f t="shared" si="22"/>
        <v>684750.42000000016</v>
      </c>
      <c r="T79" s="427">
        <f t="shared" si="22"/>
        <v>887244.47400021553</v>
      </c>
      <c r="U79" s="415"/>
      <c r="V79" s="415"/>
      <c r="W79" s="415"/>
      <c r="X79" s="415"/>
      <c r="Y79" s="415"/>
      <c r="Z79" s="415"/>
      <c r="AA79" s="415"/>
      <c r="AB79" s="415"/>
      <c r="AC79" s="415"/>
    </row>
    <row r="80" spans="1:29">
      <c r="A80" s="389"/>
      <c r="B80" s="374"/>
      <c r="C80" s="445"/>
      <c r="D80" s="445"/>
      <c r="E80" s="445"/>
      <c r="F80" s="445"/>
      <c r="G80" s="445"/>
      <c r="H80" s="445"/>
      <c r="I80" s="445"/>
      <c r="J80" s="445"/>
      <c r="K80" s="445"/>
      <c r="L80" s="445"/>
      <c r="M80" s="445"/>
      <c r="N80" s="445"/>
      <c r="O80" s="445"/>
      <c r="P80" s="415"/>
      <c r="Q80" s="430"/>
      <c r="R80" s="430"/>
      <c r="S80" s="430"/>
      <c r="T80" s="430"/>
      <c r="U80" s="415"/>
      <c r="V80" s="415"/>
      <c r="W80" s="415"/>
      <c r="X80" s="415"/>
      <c r="Y80" s="415"/>
      <c r="Z80" s="415"/>
      <c r="AA80" s="415"/>
      <c r="AB80" s="415"/>
      <c r="AC80" s="415"/>
    </row>
    <row r="81" spans="1:29">
      <c r="A81" s="389"/>
      <c r="B81" s="374"/>
      <c r="C81" s="445"/>
      <c r="D81" s="445"/>
      <c r="E81" s="445"/>
      <c r="F81" s="445"/>
      <c r="G81" s="445"/>
      <c r="H81" s="445"/>
      <c r="I81" s="445"/>
      <c r="J81" s="445"/>
      <c r="K81" s="445"/>
      <c r="L81" s="445"/>
      <c r="M81" s="445"/>
      <c r="N81" s="445"/>
      <c r="O81" s="445"/>
      <c r="P81" s="415"/>
      <c r="Q81" s="332" t="s">
        <v>91</v>
      </c>
      <c r="R81" s="44">
        <f>Q82</f>
        <v>20000</v>
      </c>
      <c r="S81" s="44">
        <f>R82</f>
        <v>50000</v>
      </c>
      <c r="T81" s="44">
        <f>S82</f>
        <v>300000</v>
      </c>
      <c r="U81" s="44">
        <f>T82</f>
        <v>500000</v>
      </c>
      <c r="V81" s="415"/>
      <c r="W81" s="415"/>
      <c r="X81" s="415"/>
      <c r="Y81" s="415"/>
      <c r="Z81" s="415"/>
      <c r="AA81" s="415"/>
      <c r="AB81" s="415"/>
      <c r="AC81" s="415"/>
    </row>
    <row r="82" spans="1:29">
      <c r="A82" s="389"/>
      <c r="B82" s="374"/>
      <c r="C82" s="445"/>
      <c r="D82" s="445"/>
      <c r="E82" s="445"/>
      <c r="F82" s="445"/>
      <c r="G82" s="445"/>
      <c r="H82" s="445"/>
      <c r="I82" s="445"/>
      <c r="J82" s="445"/>
      <c r="K82" s="445"/>
      <c r="L82" s="445"/>
      <c r="M82" s="445"/>
      <c r="N82" s="445"/>
      <c r="O82" s="445"/>
      <c r="P82" s="415"/>
      <c r="Q82" s="46">
        <v>20000</v>
      </c>
      <c r="R82" s="46">
        <v>50000</v>
      </c>
      <c r="S82" s="46">
        <v>300000</v>
      </c>
      <c r="T82" s="46">
        <v>500000</v>
      </c>
      <c r="U82" s="47">
        <v>99999999</v>
      </c>
      <c r="V82" s="415"/>
      <c r="W82" s="415"/>
      <c r="X82" s="415"/>
      <c r="Y82" s="415"/>
      <c r="Z82" s="415"/>
      <c r="AA82" s="415"/>
      <c r="AB82" s="415"/>
      <c r="AC82" s="415"/>
    </row>
    <row r="83" spans="1:29">
      <c r="A83" s="389"/>
      <c r="B83" s="374"/>
      <c r="C83" s="445"/>
      <c r="D83" s="445"/>
      <c r="E83" s="445"/>
      <c r="F83" s="445"/>
      <c r="G83" s="445"/>
      <c r="H83" s="445"/>
      <c r="I83" s="445"/>
      <c r="J83" s="445"/>
      <c r="K83" s="445"/>
      <c r="L83" s="445"/>
      <c r="M83" s="445"/>
      <c r="N83" s="445"/>
      <c r="O83" s="445"/>
      <c r="P83" s="415"/>
      <c r="Q83" s="45" t="s">
        <v>90</v>
      </c>
      <c r="R83" s="45" t="s">
        <v>90</v>
      </c>
      <c r="S83" s="45" t="s">
        <v>90</v>
      </c>
      <c r="T83" s="45" t="s">
        <v>90</v>
      </c>
      <c r="U83" s="45" t="s">
        <v>90</v>
      </c>
      <c r="V83" s="415"/>
      <c r="W83" s="415"/>
      <c r="X83" s="415"/>
      <c r="Y83" s="415"/>
      <c r="Z83" s="415"/>
      <c r="AA83" s="415"/>
      <c r="AB83" s="415"/>
      <c r="AC83" s="415"/>
    </row>
    <row r="84" spans="1:29" s="389" customFormat="1">
      <c r="B84" s="394" t="s">
        <v>526</v>
      </c>
      <c r="C84" s="412">
        <v>-81449</v>
      </c>
      <c r="D84" s="412">
        <v>-66130</v>
      </c>
      <c r="E84" s="412">
        <v>-65135</v>
      </c>
      <c r="F84" s="412">
        <v>-67845</v>
      </c>
      <c r="G84" s="412">
        <f>-81688</f>
        <v>-81688</v>
      </c>
      <c r="H84" s="438">
        <v>0</v>
      </c>
      <c r="I84" s="412">
        <v>0</v>
      </c>
      <c r="J84" s="412">
        <v>0</v>
      </c>
      <c r="K84" s="412">
        <v>0</v>
      </c>
      <c r="L84" s="412">
        <v>0</v>
      </c>
      <c r="M84" s="412">
        <v>0</v>
      </c>
      <c r="N84" s="412">
        <v>0</v>
      </c>
      <c r="O84" s="412">
        <f>SUM(C84:N84)</f>
        <v>-362247</v>
      </c>
      <c r="P84" s="421"/>
      <c r="Q84" s="483" cm="1">
        <f t="array" ref="Q84">Q$82*12-SUMPRODUCT(--($C84:$N84&lt;=Q$82),Q$82-$C84:$N84)</f>
        <v>-362247</v>
      </c>
      <c r="R84" s="484" cm="1">
        <f t="array" ref="R84">R$82*12-SUM($Q84:Q84)-SUMPRODUCT(--($C84:$N84&lt;=R$82),R$82-$C84:$N84)</f>
        <v>0</v>
      </c>
      <c r="S84" s="484" cm="1">
        <f t="array" ref="S84">S$82*12-SUM($Q84:R84)-SUMPRODUCT(--($C84:$N84&lt;=S$82),S$82-$C84:$N84)</f>
        <v>0</v>
      </c>
      <c r="T84" s="484" cm="1">
        <f t="array" ref="T84">T$82*12-SUM($Q84:S84)-SUMPRODUCT(--($C84:$N84&lt;=T$82),T$82-$C84:$N84)</f>
        <v>0</v>
      </c>
      <c r="U84" s="485" cm="1">
        <f t="array" ref="U84">U$82*12-SUM($Q84:T84)-SUMPRODUCT(--($C84:$N84&lt;=U$82),U$82-$C84:$N84)</f>
        <v>0</v>
      </c>
      <c r="V84" s="422"/>
      <c r="W84" s="421">
        <f>IF(O84&lt;250000,(250000-O84)*RD!$E$56,0)</f>
        <v>67702.273260000002</v>
      </c>
      <c r="X84" s="421">
        <f>IF(O84&lt;250000,(250000-O84)*RD!$K$56,0)</f>
        <v>67702.273260000002</v>
      </c>
      <c r="Y84" s="447">
        <f>Q84*RD!$D$51+'Big Schedules'!R84*RD!$D$52+'Big Schedules'!S84*RD!$D$53+'Big Schedules'!T84*RD!$D$54+'Big Schedules'!U84*RD!$D$55+RD!$D$49*12+W84</f>
        <v>31074.971160000001</v>
      </c>
      <c r="Z84" s="447">
        <f>Q84*RD!$K$51+'Big Schedules'!R84*RD!$K$52+'Big Schedules'!S84*RD!$K$53+'Big Schedules'!T84*RD!$K$54+'Big Schedules'!U84*RD!$K$55+RD!$K$49*12+X84</f>
        <v>31074.971160000001</v>
      </c>
      <c r="AA84" s="448">
        <f>Z84/Y84-1</f>
        <v>0</v>
      </c>
      <c r="AB84" s="422"/>
      <c r="AC84" s="422"/>
    </row>
    <row r="85" spans="1:29" s="389" customFormat="1">
      <c r="B85" s="394" t="s">
        <v>526</v>
      </c>
      <c r="C85" s="412">
        <v>-20629</v>
      </c>
      <c r="D85" s="412">
        <v>-18096</v>
      </c>
      <c r="E85" s="412">
        <v>-18108</v>
      </c>
      <c r="F85" s="412">
        <v>-19181</v>
      </c>
      <c r="G85" s="412">
        <v>-23430</v>
      </c>
      <c r="H85" s="438">
        <v>0</v>
      </c>
      <c r="I85" s="412">
        <v>0</v>
      </c>
      <c r="J85" s="412">
        <v>0</v>
      </c>
      <c r="K85" s="412">
        <v>0</v>
      </c>
      <c r="L85" s="412">
        <v>0</v>
      </c>
      <c r="M85" s="412">
        <v>0</v>
      </c>
      <c r="N85" s="412">
        <v>0</v>
      </c>
      <c r="O85" s="412">
        <f>SUM(C85:N85)</f>
        <v>-99444</v>
      </c>
      <c r="P85" s="421"/>
      <c r="Q85" s="486" cm="1">
        <f t="array" ref="Q85">Q$82*12-SUMPRODUCT(--($C85:$N85&lt;=Q$82),Q$82-$C85:$N85)</f>
        <v>-99444</v>
      </c>
      <c r="R85" s="302" cm="1">
        <f t="array" ref="R85">R$82*12-SUM($Q85:Q85)-SUMPRODUCT(--($C85:$N85&lt;=R$82),R$82-$C85:$N85)</f>
        <v>0</v>
      </c>
      <c r="S85" s="302" cm="1">
        <f t="array" ref="S85">S$82*12-SUM($Q85:R85)-SUMPRODUCT(--($C85:$N85&lt;=S$82),S$82-$C85:$N85)</f>
        <v>0</v>
      </c>
      <c r="T85" s="302" cm="1">
        <f t="array" ref="T85">T$82*12-SUM($Q85:S85)-SUMPRODUCT(--($C85:$N85&lt;=T$82),T$82-$C85:$N85)</f>
        <v>0</v>
      </c>
      <c r="U85" s="487" cm="1">
        <f t="array" ref="U85">U$82*12-SUM($Q85:T85)-SUMPRODUCT(--($C85:$N85&lt;=U$82),U$82-$C85:$N85)</f>
        <v>0</v>
      </c>
      <c r="V85" s="422"/>
      <c r="W85" s="421">
        <f>IF(O85&lt;250000,(250000-O85)*RD!$E$56,0)</f>
        <v>38641.517520000001</v>
      </c>
      <c r="X85" s="421">
        <f>IF(O85&lt;250000,(250000-O85)*RD!$K$56,0)</f>
        <v>38641.517520000001</v>
      </c>
      <c r="Y85" s="447">
        <f>Q85*RD!$D$51+'Big Schedules'!R85*RD!$D$52+'Big Schedules'!S85*RD!$D$53+'Big Schedules'!T85*RD!$D$54+'Big Schedules'!U85*RD!$D$55+RD!$D$49*12+W85</f>
        <v>34680.628320000003</v>
      </c>
      <c r="Z85" s="447">
        <f>Q85*RD!$K$51+'Big Schedules'!R85*RD!$K$52+'Big Schedules'!S85*RD!$K$53+'Big Schedules'!T85*RD!$K$54+'Big Schedules'!U85*RD!$K$55+RD!$K$49*12+X85</f>
        <v>34680.628320000003</v>
      </c>
      <c r="AA85" s="448">
        <f t="shared" ref="AA85" si="23">Z85/Y85-1</f>
        <v>0</v>
      </c>
      <c r="AB85" s="422"/>
      <c r="AC85" s="422"/>
    </row>
    <row r="86" spans="1:29" s="389" customFormat="1">
      <c r="B86" s="374" t="s">
        <v>99</v>
      </c>
      <c r="C86" s="413">
        <f>'12MEJUN23'!D169</f>
        <v>43650.04</v>
      </c>
      <c r="D86" s="413">
        <f>'12MEJUN23'!E169</f>
        <v>40663.729999999996</v>
      </c>
      <c r="E86" s="413">
        <f>'12MEJUN23'!F169</f>
        <v>42123.652000000002</v>
      </c>
      <c r="F86" s="413">
        <f>'12MEJUN23'!G169</f>
        <v>50784.091000000008</v>
      </c>
      <c r="G86" s="413">
        <f>'12MEJUN23'!H169+64051</f>
        <v>227595.92799999999</v>
      </c>
      <c r="H86" s="413">
        <f>'12MEJUN23'!I169-64051</f>
        <v>188996.31400000001</v>
      </c>
      <c r="I86" s="413">
        <f>'12MEJUN23'!J169</f>
        <v>472432.00400000002</v>
      </c>
      <c r="J86" s="413">
        <f>'12MEJUN23'!K169</f>
        <v>229126.19900000002</v>
      </c>
      <c r="K86" s="413">
        <f>'12MEJUN23'!L169</f>
        <v>349483.20600000001</v>
      </c>
      <c r="L86" s="413">
        <f>'12MEJUN23'!M169</f>
        <v>243960.85700000002</v>
      </c>
      <c r="M86" s="413">
        <f>'12MEJUN23'!N169</f>
        <v>192768.14299999998</v>
      </c>
      <c r="N86" s="413">
        <f>'12MEJUN23'!O169</f>
        <v>149591.60800000001</v>
      </c>
      <c r="O86" s="445">
        <f>SUM(C86:N86)</f>
        <v>2231175.7719999999</v>
      </c>
      <c r="P86" s="422"/>
      <c r="Q86" s="486">
        <f>SUM(Q84:Q85)</f>
        <v>-461691</v>
      </c>
      <c r="R86" s="302">
        <f t="shared" ref="R86:U86" si="24">SUM(R84:R85)</f>
        <v>0</v>
      </c>
      <c r="S86" s="302">
        <f t="shared" si="24"/>
        <v>0</v>
      </c>
      <c r="T86" s="302">
        <f t="shared" si="24"/>
        <v>0</v>
      </c>
      <c r="U86" s="487">
        <f t="shared" si="24"/>
        <v>0</v>
      </c>
      <c r="V86" s="422"/>
      <c r="W86" s="422"/>
      <c r="X86" s="422"/>
      <c r="Y86" s="422"/>
      <c r="Z86" s="422"/>
      <c r="AA86" s="422"/>
      <c r="AB86" s="422"/>
      <c r="AC86" s="422"/>
    </row>
    <row r="87" spans="1:29">
      <c r="A87" s="389"/>
      <c r="B87" s="393" t="s">
        <v>318</v>
      </c>
      <c r="C87" s="465">
        <v>0</v>
      </c>
      <c r="D87" s="465">
        <v>0</v>
      </c>
      <c r="E87" s="465">
        <v>0</v>
      </c>
      <c r="F87" s="465">
        <v>0</v>
      </c>
      <c r="G87" s="465">
        <v>0</v>
      </c>
      <c r="H87" s="466"/>
      <c r="I87" s="466"/>
      <c r="J87" s="466"/>
      <c r="K87" s="466"/>
      <c r="L87" s="466"/>
      <c r="M87" s="466"/>
      <c r="N87" s="466"/>
      <c r="O87" s="466">
        <f>SUM(C87:N87)</f>
        <v>0</v>
      </c>
      <c r="P87" s="415"/>
      <c r="Q87" s="430"/>
      <c r="R87" s="430"/>
      <c r="S87" s="430"/>
      <c r="T87" s="430"/>
      <c r="U87" s="415"/>
      <c r="V87" s="415"/>
      <c r="W87" s="415"/>
      <c r="X87" s="415"/>
      <c r="Y87" s="415"/>
      <c r="Z87" s="415"/>
      <c r="AA87" s="415"/>
      <c r="AB87" s="415"/>
      <c r="AC87" s="415"/>
    </row>
    <row r="88" spans="1:29">
      <c r="A88" s="389"/>
      <c r="B88" s="374" t="s">
        <v>319</v>
      </c>
      <c r="C88" s="421">
        <f>SUM(C79:C85)</f>
        <v>43650</v>
      </c>
      <c r="D88" s="421">
        <f>SUM(D79:D85)</f>
        <v>40663.797999999995</v>
      </c>
      <c r="E88" s="421">
        <f>SUM(E79:E85)</f>
        <v>42123.652000000002</v>
      </c>
      <c r="F88" s="421">
        <f>SUM(F79:F85)</f>
        <v>50784.091000000015</v>
      </c>
      <c r="G88" s="421">
        <f>SUM(G79:G85)</f>
        <v>163544.92799999996</v>
      </c>
      <c r="H88" s="421">
        <f t="shared" ref="H88:N88" si="25">SUM(H79:H85)</f>
        <v>377381.174</v>
      </c>
      <c r="I88" s="421">
        <f t="shared" si="25"/>
        <v>348098.14400000003</v>
      </c>
      <c r="J88" s="421">
        <f t="shared" si="25"/>
        <v>300634.19900000002</v>
      </c>
      <c r="K88" s="421">
        <f t="shared" si="25"/>
        <v>277974.88799999998</v>
      </c>
      <c r="L88" s="421">
        <f t="shared" si="25"/>
        <v>243960.85700000002</v>
      </c>
      <c r="M88" s="421">
        <f t="shared" si="25"/>
        <v>192768.14299999998</v>
      </c>
      <c r="N88" s="421">
        <f t="shared" si="25"/>
        <v>149591.60800000001</v>
      </c>
      <c r="O88" s="421">
        <f>SUM(O79:O85)</f>
        <v>2231175.4819999998</v>
      </c>
      <c r="P88" s="415"/>
      <c r="Q88" s="430"/>
      <c r="R88" s="430"/>
      <c r="S88" s="430"/>
      <c r="T88" s="414">
        <f>SUM(Q79:T79)</f>
        <v>2692866.4820002159</v>
      </c>
      <c r="U88" s="414"/>
      <c r="V88" s="415"/>
      <c r="W88" s="415"/>
      <c r="X88" s="415"/>
      <c r="Y88" s="415"/>
      <c r="Z88" s="415"/>
      <c r="AA88" s="415"/>
      <c r="AB88" s="415"/>
      <c r="AC88" s="415"/>
    </row>
    <row r="89" spans="1:29">
      <c r="A89" s="389"/>
      <c r="B89" s="334"/>
      <c r="C89" s="473">
        <f>C79+C84+C85-C86</f>
        <v>-4.0000000000873115E-2</v>
      </c>
      <c r="D89" s="473">
        <f>D79+D84+D85-D86</f>
        <v>6.7999999999301508E-2</v>
      </c>
      <c r="E89" s="473">
        <f>E79+E84+E85-E86</f>
        <v>0</v>
      </c>
      <c r="F89" s="473">
        <f>F79+F84+F85-F86</f>
        <v>0</v>
      </c>
      <c r="G89" s="473">
        <f>G79+G84+G85-G86</f>
        <v>-64051.000000000029</v>
      </c>
      <c r="H89" s="473">
        <f t="shared" ref="H89:O89" si="26">H79+H84+H85-H86</f>
        <v>188384.86</v>
      </c>
      <c r="I89" s="473">
        <f t="shared" si="26"/>
        <v>-124333.85999999999</v>
      </c>
      <c r="J89" s="473">
        <f t="shared" si="26"/>
        <v>71508</v>
      </c>
      <c r="K89" s="473">
        <f t="shared" si="26"/>
        <v>-71508.318000000028</v>
      </c>
      <c r="L89" s="473">
        <f t="shared" si="26"/>
        <v>0</v>
      </c>
      <c r="M89" s="473">
        <f t="shared" si="26"/>
        <v>0</v>
      </c>
      <c r="N89" s="473">
        <f t="shared" si="26"/>
        <v>0</v>
      </c>
      <c r="O89" s="473">
        <f t="shared" si="26"/>
        <v>-0.2900000000372529</v>
      </c>
      <c r="P89" s="415"/>
      <c r="Q89" s="430"/>
      <c r="R89" s="430"/>
      <c r="S89" s="430"/>
      <c r="T89" s="414"/>
      <c r="U89" s="414"/>
      <c r="V89" s="415"/>
      <c r="W89" s="415"/>
      <c r="X89" s="415"/>
      <c r="Y89" s="415"/>
      <c r="Z89" s="415"/>
      <c r="AA89" s="415"/>
      <c r="AB89" s="415"/>
      <c r="AC89" s="415"/>
    </row>
    <row r="90" spans="1:29">
      <c r="A90" s="389"/>
      <c r="B90" s="334"/>
      <c r="C90" s="473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415"/>
      <c r="Q90" s="430"/>
      <c r="R90" s="430"/>
      <c r="S90" s="430"/>
      <c r="T90" s="414"/>
      <c r="U90" s="414"/>
      <c r="V90" s="415"/>
      <c r="W90" s="415"/>
      <c r="X90" s="415"/>
      <c r="Y90" s="415"/>
      <c r="Z90" s="415"/>
      <c r="AA90" s="415"/>
      <c r="AB90" s="415"/>
      <c r="AC90" s="415"/>
    </row>
    <row r="91" spans="1:29">
      <c r="B91" s="29" t="s">
        <v>92</v>
      </c>
      <c r="C91" s="415"/>
      <c r="D91" s="415"/>
      <c r="E91" s="415"/>
      <c r="F91" s="415"/>
      <c r="G91" s="422"/>
      <c r="H91" s="422"/>
      <c r="I91" s="415"/>
      <c r="J91" s="415"/>
      <c r="K91" s="415"/>
      <c r="L91" s="415"/>
      <c r="M91" s="415"/>
      <c r="N91" s="415"/>
      <c r="O91" s="463" t="s">
        <v>273</v>
      </c>
      <c r="P91" s="415"/>
      <c r="Q91" s="415"/>
      <c r="R91" s="415"/>
      <c r="S91" s="415"/>
      <c r="T91" s="415"/>
      <c r="U91" s="415"/>
      <c r="V91" s="415"/>
      <c r="W91" s="415"/>
      <c r="X91" s="415"/>
      <c r="Y91" s="415"/>
      <c r="Z91" s="415"/>
      <c r="AA91" s="415"/>
      <c r="AB91" s="415"/>
      <c r="AC91" s="415"/>
    </row>
    <row r="92" spans="1:29">
      <c r="B92" s="29" t="s">
        <v>58</v>
      </c>
      <c r="C92" s="454">
        <f t="shared" ref="C92:N92" si="27">C4</f>
        <v>44772</v>
      </c>
      <c r="D92" s="454">
        <f t="shared" si="27"/>
        <v>44804</v>
      </c>
      <c r="E92" s="454">
        <f t="shared" si="27"/>
        <v>44834</v>
      </c>
      <c r="F92" s="454">
        <f t="shared" si="27"/>
        <v>44865</v>
      </c>
      <c r="G92" s="454">
        <f t="shared" si="27"/>
        <v>44895</v>
      </c>
      <c r="H92" s="454">
        <f t="shared" si="27"/>
        <v>44926</v>
      </c>
      <c r="I92" s="454">
        <f t="shared" si="27"/>
        <v>44957</v>
      </c>
      <c r="J92" s="454">
        <f t="shared" si="27"/>
        <v>44985</v>
      </c>
      <c r="K92" s="454">
        <f t="shared" si="27"/>
        <v>45016</v>
      </c>
      <c r="L92" s="467">
        <f t="shared" si="27"/>
        <v>45046</v>
      </c>
      <c r="M92" s="454">
        <f t="shared" si="27"/>
        <v>45077</v>
      </c>
      <c r="N92" s="454">
        <f t="shared" si="27"/>
        <v>45107</v>
      </c>
      <c r="O92" s="464" t="s">
        <v>59</v>
      </c>
      <c r="P92" s="455"/>
      <c r="Q92" s="415"/>
      <c r="R92" s="415"/>
      <c r="S92" s="415"/>
      <c r="T92" s="415"/>
      <c r="U92" s="415"/>
      <c r="V92" s="415"/>
      <c r="W92" s="415"/>
      <c r="X92" s="415"/>
      <c r="Y92" s="415"/>
      <c r="Z92" s="415"/>
      <c r="AA92" s="415"/>
      <c r="AB92" s="415"/>
      <c r="AC92" s="415"/>
    </row>
    <row r="93" spans="1:29">
      <c r="A93" s="389"/>
      <c r="B93" s="374" t="s">
        <v>528</v>
      </c>
      <c r="C93" s="391">
        <v>1821424</v>
      </c>
      <c r="D93" s="391">
        <v>1758563</v>
      </c>
      <c r="E93" s="391">
        <v>1699924</v>
      </c>
      <c r="F93" s="391">
        <v>1829958</v>
      </c>
      <c r="G93" s="391">
        <v>1958976</v>
      </c>
      <c r="H93" s="391">
        <v>2198086</v>
      </c>
      <c r="I93" s="391">
        <v>2208313</v>
      </c>
      <c r="J93" s="391">
        <v>2174991</v>
      </c>
      <c r="K93" s="391">
        <v>1878006</v>
      </c>
      <c r="L93" s="391">
        <v>2086383</v>
      </c>
      <c r="M93" s="391">
        <v>1871322</v>
      </c>
      <c r="N93" s="391">
        <v>1894050</v>
      </c>
      <c r="O93" s="425">
        <f>SUM(C93:N93)</f>
        <v>23379996</v>
      </c>
      <c r="P93" s="414"/>
      <c r="Q93" s="415"/>
      <c r="R93" s="415"/>
      <c r="S93" s="415"/>
      <c r="T93" s="415"/>
      <c r="U93" s="415"/>
      <c r="V93" s="415"/>
      <c r="W93" s="415"/>
      <c r="X93" s="415"/>
      <c r="Y93" s="415"/>
      <c r="Z93" s="415"/>
      <c r="AA93" s="415"/>
      <c r="AB93" s="415"/>
      <c r="AC93" s="415"/>
    </row>
    <row r="94" spans="1:29">
      <c r="A94" s="389"/>
      <c r="B94" s="374" t="s">
        <v>528</v>
      </c>
      <c r="C94" s="391">
        <v>475988</v>
      </c>
      <c r="D94" s="391">
        <v>440400</v>
      </c>
      <c r="E94" s="391">
        <v>530248</v>
      </c>
      <c r="F94" s="391">
        <v>394515</v>
      </c>
      <c r="G94" s="391">
        <v>485631</v>
      </c>
      <c r="H94" s="391">
        <v>360408</v>
      </c>
      <c r="I94" s="391">
        <v>409780</v>
      </c>
      <c r="J94" s="391">
        <v>512314</v>
      </c>
      <c r="K94" s="391">
        <v>467349</v>
      </c>
      <c r="L94" s="391">
        <v>112824</v>
      </c>
      <c r="M94" s="391">
        <v>549337</v>
      </c>
      <c r="N94" s="391">
        <v>425342</v>
      </c>
      <c r="O94" s="425">
        <f>SUM(C94:N94)</f>
        <v>5164136</v>
      </c>
      <c r="P94" s="415"/>
      <c r="Q94" s="415"/>
      <c r="R94" s="415"/>
      <c r="S94" s="415"/>
      <c r="T94" s="415"/>
      <c r="U94" s="415"/>
      <c r="V94" s="415"/>
      <c r="W94" s="415"/>
      <c r="X94" s="415"/>
      <c r="Y94" s="415"/>
      <c r="Z94" s="415"/>
      <c r="AA94" s="415"/>
      <c r="AB94" s="415"/>
      <c r="AC94" s="415"/>
    </row>
    <row r="95" spans="1:29">
      <c r="A95" s="389"/>
      <c r="B95" s="374" t="s">
        <v>528</v>
      </c>
      <c r="C95" s="391">
        <v>369910</v>
      </c>
      <c r="D95" s="391">
        <v>246603</v>
      </c>
      <c r="E95" s="391">
        <v>397973</v>
      </c>
      <c r="F95" s="391">
        <v>443657</v>
      </c>
      <c r="G95" s="391">
        <v>493605</v>
      </c>
      <c r="H95" s="391">
        <v>532301</v>
      </c>
      <c r="I95" s="391">
        <v>543371</v>
      </c>
      <c r="J95" s="391">
        <v>516707</v>
      </c>
      <c r="K95" s="391">
        <v>534469</v>
      </c>
      <c r="L95" s="391">
        <v>600693</v>
      </c>
      <c r="M95" s="391">
        <v>512668</v>
      </c>
      <c r="N95" s="391">
        <v>522160</v>
      </c>
      <c r="O95" s="425">
        <f>SUM(C95:N95)</f>
        <v>5714117</v>
      </c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5"/>
      <c r="AC95" s="415"/>
    </row>
    <row r="96" spans="1:29">
      <c r="A96" s="389"/>
      <c r="B96" s="374" t="s">
        <v>528</v>
      </c>
      <c r="C96" s="391">
        <v>594493</v>
      </c>
      <c r="D96" s="391">
        <v>441795</v>
      </c>
      <c r="E96" s="391">
        <v>427872</v>
      </c>
      <c r="F96" s="391">
        <v>505676</v>
      </c>
      <c r="G96" s="391">
        <v>744511</v>
      </c>
      <c r="H96" s="391">
        <v>1338692</v>
      </c>
      <c r="I96" s="391">
        <v>1507902</v>
      </c>
      <c r="J96" s="391">
        <v>50279</v>
      </c>
      <c r="K96" s="391">
        <v>1235102</v>
      </c>
      <c r="L96" s="391">
        <v>1234119</v>
      </c>
      <c r="M96" s="391">
        <v>982400</v>
      </c>
      <c r="N96" s="391">
        <v>564746</v>
      </c>
      <c r="O96" s="425">
        <f>SUM(C96:N96)</f>
        <v>9627587</v>
      </c>
      <c r="P96" s="415"/>
      <c r="Q96" s="415"/>
      <c r="R96" s="415"/>
      <c r="S96" s="415"/>
      <c r="T96" s="415"/>
      <c r="U96" s="415"/>
      <c r="V96" s="415"/>
      <c r="W96" s="415"/>
      <c r="X96" s="415"/>
      <c r="Y96" s="415"/>
      <c r="Z96" s="415"/>
      <c r="AA96" s="415"/>
      <c r="AB96" s="415"/>
      <c r="AC96" s="415"/>
    </row>
    <row r="97" spans="1:29">
      <c r="A97" s="389"/>
      <c r="B97" s="374" t="s">
        <v>528</v>
      </c>
      <c r="C97" s="422"/>
      <c r="D97" s="422"/>
      <c r="E97" s="422"/>
      <c r="F97" s="422"/>
      <c r="G97" s="422"/>
      <c r="H97" s="422"/>
      <c r="I97" s="422"/>
      <c r="J97" s="422"/>
      <c r="K97" s="422"/>
      <c r="L97" s="422"/>
      <c r="M97" s="422"/>
      <c r="N97" s="422"/>
      <c r="O97" s="415"/>
      <c r="P97" s="415"/>
      <c r="Q97" s="415"/>
      <c r="R97" s="415"/>
      <c r="S97" s="415"/>
      <c r="T97" s="415"/>
      <c r="U97" s="415"/>
      <c r="V97" s="415"/>
      <c r="W97" s="415"/>
      <c r="X97" s="415"/>
      <c r="Y97" s="415"/>
      <c r="Z97" s="415"/>
      <c r="AA97" s="415"/>
      <c r="AB97" s="415"/>
      <c r="AC97" s="415"/>
    </row>
    <row r="98" spans="1:29" ht="13.5" thickBot="1">
      <c r="B98" s="334" t="s">
        <v>103</v>
      </c>
      <c r="C98" s="427">
        <f t="shared" ref="C98:N98" si="28">SUM(C93:C97)</f>
        <v>3261815</v>
      </c>
      <c r="D98" s="427">
        <f t="shared" si="28"/>
        <v>2887361</v>
      </c>
      <c r="E98" s="427">
        <f t="shared" si="28"/>
        <v>3056017</v>
      </c>
      <c r="F98" s="427">
        <f t="shared" si="28"/>
        <v>3173806</v>
      </c>
      <c r="G98" s="427">
        <f t="shared" si="28"/>
        <v>3682723</v>
      </c>
      <c r="H98" s="427">
        <f t="shared" si="28"/>
        <v>4429487</v>
      </c>
      <c r="I98" s="427">
        <f t="shared" si="28"/>
        <v>4669366</v>
      </c>
      <c r="J98" s="427">
        <f t="shared" si="28"/>
        <v>3254291</v>
      </c>
      <c r="K98" s="427">
        <f t="shared" si="28"/>
        <v>4114926</v>
      </c>
      <c r="L98" s="442">
        <f t="shared" si="28"/>
        <v>4034019</v>
      </c>
      <c r="M98" s="427">
        <f t="shared" si="28"/>
        <v>3915727</v>
      </c>
      <c r="N98" s="427">
        <f t="shared" si="28"/>
        <v>3406298</v>
      </c>
      <c r="O98" s="428">
        <f>IF(ROUND(SUM(O93:O97),3)&lt;&gt;ROUND(SUM(C98:N98),3),#VALUE!,SUM(C98:N98))</f>
        <v>43885836</v>
      </c>
      <c r="P98" s="415"/>
      <c r="Q98" s="415"/>
      <c r="R98" s="415"/>
      <c r="S98" s="415"/>
      <c r="T98" s="415"/>
      <c r="U98" s="415"/>
      <c r="V98" s="415"/>
      <c r="W98" s="415"/>
      <c r="X98" s="415"/>
      <c r="Y98" s="415"/>
      <c r="Z98" s="415"/>
      <c r="AA98" s="415"/>
      <c r="AB98" s="415"/>
      <c r="AC98" s="415"/>
    </row>
    <row r="99" spans="1:29" ht="13.5" thickTop="1">
      <c r="C99" s="430"/>
      <c r="D99" s="430"/>
      <c r="E99" s="430"/>
      <c r="F99" s="430"/>
      <c r="G99" s="430"/>
      <c r="H99" s="430"/>
      <c r="I99" s="430"/>
      <c r="J99" s="430"/>
      <c r="K99" s="430"/>
      <c r="L99" s="445"/>
      <c r="M99" s="430"/>
      <c r="N99" s="430"/>
      <c r="O99" s="430"/>
      <c r="P99" s="415"/>
      <c r="Q99" s="415"/>
      <c r="R99" s="415"/>
      <c r="S99" s="415"/>
      <c r="T99" s="415"/>
      <c r="U99" s="415"/>
      <c r="V99" s="415"/>
      <c r="W99" s="415"/>
      <c r="X99" s="415"/>
      <c r="Y99" s="415"/>
      <c r="Z99" s="415"/>
      <c r="AA99" s="415"/>
      <c r="AB99" s="415"/>
      <c r="AC99" s="415"/>
    </row>
    <row r="100" spans="1:29" ht="13.5" thickBot="1">
      <c r="B100" s="288" t="s">
        <v>99</v>
      </c>
      <c r="C100" s="318">
        <f>'12MEJUN23'!D172</f>
        <v>3392181</v>
      </c>
      <c r="D100" s="318">
        <f>'12MEJUN23'!E172</f>
        <v>3020403</v>
      </c>
      <c r="E100" s="318">
        <f>'12MEJUN23'!F172</f>
        <v>3187739</v>
      </c>
      <c r="F100" s="318">
        <f>'12MEJUN23'!G172</f>
        <v>3302651</v>
      </c>
      <c r="G100" s="318">
        <f>'12MEJUN23'!H172</f>
        <v>3824455</v>
      </c>
      <c r="H100" s="318">
        <f>'12MEJUN23'!I172</f>
        <v>4579501</v>
      </c>
      <c r="I100" s="318">
        <f>'12MEJUN23'!J172</f>
        <v>4831826</v>
      </c>
      <c r="J100" s="318">
        <f>'12MEJUN23'!K172</f>
        <v>3372436</v>
      </c>
      <c r="K100" s="318">
        <f>'12MEJUN23'!L172</f>
        <v>4249199</v>
      </c>
      <c r="L100" s="396">
        <f>'12MEJUN23'!M172</f>
        <v>4177737</v>
      </c>
      <c r="M100" s="318">
        <f>'12MEJUN23'!N172</f>
        <v>4042439</v>
      </c>
      <c r="N100" s="318">
        <f>'12MEJUN23'!O172</f>
        <v>3532436</v>
      </c>
      <c r="O100" s="468">
        <f>SUM(C100:N100)</f>
        <v>45513003</v>
      </c>
      <c r="P100" s="431"/>
      <c r="Q100" s="430"/>
      <c r="R100" s="430"/>
      <c r="S100" s="430"/>
      <c r="T100" s="430"/>
      <c r="U100" s="430"/>
      <c r="V100" s="415"/>
      <c r="W100" s="415"/>
      <c r="X100" s="415"/>
      <c r="Y100" s="415"/>
      <c r="Z100" s="415"/>
      <c r="AA100" s="415"/>
      <c r="AB100" s="415"/>
      <c r="AC100" s="415"/>
    </row>
    <row r="101" spans="1:29" ht="13.5" thickTop="1">
      <c r="B101" s="288"/>
      <c r="C101" s="318"/>
      <c r="D101" s="318"/>
      <c r="E101" s="318"/>
      <c r="F101" s="318"/>
      <c r="G101" s="318"/>
      <c r="H101" s="318"/>
      <c r="I101" s="318"/>
      <c r="J101" s="318"/>
      <c r="K101" s="318"/>
      <c r="L101" s="396"/>
      <c r="M101" s="318"/>
      <c r="N101" s="318"/>
      <c r="O101" s="475"/>
      <c r="P101" s="431"/>
      <c r="Q101" s="430"/>
      <c r="R101" s="430"/>
      <c r="S101" s="430"/>
      <c r="T101" s="430"/>
      <c r="U101" s="430"/>
      <c r="V101" s="415"/>
      <c r="W101" s="415"/>
      <c r="X101" s="415"/>
      <c r="Y101" s="415"/>
      <c r="Z101" s="415"/>
      <c r="AA101" s="415"/>
      <c r="AB101" s="415"/>
      <c r="AC101" s="415"/>
    </row>
    <row r="102" spans="1:29" s="389" customFormat="1">
      <c r="B102" s="374" t="s">
        <v>515</v>
      </c>
      <c r="C102" s="391">
        <v>130366</v>
      </c>
      <c r="D102" s="391">
        <v>133042</v>
      </c>
      <c r="E102" s="391">
        <v>131722</v>
      </c>
      <c r="F102" s="391">
        <v>128845</v>
      </c>
      <c r="G102" s="391">
        <v>141732</v>
      </c>
      <c r="H102" s="391">
        <v>150014</v>
      </c>
      <c r="I102" s="391">
        <v>162460</v>
      </c>
      <c r="J102" s="391">
        <v>118145</v>
      </c>
      <c r="K102" s="391">
        <v>134273</v>
      </c>
      <c r="L102" s="391">
        <v>143718</v>
      </c>
      <c r="M102" s="391">
        <v>126712</v>
      </c>
      <c r="N102" s="391">
        <v>126138</v>
      </c>
      <c r="O102" s="421">
        <f>SUM(C102:N102)</f>
        <v>1627167</v>
      </c>
      <c r="P102" s="422"/>
      <c r="Q102" s="422"/>
      <c r="R102" s="422"/>
      <c r="S102" s="422"/>
      <c r="T102" s="422"/>
      <c r="U102" s="422"/>
      <c r="V102" s="422"/>
      <c r="W102" s="422"/>
      <c r="X102" s="422"/>
      <c r="Y102" s="422"/>
      <c r="Z102" s="422"/>
      <c r="AA102" s="422"/>
      <c r="AB102" s="422"/>
      <c r="AC102" s="422"/>
    </row>
    <row r="103" spans="1:29">
      <c r="B103" s="334"/>
      <c r="C103" s="474">
        <f>C98-C100+C102</f>
        <v>0</v>
      </c>
      <c r="D103" s="474">
        <f t="shared" ref="D103:N103" si="29">D98-D100+D102</f>
        <v>0</v>
      </c>
      <c r="E103" s="474">
        <f t="shared" si="29"/>
        <v>0</v>
      </c>
      <c r="F103" s="474">
        <f t="shared" si="29"/>
        <v>0</v>
      </c>
      <c r="G103" s="474">
        <f t="shared" si="29"/>
        <v>0</v>
      </c>
      <c r="H103" s="474">
        <f t="shared" si="29"/>
        <v>0</v>
      </c>
      <c r="I103" s="474">
        <f t="shared" si="29"/>
        <v>0</v>
      </c>
      <c r="J103" s="474">
        <f t="shared" si="29"/>
        <v>0</v>
      </c>
      <c r="K103" s="474">
        <f t="shared" si="29"/>
        <v>0</v>
      </c>
      <c r="L103" s="474">
        <f t="shared" si="29"/>
        <v>0</v>
      </c>
      <c r="M103" s="474">
        <f t="shared" si="29"/>
        <v>0</v>
      </c>
      <c r="N103" s="474">
        <f t="shared" si="29"/>
        <v>0</v>
      </c>
      <c r="O103" s="415"/>
      <c r="P103" s="415"/>
      <c r="Q103" s="415"/>
      <c r="R103" s="415"/>
      <c r="S103" s="415"/>
      <c r="T103" s="415"/>
      <c r="U103" s="415"/>
      <c r="V103" s="415"/>
      <c r="W103" s="415"/>
      <c r="X103" s="415"/>
      <c r="Y103" s="415"/>
      <c r="Z103" s="415"/>
      <c r="AA103" s="415"/>
      <c r="AB103" s="415"/>
      <c r="AC103" s="415"/>
    </row>
    <row r="104" spans="1:29">
      <c r="B104" s="334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15"/>
      <c r="P104" s="415"/>
      <c r="Q104" s="415"/>
      <c r="R104" s="415"/>
      <c r="S104" s="415"/>
      <c r="T104" s="415"/>
      <c r="U104" s="415"/>
      <c r="V104" s="415"/>
      <c r="W104" s="415"/>
      <c r="X104" s="415"/>
      <c r="Y104" s="415"/>
      <c r="Z104" s="415"/>
      <c r="AA104" s="415"/>
      <c r="AB104" s="415"/>
      <c r="AC104" s="415"/>
    </row>
    <row r="105" spans="1:29">
      <c r="B105" s="29" t="s">
        <v>104</v>
      </c>
      <c r="C105" s="415"/>
      <c r="D105" s="415"/>
      <c r="E105" s="415"/>
      <c r="F105" s="415"/>
      <c r="G105" s="415"/>
      <c r="H105" s="415"/>
      <c r="I105" s="415"/>
      <c r="J105" s="415"/>
      <c r="K105" s="415"/>
      <c r="L105" s="415"/>
      <c r="M105" s="415"/>
      <c r="N105" s="415"/>
      <c r="O105" s="463" t="s">
        <v>273</v>
      </c>
      <c r="P105" s="415"/>
      <c r="Q105" s="415"/>
      <c r="R105" s="415"/>
      <c r="S105" s="415"/>
      <c r="T105" s="415"/>
      <c r="U105" s="415"/>
      <c r="V105" s="415"/>
      <c r="W105" s="415"/>
      <c r="X105" s="415"/>
      <c r="Y105" s="415"/>
      <c r="Z105" s="415"/>
      <c r="AA105" s="415"/>
      <c r="AB105" s="415"/>
      <c r="AC105" s="415"/>
    </row>
    <row r="106" spans="1:29">
      <c r="B106" s="29" t="s">
        <v>58</v>
      </c>
      <c r="C106" s="454">
        <f t="shared" ref="C106:N106" si="30">C4</f>
        <v>44772</v>
      </c>
      <c r="D106" s="454">
        <f t="shared" si="30"/>
        <v>44804</v>
      </c>
      <c r="E106" s="454">
        <f t="shared" si="30"/>
        <v>44834</v>
      </c>
      <c r="F106" s="454">
        <f t="shared" si="30"/>
        <v>44865</v>
      </c>
      <c r="G106" s="454">
        <f t="shared" si="30"/>
        <v>44895</v>
      </c>
      <c r="H106" s="454">
        <f t="shared" si="30"/>
        <v>44926</v>
      </c>
      <c r="I106" s="454">
        <f t="shared" si="30"/>
        <v>44957</v>
      </c>
      <c r="J106" s="454">
        <f t="shared" si="30"/>
        <v>44985</v>
      </c>
      <c r="K106" s="454">
        <f t="shared" si="30"/>
        <v>45016</v>
      </c>
      <c r="L106" s="454">
        <f t="shared" si="30"/>
        <v>45046</v>
      </c>
      <c r="M106" s="454">
        <f t="shared" si="30"/>
        <v>45077</v>
      </c>
      <c r="N106" s="454">
        <f t="shared" si="30"/>
        <v>45107</v>
      </c>
      <c r="O106" s="464" t="s">
        <v>59</v>
      </c>
      <c r="P106" s="455"/>
      <c r="Q106" s="415"/>
      <c r="R106" s="415"/>
      <c r="S106" s="415"/>
      <c r="T106" s="415"/>
      <c r="U106" s="415"/>
      <c r="V106" s="415"/>
      <c r="W106" s="415"/>
      <c r="X106" s="415"/>
      <c r="Y106" s="415"/>
      <c r="Z106" s="415"/>
      <c r="AA106" s="415"/>
      <c r="AB106" s="415"/>
      <c r="AC106" s="415"/>
    </row>
    <row r="107" spans="1:29">
      <c r="B107" s="331" t="s">
        <v>528</v>
      </c>
      <c r="C107" s="359">
        <v>104362</v>
      </c>
      <c r="D107" s="359">
        <v>467876</v>
      </c>
      <c r="E107" s="359">
        <v>836921</v>
      </c>
      <c r="F107" s="359">
        <v>1151977</v>
      </c>
      <c r="G107" s="359">
        <v>1409111</v>
      </c>
      <c r="H107" s="359">
        <v>1173796</v>
      </c>
      <c r="I107" s="359">
        <v>1094580</v>
      </c>
      <c r="J107" s="359">
        <v>270952</v>
      </c>
      <c r="K107" s="359">
        <v>320673</v>
      </c>
      <c r="L107" s="359">
        <v>728327</v>
      </c>
      <c r="M107" s="359">
        <v>1101544</v>
      </c>
      <c r="N107" s="359">
        <v>157163</v>
      </c>
      <c r="O107" s="425">
        <f>SUM(C107:N107)</f>
        <v>8817282</v>
      </c>
      <c r="P107" s="414"/>
      <c r="Q107" s="415"/>
      <c r="R107" s="415"/>
      <c r="S107" s="415"/>
      <c r="T107" s="415"/>
      <c r="U107" s="415"/>
      <c r="V107" s="415"/>
      <c r="W107" s="415"/>
      <c r="X107" s="415"/>
      <c r="Y107" s="415"/>
      <c r="Z107" s="415"/>
      <c r="AA107" s="415"/>
      <c r="AB107" s="415"/>
      <c r="AC107" s="415"/>
    </row>
    <row r="108" spans="1:29">
      <c r="B108" s="331" t="s">
        <v>528</v>
      </c>
      <c r="C108" s="359">
        <v>11229</v>
      </c>
      <c r="D108" s="359">
        <v>28696</v>
      </c>
      <c r="E108" s="359">
        <v>93219</v>
      </c>
      <c r="F108" s="359">
        <v>167746</v>
      </c>
      <c r="G108" s="359">
        <v>103970</v>
      </c>
      <c r="H108" s="359">
        <v>11221</v>
      </c>
      <c r="I108" s="359">
        <v>55562</v>
      </c>
      <c r="J108" s="359">
        <v>65531</v>
      </c>
      <c r="K108" s="359">
        <v>48461</v>
      </c>
      <c r="L108" s="359">
        <v>138928</v>
      </c>
      <c r="M108" s="359">
        <v>437697</v>
      </c>
      <c r="N108" s="359">
        <v>67634</v>
      </c>
      <c r="O108" s="425">
        <f>SUM(C108:N108)</f>
        <v>1229894</v>
      </c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</row>
    <row r="109" spans="1:29">
      <c r="C109" s="415"/>
      <c r="D109" s="415"/>
      <c r="E109" s="415"/>
      <c r="F109" s="415"/>
      <c r="G109" s="415"/>
      <c r="H109" s="415"/>
      <c r="I109" s="415"/>
      <c r="J109" s="415"/>
      <c r="K109" s="415"/>
      <c r="L109" s="415"/>
      <c r="M109" s="415"/>
      <c r="N109" s="415"/>
      <c r="O109" s="415"/>
      <c r="P109" s="415"/>
      <c r="Q109" s="415"/>
      <c r="R109" s="415"/>
      <c r="S109" s="415"/>
      <c r="T109" s="415"/>
      <c r="U109" s="415"/>
      <c r="V109" s="415"/>
      <c r="W109" s="415"/>
      <c r="X109" s="415"/>
      <c r="Y109" s="415"/>
      <c r="Z109" s="415"/>
      <c r="AA109" s="415"/>
      <c r="AB109" s="415"/>
      <c r="AC109" s="415"/>
    </row>
    <row r="110" spans="1:29" ht="13.5" thickBot="1">
      <c r="B110" s="334" t="s">
        <v>105</v>
      </c>
      <c r="C110" s="427">
        <f>SUM(C107:C109)</f>
        <v>115591</v>
      </c>
      <c r="D110" s="427">
        <f t="shared" ref="D110:N110" si="31">SUM(D107:D109)</f>
        <v>496572</v>
      </c>
      <c r="E110" s="427">
        <f>SUM(E107:E109)</f>
        <v>930140</v>
      </c>
      <c r="F110" s="427">
        <f t="shared" si="31"/>
        <v>1319723</v>
      </c>
      <c r="G110" s="427">
        <f t="shared" si="31"/>
        <v>1513081</v>
      </c>
      <c r="H110" s="427">
        <f t="shared" si="31"/>
        <v>1185017</v>
      </c>
      <c r="I110" s="427">
        <f t="shared" si="31"/>
        <v>1150142</v>
      </c>
      <c r="J110" s="427">
        <f t="shared" si="31"/>
        <v>336483</v>
      </c>
      <c r="K110" s="427">
        <f t="shared" si="31"/>
        <v>369134</v>
      </c>
      <c r="L110" s="427">
        <f t="shared" si="31"/>
        <v>867255</v>
      </c>
      <c r="M110" s="427">
        <f t="shared" si="31"/>
        <v>1539241</v>
      </c>
      <c r="N110" s="427">
        <f t="shared" si="31"/>
        <v>224797</v>
      </c>
      <c r="O110" s="428">
        <f>IF(ROUND(SUM(O107:O109),3)&lt;&gt;ROUND(SUM(C110:N110),3),#VALUE!,SUM(C110:N110))</f>
        <v>10047176</v>
      </c>
      <c r="P110" s="415"/>
      <c r="Q110" s="415"/>
      <c r="R110" s="415"/>
      <c r="S110" s="415"/>
      <c r="T110" s="415"/>
      <c r="U110" s="415"/>
      <c r="V110" s="415"/>
      <c r="W110" s="415"/>
      <c r="X110" s="415"/>
      <c r="Y110" s="415"/>
      <c r="Z110" s="415"/>
      <c r="AA110" s="415"/>
      <c r="AB110" s="415"/>
      <c r="AC110" s="415"/>
    </row>
    <row r="111" spans="1:29" ht="13.5" thickTop="1">
      <c r="C111" s="430"/>
      <c r="D111" s="430"/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415"/>
      <c r="Q111" s="415"/>
      <c r="R111" s="415"/>
      <c r="S111" s="415"/>
      <c r="T111" s="415"/>
      <c r="U111" s="415"/>
      <c r="V111" s="415"/>
      <c r="W111" s="415"/>
      <c r="X111" s="415"/>
      <c r="Y111" s="415"/>
      <c r="Z111" s="415"/>
      <c r="AA111" s="415"/>
      <c r="AB111" s="415"/>
      <c r="AC111" s="415"/>
    </row>
    <row r="112" spans="1:29" ht="13.5" thickBot="1">
      <c r="B112" s="288" t="s">
        <v>99</v>
      </c>
      <c r="C112" s="317">
        <f>'12MEJUN23'!D171</f>
        <v>115591</v>
      </c>
      <c r="D112" s="317">
        <f>'12MEJUN23'!E171</f>
        <v>496572</v>
      </c>
      <c r="E112" s="317">
        <f>'12MEJUN23'!F171</f>
        <v>930140</v>
      </c>
      <c r="F112" s="317">
        <f>'12MEJUN23'!G171</f>
        <v>1319723</v>
      </c>
      <c r="G112" s="317">
        <f>'12MEJUN23'!H171</f>
        <v>1513081</v>
      </c>
      <c r="H112" s="317">
        <f>'12MEJUN23'!I171</f>
        <v>1185017</v>
      </c>
      <c r="I112" s="317">
        <f>'12MEJUN23'!J171</f>
        <v>1150142</v>
      </c>
      <c r="J112" s="317">
        <f>'12MEJUN23'!K171</f>
        <v>336483</v>
      </c>
      <c r="K112" s="317">
        <f>'12MEJUN23'!L171</f>
        <v>369134</v>
      </c>
      <c r="L112" s="317">
        <f>'12MEJUN23'!M171</f>
        <v>867255</v>
      </c>
      <c r="M112" s="317">
        <f>'12MEJUN23'!N171</f>
        <v>1539241</v>
      </c>
      <c r="N112" s="317">
        <f>'12MEJUN23'!O171</f>
        <v>224797</v>
      </c>
      <c r="O112" s="468">
        <f>SUM(C112:N112)</f>
        <v>10047176</v>
      </c>
      <c r="P112" s="431"/>
      <c r="Q112" s="430"/>
      <c r="R112" s="430"/>
      <c r="S112" s="430"/>
      <c r="T112" s="430"/>
      <c r="U112" s="430"/>
      <c r="V112" s="415"/>
      <c r="W112" s="415"/>
      <c r="X112" s="415"/>
      <c r="Y112" s="415"/>
      <c r="Z112" s="415"/>
      <c r="AA112" s="415"/>
      <c r="AB112" s="415"/>
      <c r="AC112" s="415"/>
    </row>
    <row r="113" spans="2:29" ht="13.5" thickTop="1">
      <c r="C113" s="453">
        <f>C110-C112</f>
        <v>0</v>
      </c>
      <c r="D113" s="453">
        <f t="shared" ref="D113:O113" si="32">D110-D112</f>
        <v>0</v>
      </c>
      <c r="E113" s="453">
        <f t="shared" si="32"/>
        <v>0</v>
      </c>
      <c r="F113" s="453">
        <f t="shared" si="32"/>
        <v>0</v>
      </c>
      <c r="G113" s="453">
        <f t="shared" si="32"/>
        <v>0</v>
      </c>
      <c r="H113" s="453">
        <f t="shared" si="32"/>
        <v>0</v>
      </c>
      <c r="I113" s="453">
        <f t="shared" si="32"/>
        <v>0</v>
      </c>
      <c r="J113" s="453">
        <f t="shared" si="32"/>
        <v>0</v>
      </c>
      <c r="K113" s="453">
        <f t="shared" si="32"/>
        <v>0</v>
      </c>
      <c r="L113" s="453">
        <f t="shared" si="32"/>
        <v>0</v>
      </c>
      <c r="M113" s="453">
        <f t="shared" si="32"/>
        <v>0</v>
      </c>
      <c r="N113" s="453">
        <f t="shared" si="32"/>
        <v>0</v>
      </c>
      <c r="O113" s="453">
        <f t="shared" si="32"/>
        <v>0</v>
      </c>
      <c r="P113" s="415"/>
      <c r="Q113" s="415"/>
      <c r="R113" s="415"/>
      <c r="S113" s="415"/>
      <c r="T113" s="415"/>
      <c r="U113" s="415"/>
      <c r="V113" s="415"/>
      <c r="W113" s="415"/>
      <c r="X113" s="415"/>
      <c r="Y113" s="415"/>
      <c r="Z113" s="415"/>
      <c r="AA113" s="415"/>
      <c r="AB113" s="415"/>
      <c r="AC113" s="415"/>
    </row>
    <row r="114" spans="2:29">
      <c r="C114" s="415"/>
      <c r="D114" s="415"/>
      <c r="E114" s="415"/>
      <c r="F114" s="415"/>
      <c r="G114" s="415"/>
      <c r="H114" s="415"/>
      <c r="I114" s="415"/>
      <c r="J114" s="415"/>
      <c r="K114" s="415"/>
      <c r="L114" s="415"/>
      <c r="M114" s="415"/>
      <c r="N114" s="415"/>
      <c r="O114" s="415"/>
      <c r="P114" s="415"/>
      <c r="Q114" s="415"/>
      <c r="R114" s="415"/>
      <c r="S114" s="415"/>
      <c r="T114" s="415"/>
      <c r="U114" s="415"/>
      <c r="V114" s="415"/>
      <c r="W114" s="415"/>
      <c r="X114" s="415"/>
      <c r="Y114" s="415"/>
      <c r="Z114" s="415"/>
      <c r="AA114" s="415"/>
      <c r="AB114" s="415"/>
      <c r="AC114" s="415"/>
    </row>
    <row r="115" spans="2:29">
      <c r="B115" s="374" t="s">
        <v>264</v>
      </c>
      <c r="C115" s="476">
        <v>2417.0100000000002</v>
      </c>
      <c r="D115" s="476">
        <v>10383.33</v>
      </c>
      <c r="E115" s="476">
        <v>19449.23</v>
      </c>
      <c r="F115" s="476">
        <v>27595.41</v>
      </c>
      <c r="G115" s="476">
        <v>31638.52</v>
      </c>
      <c r="H115" s="476">
        <v>24778.7</v>
      </c>
      <c r="I115" s="476">
        <v>24049.47</v>
      </c>
      <c r="J115" s="476">
        <v>7035.86</v>
      </c>
      <c r="K115" s="476">
        <v>7718.59</v>
      </c>
      <c r="L115" s="476">
        <v>18134.3</v>
      </c>
      <c r="M115" s="476">
        <v>32185.54</v>
      </c>
      <c r="N115" s="476">
        <v>4700.51</v>
      </c>
      <c r="O115" s="469">
        <f>SUM(C115:N115)</f>
        <v>210086.46999999997</v>
      </c>
      <c r="P115" s="415"/>
      <c r="Q115" s="415"/>
      <c r="R115" s="415"/>
      <c r="S115" s="415"/>
      <c r="T115" s="415"/>
      <c r="U115" s="415"/>
      <c r="V115" s="415"/>
      <c r="W115" s="415"/>
      <c r="X115" s="415"/>
      <c r="Y115" s="415"/>
      <c r="Z115" s="415"/>
      <c r="AA115" s="415"/>
      <c r="AB115" s="415"/>
      <c r="AC115" s="415"/>
    </row>
    <row r="116" spans="2:29">
      <c r="B116" s="379" t="s">
        <v>96</v>
      </c>
      <c r="C116" s="470">
        <f>C110*0.02091</f>
        <v>2417.0078100000001</v>
      </c>
      <c r="D116" s="470">
        <f t="shared" ref="D116:L116" si="33">D110*0.02091</f>
        <v>10383.320520000001</v>
      </c>
      <c r="E116" s="470">
        <f t="shared" si="33"/>
        <v>19449.2274</v>
      </c>
      <c r="F116" s="470">
        <f t="shared" si="33"/>
        <v>27595.407930000001</v>
      </c>
      <c r="G116" s="470">
        <f t="shared" si="33"/>
        <v>31638.523710000001</v>
      </c>
      <c r="H116" s="470">
        <f t="shared" si="33"/>
        <v>24778.705470000001</v>
      </c>
      <c r="I116" s="470">
        <f t="shared" si="33"/>
        <v>24049.469220000003</v>
      </c>
      <c r="J116" s="470">
        <f t="shared" si="33"/>
        <v>7035.8595300000006</v>
      </c>
      <c r="K116" s="470">
        <f t="shared" si="33"/>
        <v>7718.5919400000002</v>
      </c>
      <c r="L116" s="470">
        <f t="shared" si="33"/>
        <v>18134.302050000002</v>
      </c>
      <c r="M116" s="470">
        <f>M110*0.02091</f>
        <v>32185.529310000002</v>
      </c>
      <c r="N116" s="470">
        <f>N110*0.02091</f>
        <v>4700.5052700000006</v>
      </c>
      <c r="O116" s="469">
        <f>SUM(C116:N116)</f>
        <v>210086.45016000001</v>
      </c>
      <c r="P116" s="415"/>
      <c r="Q116" s="415"/>
      <c r="R116" s="415"/>
      <c r="S116" s="415"/>
      <c r="T116" s="415"/>
      <c r="U116" s="415"/>
      <c r="V116" s="415"/>
      <c r="W116" s="415"/>
      <c r="X116" s="415"/>
      <c r="Y116" s="415"/>
      <c r="Z116" s="415"/>
      <c r="AA116" s="415"/>
      <c r="AB116" s="415"/>
      <c r="AC116" s="415"/>
    </row>
    <row r="117" spans="2:29"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5"/>
      <c r="V117" s="415"/>
      <c r="W117" s="415"/>
      <c r="X117" s="415"/>
      <c r="Y117" s="415"/>
      <c r="Z117" s="415"/>
      <c r="AA117" s="415"/>
      <c r="AB117" s="415"/>
      <c r="AC117" s="415"/>
    </row>
    <row r="118" spans="2:29">
      <c r="C118" s="415"/>
      <c r="D118" s="415"/>
      <c r="E118" s="415"/>
      <c r="F118" s="415"/>
      <c r="G118" s="415"/>
      <c r="H118" s="415"/>
      <c r="I118" s="415"/>
      <c r="J118" s="415"/>
      <c r="K118" s="415"/>
      <c r="L118" s="415"/>
      <c r="M118" s="415"/>
      <c r="N118" s="415"/>
      <c r="O118" s="415"/>
      <c r="P118" s="415"/>
      <c r="Q118" s="432"/>
      <c r="R118" s="433"/>
      <c r="S118" s="433"/>
      <c r="T118" s="433"/>
      <c r="U118" s="433"/>
      <c r="V118" s="415"/>
      <c r="W118" s="415"/>
      <c r="X118" s="415"/>
      <c r="Y118" s="415"/>
      <c r="Z118" s="415"/>
      <c r="AA118" s="415"/>
      <c r="AB118" s="415"/>
      <c r="AC118" s="415"/>
    </row>
  </sheetData>
  <phoneticPr fontId="18" type="noConversion"/>
  <conditionalFormatting sqref="T88:U90 U69">
    <cfRule type="expression" dxfId="1" priority="1" stopIfTrue="1">
      <formula>ABS($O$44-$U$45)&gt;0.1</formula>
    </cfRule>
  </conditionalFormatting>
  <conditionalFormatting sqref="U64 U45">
    <cfRule type="expression" dxfId="0" priority="2" stopIfTrue="1">
      <formula>ABS($O44-$U45)&gt;0.1</formula>
    </cfRule>
  </conditionalFormatting>
  <pageMargins left="0.25" right="0.32" top="0.5" bottom="0.5" header="0.5" footer="0.5"/>
  <pageSetup scale="55" fitToHeight="2" orientation="landscape" r:id="rId1"/>
  <headerFooter alignWithMargins="0"/>
  <rowBreaks count="1" manualBreakCount="1">
    <brk id="58" min="1" max="20" man="1"/>
  </rowBreaks>
  <ignoredErrors>
    <ignoredError sqref="C58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R216"/>
  <sheetViews>
    <sheetView zoomScale="89" workbookViewId="0">
      <selection activeCell="O31" sqref="O31"/>
    </sheetView>
  </sheetViews>
  <sheetFormatPr defaultRowHeight="12.75"/>
  <cols>
    <col min="1" max="1" width="13.28515625" customWidth="1"/>
    <col min="2" max="2" width="21.7109375" bestFit="1" customWidth="1"/>
    <col min="3" max="3" width="11.28515625" bestFit="1" customWidth="1"/>
    <col min="4" max="8" width="14.5703125" bestFit="1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4.5703125" bestFit="1" customWidth="1"/>
    <col min="16" max="16" width="15.5703125" bestFit="1" customWidth="1"/>
  </cols>
  <sheetData>
    <row r="3" spans="1:18">
      <c r="A3" s="331" t="s">
        <v>511</v>
      </c>
    </row>
    <row r="5" spans="1:18">
      <c r="A5" t="s">
        <v>320</v>
      </c>
    </row>
    <row r="7" spans="1:18">
      <c r="C7" s="273" t="s">
        <v>95</v>
      </c>
    </row>
    <row r="8" spans="1:18">
      <c r="A8" s="273"/>
      <c r="B8" s="273" t="s">
        <v>321</v>
      </c>
      <c r="C8" s="273">
        <v>202207</v>
      </c>
      <c r="D8" s="273">
        <v>202208</v>
      </c>
      <c r="E8" s="273">
        <v>202209</v>
      </c>
      <c r="F8" s="273">
        <v>202210</v>
      </c>
      <c r="G8" s="273">
        <v>202211</v>
      </c>
      <c r="H8" s="273">
        <v>202212</v>
      </c>
      <c r="I8" s="273">
        <v>202301</v>
      </c>
      <c r="J8" s="273">
        <v>202302</v>
      </c>
      <c r="K8" s="273">
        <v>202303</v>
      </c>
      <c r="L8" s="273">
        <v>202304</v>
      </c>
      <c r="M8" s="273">
        <v>202305</v>
      </c>
      <c r="N8" s="273">
        <v>202306</v>
      </c>
      <c r="O8" s="273" t="s">
        <v>322</v>
      </c>
      <c r="P8" s="273" t="s">
        <v>324</v>
      </c>
    </row>
    <row r="9" spans="1:18">
      <c r="A9" s="273" t="s">
        <v>270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</row>
    <row r="10" spans="1:18">
      <c r="A10" s="273">
        <v>101</v>
      </c>
      <c r="B10" s="273"/>
      <c r="C10" s="279">
        <v>171453</v>
      </c>
      <c r="D10" s="279">
        <v>172201</v>
      </c>
      <c r="E10" s="279">
        <v>172026</v>
      </c>
      <c r="F10" s="279">
        <v>172585</v>
      </c>
      <c r="G10" s="279">
        <v>172552</v>
      </c>
      <c r="H10" s="279">
        <v>172735</v>
      </c>
      <c r="I10" s="279">
        <v>173081</v>
      </c>
      <c r="J10" s="279">
        <v>172216</v>
      </c>
      <c r="K10" s="279">
        <v>173315</v>
      </c>
      <c r="L10" s="279">
        <v>173337</v>
      </c>
      <c r="M10" s="279">
        <v>172604</v>
      </c>
      <c r="N10" s="279">
        <v>172723</v>
      </c>
      <c r="O10" s="279">
        <f>AVERAGE(C10:N10)</f>
        <v>172569</v>
      </c>
      <c r="P10" s="304">
        <f>SUM(C10:N10)</f>
        <v>2070828</v>
      </c>
    </row>
    <row r="11" spans="1:18">
      <c r="A11" s="273">
        <v>102</v>
      </c>
      <c r="B11" s="273"/>
      <c r="C11" s="279">
        <v>491</v>
      </c>
      <c r="D11" s="279">
        <v>496</v>
      </c>
      <c r="E11" s="279">
        <v>499</v>
      </c>
      <c r="F11" s="279">
        <v>493</v>
      </c>
      <c r="G11" s="279">
        <v>512</v>
      </c>
      <c r="H11" s="279">
        <v>542</v>
      </c>
      <c r="I11" s="279">
        <v>552</v>
      </c>
      <c r="J11" s="279">
        <v>496</v>
      </c>
      <c r="K11" s="279">
        <v>627</v>
      </c>
      <c r="L11" s="279">
        <v>552</v>
      </c>
      <c r="M11" s="279">
        <v>621</v>
      </c>
      <c r="N11" s="279">
        <v>597</v>
      </c>
      <c r="O11" s="279">
        <f t="shared" ref="O11:O18" si="0">AVERAGE(C11:N11)</f>
        <v>539.83333333333337</v>
      </c>
      <c r="P11" s="304">
        <f t="shared" ref="P11:P22" si="1">SUM(C11:N11)</f>
        <v>6478</v>
      </c>
      <c r="R11" s="298"/>
    </row>
    <row r="12" spans="1:18">
      <c r="A12" s="273">
        <v>111</v>
      </c>
      <c r="B12" s="273"/>
      <c r="C12" s="279">
        <v>3314</v>
      </c>
      <c r="D12" s="279">
        <v>3360</v>
      </c>
      <c r="E12" s="279">
        <v>3353</v>
      </c>
      <c r="F12" s="279">
        <v>3354</v>
      </c>
      <c r="G12" s="279">
        <v>3383</v>
      </c>
      <c r="H12" s="279">
        <v>3488</v>
      </c>
      <c r="I12" s="279">
        <v>3595</v>
      </c>
      <c r="J12" s="279">
        <v>3470</v>
      </c>
      <c r="K12" s="279">
        <v>3565</v>
      </c>
      <c r="L12" s="279">
        <v>3672</v>
      </c>
      <c r="M12" s="279">
        <v>3435</v>
      </c>
      <c r="N12" s="279">
        <v>3551</v>
      </c>
      <c r="O12" s="279">
        <f t="shared" si="0"/>
        <v>3461.6666666666665</v>
      </c>
      <c r="P12" s="304">
        <f t="shared" si="1"/>
        <v>41540</v>
      </c>
    </row>
    <row r="13" spans="1:18">
      <c r="A13" s="273">
        <v>112</v>
      </c>
      <c r="B13" s="273"/>
      <c r="C13" s="279"/>
      <c r="D13" s="279">
        <v>1</v>
      </c>
      <c r="E13" s="279">
        <v>1</v>
      </c>
      <c r="F13" s="279">
        <v>2</v>
      </c>
      <c r="G13" s="279">
        <v>2</v>
      </c>
      <c r="H13" s="279">
        <v>2</v>
      </c>
      <c r="I13" s="279">
        <v>2</v>
      </c>
      <c r="J13" s="279">
        <v>2</v>
      </c>
      <c r="K13" s="279">
        <v>2</v>
      </c>
      <c r="L13" s="279">
        <v>3</v>
      </c>
      <c r="M13" s="279">
        <v>3</v>
      </c>
      <c r="N13" s="279">
        <v>3</v>
      </c>
      <c r="O13" s="279">
        <f t="shared" si="0"/>
        <v>2.0909090909090908</v>
      </c>
      <c r="P13" s="304">
        <f t="shared" si="1"/>
        <v>23</v>
      </c>
      <c r="R13" s="298"/>
    </row>
    <row r="14" spans="1:18">
      <c r="A14" s="273">
        <v>116</v>
      </c>
      <c r="B14" s="273"/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>
        <v>0</v>
      </c>
      <c r="M14" s="279">
        <v>0</v>
      </c>
      <c r="N14" s="279">
        <v>0</v>
      </c>
      <c r="O14" s="279">
        <f t="shared" si="0"/>
        <v>0</v>
      </c>
      <c r="P14" s="304">
        <f t="shared" si="1"/>
        <v>0</v>
      </c>
    </row>
    <row r="15" spans="1:18">
      <c r="A15" s="273">
        <v>132</v>
      </c>
      <c r="B15" s="273"/>
      <c r="C15" s="279">
        <v>2</v>
      </c>
      <c r="D15" s="279">
        <v>2</v>
      </c>
      <c r="E15" s="279">
        <v>2</v>
      </c>
      <c r="F15" s="279">
        <v>2</v>
      </c>
      <c r="G15" s="279">
        <v>3</v>
      </c>
      <c r="H15" s="279">
        <v>3</v>
      </c>
      <c r="I15" s="279">
        <v>5</v>
      </c>
      <c r="J15" s="279">
        <v>3</v>
      </c>
      <c r="K15" s="279">
        <v>5</v>
      </c>
      <c r="L15" s="279">
        <v>4</v>
      </c>
      <c r="M15" s="279">
        <v>4</v>
      </c>
      <c r="N15" s="279">
        <v>4</v>
      </c>
      <c r="O15" s="279">
        <f t="shared" si="0"/>
        <v>3.25</v>
      </c>
      <c r="P15" s="304">
        <f>SUM(C15:N15)</f>
        <v>39</v>
      </c>
      <c r="R15" s="298"/>
    </row>
    <row r="16" spans="1:18">
      <c r="A16" s="273">
        <v>146</v>
      </c>
      <c r="B16" s="273"/>
      <c r="C16" s="279">
        <v>38</v>
      </c>
      <c r="D16" s="279">
        <v>38</v>
      </c>
      <c r="E16" s="279">
        <v>38</v>
      </c>
      <c r="F16" s="279">
        <v>37</v>
      </c>
      <c r="G16" s="279">
        <v>35</v>
      </c>
      <c r="H16" s="279">
        <v>34</v>
      </c>
      <c r="I16" s="279">
        <v>35</v>
      </c>
      <c r="J16" s="279">
        <v>35</v>
      </c>
      <c r="K16" s="279">
        <v>35</v>
      </c>
      <c r="L16" s="279">
        <v>35</v>
      </c>
      <c r="M16" s="279">
        <v>35</v>
      </c>
      <c r="N16" s="279">
        <v>36</v>
      </c>
      <c r="O16" s="279">
        <f t="shared" si="0"/>
        <v>35.916666666666664</v>
      </c>
      <c r="P16" s="304">
        <f t="shared" si="1"/>
        <v>431</v>
      </c>
    </row>
    <row r="17" spans="1:18">
      <c r="A17" s="273">
        <v>147</v>
      </c>
      <c r="B17" s="273"/>
      <c r="C17" s="279">
        <v>3</v>
      </c>
      <c r="D17" s="279">
        <v>3</v>
      </c>
      <c r="E17" s="279">
        <v>3</v>
      </c>
      <c r="F17" s="279">
        <v>3</v>
      </c>
      <c r="G17" s="279">
        <v>3</v>
      </c>
      <c r="H17" s="279">
        <v>3</v>
      </c>
      <c r="I17" s="279">
        <v>3</v>
      </c>
      <c r="J17" s="279">
        <v>2</v>
      </c>
      <c r="K17" s="279">
        <v>3</v>
      </c>
      <c r="L17" s="279">
        <v>3</v>
      </c>
      <c r="M17" s="279">
        <v>3</v>
      </c>
      <c r="N17" s="279">
        <v>3</v>
      </c>
      <c r="O17" s="279">
        <f t="shared" si="0"/>
        <v>2.9166666666666665</v>
      </c>
      <c r="P17" s="304">
        <f t="shared" si="1"/>
        <v>35</v>
      </c>
    </row>
    <row r="18" spans="1:18">
      <c r="A18" s="273">
        <v>148</v>
      </c>
      <c r="B18" s="273"/>
      <c r="C18" s="279">
        <v>5</v>
      </c>
      <c r="D18" s="279">
        <v>5</v>
      </c>
      <c r="E18" s="279">
        <v>5</v>
      </c>
      <c r="F18" s="279">
        <v>5</v>
      </c>
      <c r="G18" s="279">
        <v>5</v>
      </c>
      <c r="H18" s="279">
        <v>5</v>
      </c>
      <c r="I18" s="279">
        <v>5</v>
      </c>
      <c r="J18" s="279">
        <v>5</v>
      </c>
      <c r="K18" s="279">
        <v>5</v>
      </c>
      <c r="L18" s="279">
        <v>5</v>
      </c>
      <c r="M18" s="279">
        <v>5</v>
      </c>
      <c r="N18" s="279">
        <v>5</v>
      </c>
      <c r="O18" s="279">
        <f t="shared" si="0"/>
        <v>5</v>
      </c>
      <c r="P18" s="304">
        <f t="shared" si="1"/>
        <v>60</v>
      </c>
      <c r="R18" s="298"/>
    </row>
    <row r="19" spans="1:18">
      <c r="A19" s="273">
        <v>158</v>
      </c>
      <c r="B19" s="273"/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0</v>
      </c>
      <c r="L19" s="279">
        <v>0</v>
      </c>
      <c r="M19" s="279">
        <v>0</v>
      </c>
      <c r="N19" s="279">
        <v>0</v>
      </c>
      <c r="O19" s="279">
        <v>0</v>
      </c>
      <c r="P19" s="304">
        <f t="shared" si="1"/>
        <v>0</v>
      </c>
    </row>
    <row r="20" spans="1:18">
      <c r="A20" s="384" t="s">
        <v>372</v>
      </c>
      <c r="B20" s="273"/>
      <c r="C20" s="279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v>0</v>
      </c>
      <c r="N20" s="279">
        <v>0</v>
      </c>
      <c r="O20" s="279">
        <v>0</v>
      </c>
      <c r="P20" s="304">
        <f t="shared" si="1"/>
        <v>0</v>
      </c>
    </row>
    <row r="21" spans="1:18">
      <c r="A21" s="384">
        <v>195</v>
      </c>
      <c r="B21" s="273"/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9">
        <v>0</v>
      </c>
      <c r="P21" s="304">
        <f t="shared" ref="P21" si="2">SUM(C21:N21)</f>
        <v>0</v>
      </c>
    </row>
    <row r="22" spans="1:18">
      <c r="A22" s="273">
        <v>199</v>
      </c>
      <c r="B22" s="273"/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9">
        <v>0</v>
      </c>
      <c r="P22" s="304">
        <f t="shared" si="1"/>
        <v>0</v>
      </c>
    </row>
    <row r="23" spans="1:18">
      <c r="A23" t="s">
        <v>323</v>
      </c>
      <c r="C23" s="301">
        <f t="shared" ref="C23:N23" si="3">SUM(C10:C22)</f>
        <v>175306</v>
      </c>
      <c r="D23" s="301">
        <f t="shared" si="3"/>
        <v>176106</v>
      </c>
      <c r="E23" s="301">
        <f t="shared" si="3"/>
        <v>175927</v>
      </c>
      <c r="F23" s="301">
        <f t="shared" si="3"/>
        <v>176481</v>
      </c>
      <c r="G23" s="301">
        <f t="shared" si="3"/>
        <v>176495</v>
      </c>
      <c r="H23" s="301">
        <f t="shared" si="3"/>
        <v>176812</v>
      </c>
      <c r="I23" s="301">
        <f t="shared" si="3"/>
        <v>177278</v>
      </c>
      <c r="J23" s="301">
        <f t="shared" si="3"/>
        <v>176229</v>
      </c>
      <c r="K23" s="301">
        <f t="shared" si="3"/>
        <v>177557</v>
      </c>
      <c r="L23" s="301">
        <f t="shared" si="3"/>
        <v>177611</v>
      </c>
      <c r="M23" s="301">
        <f t="shared" si="3"/>
        <v>176710</v>
      </c>
      <c r="N23" s="301">
        <f t="shared" si="3"/>
        <v>176922</v>
      </c>
      <c r="O23" s="301"/>
      <c r="P23" s="298">
        <f>SUM(C23:N23)</f>
        <v>2119434</v>
      </c>
    </row>
    <row r="24" spans="1:18"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</row>
    <row r="25" spans="1:18"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 t="s">
        <v>59</v>
      </c>
      <c r="P25" t="s">
        <v>442</v>
      </c>
    </row>
    <row r="26" spans="1:18">
      <c r="B26" t="s">
        <v>435</v>
      </c>
      <c r="C26" s="301">
        <f t="shared" ref="C26:N26" si="4">C10+C11</f>
        <v>171944</v>
      </c>
      <c r="D26" s="301">
        <f t="shared" si="4"/>
        <v>172697</v>
      </c>
      <c r="E26" s="301">
        <f t="shared" si="4"/>
        <v>172525</v>
      </c>
      <c r="F26" s="301">
        <f t="shared" si="4"/>
        <v>173078</v>
      </c>
      <c r="G26" s="301">
        <f t="shared" si="4"/>
        <v>173064</v>
      </c>
      <c r="H26" s="301">
        <f t="shared" si="4"/>
        <v>173277</v>
      </c>
      <c r="I26" s="301">
        <f t="shared" si="4"/>
        <v>173633</v>
      </c>
      <c r="J26" s="301">
        <f t="shared" si="4"/>
        <v>172712</v>
      </c>
      <c r="K26" s="301">
        <f t="shared" si="4"/>
        <v>173942</v>
      </c>
      <c r="L26" s="301">
        <f t="shared" si="4"/>
        <v>173889</v>
      </c>
      <c r="M26" s="301">
        <f t="shared" si="4"/>
        <v>173225</v>
      </c>
      <c r="N26" s="301">
        <f t="shared" si="4"/>
        <v>173320</v>
      </c>
      <c r="O26" s="301">
        <f>SUM(C26:N26)</f>
        <v>2077306</v>
      </c>
      <c r="P26" s="298">
        <f>AVERAGE(C26:N26)</f>
        <v>173108.83333333334</v>
      </c>
    </row>
    <row r="27" spans="1:18">
      <c r="B27" t="s">
        <v>304</v>
      </c>
      <c r="C27" s="301">
        <f>C12+C13</f>
        <v>3314</v>
      </c>
      <c r="D27" s="301">
        <f>D12+D13</f>
        <v>3361</v>
      </c>
      <c r="E27" s="301">
        <f>E12+E13</f>
        <v>3354</v>
      </c>
      <c r="F27" s="301">
        <f>F12+F13</f>
        <v>3356</v>
      </c>
      <c r="G27" s="301">
        <f t="shared" ref="G27:N27" si="5">G12+G13</f>
        <v>3385</v>
      </c>
      <c r="H27" s="301">
        <f t="shared" si="5"/>
        <v>3490</v>
      </c>
      <c r="I27" s="301">
        <f t="shared" si="5"/>
        <v>3597</v>
      </c>
      <c r="J27" s="301">
        <f t="shared" si="5"/>
        <v>3472</v>
      </c>
      <c r="K27" s="301">
        <f t="shared" si="5"/>
        <v>3567</v>
      </c>
      <c r="L27" s="301">
        <f t="shared" si="5"/>
        <v>3675</v>
      </c>
      <c r="M27" s="301">
        <f t="shared" si="5"/>
        <v>3438</v>
      </c>
      <c r="N27" s="301">
        <f t="shared" si="5"/>
        <v>3554</v>
      </c>
      <c r="O27" s="301">
        <f t="shared" ref="O27:O32" si="6">SUM(C27:N27)</f>
        <v>41563</v>
      </c>
      <c r="P27" s="298">
        <f t="shared" ref="P27:P32" si="7">AVERAGE(C27:N27)</f>
        <v>3463.5833333333335</v>
      </c>
    </row>
    <row r="28" spans="1:18">
      <c r="B28">
        <v>116</v>
      </c>
      <c r="C28" s="301">
        <f t="shared" ref="C28:N28" si="8">C14</f>
        <v>0</v>
      </c>
      <c r="D28" s="301">
        <f t="shared" si="8"/>
        <v>0</v>
      </c>
      <c r="E28" s="301">
        <f t="shared" si="8"/>
        <v>0</v>
      </c>
      <c r="F28" s="301">
        <f t="shared" si="8"/>
        <v>0</v>
      </c>
      <c r="G28" s="301">
        <f t="shared" si="8"/>
        <v>0</v>
      </c>
      <c r="H28" s="301">
        <f t="shared" si="8"/>
        <v>0</v>
      </c>
      <c r="I28" s="301">
        <f t="shared" si="8"/>
        <v>0</v>
      </c>
      <c r="J28" s="301">
        <f t="shared" si="8"/>
        <v>0</v>
      </c>
      <c r="K28" s="301">
        <f t="shared" si="8"/>
        <v>0</v>
      </c>
      <c r="L28" s="301">
        <f t="shared" si="8"/>
        <v>0</v>
      </c>
      <c r="M28" s="301">
        <f t="shared" si="8"/>
        <v>0</v>
      </c>
      <c r="N28" s="301">
        <f t="shared" si="8"/>
        <v>0</v>
      </c>
      <c r="O28" s="301">
        <f t="shared" si="6"/>
        <v>0</v>
      </c>
      <c r="P28" s="298">
        <f t="shared" si="7"/>
        <v>0</v>
      </c>
    </row>
    <row r="29" spans="1:18">
      <c r="B29">
        <v>132</v>
      </c>
      <c r="C29" s="301">
        <f t="shared" ref="C29:N29" si="9">C15</f>
        <v>2</v>
      </c>
      <c r="D29" s="301">
        <f t="shared" si="9"/>
        <v>2</v>
      </c>
      <c r="E29" s="301">
        <f t="shared" si="9"/>
        <v>2</v>
      </c>
      <c r="F29" s="301">
        <f t="shared" si="9"/>
        <v>2</v>
      </c>
      <c r="G29" s="301">
        <f t="shared" si="9"/>
        <v>3</v>
      </c>
      <c r="H29" s="301">
        <f t="shared" si="9"/>
        <v>3</v>
      </c>
      <c r="I29" s="301">
        <f t="shared" si="9"/>
        <v>5</v>
      </c>
      <c r="J29" s="301">
        <f t="shared" si="9"/>
        <v>3</v>
      </c>
      <c r="K29" s="301">
        <f t="shared" si="9"/>
        <v>5</v>
      </c>
      <c r="L29" s="301">
        <f t="shared" si="9"/>
        <v>4</v>
      </c>
      <c r="M29" s="301">
        <f t="shared" si="9"/>
        <v>4</v>
      </c>
      <c r="N29" s="301">
        <f t="shared" si="9"/>
        <v>4</v>
      </c>
      <c r="O29" s="301">
        <f t="shared" si="6"/>
        <v>39</v>
      </c>
      <c r="P29" s="298">
        <f>AVERAGE(C29:N29)</f>
        <v>3.25</v>
      </c>
    </row>
    <row r="30" spans="1:18">
      <c r="B30">
        <v>146</v>
      </c>
      <c r="C30" s="301">
        <f t="shared" ref="C30:N30" si="10">C16</f>
        <v>38</v>
      </c>
      <c r="D30" s="301">
        <f t="shared" si="10"/>
        <v>38</v>
      </c>
      <c r="E30" s="301">
        <f t="shared" si="10"/>
        <v>38</v>
      </c>
      <c r="F30" s="301">
        <f t="shared" si="10"/>
        <v>37</v>
      </c>
      <c r="G30" s="301">
        <f t="shared" si="10"/>
        <v>35</v>
      </c>
      <c r="H30" s="301">
        <f t="shared" si="10"/>
        <v>34</v>
      </c>
      <c r="I30" s="301">
        <f t="shared" si="10"/>
        <v>35</v>
      </c>
      <c r="J30" s="301">
        <f t="shared" si="10"/>
        <v>35</v>
      </c>
      <c r="K30" s="301">
        <f t="shared" si="10"/>
        <v>35</v>
      </c>
      <c r="L30" s="301">
        <f t="shared" si="10"/>
        <v>35</v>
      </c>
      <c r="M30" s="301">
        <f t="shared" si="10"/>
        <v>35</v>
      </c>
      <c r="N30" s="301">
        <f t="shared" si="10"/>
        <v>36</v>
      </c>
      <c r="O30" s="301">
        <f>SUM(C30:N30)</f>
        <v>431</v>
      </c>
      <c r="P30" s="298">
        <f t="shared" si="7"/>
        <v>35.916666666666664</v>
      </c>
    </row>
    <row r="31" spans="1:18">
      <c r="B31">
        <v>147</v>
      </c>
      <c r="C31" s="301">
        <f t="shared" ref="C31:N31" si="11">C17</f>
        <v>3</v>
      </c>
      <c r="D31" s="301">
        <f t="shared" si="11"/>
        <v>3</v>
      </c>
      <c r="E31" s="301">
        <f t="shared" si="11"/>
        <v>3</v>
      </c>
      <c r="F31" s="301">
        <f t="shared" si="11"/>
        <v>3</v>
      </c>
      <c r="G31" s="301">
        <f t="shared" si="11"/>
        <v>3</v>
      </c>
      <c r="H31" s="301">
        <f t="shared" si="11"/>
        <v>3</v>
      </c>
      <c r="I31" s="301">
        <f t="shared" si="11"/>
        <v>3</v>
      </c>
      <c r="J31" s="301">
        <f t="shared" si="11"/>
        <v>2</v>
      </c>
      <c r="K31" s="301">
        <f t="shared" si="11"/>
        <v>3</v>
      </c>
      <c r="L31" s="301">
        <f t="shared" si="11"/>
        <v>3</v>
      </c>
      <c r="M31" s="301">
        <f t="shared" si="11"/>
        <v>3</v>
      </c>
      <c r="N31" s="301">
        <f t="shared" si="11"/>
        <v>3</v>
      </c>
      <c r="O31" s="279">
        <f>SUM(C31:N31)</f>
        <v>35</v>
      </c>
      <c r="P31" s="298">
        <f t="shared" si="7"/>
        <v>2.9166666666666665</v>
      </c>
    </row>
    <row r="32" spans="1:18">
      <c r="B32">
        <v>148</v>
      </c>
      <c r="C32" s="301">
        <f t="shared" ref="C32:N32" si="12">C18</f>
        <v>5</v>
      </c>
      <c r="D32" s="301">
        <f t="shared" si="12"/>
        <v>5</v>
      </c>
      <c r="E32" s="301">
        <f t="shared" si="12"/>
        <v>5</v>
      </c>
      <c r="F32" s="301">
        <f t="shared" si="12"/>
        <v>5</v>
      </c>
      <c r="G32" s="301">
        <f t="shared" si="12"/>
        <v>5</v>
      </c>
      <c r="H32" s="301">
        <f t="shared" si="12"/>
        <v>5</v>
      </c>
      <c r="I32" s="301">
        <f t="shared" si="12"/>
        <v>5</v>
      </c>
      <c r="J32" s="301">
        <f t="shared" si="12"/>
        <v>5</v>
      </c>
      <c r="K32" s="301">
        <f t="shared" si="12"/>
        <v>5</v>
      </c>
      <c r="L32" s="301">
        <f t="shared" si="12"/>
        <v>5</v>
      </c>
      <c r="M32" s="301">
        <f t="shared" si="12"/>
        <v>5</v>
      </c>
      <c r="N32" s="301">
        <f t="shared" si="12"/>
        <v>5</v>
      </c>
      <c r="O32" s="301">
        <f t="shared" si="6"/>
        <v>60</v>
      </c>
      <c r="P32" s="298">
        <f t="shared" si="7"/>
        <v>5</v>
      </c>
    </row>
    <row r="33" spans="1:16">
      <c r="B33" t="s">
        <v>59</v>
      </c>
      <c r="C33" s="301">
        <f>SUM(C26:C32)</f>
        <v>175306</v>
      </c>
      <c r="D33" s="301">
        <f t="shared" ref="D33:O33" si="13">SUM(D26:D32)</f>
        <v>176106</v>
      </c>
      <c r="E33" s="301">
        <f t="shared" si="13"/>
        <v>175927</v>
      </c>
      <c r="F33" s="301">
        <f t="shared" si="13"/>
        <v>176481</v>
      </c>
      <c r="G33" s="301">
        <f t="shared" si="13"/>
        <v>176495</v>
      </c>
      <c r="H33" s="301">
        <f t="shared" si="13"/>
        <v>176812</v>
      </c>
      <c r="I33" s="301">
        <f t="shared" si="13"/>
        <v>177278</v>
      </c>
      <c r="J33" s="301">
        <f t="shared" si="13"/>
        <v>176229</v>
      </c>
      <c r="K33" s="301">
        <f t="shared" si="13"/>
        <v>177557</v>
      </c>
      <c r="L33" s="301">
        <f t="shared" si="13"/>
        <v>177611</v>
      </c>
      <c r="M33" s="301">
        <f t="shared" si="13"/>
        <v>176710</v>
      </c>
      <c r="N33" s="301">
        <f t="shared" si="13"/>
        <v>176922</v>
      </c>
      <c r="O33" s="301">
        <f t="shared" si="13"/>
        <v>2119434</v>
      </c>
    </row>
    <row r="34" spans="1:16"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</row>
    <row r="35" spans="1:16">
      <c r="C35" s="301">
        <f>C23-C33</f>
        <v>0</v>
      </c>
      <c r="D35" s="301">
        <f t="shared" ref="D35:N35" si="14">D23-D33</f>
        <v>0</v>
      </c>
      <c r="E35" s="301">
        <f t="shared" si="14"/>
        <v>0</v>
      </c>
      <c r="F35" s="301">
        <f t="shared" si="14"/>
        <v>0</v>
      </c>
      <c r="G35" s="301">
        <f t="shared" si="14"/>
        <v>0</v>
      </c>
      <c r="H35" s="301">
        <f t="shared" si="14"/>
        <v>0</v>
      </c>
      <c r="I35" s="301">
        <f t="shared" si="14"/>
        <v>0</v>
      </c>
      <c r="J35" s="301">
        <f t="shared" si="14"/>
        <v>0</v>
      </c>
      <c r="K35" s="301">
        <f t="shared" si="14"/>
        <v>0</v>
      </c>
      <c r="L35" s="301">
        <f t="shared" si="14"/>
        <v>0</v>
      </c>
      <c r="M35" s="301">
        <f t="shared" si="14"/>
        <v>0</v>
      </c>
      <c r="N35" s="301">
        <f t="shared" si="14"/>
        <v>0</v>
      </c>
      <c r="O35" s="301"/>
    </row>
    <row r="36" spans="1:16"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</row>
    <row r="37" spans="1:16">
      <c r="A37" s="331" t="s">
        <v>511</v>
      </c>
    </row>
    <row r="42" spans="1:16">
      <c r="A42" s="273"/>
      <c r="B42" s="273"/>
      <c r="C42" s="273" t="s">
        <v>321</v>
      </c>
      <c r="D42" s="273">
        <f t="shared" ref="D42:O42" si="15">C8</f>
        <v>202207</v>
      </c>
      <c r="E42" s="273">
        <f t="shared" si="15"/>
        <v>202208</v>
      </c>
      <c r="F42" s="273">
        <f t="shared" si="15"/>
        <v>202209</v>
      </c>
      <c r="G42" s="273">
        <f t="shared" si="15"/>
        <v>202210</v>
      </c>
      <c r="H42" s="273">
        <f t="shared" si="15"/>
        <v>202211</v>
      </c>
      <c r="I42" s="273">
        <f t="shared" si="15"/>
        <v>202212</v>
      </c>
      <c r="J42" s="273">
        <f t="shared" si="15"/>
        <v>202301</v>
      </c>
      <c r="K42" s="273">
        <f t="shared" si="15"/>
        <v>202302</v>
      </c>
      <c r="L42" s="273">
        <f t="shared" si="15"/>
        <v>202303</v>
      </c>
      <c r="M42" s="273">
        <f t="shared" si="15"/>
        <v>202304</v>
      </c>
      <c r="N42" s="273">
        <f t="shared" si="15"/>
        <v>202305</v>
      </c>
      <c r="O42" s="273">
        <f t="shared" si="15"/>
        <v>202306</v>
      </c>
      <c r="P42" s="273" t="s">
        <v>324</v>
      </c>
    </row>
    <row r="43" spans="1:16">
      <c r="A43" s="273" t="s">
        <v>270</v>
      </c>
      <c r="B43" s="273" t="s">
        <v>403</v>
      </c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16">
      <c r="A44" s="273" t="s">
        <v>365</v>
      </c>
      <c r="B44" s="273" t="s">
        <v>405</v>
      </c>
      <c r="C44" s="273"/>
      <c r="D44" s="279">
        <v>0</v>
      </c>
      <c r="E44" s="279">
        <v>0</v>
      </c>
      <c r="F44" s="279">
        <v>0</v>
      </c>
      <c r="G44" s="279">
        <v>0</v>
      </c>
      <c r="H44" s="279">
        <v>0</v>
      </c>
      <c r="I44" s="279">
        <v>0</v>
      </c>
      <c r="J44" s="279">
        <v>0</v>
      </c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9">
        <f t="shared" ref="P44:P53" si="16">SUM(D44:O44)</f>
        <v>0</v>
      </c>
    </row>
    <row r="45" spans="1:16">
      <c r="A45" s="273"/>
      <c r="B45" s="273" t="s">
        <v>404</v>
      </c>
      <c r="C45" s="273"/>
      <c r="D45" s="279">
        <v>0</v>
      </c>
      <c r="E45" s="279">
        <v>0</v>
      </c>
      <c r="F45" s="279">
        <v>0</v>
      </c>
      <c r="G45" s="279">
        <v>0</v>
      </c>
      <c r="H45" s="279">
        <v>0</v>
      </c>
      <c r="I45" s="279">
        <v>0</v>
      </c>
      <c r="J45" s="279">
        <v>0</v>
      </c>
      <c r="K45" s="279">
        <v>0</v>
      </c>
      <c r="L45" s="279">
        <v>0</v>
      </c>
      <c r="M45" s="279">
        <v>0</v>
      </c>
      <c r="N45" s="279">
        <v>0</v>
      </c>
      <c r="O45" s="279">
        <v>0</v>
      </c>
      <c r="P45" s="279">
        <f t="shared" si="16"/>
        <v>0</v>
      </c>
    </row>
    <row r="46" spans="1:16">
      <c r="A46" s="273"/>
      <c r="B46" s="273" t="s">
        <v>406</v>
      </c>
      <c r="C46" s="273"/>
      <c r="D46" s="279">
        <v>-51</v>
      </c>
      <c r="E46" s="279">
        <v>-27</v>
      </c>
      <c r="F46" s="279">
        <v>-20</v>
      </c>
      <c r="G46" s="279">
        <v>0</v>
      </c>
      <c r="H46" s="279">
        <v>0</v>
      </c>
      <c r="I46" s="279">
        <v>0</v>
      </c>
      <c r="J46" s="279">
        <v>-27</v>
      </c>
      <c r="K46" s="279">
        <v>-26</v>
      </c>
      <c r="L46" s="279">
        <v>0</v>
      </c>
      <c r="M46" s="279">
        <v>0</v>
      </c>
      <c r="N46" s="279">
        <v>0</v>
      </c>
      <c r="O46" s="279">
        <v>-85</v>
      </c>
      <c r="P46" s="279">
        <f>SUM(D46:O46)</f>
        <v>-236</v>
      </c>
    </row>
    <row r="47" spans="1:16">
      <c r="A47" s="273"/>
      <c r="B47" s="273" t="s">
        <v>407</v>
      </c>
      <c r="C47" s="273"/>
      <c r="D47" s="279">
        <v>0</v>
      </c>
      <c r="E47" s="279">
        <v>0</v>
      </c>
      <c r="F47" s="279">
        <v>0</v>
      </c>
      <c r="G47" s="279">
        <v>0</v>
      </c>
      <c r="H47" s="279">
        <v>0</v>
      </c>
      <c r="I47" s="279">
        <v>0</v>
      </c>
      <c r="J47" s="279">
        <v>0</v>
      </c>
      <c r="K47" s="279">
        <v>0</v>
      </c>
      <c r="L47" s="279">
        <v>0</v>
      </c>
      <c r="M47" s="279">
        <v>0</v>
      </c>
      <c r="N47" s="279">
        <v>0</v>
      </c>
      <c r="O47" s="279">
        <v>0</v>
      </c>
      <c r="P47" s="279">
        <f t="shared" si="16"/>
        <v>0</v>
      </c>
    </row>
    <row r="48" spans="1:16">
      <c r="A48" s="273"/>
      <c r="B48" s="273" t="s">
        <v>408</v>
      </c>
      <c r="C48" s="273"/>
      <c r="D48" s="279">
        <v>0</v>
      </c>
      <c r="E48" s="279">
        <v>0</v>
      </c>
      <c r="F48" s="279">
        <v>0</v>
      </c>
      <c r="G48" s="279">
        <v>0</v>
      </c>
      <c r="H48" s="279">
        <v>0</v>
      </c>
      <c r="I48" s="279">
        <v>0</v>
      </c>
      <c r="J48" s="279">
        <v>0</v>
      </c>
      <c r="K48" s="279">
        <v>0</v>
      </c>
      <c r="L48" s="279">
        <v>0</v>
      </c>
      <c r="M48" s="279">
        <v>0</v>
      </c>
      <c r="N48" s="279">
        <v>0</v>
      </c>
      <c r="O48" s="279">
        <v>0</v>
      </c>
      <c r="P48" s="279">
        <f t="shared" si="16"/>
        <v>0</v>
      </c>
    </row>
    <row r="49" spans="1:16">
      <c r="A49" s="273"/>
      <c r="B49" s="273" t="s">
        <v>409</v>
      </c>
      <c r="C49" s="273"/>
      <c r="D49" s="279">
        <v>0</v>
      </c>
      <c r="E49" s="279">
        <v>0</v>
      </c>
      <c r="F49" s="279">
        <v>0</v>
      </c>
      <c r="G49" s="279">
        <v>0</v>
      </c>
      <c r="H49" s="279">
        <v>0</v>
      </c>
      <c r="I49" s="279">
        <v>0</v>
      </c>
      <c r="J49" s="279">
        <v>0</v>
      </c>
      <c r="K49" s="279">
        <v>0</v>
      </c>
      <c r="L49" s="279">
        <v>0</v>
      </c>
      <c r="M49" s="279">
        <v>0</v>
      </c>
      <c r="N49" s="279">
        <v>0</v>
      </c>
      <c r="O49" s="279">
        <v>0</v>
      </c>
      <c r="P49" s="279">
        <f t="shared" si="16"/>
        <v>0</v>
      </c>
    </row>
    <row r="50" spans="1:16">
      <c r="A50" s="273"/>
      <c r="B50" s="273" t="s">
        <v>433</v>
      </c>
      <c r="C50" s="273"/>
      <c r="D50" s="279"/>
      <c r="E50" s="279"/>
      <c r="F50" s="279"/>
      <c r="G50" s="279"/>
      <c r="H50" s="279"/>
      <c r="I50" s="279"/>
      <c r="J50" s="279"/>
      <c r="K50" s="279"/>
      <c r="L50" s="279"/>
      <c r="M50" s="279">
        <v>0</v>
      </c>
      <c r="N50" s="279">
        <v>0</v>
      </c>
      <c r="O50" s="279">
        <v>0</v>
      </c>
      <c r="P50" s="279">
        <f t="shared" si="16"/>
        <v>0</v>
      </c>
    </row>
    <row r="51" spans="1:16">
      <c r="A51" s="273"/>
      <c r="B51" s="273" t="s">
        <v>410</v>
      </c>
      <c r="C51" s="273"/>
      <c r="D51" s="279">
        <v>0</v>
      </c>
      <c r="E51" s="279">
        <v>0</v>
      </c>
      <c r="F51" s="279">
        <v>0</v>
      </c>
      <c r="G51" s="279">
        <v>0</v>
      </c>
      <c r="H51" s="279">
        <v>0</v>
      </c>
      <c r="I51" s="279">
        <v>0</v>
      </c>
      <c r="J51" s="279">
        <v>0</v>
      </c>
      <c r="K51" s="279">
        <v>0</v>
      </c>
      <c r="L51" s="279">
        <v>0</v>
      </c>
      <c r="M51" s="279">
        <v>0</v>
      </c>
      <c r="N51" s="279">
        <v>0</v>
      </c>
      <c r="O51" s="279">
        <v>0</v>
      </c>
      <c r="P51" s="279">
        <f t="shared" si="16"/>
        <v>0</v>
      </c>
    </row>
    <row r="52" spans="1:16">
      <c r="A52" s="273"/>
      <c r="B52" s="273" t="s">
        <v>411</v>
      </c>
      <c r="C52" s="273"/>
      <c r="D52" s="279">
        <v>0</v>
      </c>
      <c r="E52" s="279">
        <v>0</v>
      </c>
      <c r="F52" s="279">
        <v>0</v>
      </c>
      <c r="G52" s="279">
        <v>0</v>
      </c>
      <c r="H52" s="279">
        <v>0</v>
      </c>
      <c r="I52" s="279">
        <v>0</v>
      </c>
      <c r="J52" s="279">
        <v>0</v>
      </c>
      <c r="K52" s="279">
        <v>0</v>
      </c>
      <c r="L52" s="279">
        <v>0</v>
      </c>
      <c r="M52" s="279">
        <v>0</v>
      </c>
      <c r="N52" s="279">
        <v>0</v>
      </c>
      <c r="O52" s="279">
        <v>0</v>
      </c>
      <c r="P52" s="279">
        <f t="shared" si="16"/>
        <v>0</v>
      </c>
    </row>
    <row r="53" spans="1:16">
      <c r="A53" s="273"/>
      <c r="B53" s="273" t="s">
        <v>434</v>
      </c>
      <c r="C53" s="273"/>
      <c r="D53" s="279"/>
      <c r="E53" s="279"/>
      <c r="F53" s="279"/>
      <c r="G53" s="279"/>
      <c r="H53" s="279"/>
      <c r="I53" s="279"/>
      <c r="J53" s="279"/>
      <c r="K53" s="279"/>
      <c r="L53" s="279"/>
      <c r="M53" s="279">
        <v>0</v>
      </c>
      <c r="N53" s="279">
        <v>0</v>
      </c>
      <c r="O53" s="279">
        <v>0</v>
      </c>
      <c r="P53" s="279">
        <f t="shared" si="16"/>
        <v>0</v>
      </c>
    </row>
    <row r="54" spans="1:16">
      <c r="A54" s="273"/>
      <c r="B54" s="273" t="s">
        <v>412</v>
      </c>
      <c r="C54" s="273"/>
      <c r="D54" s="279">
        <v>2517620.0141799999</v>
      </c>
      <c r="E54" s="279">
        <v>1944722.29672</v>
      </c>
      <c r="F54" s="279">
        <v>2054852.35152</v>
      </c>
      <c r="G54" s="279">
        <v>2952547.7031999999</v>
      </c>
      <c r="H54" s="279">
        <v>8782768.0192300007</v>
      </c>
      <c r="I54" s="279">
        <v>11259784.57155</v>
      </c>
      <c r="J54" s="279">
        <v>11314478.627250001</v>
      </c>
      <c r="K54" s="279">
        <v>10185321.251879999</v>
      </c>
      <c r="L54" s="279">
        <v>11817277.5702</v>
      </c>
      <c r="M54" s="279">
        <v>9394168.7376899999</v>
      </c>
      <c r="N54" s="279">
        <v>6019209.1414000001</v>
      </c>
      <c r="O54" s="279">
        <v>2480820.9474900002</v>
      </c>
      <c r="P54" s="279">
        <f>SUM(D54:O54)</f>
        <v>80723571.232310012</v>
      </c>
    </row>
    <row r="55" spans="1:16">
      <c r="A55" s="273"/>
      <c r="B55" s="273" t="s">
        <v>413</v>
      </c>
      <c r="C55" s="273"/>
      <c r="D55" s="279">
        <v>204997.02677999999</v>
      </c>
      <c r="E55" s="279">
        <v>118526.86203</v>
      </c>
      <c r="F55" s="279">
        <v>158036.55347000001</v>
      </c>
      <c r="G55" s="279">
        <v>214091.41745000001</v>
      </c>
      <c r="H55" s="279">
        <v>3752205.2459900002</v>
      </c>
      <c r="I55" s="279">
        <v>13648456.674690001</v>
      </c>
      <c r="J55" s="279">
        <v>13906637.827190001</v>
      </c>
      <c r="K55" s="279">
        <v>9335072.8113299999</v>
      </c>
      <c r="L55" s="279">
        <v>9426432.8469600007</v>
      </c>
      <c r="M55" s="279">
        <v>3739249.14897</v>
      </c>
      <c r="N55" s="279">
        <v>708996.92755000002</v>
      </c>
      <c r="O55" s="279">
        <v>187972.66665999999</v>
      </c>
      <c r="P55" s="279">
        <f t="shared" ref="P55" si="17">SUM(D55:O55)</f>
        <v>55400676.009070009</v>
      </c>
    </row>
    <row r="56" spans="1:16">
      <c r="A56" s="273"/>
      <c r="B56" s="273" t="s">
        <v>414</v>
      </c>
      <c r="C56" s="273"/>
      <c r="D56" s="279">
        <f>SUM(D44:D55)</f>
        <v>2722566.0409599999</v>
      </c>
      <c r="E56" s="279">
        <f t="shared" ref="E56:O56" si="18">SUM(E44:E55)</f>
        <v>2063222.1587499999</v>
      </c>
      <c r="F56" s="279">
        <f t="shared" si="18"/>
        <v>2212868.9049900002</v>
      </c>
      <c r="G56" s="279">
        <f t="shared" si="18"/>
        <v>3166639.1206499999</v>
      </c>
      <c r="H56" s="279">
        <f t="shared" si="18"/>
        <v>12534973.265220001</v>
      </c>
      <c r="I56" s="279">
        <f t="shared" si="18"/>
        <v>24908241.246240001</v>
      </c>
      <c r="J56" s="279">
        <f t="shared" si="18"/>
        <v>25221089.454440001</v>
      </c>
      <c r="K56" s="279">
        <f t="shared" si="18"/>
        <v>19520368.063209999</v>
      </c>
      <c r="L56" s="279">
        <f t="shared" si="18"/>
        <v>21243710.417160001</v>
      </c>
      <c r="M56" s="279">
        <f t="shared" si="18"/>
        <v>13133417.88666</v>
      </c>
      <c r="N56" s="279">
        <f t="shared" si="18"/>
        <v>6728206.0689500002</v>
      </c>
      <c r="O56" s="279">
        <f t="shared" si="18"/>
        <v>2668708.6141500003</v>
      </c>
      <c r="P56" s="279">
        <f>SUM(D56:O56)</f>
        <v>136124011.24137998</v>
      </c>
    </row>
    <row r="57" spans="1:16">
      <c r="A57" s="273" t="s">
        <v>415</v>
      </c>
      <c r="B57" s="273" t="s">
        <v>405</v>
      </c>
      <c r="C57" s="273"/>
      <c r="D57" s="279">
        <v>0</v>
      </c>
      <c r="E57" s="279">
        <v>0</v>
      </c>
      <c r="F57" s="279">
        <v>0</v>
      </c>
      <c r="G57" s="279">
        <v>0</v>
      </c>
      <c r="H57" s="279">
        <v>0</v>
      </c>
      <c r="I57" s="279">
        <v>0</v>
      </c>
      <c r="J57" s="279">
        <v>0</v>
      </c>
      <c r="K57" s="279">
        <v>0</v>
      </c>
      <c r="L57" s="279">
        <v>0</v>
      </c>
      <c r="M57" s="279">
        <v>0</v>
      </c>
      <c r="N57" s="279">
        <v>0</v>
      </c>
      <c r="O57" s="279">
        <v>0</v>
      </c>
      <c r="P57" s="279">
        <f t="shared" ref="P57:P68" si="19">SUM(D57:O57)</f>
        <v>0</v>
      </c>
    </row>
    <row r="58" spans="1:16">
      <c r="A58" s="273"/>
      <c r="B58" s="273" t="s">
        <v>404</v>
      </c>
      <c r="C58" s="273"/>
      <c r="D58" s="279">
        <v>0</v>
      </c>
      <c r="E58" s="279">
        <v>0</v>
      </c>
      <c r="F58" s="279">
        <v>0</v>
      </c>
      <c r="G58" s="279">
        <v>0</v>
      </c>
      <c r="H58" s="279">
        <v>0</v>
      </c>
      <c r="I58" s="279">
        <v>0</v>
      </c>
      <c r="J58" s="279">
        <v>0</v>
      </c>
      <c r="K58" s="279">
        <v>0</v>
      </c>
      <c r="L58" s="279">
        <v>0</v>
      </c>
      <c r="M58" s="279">
        <v>0</v>
      </c>
      <c r="N58" s="279">
        <v>0</v>
      </c>
      <c r="O58" s="279">
        <v>0</v>
      </c>
      <c r="P58" s="279">
        <f t="shared" si="19"/>
        <v>0</v>
      </c>
    </row>
    <row r="59" spans="1:16">
      <c r="A59" s="273"/>
      <c r="B59" s="273" t="s">
        <v>406</v>
      </c>
      <c r="C59" s="273"/>
      <c r="D59" s="279">
        <v>0</v>
      </c>
      <c r="E59" s="279">
        <v>0</v>
      </c>
      <c r="F59" s="279">
        <v>0</v>
      </c>
      <c r="G59" s="279">
        <v>0</v>
      </c>
      <c r="H59" s="279">
        <v>0</v>
      </c>
      <c r="I59" s="279">
        <v>0</v>
      </c>
      <c r="J59" s="279">
        <v>0</v>
      </c>
      <c r="K59" s="279">
        <v>0</v>
      </c>
      <c r="L59" s="279">
        <v>0</v>
      </c>
      <c r="M59" s="279">
        <v>0</v>
      </c>
      <c r="N59" s="279">
        <v>0</v>
      </c>
      <c r="O59" s="279">
        <v>0</v>
      </c>
      <c r="P59" s="279">
        <f t="shared" si="19"/>
        <v>0</v>
      </c>
    </row>
    <row r="60" spans="1:16">
      <c r="A60" s="273"/>
      <c r="B60" s="273" t="s">
        <v>407</v>
      </c>
      <c r="C60" s="273"/>
      <c r="D60" s="279">
        <v>0</v>
      </c>
      <c r="E60" s="279">
        <v>0</v>
      </c>
      <c r="F60" s="279">
        <v>0</v>
      </c>
      <c r="G60" s="279">
        <v>0</v>
      </c>
      <c r="H60" s="279">
        <v>0</v>
      </c>
      <c r="I60" s="279">
        <v>0</v>
      </c>
      <c r="J60" s="279">
        <v>0</v>
      </c>
      <c r="K60" s="279">
        <v>0</v>
      </c>
      <c r="L60" s="279">
        <v>0</v>
      </c>
      <c r="M60" s="279">
        <v>0</v>
      </c>
      <c r="N60" s="279">
        <v>0</v>
      </c>
      <c r="O60" s="279">
        <v>0</v>
      </c>
      <c r="P60" s="279">
        <f t="shared" si="19"/>
        <v>0</v>
      </c>
    </row>
    <row r="61" spans="1:16">
      <c r="A61" s="273"/>
      <c r="B61" s="273" t="s">
        <v>408</v>
      </c>
      <c r="C61" s="273"/>
      <c r="D61" s="279">
        <v>0</v>
      </c>
      <c r="E61" s="279">
        <v>0</v>
      </c>
      <c r="F61" s="279">
        <v>0</v>
      </c>
      <c r="G61" s="279">
        <v>0</v>
      </c>
      <c r="H61" s="279">
        <v>0</v>
      </c>
      <c r="I61" s="279">
        <v>0</v>
      </c>
      <c r="J61" s="279">
        <v>0</v>
      </c>
      <c r="K61" s="279">
        <v>0</v>
      </c>
      <c r="L61" s="279">
        <v>0</v>
      </c>
      <c r="M61" s="279">
        <v>0</v>
      </c>
      <c r="N61" s="279">
        <v>0</v>
      </c>
      <c r="O61" s="279">
        <v>0</v>
      </c>
      <c r="P61" s="279">
        <f t="shared" si="19"/>
        <v>0</v>
      </c>
    </row>
    <row r="62" spans="1:16">
      <c r="A62" s="273"/>
      <c r="B62" s="273" t="s">
        <v>409</v>
      </c>
      <c r="C62" s="273"/>
      <c r="D62" s="279">
        <v>0</v>
      </c>
      <c r="E62" s="279">
        <v>0</v>
      </c>
      <c r="F62" s="279">
        <v>0</v>
      </c>
      <c r="G62" s="279">
        <v>0</v>
      </c>
      <c r="H62" s="279">
        <v>0</v>
      </c>
      <c r="I62" s="279">
        <v>0</v>
      </c>
      <c r="J62" s="279">
        <v>0</v>
      </c>
      <c r="K62" s="279">
        <v>0</v>
      </c>
      <c r="L62" s="279">
        <v>0</v>
      </c>
      <c r="M62" s="279">
        <v>0</v>
      </c>
      <c r="N62" s="279">
        <v>0</v>
      </c>
      <c r="O62" s="279">
        <v>0</v>
      </c>
      <c r="P62" s="279">
        <f t="shared" si="19"/>
        <v>0</v>
      </c>
    </row>
    <row r="63" spans="1:16">
      <c r="A63" s="273"/>
      <c r="B63" s="273" t="s">
        <v>433</v>
      </c>
      <c r="C63" s="273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>
        <v>0</v>
      </c>
      <c r="O63" s="279">
        <v>0</v>
      </c>
      <c r="P63" s="279">
        <f t="shared" si="19"/>
        <v>0</v>
      </c>
    </row>
    <row r="64" spans="1:16">
      <c r="A64" s="273"/>
      <c r="B64" s="273" t="s">
        <v>416</v>
      </c>
      <c r="C64" s="273"/>
      <c r="D64" s="279">
        <v>0</v>
      </c>
      <c r="E64" s="279">
        <v>0</v>
      </c>
      <c r="F64" s="279">
        <v>0</v>
      </c>
      <c r="G64" s="279">
        <v>0</v>
      </c>
      <c r="H64" s="279">
        <v>0</v>
      </c>
      <c r="I64" s="279">
        <v>0</v>
      </c>
      <c r="J64" s="279">
        <v>0</v>
      </c>
      <c r="K64" s="279">
        <v>0</v>
      </c>
      <c r="L64" s="279">
        <v>0</v>
      </c>
      <c r="M64" s="279">
        <v>0</v>
      </c>
      <c r="N64" s="279">
        <v>0</v>
      </c>
      <c r="O64" s="279">
        <v>0</v>
      </c>
      <c r="P64" s="279">
        <f t="shared" si="19"/>
        <v>0</v>
      </c>
    </row>
    <row r="65" spans="1:16">
      <c r="A65" s="273"/>
      <c r="B65" s="273" t="s">
        <v>410</v>
      </c>
      <c r="C65" s="273"/>
      <c r="D65" s="279">
        <v>0</v>
      </c>
      <c r="E65" s="279">
        <v>0</v>
      </c>
      <c r="F65" s="279">
        <v>0</v>
      </c>
      <c r="G65" s="279">
        <v>0</v>
      </c>
      <c r="H65" s="279">
        <v>0</v>
      </c>
      <c r="I65" s="279">
        <v>0</v>
      </c>
      <c r="J65" s="279">
        <v>0</v>
      </c>
      <c r="K65" s="279">
        <v>0</v>
      </c>
      <c r="L65" s="279">
        <v>0</v>
      </c>
      <c r="M65" s="279">
        <v>0</v>
      </c>
      <c r="N65" s="279">
        <v>0</v>
      </c>
      <c r="O65" s="279">
        <v>0</v>
      </c>
      <c r="P65" s="279">
        <f t="shared" si="19"/>
        <v>0</v>
      </c>
    </row>
    <row r="66" spans="1:16">
      <c r="A66" s="273"/>
      <c r="B66" s="273" t="s">
        <v>411</v>
      </c>
      <c r="C66" s="273"/>
      <c r="D66" s="279">
        <v>0</v>
      </c>
      <c r="E66" s="279">
        <v>0</v>
      </c>
      <c r="F66" s="279">
        <v>0</v>
      </c>
      <c r="G66" s="279">
        <v>0</v>
      </c>
      <c r="H66" s="279">
        <v>0</v>
      </c>
      <c r="I66" s="279">
        <v>0</v>
      </c>
      <c r="J66" s="279">
        <v>0</v>
      </c>
      <c r="K66" s="279">
        <v>0</v>
      </c>
      <c r="L66" s="279">
        <v>0</v>
      </c>
      <c r="M66" s="279">
        <v>0</v>
      </c>
      <c r="N66" s="279">
        <v>0</v>
      </c>
      <c r="O66" s="279">
        <v>0</v>
      </c>
      <c r="P66" s="279">
        <f t="shared" si="19"/>
        <v>0</v>
      </c>
    </row>
    <row r="67" spans="1:16">
      <c r="A67" s="273"/>
      <c r="B67" s="273" t="s">
        <v>412</v>
      </c>
      <c r="C67" s="273"/>
      <c r="D67" s="279">
        <v>6574.2074499999999</v>
      </c>
      <c r="E67" s="279">
        <v>4760.2169899999999</v>
      </c>
      <c r="F67" s="279">
        <v>5357.3713600000001</v>
      </c>
      <c r="G67" s="279">
        <v>9385.7186199999996</v>
      </c>
      <c r="H67" s="279">
        <v>28953.10255</v>
      </c>
      <c r="I67" s="279">
        <v>37102.271500000003</v>
      </c>
      <c r="J67" s="279">
        <v>38071.551729999999</v>
      </c>
      <c r="K67" s="279">
        <v>34010.808850000001</v>
      </c>
      <c r="L67" s="279">
        <v>42032.944510000001</v>
      </c>
      <c r="M67" s="279">
        <v>34123.663500000002</v>
      </c>
      <c r="N67" s="279">
        <v>22056.423289999999</v>
      </c>
      <c r="O67" s="279">
        <v>7895.5335299999997</v>
      </c>
      <c r="P67" s="279">
        <f t="shared" si="19"/>
        <v>270323.81388000003</v>
      </c>
    </row>
    <row r="68" spans="1:16">
      <c r="A68" s="273"/>
      <c r="B68" s="273" t="s">
        <v>413</v>
      </c>
      <c r="C68" s="273"/>
      <c r="D68" s="279">
        <v>359.59073999999998</v>
      </c>
      <c r="E68" s="279">
        <v>299.44479000000001</v>
      </c>
      <c r="F68" s="279">
        <v>402.0376</v>
      </c>
      <c r="G68" s="279">
        <v>184.4161</v>
      </c>
      <c r="H68" s="279">
        <v>9422.2684499999996</v>
      </c>
      <c r="I68" s="279">
        <v>36993.97683</v>
      </c>
      <c r="J68" s="279">
        <v>37712.995900000002</v>
      </c>
      <c r="K68" s="279">
        <v>25277.555560000001</v>
      </c>
      <c r="L68" s="279">
        <v>26721.291450000001</v>
      </c>
      <c r="M68" s="279">
        <v>10207.00196</v>
      </c>
      <c r="N68" s="279">
        <v>1130.13957</v>
      </c>
      <c r="O68" s="279">
        <v>227.08347000000001</v>
      </c>
      <c r="P68" s="279">
        <f t="shared" si="19"/>
        <v>148937.80241999999</v>
      </c>
    </row>
    <row r="69" spans="1:16">
      <c r="A69" s="273"/>
      <c r="B69" s="273" t="s">
        <v>417</v>
      </c>
      <c r="C69" s="273"/>
      <c r="D69" s="279">
        <f>SUM(D57:D68)</f>
        <v>6933.7981899999995</v>
      </c>
      <c r="E69" s="279">
        <f t="shared" ref="E69:O69" si="20">SUM(E57:E68)</f>
        <v>5059.6617800000004</v>
      </c>
      <c r="F69" s="279">
        <f t="shared" si="20"/>
        <v>5759.4089599999998</v>
      </c>
      <c r="G69" s="279">
        <f t="shared" si="20"/>
        <v>9570.13472</v>
      </c>
      <c r="H69" s="279">
        <f t="shared" si="20"/>
        <v>38375.370999999999</v>
      </c>
      <c r="I69" s="279">
        <f t="shared" si="20"/>
        <v>74096.248330000002</v>
      </c>
      <c r="J69" s="279">
        <f t="shared" si="20"/>
        <v>75784.547630000001</v>
      </c>
      <c r="K69" s="279">
        <f t="shared" si="20"/>
        <v>59288.364410000002</v>
      </c>
      <c r="L69" s="279">
        <f t="shared" si="20"/>
        <v>68754.235960000005</v>
      </c>
      <c r="M69" s="279">
        <f t="shared" si="20"/>
        <v>44330.665460000004</v>
      </c>
      <c r="N69" s="279">
        <f t="shared" si="20"/>
        <v>23186.562859999998</v>
      </c>
      <c r="O69" s="279">
        <f t="shared" si="20"/>
        <v>8122.6169999999993</v>
      </c>
      <c r="P69" s="279">
        <f>SUM(D69:O69)</f>
        <v>419261.61629999999</v>
      </c>
    </row>
    <row r="70" spans="1:16">
      <c r="A70" s="273" t="s">
        <v>366</v>
      </c>
      <c r="B70" s="273" t="s">
        <v>405</v>
      </c>
      <c r="C70" s="273"/>
      <c r="D70" s="279">
        <v>0</v>
      </c>
      <c r="E70" s="279">
        <v>0</v>
      </c>
      <c r="F70" s="279">
        <v>0</v>
      </c>
      <c r="G70" s="279">
        <v>0</v>
      </c>
      <c r="H70" s="279">
        <v>0</v>
      </c>
      <c r="I70" s="279">
        <v>0</v>
      </c>
      <c r="J70" s="279">
        <v>0</v>
      </c>
      <c r="K70" s="279">
        <v>0</v>
      </c>
      <c r="L70" s="279">
        <v>0</v>
      </c>
      <c r="M70" s="279">
        <v>0</v>
      </c>
      <c r="N70" s="279">
        <v>0</v>
      </c>
      <c r="O70" s="279">
        <v>0</v>
      </c>
      <c r="P70" s="279">
        <f>SUM(D70:O70)</f>
        <v>0</v>
      </c>
    </row>
    <row r="71" spans="1:16">
      <c r="A71" s="273"/>
      <c r="B71" s="273" t="s">
        <v>404</v>
      </c>
      <c r="C71" s="273"/>
      <c r="D71" s="279">
        <v>0</v>
      </c>
      <c r="E71" s="279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  <c r="K71" s="279">
        <v>0</v>
      </c>
      <c r="L71" s="279">
        <v>0</v>
      </c>
      <c r="M71" s="279">
        <v>0</v>
      </c>
      <c r="N71" s="279">
        <v>0</v>
      </c>
      <c r="O71" s="279">
        <v>0</v>
      </c>
      <c r="P71" s="279">
        <f t="shared" ref="P71:P82" si="21">SUM(D71:O71)</f>
        <v>0</v>
      </c>
    </row>
    <row r="72" spans="1:16">
      <c r="A72" s="273"/>
      <c r="B72" s="273" t="s">
        <v>406</v>
      </c>
      <c r="C72" s="273"/>
      <c r="D72" s="279">
        <v>0</v>
      </c>
      <c r="E72" s="279">
        <v>-98</v>
      </c>
      <c r="F72" s="279">
        <v>-69</v>
      </c>
      <c r="G72" s="279">
        <v>0</v>
      </c>
      <c r="H72" s="279">
        <v>0</v>
      </c>
      <c r="I72" s="279">
        <v>0</v>
      </c>
      <c r="J72" s="279">
        <v>0</v>
      </c>
      <c r="K72" s="279">
        <v>0</v>
      </c>
      <c r="L72" s="279">
        <v>0</v>
      </c>
      <c r="M72" s="279">
        <v>0</v>
      </c>
      <c r="N72" s="279">
        <v>0</v>
      </c>
      <c r="O72" s="279">
        <v>0</v>
      </c>
      <c r="P72" s="279">
        <f t="shared" si="21"/>
        <v>-167</v>
      </c>
    </row>
    <row r="73" spans="1:16">
      <c r="A73" s="273"/>
      <c r="B73" s="273" t="s">
        <v>407</v>
      </c>
      <c r="C73" s="273"/>
      <c r="D73" s="279">
        <v>0</v>
      </c>
      <c r="E73" s="279">
        <v>0</v>
      </c>
      <c r="F73" s="279">
        <v>0</v>
      </c>
      <c r="G73" s="279">
        <v>0</v>
      </c>
      <c r="H73" s="279">
        <v>0</v>
      </c>
      <c r="I73" s="279">
        <v>0</v>
      </c>
      <c r="J73" s="279">
        <v>0</v>
      </c>
      <c r="K73" s="279">
        <v>0</v>
      </c>
      <c r="L73" s="279">
        <v>0</v>
      </c>
      <c r="M73" s="279">
        <v>0</v>
      </c>
      <c r="N73" s="279">
        <v>0</v>
      </c>
      <c r="O73" s="279">
        <v>0</v>
      </c>
      <c r="P73" s="279">
        <f t="shared" si="21"/>
        <v>0</v>
      </c>
    </row>
    <row r="74" spans="1:16">
      <c r="A74" s="273"/>
      <c r="B74" s="273" t="s">
        <v>408</v>
      </c>
      <c r="C74" s="273"/>
      <c r="D74" s="279">
        <v>0</v>
      </c>
      <c r="E74" s="279">
        <v>0</v>
      </c>
      <c r="F74" s="279">
        <v>0</v>
      </c>
      <c r="G74" s="279">
        <v>0</v>
      </c>
      <c r="H74" s="279">
        <v>0</v>
      </c>
      <c r="I74" s="279">
        <v>0</v>
      </c>
      <c r="J74" s="279">
        <v>0</v>
      </c>
      <c r="K74" s="279">
        <v>0</v>
      </c>
      <c r="L74" s="279">
        <v>0</v>
      </c>
      <c r="M74" s="279">
        <v>0</v>
      </c>
      <c r="N74" s="279">
        <v>0</v>
      </c>
      <c r="O74" s="279">
        <v>0</v>
      </c>
      <c r="P74" s="279">
        <f t="shared" si="21"/>
        <v>0</v>
      </c>
    </row>
    <row r="75" spans="1:16">
      <c r="A75" s="273"/>
      <c r="B75" s="273" t="s">
        <v>433</v>
      </c>
      <c r="C75" s="273"/>
      <c r="D75" s="279"/>
      <c r="E75" s="279"/>
      <c r="F75" s="279"/>
      <c r="G75" s="279"/>
      <c r="H75" s="279"/>
      <c r="I75" s="279"/>
      <c r="J75" s="279"/>
      <c r="K75" s="279"/>
      <c r="L75" s="279"/>
      <c r="M75" s="279">
        <v>0</v>
      </c>
      <c r="N75" s="279">
        <v>0</v>
      </c>
      <c r="O75" s="279">
        <v>0</v>
      </c>
      <c r="P75" s="279">
        <f t="shared" si="21"/>
        <v>0</v>
      </c>
    </row>
    <row r="76" spans="1:16">
      <c r="A76" s="273"/>
      <c r="B76" s="273" t="s">
        <v>410</v>
      </c>
      <c r="C76" s="273"/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  <c r="K76" s="279">
        <v>0</v>
      </c>
      <c r="L76" s="279">
        <v>0</v>
      </c>
      <c r="M76" s="279">
        <v>0</v>
      </c>
      <c r="N76" s="279">
        <v>0</v>
      </c>
      <c r="O76" s="279">
        <v>0</v>
      </c>
      <c r="P76" s="279">
        <f t="shared" si="21"/>
        <v>0</v>
      </c>
    </row>
    <row r="77" spans="1:16">
      <c r="A77" s="273"/>
      <c r="B77" s="273" t="s">
        <v>411</v>
      </c>
      <c r="C77" s="273"/>
      <c r="D77" s="279">
        <v>0</v>
      </c>
      <c r="E77" s="279">
        <v>0</v>
      </c>
      <c r="F77" s="279">
        <v>0</v>
      </c>
      <c r="G77" s="279">
        <v>0</v>
      </c>
      <c r="H77" s="279">
        <v>0</v>
      </c>
      <c r="I77" s="279">
        <v>0</v>
      </c>
      <c r="J77" s="279">
        <v>0</v>
      </c>
      <c r="K77" s="279">
        <v>0</v>
      </c>
      <c r="L77" s="279">
        <v>0</v>
      </c>
      <c r="M77" s="279">
        <v>0</v>
      </c>
      <c r="N77" s="279">
        <v>0</v>
      </c>
      <c r="O77" s="279">
        <v>0</v>
      </c>
      <c r="P77" s="279">
        <f t="shared" si="21"/>
        <v>0</v>
      </c>
    </row>
    <row r="78" spans="1:16">
      <c r="A78" s="273"/>
      <c r="B78" s="273" t="s">
        <v>412</v>
      </c>
      <c r="C78" s="273"/>
      <c r="D78" s="279">
        <v>454064.17167000001</v>
      </c>
      <c r="E78" s="279">
        <v>389351.63848999998</v>
      </c>
      <c r="F78" s="279">
        <v>409944.21674</v>
      </c>
      <c r="G78" s="279">
        <v>501238.12</v>
      </c>
      <c r="H78" s="279">
        <v>649715.66200999997</v>
      </c>
      <c r="I78" s="279">
        <v>687053.79359000002</v>
      </c>
      <c r="J78" s="279">
        <v>710112.36008000001</v>
      </c>
      <c r="K78" s="279">
        <v>613185.60036000004</v>
      </c>
      <c r="L78" s="279">
        <v>779355.29093999998</v>
      </c>
      <c r="M78" s="279">
        <v>660501.95641999994</v>
      </c>
      <c r="N78" s="279">
        <v>663266.88196000003</v>
      </c>
      <c r="O78" s="279">
        <v>480719.07936999999</v>
      </c>
      <c r="P78" s="279">
        <f>SUM(D78:O78)</f>
        <v>6998508.7716299994</v>
      </c>
    </row>
    <row r="79" spans="1:16">
      <c r="A79" s="273"/>
      <c r="B79" s="273" t="s">
        <v>413</v>
      </c>
      <c r="C79" s="273"/>
      <c r="D79" s="279">
        <v>686185.26384000003</v>
      </c>
      <c r="E79" s="279">
        <v>560617.77307</v>
      </c>
      <c r="F79" s="279">
        <v>608022.49942999997</v>
      </c>
      <c r="G79" s="279">
        <v>782999.73300000001</v>
      </c>
      <c r="H79" s="279">
        <v>1796632.0854499999</v>
      </c>
      <c r="I79" s="279">
        <v>2446117.0905800001</v>
      </c>
      <c r="J79" s="279">
        <v>2552125.0304299998</v>
      </c>
      <c r="K79" s="279">
        <v>2132607.2811500002</v>
      </c>
      <c r="L79" s="279">
        <v>2647322.6943000001</v>
      </c>
      <c r="M79" s="279">
        <v>1967872.66974</v>
      </c>
      <c r="N79" s="279">
        <v>1362090.44995</v>
      </c>
      <c r="O79" s="279">
        <v>726148.35022999998</v>
      </c>
      <c r="P79" s="279">
        <f t="shared" si="21"/>
        <v>18268740.92117</v>
      </c>
    </row>
    <row r="80" spans="1:16">
      <c r="A80" s="273"/>
      <c r="B80" s="273" t="s">
        <v>418</v>
      </c>
      <c r="C80" s="273"/>
      <c r="D80" s="279">
        <v>728414.26702000003</v>
      </c>
      <c r="E80" s="279">
        <v>611134.96340000001</v>
      </c>
      <c r="F80" s="279">
        <v>668987.84351000004</v>
      </c>
      <c r="G80" s="279">
        <v>882890.55842000002</v>
      </c>
      <c r="H80" s="279">
        <v>2627338.6680000001</v>
      </c>
      <c r="I80" s="279">
        <v>5565348.6713300003</v>
      </c>
      <c r="J80" s="279">
        <v>5949216.7159599997</v>
      </c>
      <c r="K80" s="279">
        <v>4181289.7768000001</v>
      </c>
      <c r="L80" s="279">
        <v>4887273.9494500002</v>
      </c>
      <c r="M80" s="279">
        <v>2786152.8191900002</v>
      </c>
      <c r="N80" s="279">
        <v>1478688.23814</v>
      </c>
      <c r="O80" s="279">
        <v>738297.11829000001</v>
      </c>
      <c r="P80" s="279">
        <f t="shared" si="21"/>
        <v>31105033.589510001</v>
      </c>
    </row>
    <row r="81" spans="1:16">
      <c r="A81" s="273"/>
      <c r="B81" s="196" t="s">
        <v>420</v>
      </c>
      <c r="C81" s="273"/>
      <c r="D81" s="279">
        <v>172504.99221</v>
      </c>
      <c r="E81" s="279">
        <v>144785.30449000001</v>
      </c>
      <c r="F81" s="279">
        <v>126674.018</v>
      </c>
      <c r="G81" s="279">
        <v>213656.44200000001</v>
      </c>
      <c r="H81" s="279">
        <v>452038.43119999999</v>
      </c>
      <c r="I81" s="279">
        <v>953905.32608000003</v>
      </c>
      <c r="J81" s="279">
        <v>895758.27890000003</v>
      </c>
      <c r="K81" s="279">
        <v>595561.72132999997</v>
      </c>
      <c r="L81" s="279">
        <v>646911.40720000002</v>
      </c>
      <c r="M81" s="279">
        <v>295514.12219999998</v>
      </c>
      <c r="N81" s="279">
        <v>186379.9326</v>
      </c>
      <c r="O81" s="279">
        <v>140643.10342999999</v>
      </c>
      <c r="P81" s="279">
        <f t="shared" si="21"/>
        <v>4824333.0796400001</v>
      </c>
    </row>
    <row r="82" spans="1:16">
      <c r="A82" s="273"/>
      <c r="B82" s="196" t="s">
        <v>421</v>
      </c>
      <c r="C82" s="273"/>
      <c r="D82" s="279">
        <v>56958.762000000002</v>
      </c>
      <c r="E82" s="279">
        <v>79172.877999999997</v>
      </c>
      <c r="F82" s="279">
        <v>94725.058999999994</v>
      </c>
      <c r="G82" s="279">
        <v>78924.84</v>
      </c>
      <c r="H82" s="279">
        <v>185469.22200000001</v>
      </c>
      <c r="I82" s="279">
        <v>354973.95199999999</v>
      </c>
      <c r="J82" s="279">
        <v>284853.54300000001</v>
      </c>
      <c r="K82" s="279">
        <v>226479.04699999999</v>
      </c>
      <c r="L82" s="279">
        <v>189906.6</v>
      </c>
      <c r="M82" s="279">
        <v>80570.709000000003</v>
      </c>
      <c r="N82" s="279">
        <v>114880.993</v>
      </c>
      <c r="O82" s="279">
        <v>35501</v>
      </c>
      <c r="P82" s="279">
        <f t="shared" si="21"/>
        <v>1782416.6050000002</v>
      </c>
    </row>
    <row r="83" spans="1:16">
      <c r="A83" s="273"/>
      <c r="B83" s="273" t="s">
        <v>419</v>
      </c>
      <c r="C83" s="273"/>
      <c r="D83" s="279">
        <f>SUM(D70:D82)</f>
        <v>2098127.4567399998</v>
      </c>
      <c r="E83" s="279">
        <f>SUM(E70:E82)</f>
        <v>1784964.55745</v>
      </c>
      <c r="F83" s="279">
        <f t="shared" ref="F83:N83" si="22">SUM(F70:F82)</f>
        <v>1908284.6366799998</v>
      </c>
      <c r="G83" s="279">
        <f t="shared" si="22"/>
        <v>2459709.6934199999</v>
      </c>
      <c r="H83" s="279">
        <f t="shared" si="22"/>
        <v>5711194.0686599994</v>
      </c>
      <c r="I83" s="279">
        <f t="shared" si="22"/>
        <v>10007398.83358</v>
      </c>
      <c r="J83" s="279">
        <f t="shared" si="22"/>
        <v>10392065.928369999</v>
      </c>
      <c r="K83" s="279">
        <f t="shared" si="22"/>
        <v>7749123.4266400002</v>
      </c>
      <c r="L83" s="279">
        <f t="shared" si="22"/>
        <v>9150769.9418899994</v>
      </c>
      <c r="M83" s="279">
        <f t="shared" si="22"/>
        <v>5790612.2765500005</v>
      </c>
      <c r="N83" s="279">
        <f t="shared" si="22"/>
        <v>3805306.4956499999</v>
      </c>
      <c r="O83" s="279">
        <f>SUM(O70:O82)</f>
        <v>2121308.6513200002</v>
      </c>
      <c r="P83" s="279">
        <f>SUM(D83:O83)</f>
        <v>62978865.966950007</v>
      </c>
    </row>
    <row r="84" spans="1:16">
      <c r="A84" s="383" t="s">
        <v>445</v>
      </c>
      <c r="B84" s="273" t="s">
        <v>405</v>
      </c>
      <c r="C84" s="273"/>
      <c r="D84" s="279"/>
      <c r="E84" s="279"/>
      <c r="F84" s="279"/>
      <c r="G84" s="279"/>
      <c r="H84" s="279"/>
      <c r="I84" s="279"/>
      <c r="J84" s="279"/>
      <c r="K84" s="279"/>
      <c r="L84" s="279"/>
      <c r="M84" s="279"/>
      <c r="N84" s="279"/>
      <c r="O84" s="279"/>
      <c r="P84" s="279"/>
    </row>
    <row r="85" spans="1:16">
      <c r="A85" s="273"/>
      <c r="B85" s="273" t="s">
        <v>404</v>
      </c>
      <c r="C85" s="273"/>
      <c r="D85" s="279">
        <v>0</v>
      </c>
      <c r="E85" s="279">
        <v>0</v>
      </c>
      <c r="F85" s="279">
        <v>0</v>
      </c>
      <c r="G85" s="279">
        <v>0</v>
      </c>
      <c r="H85" s="279">
        <v>0</v>
      </c>
      <c r="I85" s="279">
        <v>0</v>
      </c>
      <c r="J85" s="279">
        <v>0</v>
      </c>
      <c r="K85" s="279">
        <v>0</v>
      </c>
      <c r="L85" s="279">
        <v>0</v>
      </c>
      <c r="M85" s="279">
        <v>0</v>
      </c>
      <c r="N85" s="279">
        <v>0</v>
      </c>
      <c r="O85" s="279">
        <v>0</v>
      </c>
      <c r="P85" s="279">
        <f t="shared" ref="P85:P97" si="23">SUM(D85:O85)</f>
        <v>0</v>
      </c>
    </row>
    <row r="86" spans="1:16">
      <c r="A86" s="273"/>
      <c r="B86" s="273" t="s">
        <v>406</v>
      </c>
      <c r="C86" s="273"/>
      <c r="D86" s="279">
        <v>0</v>
      </c>
      <c r="E86" s="279">
        <v>0</v>
      </c>
      <c r="F86" s="279">
        <v>0</v>
      </c>
      <c r="G86" s="279">
        <v>0</v>
      </c>
      <c r="H86" s="279">
        <v>0</v>
      </c>
      <c r="I86" s="279">
        <v>0</v>
      </c>
      <c r="J86" s="279">
        <v>0</v>
      </c>
      <c r="K86" s="279">
        <v>0</v>
      </c>
      <c r="L86" s="279">
        <v>0</v>
      </c>
      <c r="M86" s="279">
        <v>0</v>
      </c>
      <c r="N86" s="279">
        <v>0</v>
      </c>
      <c r="O86" s="279">
        <v>0</v>
      </c>
      <c r="P86" s="279">
        <f t="shared" si="23"/>
        <v>0</v>
      </c>
    </row>
    <row r="87" spans="1:16">
      <c r="A87" s="273"/>
      <c r="B87" s="273" t="s">
        <v>407</v>
      </c>
      <c r="C87" s="273"/>
      <c r="D87" s="279">
        <v>0</v>
      </c>
      <c r="E87" s="279">
        <v>0</v>
      </c>
      <c r="F87" s="279">
        <v>0</v>
      </c>
      <c r="G87" s="279">
        <v>0</v>
      </c>
      <c r="H87" s="279">
        <v>0</v>
      </c>
      <c r="I87" s="279">
        <v>0</v>
      </c>
      <c r="J87" s="279">
        <v>0</v>
      </c>
      <c r="K87" s="279">
        <v>0</v>
      </c>
      <c r="L87" s="279">
        <v>0</v>
      </c>
      <c r="M87" s="279">
        <v>0</v>
      </c>
      <c r="N87" s="279">
        <v>0</v>
      </c>
      <c r="O87" s="279">
        <v>0</v>
      </c>
      <c r="P87" s="279">
        <f t="shared" si="23"/>
        <v>0</v>
      </c>
    </row>
    <row r="88" spans="1:16">
      <c r="A88" s="273"/>
      <c r="B88" s="273" t="s">
        <v>408</v>
      </c>
      <c r="C88" s="273"/>
      <c r="D88" s="279">
        <v>0</v>
      </c>
      <c r="E88" s="279">
        <v>0</v>
      </c>
      <c r="F88" s="279">
        <v>0</v>
      </c>
      <c r="G88" s="279">
        <v>0</v>
      </c>
      <c r="H88" s="279">
        <v>0</v>
      </c>
      <c r="I88" s="279">
        <v>0</v>
      </c>
      <c r="J88" s="279">
        <v>0</v>
      </c>
      <c r="K88" s="279">
        <v>0</v>
      </c>
      <c r="L88" s="279">
        <v>0</v>
      </c>
      <c r="M88" s="279">
        <v>0</v>
      </c>
      <c r="N88" s="279">
        <v>0</v>
      </c>
      <c r="O88" s="279">
        <v>0</v>
      </c>
      <c r="P88" s="279">
        <f t="shared" si="23"/>
        <v>0</v>
      </c>
    </row>
    <row r="89" spans="1:16">
      <c r="A89" s="273"/>
      <c r="B89" s="273" t="s">
        <v>433</v>
      </c>
      <c r="C89" s="273"/>
      <c r="D89" s="279">
        <v>0</v>
      </c>
      <c r="E89" s="279">
        <v>0</v>
      </c>
      <c r="F89" s="279">
        <v>0</v>
      </c>
      <c r="G89" s="279">
        <v>0</v>
      </c>
      <c r="H89" s="279">
        <v>0</v>
      </c>
      <c r="I89" s="279">
        <v>0</v>
      </c>
      <c r="J89" s="279">
        <v>0</v>
      </c>
      <c r="K89" s="279">
        <v>0</v>
      </c>
      <c r="L89" s="279">
        <v>0</v>
      </c>
      <c r="M89" s="279">
        <v>0</v>
      </c>
      <c r="N89" s="279">
        <v>0</v>
      </c>
      <c r="O89" s="279">
        <v>0</v>
      </c>
      <c r="P89" s="279">
        <f t="shared" si="23"/>
        <v>0</v>
      </c>
    </row>
    <row r="90" spans="1:16">
      <c r="A90" s="273"/>
      <c r="B90" s="273" t="s">
        <v>410</v>
      </c>
      <c r="C90" s="273"/>
      <c r="D90" s="279">
        <v>0</v>
      </c>
      <c r="E90" s="279">
        <v>0</v>
      </c>
      <c r="F90" s="279">
        <v>0</v>
      </c>
      <c r="G90" s="279">
        <v>0</v>
      </c>
      <c r="H90" s="279">
        <v>0</v>
      </c>
      <c r="I90" s="279">
        <v>0</v>
      </c>
      <c r="J90" s="279">
        <v>0</v>
      </c>
      <c r="K90" s="279">
        <v>0</v>
      </c>
      <c r="L90" s="279">
        <v>0</v>
      </c>
      <c r="M90" s="279">
        <v>0</v>
      </c>
      <c r="N90" s="279">
        <v>0</v>
      </c>
      <c r="O90" s="279">
        <v>0</v>
      </c>
      <c r="P90" s="279">
        <f t="shared" si="23"/>
        <v>0</v>
      </c>
    </row>
    <row r="91" spans="1:16">
      <c r="A91" s="273"/>
      <c r="B91" s="273" t="s">
        <v>411</v>
      </c>
      <c r="C91" s="273"/>
      <c r="D91" s="279">
        <v>0</v>
      </c>
      <c r="E91" s="279">
        <v>0</v>
      </c>
      <c r="F91" s="279">
        <v>0</v>
      </c>
      <c r="G91" s="279">
        <v>0</v>
      </c>
      <c r="H91" s="279">
        <v>0</v>
      </c>
      <c r="I91" s="279">
        <v>0</v>
      </c>
      <c r="J91" s="279">
        <v>0</v>
      </c>
      <c r="K91" s="279">
        <v>0</v>
      </c>
      <c r="L91" s="279">
        <v>0</v>
      </c>
      <c r="M91" s="279">
        <v>0</v>
      </c>
      <c r="N91" s="279">
        <v>0</v>
      </c>
      <c r="O91" s="279">
        <v>0</v>
      </c>
      <c r="P91" s="279">
        <f t="shared" si="23"/>
        <v>0</v>
      </c>
    </row>
    <row r="92" spans="1:16">
      <c r="A92" s="273"/>
      <c r="B92" s="273" t="s">
        <v>412</v>
      </c>
      <c r="C92" s="273"/>
      <c r="D92" s="279"/>
      <c r="E92" s="279">
        <v>73.333330000000004</v>
      </c>
      <c r="F92" s="279">
        <v>200</v>
      </c>
      <c r="G92" s="279">
        <v>280</v>
      </c>
      <c r="H92" s="279">
        <v>400</v>
      </c>
      <c r="I92" s="279">
        <v>200</v>
      </c>
      <c r="J92" s="279">
        <v>200</v>
      </c>
      <c r="K92" s="279">
        <v>200</v>
      </c>
      <c r="L92" s="279">
        <v>200</v>
      </c>
      <c r="M92" s="279">
        <v>244.315</v>
      </c>
      <c r="N92" s="279">
        <v>400</v>
      </c>
      <c r="O92" s="279">
        <v>400</v>
      </c>
      <c r="P92" s="279">
        <f t="shared" si="23"/>
        <v>2797.64833</v>
      </c>
    </row>
    <row r="93" spans="1:16">
      <c r="A93" s="273"/>
      <c r="B93" s="273" t="s">
        <v>413</v>
      </c>
      <c r="C93" s="273"/>
      <c r="D93" s="279"/>
      <c r="E93" s="279">
        <v>293.33334000000002</v>
      </c>
      <c r="F93" s="279">
        <v>800</v>
      </c>
      <c r="G93" s="279">
        <v>1120</v>
      </c>
      <c r="H93" s="279">
        <v>1600</v>
      </c>
      <c r="I93" s="279">
        <v>800</v>
      </c>
      <c r="J93" s="279">
        <v>800</v>
      </c>
      <c r="K93" s="279">
        <v>800</v>
      </c>
      <c r="L93" s="279">
        <v>800</v>
      </c>
      <c r="M93" s="279">
        <v>800</v>
      </c>
      <c r="N93" s="279">
        <v>1600</v>
      </c>
      <c r="O93" s="279">
        <v>1600</v>
      </c>
      <c r="P93" s="279">
        <f t="shared" si="23"/>
        <v>11013.333340000001</v>
      </c>
    </row>
    <row r="94" spans="1:16">
      <c r="A94" s="273"/>
      <c r="B94" s="273" t="s">
        <v>418</v>
      </c>
      <c r="C94" s="273"/>
      <c r="D94" s="279"/>
      <c r="E94" s="279">
        <v>3300</v>
      </c>
      <c r="F94" s="279">
        <v>4469.4920000000002</v>
      </c>
      <c r="G94" s="279">
        <v>12600</v>
      </c>
      <c r="H94" s="279">
        <v>18000</v>
      </c>
      <c r="I94" s="279">
        <v>9000</v>
      </c>
      <c r="J94" s="279">
        <v>9000</v>
      </c>
      <c r="K94" s="279">
        <v>9000</v>
      </c>
      <c r="L94" s="279">
        <v>9000</v>
      </c>
      <c r="M94" s="279">
        <v>9000</v>
      </c>
      <c r="N94" s="279">
        <v>18000</v>
      </c>
      <c r="O94" s="279">
        <v>18000</v>
      </c>
      <c r="P94" s="279">
        <f t="shared" si="23"/>
        <v>119369.492</v>
      </c>
    </row>
    <row r="95" spans="1:16">
      <c r="A95" s="273"/>
      <c r="B95" s="196" t="s">
        <v>420</v>
      </c>
      <c r="C95" s="273"/>
      <c r="D95" s="279"/>
      <c r="E95" s="279">
        <v>3727.89833</v>
      </c>
      <c r="F95" s="279">
        <v>0</v>
      </c>
      <c r="G95" s="279">
        <v>18972.878000000001</v>
      </c>
      <c r="H95" s="279">
        <v>16639.3</v>
      </c>
      <c r="I95" s="279">
        <v>15000</v>
      </c>
      <c r="J95" s="279">
        <v>15000</v>
      </c>
      <c r="K95" s="279">
        <v>15000</v>
      </c>
      <c r="L95" s="279">
        <v>15000</v>
      </c>
      <c r="M95" s="279">
        <v>15000</v>
      </c>
      <c r="N95" s="279">
        <v>18047.877</v>
      </c>
      <c r="O95" s="279">
        <v>10260.601000000001</v>
      </c>
      <c r="P95" s="279">
        <f t="shared" si="23"/>
        <v>142648.55432999998</v>
      </c>
    </row>
    <row r="96" spans="1:16">
      <c r="A96" s="273"/>
      <c r="B96" s="196" t="s">
        <v>421</v>
      </c>
      <c r="C96" s="273"/>
      <c r="D96" s="279"/>
      <c r="E96" s="279"/>
      <c r="F96" s="279"/>
      <c r="G96" s="279">
        <v>5835.6859999999997</v>
      </c>
      <c r="H96" s="279">
        <v>9998.0120000000006</v>
      </c>
      <c r="I96" s="279">
        <v>40562.938999999998</v>
      </c>
      <c r="J96" s="279">
        <v>39183.33</v>
      </c>
      <c r="K96" s="279">
        <v>27366.455999999998</v>
      </c>
      <c r="L96" s="279">
        <v>24242.376</v>
      </c>
      <c r="M96" s="279">
        <v>13196.781999999999</v>
      </c>
      <c r="N96" s="279">
        <v>3591.2</v>
      </c>
      <c r="O96" s="279">
        <v>0</v>
      </c>
      <c r="P96" s="279">
        <f t="shared" si="23"/>
        <v>163976.78100000002</v>
      </c>
    </row>
    <row r="97" spans="1:17">
      <c r="A97" s="273"/>
      <c r="B97" s="273" t="s">
        <v>446</v>
      </c>
      <c r="C97" s="273"/>
      <c r="D97" s="279">
        <f>SUM(D85:D96)</f>
        <v>0</v>
      </c>
      <c r="E97" s="279">
        <f t="shared" ref="E97:O97" si="24">SUM(E85:E96)</f>
        <v>7394.5650000000005</v>
      </c>
      <c r="F97" s="279">
        <f t="shared" si="24"/>
        <v>5469.4920000000002</v>
      </c>
      <c r="G97" s="279">
        <f t="shared" si="24"/>
        <v>38808.563999999998</v>
      </c>
      <c r="H97" s="279">
        <f t="shared" si="24"/>
        <v>46637.312000000005</v>
      </c>
      <c r="I97" s="279">
        <f t="shared" si="24"/>
        <v>65562.938999999998</v>
      </c>
      <c r="J97" s="279">
        <f t="shared" si="24"/>
        <v>64183.33</v>
      </c>
      <c r="K97" s="279">
        <f t="shared" si="24"/>
        <v>52366.455999999998</v>
      </c>
      <c r="L97" s="279">
        <f t="shared" si="24"/>
        <v>49242.376000000004</v>
      </c>
      <c r="M97" s="279">
        <f t="shared" si="24"/>
        <v>38241.097000000002</v>
      </c>
      <c r="N97" s="279">
        <f t="shared" si="24"/>
        <v>41639.076999999997</v>
      </c>
      <c r="O97" s="279">
        <f t="shared" si="24"/>
        <v>30260.601000000002</v>
      </c>
      <c r="P97" s="279">
        <f t="shared" si="23"/>
        <v>439805.80900000001</v>
      </c>
    </row>
    <row r="98" spans="1:17">
      <c r="A98" s="273">
        <v>116</v>
      </c>
      <c r="B98" s="273" t="s">
        <v>405</v>
      </c>
      <c r="C98" s="273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98"/>
    </row>
    <row r="99" spans="1:17">
      <c r="A99" s="273"/>
      <c r="B99" s="273" t="s">
        <v>404</v>
      </c>
      <c r="C99" s="273"/>
      <c r="D99" s="279">
        <v>0</v>
      </c>
      <c r="E99" s="279">
        <v>0</v>
      </c>
      <c r="F99" s="279">
        <v>0</v>
      </c>
      <c r="G99" s="279">
        <v>0</v>
      </c>
      <c r="H99" s="279">
        <v>0</v>
      </c>
      <c r="I99" s="279">
        <v>0</v>
      </c>
      <c r="J99" s="279">
        <v>0</v>
      </c>
      <c r="K99" s="279">
        <v>0</v>
      </c>
      <c r="L99" s="279">
        <v>0</v>
      </c>
      <c r="M99" s="279">
        <v>0</v>
      </c>
      <c r="N99" s="279">
        <v>0</v>
      </c>
      <c r="O99" s="279">
        <v>0</v>
      </c>
      <c r="P99" s="279">
        <f t="shared" ref="P99:P111" si="25">SUM(D99:O99)</f>
        <v>0</v>
      </c>
    </row>
    <row r="100" spans="1:17">
      <c r="A100" s="273"/>
      <c r="B100" s="273" t="s">
        <v>406</v>
      </c>
      <c r="C100" s="273"/>
      <c r="D100" s="279">
        <v>0</v>
      </c>
      <c r="E100" s="279">
        <v>0</v>
      </c>
      <c r="F100" s="279">
        <v>0</v>
      </c>
      <c r="G100" s="279">
        <v>0</v>
      </c>
      <c r="H100" s="279">
        <v>0</v>
      </c>
      <c r="I100" s="279">
        <v>0</v>
      </c>
      <c r="J100" s="279">
        <v>0</v>
      </c>
      <c r="K100" s="279">
        <v>0</v>
      </c>
      <c r="L100" s="279">
        <v>0</v>
      </c>
      <c r="M100" s="279">
        <v>0</v>
      </c>
      <c r="N100" s="279">
        <v>0</v>
      </c>
      <c r="O100" s="279">
        <v>0</v>
      </c>
      <c r="P100" s="279">
        <f t="shared" si="25"/>
        <v>0</v>
      </c>
    </row>
    <row r="101" spans="1:17">
      <c r="A101" s="273"/>
      <c r="B101" s="273" t="s">
        <v>407</v>
      </c>
      <c r="C101" s="273"/>
      <c r="D101" s="279">
        <v>0</v>
      </c>
      <c r="E101" s="279">
        <v>0</v>
      </c>
      <c r="F101" s="279">
        <v>0</v>
      </c>
      <c r="G101" s="279">
        <v>0</v>
      </c>
      <c r="H101" s="279">
        <v>0</v>
      </c>
      <c r="I101" s="279">
        <v>0</v>
      </c>
      <c r="J101" s="279">
        <v>0</v>
      </c>
      <c r="K101" s="279">
        <v>0</v>
      </c>
      <c r="L101" s="279">
        <v>0</v>
      </c>
      <c r="M101" s="279">
        <v>0</v>
      </c>
      <c r="N101" s="279">
        <v>0</v>
      </c>
      <c r="O101" s="279">
        <v>0</v>
      </c>
      <c r="P101" s="279">
        <f t="shared" si="25"/>
        <v>0</v>
      </c>
    </row>
    <row r="102" spans="1:17">
      <c r="A102" s="273"/>
      <c r="B102" s="273" t="s">
        <v>408</v>
      </c>
      <c r="C102" s="273"/>
      <c r="D102" s="279">
        <v>0</v>
      </c>
      <c r="E102" s="279">
        <v>0</v>
      </c>
      <c r="F102" s="279">
        <v>0</v>
      </c>
      <c r="G102" s="279">
        <v>0</v>
      </c>
      <c r="H102" s="279">
        <v>0</v>
      </c>
      <c r="I102" s="279">
        <v>0</v>
      </c>
      <c r="J102" s="279">
        <v>0</v>
      </c>
      <c r="K102" s="279">
        <v>0</v>
      </c>
      <c r="L102" s="279">
        <v>0</v>
      </c>
      <c r="M102" s="279">
        <v>0</v>
      </c>
      <c r="N102" s="279">
        <v>0</v>
      </c>
      <c r="O102" s="279">
        <v>0</v>
      </c>
      <c r="P102" s="279">
        <f t="shared" si="25"/>
        <v>0</v>
      </c>
    </row>
    <row r="103" spans="1:17">
      <c r="A103" s="273"/>
      <c r="B103" s="273" t="s">
        <v>433</v>
      </c>
      <c r="C103" s="273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>
        <v>0</v>
      </c>
      <c r="O103" s="279">
        <v>0</v>
      </c>
      <c r="P103" s="279">
        <f t="shared" si="25"/>
        <v>0</v>
      </c>
    </row>
    <row r="104" spans="1:17">
      <c r="A104" s="273"/>
      <c r="B104" s="273" t="s">
        <v>410</v>
      </c>
      <c r="C104" s="273"/>
      <c r="D104" s="279">
        <v>0</v>
      </c>
      <c r="E104" s="279">
        <v>0</v>
      </c>
      <c r="F104" s="279">
        <v>0</v>
      </c>
      <c r="G104" s="279">
        <v>0</v>
      </c>
      <c r="H104" s="279">
        <v>0</v>
      </c>
      <c r="I104" s="279">
        <v>0</v>
      </c>
      <c r="J104" s="279">
        <v>0</v>
      </c>
      <c r="K104" s="279">
        <v>0</v>
      </c>
      <c r="L104" s="279">
        <v>0</v>
      </c>
      <c r="M104" s="279">
        <v>0</v>
      </c>
      <c r="N104" s="279">
        <v>0</v>
      </c>
      <c r="O104" s="279">
        <v>0</v>
      </c>
      <c r="P104" s="279">
        <f t="shared" si="25"/>
        <v>0</v>
      </c>
    </row>
    <row r="105" spans="1:17">
      <c r="A105" s="273"/>
      <c r="B105" s="273" t="s">
        <v>411</v>
      </c>
      <c r="C105" s="273"/>
      <c r="D105" s="279">
        <v>0</v>
      </c>
      <c r="E105" s="279">
        <v>0</v>
      </c>
      <c r="F105" s="279">
        <v>0</v>
      </c>
      <c r="G105" s="279">
        <v>0</v>
      </c>
      <c r="H105" s="279">
        <v>0</v>
      </c>
      <c r="I105" s="279">
        <v>0</v>
      </c>
      <c r="J105" s="279">
        <v>0</v>
      </c>
      <c r="K105" s="279">
        <v>0</v>
      </c>
      <c r="L105" s="279">
        <v>0</v>
      </c>
      <c r="M105" s="279">
        <v>0</v>
      </c>
      <c r="N105" s="279">
        <v>0</v>
      </c>
      <c r="O105" s="279">
        <v>0</v>
      </c>
      <c r="P105" s="279">
        <f t="shared" si="25"/>
        <v>0</v>
      </c>
    </row>
    <row r="106" spans="1:17">
      <c r="A106" s="273"/>
      <c r="B106" s="273" t="s">
        <v>412</v>
      </c>
      <c r="C106" s="273"/>
      <c r="D106" s="279">
        <v>0</v>
      </c>
      <c r="E106" s="279">
        <v>0</v>
      </c>
      <c r="F106" s="279">
        <v>0</v>
      </c>
      <c r="G106" s="279">
        <v>0</v>
      </c>
      <c r="H106" s="279">
        <v>0</v>
      </c>
      <c r="I106" s="279">
        <v>0</v>
      </c>
      <c r="J106" s="279">
        <v>0</v>
      </c>
      <c r="K106" s="279">
        <v>0</v>
      </c>
      <c r="L106" s="279">
        <v>0</v>
      </c>
      <c r="M106" s="279">
        <v>0</v>
      </c>
      <c r="N106" s="279">
        <v>0</v>
      </c>
      <c r="O106" s="279">
        <v>0</v>
      </c>
      <c r="P106" s="279">
        <f t="shared" si="25"/>
        <v>0</v>
      </c>
    </row>
    <row r="107" spans="1:17">
      <c r="A107" s="273"/>
      <c r="B107" s="273" t="s">
        <v>413</v>
      </c>
      <c r="C107" s="273"/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0</v>
      </c>
      <c r="L107" s="279">
        <v>0</v>
      </c>
      <c r="M107" s="279">
        <v>0</v>
      </c>
      <c r="N107" s="279">
        <v>0</v>
      </c>
      <c r="O107" s="279">
        <v>0</v>
      </c>
      <c r="P107" s="279">
        <f t="shared" si="25"/>
        <v>0</v>
      </c>
    </row>
    <row r="108" spans="1:17">
      <c r="A108" s="273"/>
      <c r="B108" s="273" t="s">
        <v>418</v>
      </c>
      <c r="C108" s="273"/>
      <c r="D108" s="279">
        <v>0</v>
      </c>
      <c r="E108" s="279">
        <v>0</v>
      </c>
      <c r="F108" s="279">
        <v>0</v>
      </c>
      <c r="G108" s="279">
        <v>0</v>
      </c>
      <c r="H108" s="279">
        <v>0</v>
      </c>
      <c r="I108" s="279">
        <v>0</v>
      </c>
      <c r="J108" s="279">
        <v>0</v>
      </c>
      <c r="K108" s="279">
        <v>0</v>
      </c>
      <c r="L108" s="279">
        <v>0</v>
      </c>
      <c r="M108" s="279">
        <v>0</v>
      </c>
      <c r="N108" s="279">
        <v>0</v>
      </c>
      <c r="O108" s="279">
        <v>0</v>
      </c>
      <c r="P108" s="279">
        <f t="shared" si="25"/>
        <v>0</v>
      </c>
    </row>
    <row r="109" spans="1:17">
      <c r="A109" s="273"/>
      <c r="B109" s="273" t="s">
        <v>420</v>
      </c>
      <c r="C109" s="273"/>
      <c r="D109" s="279">
        <v>0</v>
      </c>
      <c r="E109" s="279">
        <v>0</v>
      </c>
      <c r="F109" s="279">
        <v>0</v>
      </c>
      <c r="G109" s="279">
        <v>0</v>
      </c>
      <c r="H109" s="279">
        <v>0</v>
      </c>
      <c r="I109" s="279">
        <v>0</v>
      </c>
      <c r="J109" s="279">
        <v>0</v>
      </c>
      <c r="K109" s="279">
        <v>0</v>
      </c>
      <c r="L109" s="279">
        <v>0</v>
      </c>
      <c r="M109" s="279">
        <v>0</v>
      </c>
      <c r="N109" s="279">
        <v>0</v>
      </c>
      <c r="O109" s="279">
        <v>0</v>
      </c>
      <c r="P109" s="279">
        <f t="shared" si="25"/>
        <v>0</v>
      </c>
    </row>
    <row r="110" spans="1:17">
      <c r="A110" s="273"/>
      <c r="B110" s="273" t="s">
        <v>421</v>
      </c>
      <c r="C110" s="273"/>
      <c r="D110" s="279">
        <v>0</v>
      </c>
      <c r="E110" s="279">
        <v>0</v>
      </c>
      <c r="F110" s="279">
        <v>0</v>
      </c>
      <c r="G110" s="279">
        <v>0</v>
      </c>
      <c r="H110" s="279">
        <v>0</v>
      </c>
      <c r="I110" s="279">
        <v>0</v>
      </c>
      <c r="J110" s="279">
        <v>0</v>
      </c>
      <c r="K110" s="279">
        <v>0</v>
      </c>
      <c r="L110" s="279">
        <v>0</v>
      </c>
      <c r="M110" s="279">
        <v>0</v>
      </c>
      <c r="N110" s="279">
        <v>0</v>
      </c>
      <c r="O110" s="279">
        <v>0</v>
      </c>
      <c r="P110" s="279">
        <f t="shared" si="25"/>
        <v>0</v>
      </c>
    </row>
    <row r="111" spans="1:17">
      <c r="A111" s="273"/>
      <c r="B111" s="273" t="s">
        <v>422</v>
      </c>
      <c r="C111" s="273"/>
      <c r="D111" s="279">
        <f>SUM(D99:D110)</f>
        <v>0</v>
      </c>
      <c r="E111" s="279">
        <f t="shared" ref="E111:J111" si="26">SUM(E99:E110)</f>
        <v>0</v>
      </c>
      <c r="F111" s="279">
        <f t="shared" si="26"/>
        <v>0</v>
      </c>
      <c r="G111" s="279">
        <f t="shared" si="26"/>
        <v>0</v>
      </c>
      <c r="H111" s="279">
        <f t="shared" si="26"/>
        <v>0</v>
      </c>
      <c r="I111" s="279">
        <f t="shared" si="26"/>
        <v>0</v>
      </c>
      <c r="J111" s="279">
        <f t="shared" si="26"/>
        <v>0</v>
      </c>
      <c r="K111" s="279">
        <f>SUM(K99:K110)</f>
        <v>0</v>
      </c>
      <c r="L111" s="279">
        <f t="shared" ref="L111:N111" si="27">SUM(L99:L110)</f>
        <v>0</v>
      </c>
      <c r="M111" s="279">
        <f t="shared" si="27"/>
        <v>0</v>
      </c>
      <c r="N111" s="279">
        <f t="shared" si="27"/>
        <v>0</v>
      </c>
      <c r="O111" s="279">
        <f>SUM(O99:O110)</f>
        <v>0</v>
      </c>
      <c r="P111" s="279">
        <f t="shared" si="25"/>
        <v>0</v>
      </c>
    </row>
    <row r="112" spans="1:17">
      <c r="A112" s="196" t="s">
        <v>508</v>
      </c>
      <c r="B112" s="273" t="s">
        <v>405</v>
      </c>
      <c r="C112" s="273"/>
      <c r="D112" s="279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</row>
    <row r="113" spans="1:16">
      <c r="A113" s="273"/>
      <c r="B113" s="273" t="s">
        <v>404</v>
      </c>
      <c r="C113" s="273"/>
      <c r="D113" s="279">
        <v>0</v>
      </c>
      <c r="E113" s="279">
        <v>0</v>
      </c>
      <c r="F113" s="279">
        <v>0</v>
      </c>
      <c r="G113" s="279">
        <v>0</v>
      </c>
      <c r="H113" s="279">
        <v>0</v>
      </c>
      <c r="I113" s="279">
        <v>0</v>
      </c>
      <c r="J113" s="279">
        <v>0</v>
      </c>
      <c r="K113" s="279">
        <v>0</v>
      </c>
      <c r="L113" s="279">
        <v>0</v>
      </c>
      <c r="M113" s="279">
        <v>0</v>
      </c>
      <c r="N113" s="279">
        <v>0</v>
      </c>
      <c r="O113" s="279">
        <v>0</v>
      </c>
      <c r="P113" s="279">
        <f t="shared" ref="P113:P124" si="28">SUM(D113:O113)</f>
        <v>0</v>
      </c>
    </row>
    <row r="114" spans="1:16">
      <c r="A114" s="273"/>
      <c r="B114" s="273" t="s">
        <v>406</v>
      </c>
      <c r="C114" s="273"/>
      <c r="D114" s="279">
        <v>0</v>
      </c>
      <c r="E114" s="279">
        <v>0</v>
      </c>
      <c r="F114" s="279">
        <v>0</v>
      </c>
      <c r="G114" s="279">
        <v>0</v>
      </c>
      <c r="H114" s="279">
        <v>0</v>
      </c>
      <c r="I114" s="279">
        <v>0</v>
      </c>
      <c r="J114" s="279">
        <v>0</v>
      </c>
      <c r="K114" s="279">
        <v>0</v>
      </c>
      <c r="L114" s="279">
        <v>0</v>
      </c>
      <c r="M114" s="279">
        <v>0</v>
      </c>
      <c r="N114" s="279">
        <v>0</v>
      </c>
      <c r="O114" s="279">
        <v>0</v>
      </c>
      <c r="P114" s="279">
        <f t="shared" si="28"/>
        <v>0</v>
      </c>
    </row>
    <row r="115" spans="1:16">
      <c r="A115" s="273"/>
      <c r="B115" s="273" t="s">
        <v>407</v>
      </c>
      <c r="C115" s="273"/>
      <c r="D115" s="279">
        <v>0</v>
      </c>
      <c r="E115" s="279">
        <v>0</v>
      </c>
      <c r="F115" s="279">
        <v>0</v>
      </c>
      <c r="G115" s="279">
        <v>0</v>
      </c>
      <c r="H115" s="279">
        <v>0</v>
      </c>
      <c r="I115" s="279">
        <v>0</v>
      </c>
      <c r="J115" s="279">
        <v>0</v>
      </c>
      <c r="K115" s="279">
        <v>0</v>
      </c>
      <c r="L115" s="279">
        <v>0</v>
      </c>
      <c r="M115" s="279">
        <v>0</v>
      </c>
      <c r="N115" s="279">
        <v>0</v>
      </c>
      <c r="O115" s="279">
        <v>0</v>
      </c>
      <c r="P115" s="279">
        <f t="shared" si="28"/>
        <v>0</v>
      </c>
    </row>
    <row r="116" spans="1:16">
      <c r="A116" s="273"/>
      <c r="B116" s="273" t="s">
        <v>408</v>
      </c>
      <c r="C116" s="273"/>
      <c r="D116" s="279">
        <v>0</v>
      </c>
      <c r="E116" s="279">
        <v>0</v>
      </c>
      <c r="F116" s="279">
        <v>0</v>
      </c>
      <c r="G116" s="279">
        <v>0</v>
      </c>
      <c r="H116" s="279">
        <v>0</v>
      </c>
      <c r="I116" s="279">
        <v>0</v>
      </c>
      <c r="J116" s="279">
        <v>0</v>
      </c>
      <c r="K116" s="279">
        <v>0</v>
      </c>
      <c r="L116" s="279">
        <v>0</v>
      </c>
      <c r="M116" s="279">
        <v>0</v>
      </c>
      <c r="N116" s="279">
        <v>0</v>
      </c>
      <c r="O116" s="279">
        <v>0</v>
      </c>
      <c r="P116" s="279">
        <f t="shared" si="28"/>
        <v>0</v>
      </c>
    </row>
    <row r="117" spans="1:16">
      <c r="A117" s="273"/>
      <c r="B117" s="273" t="s">
        <v>433</v>
      </c>
      <c r="C117" s="273"/>
      <c r="D117" s="279">
        <v>0</v>
      </c>
      <c r="E117" s="279">
        <v>0</v>
      </c>
      <c r="F117" s="279">
        <v>0</v>
      </c>
      <c r="G117" s="279">
        <v>0</v>
      </c>
      <c r="H117" s="279">
        <v>0</v>
      </c>
      <c r="I117" s="279">
        <v>0</v>
      </c>
      <c r="J117" s="279">
        <v>0</v>
      </c>
      <c r="K117" s="279">
        <v>0</v>
      </c>
      <c r="L117" s="279">
        <v>0</v>
      </c>
      <c r="M117" s="279">
        <v>0</v>
      </c>
      <c r="N117" s="279">
        <v>0</v>
      </c>
      <c r="O117" s="279">
        <v>0</v>
      </c>
      <c r="P117" s="279">
        <f t="shared" si="28"/>
        <v>0</v>
      </c>
    </row>
    <row r="118" spans="1:16">
      <c r="A118" s="273"/>
      <c r="B118" s="273" t="s">
        <v>410</v>
      </c>
      <c r="C118" s="273"/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  <c r="K118" s="279">
        <v>0</v>
      </c>
      <c r="L118" s="279">
        <v>0</v>
      </c>
      <c r="M118" s="279">
        <v>0</v>
      </c>
      <c r="N118" s="279">
        <v>0</v>
      </c>
      <c r="O118" s="279">
        <v>0</v>
      </c>
      <c r="P118" s="279">
        <f t="shared" si="28"/>
        <v>0</v>
      </c>
    </row>
    <row r="119" spans="1:16">
      <c r="A119" s="273"/>
      <c r="B119" s="273" t="s">
        <v>411</v>
      </c>
      <c r="C119" s="273"/>
      <c r="D119" s="279">
        <v>0</v>
      </c>
      <c r="E119" s="279">
        <v>0</v>
      </c>
      <c r="F119" s="279">
        <v>0</v>
      </c>
      <c r="G119" s="279">
        <v>0</v>
      </c>
      <c r="H119" s="279">
        <v>0</v>
      </c>
      <c r="I119" s="279">
        <v>0</v>
      </c>
      <c r="J119" s="279">
        <v>0</v>
      </c>
      <c r="K119" s="279">
        <v>0</v>
      </c>
      <c r="L119" s="279">
        <v>0</v>
      </c>
      <c r="M119" s="279">
        <v>0</v>
      </c>
      <c r="N119" s="279">
        <v>0</v>
      </c>
      <c r="O119" s="279">
        <v>0</v>
      </c>
      <c r="P119" s="279">
        <f t="shared" si="28"/>
        <v>0</v>
      </c>
    </row>
    <row r="120" spans="1:16">
      <c r="A120" s="273"/>
      <c r="B120" s="273" t="s">
        <v>412</v>
      </c>
      <c r="C120" s="273"/>
      <c r="D120" s="279">
        <v>0</v>
      </c>
      <c r="E120" s="279">
        <v>0</v>
      </c>
      <c r="F120" s="279">
        <v>0</v>
      </c>
      <c r="G120" s="279">
        <v>0</v>
      </c>
      <c r="H120" s="279">
        <v>0</v>
      </c>
      <c r="I120" s="279">
        <v>0</v>
      </c>
      <c r="J120" s="279">
        <v>0</v>
      </c>
      <c r="K120" s="279">
        <v>0</v>
      </c>
      <c r="L120" s="279">
        <v>0</v>
      </c>
      <c r="M120" s="279">
        <v>0</v>
      </c>
      <c r="N120" s="279">
        <v>0</v>
      </c>
      <c r="O120" s="279">
        <v>0</v>
      </c>
      <c r="P120" s="279">
        <f t="shared" si="28"/>
        <v>0</v>
      </c>
    </row>
    <row r="121" spans="1:16">
      <c r="A121" s="273"/>
      <c r="B121" s="273" t="s">
        <v>413</v>
      </c>
      <c r="C121" s="273"/>
      <c r="D121" s="279">
        <v>0</v>
      </c>
      <c r="E121" s="279">
        <v>0</v>
      </c>
      <c r="F121" s="279">
        <v>0</v>
      </c>
      <c r="G121" s="279">
        <v>0</v>
      </c>
      <c r="H121" s="279">
        <v>0</v>
      </c>
      <c r="I121" s="279">
        <v>0</v>
      </c>
      <c r="J121" s="279">
        <v>0</v>
      </c>
      <c r="K121" s="279">
        <v>0</v>
      </c>
      <c r="L121" s="279">
        <v>0</v>
      </c>
      <c r="M121" s="279">
        <v>0</v>
      </c>
      <c r="N121" s="279">
        <v>0</v>
      </c>
      <c r="O121" s="279">
        <v>0</v>
      </c>
      <c r="P121" s="279">
        <f t="shared" si="28"/>
        <v>0</v>
      </c>
    </row>
    <row r="122" spans="1:16">
      <c r="A122" s="273"/>
      <c r="B122" s="273" t="s">
        <v>418</v>
      </c>
      <c r="C122" s="273"/>
      <c r="D122" s="279">
        <v>0</v>
      </c>
      <c r="E122" s="279">
        <v>0</v>
      </c>
      <c r="F122" s="279">
        <v>0</v>
      </c>
      <c r="G122" s="279">
        <v>0</v>
      </c>
      <c r="H122" s="279">
        <v>0</v>
      </c>
      <c r="I122" s="279">
        <v>0</v>
      </c>
      <c r="J122" s="279">
        <v>0</v>
      </c>
      <c r="K122" s="279">
        <v>0</v>
      </c>
      <c r="L122" s="279">
        <v>0</v>
      </c>
      <c r="M122" s="279">
        <v>0</v>
      </c>
      <c r="N122" s="279">
        <v>0</v>
      </c>
      <c r="O122" s="279">
        <v>0</v>
      </c>
      <c r="P122" s="279">
        <f t="shared" si="28"/>
        <v>0</v>
      </c>
    </row>
    <row r="123" spans="1:16">
      <c r="A123" s="273"/>
      <c r="B123" s="273" t="s">
        <v>420</v>
      </c>
      <c r="C123" s="273"/>
      <c r="D123" s="279">
        <v>0</v>
      </c>
      <c r="E123" s="279">
        <v>0</v>
      </c>
      <c r="F123" s="279">
        <v>0</v>
      </c>
      <c r="G123" s="279">
        <v>0</v>
      </c>
      <c r="H123" s="279">
        <v>0</v>
      </c>
      <c r="I123" s="279">
        <v>0</v>
      </c>
      <c r="J123" s="279">
        <v>0</v>
      </c>
      <c r="K123" s="279">
        <v>0</v>
      </c>
      <c r="L123" s="279">
        <v>0</v>
      </c>
      <c r="M123" s="279">
        <v>0</v>
      </c>
      <c r="N123" s="279">
        <v>0</v>
      </c>
      <c r="O123" s="279">
        <v>0</v>
      </c>
      <c r="P123" s="279">
        <f t="shared" si="28"/>
        <v>0</v>
      </c>
    </row>
    <row r="124" spans="1:16">
      <c r="A124" s="273"/>
      <c r="B124" s="273" t="s">
        <v>421</v>
      </c>
      <c r="C124" s="273"/>
      <c r="D124" s="279">
        <v>0</v>
      </c>
      <c r="E124" s="279">
        <v>0</v>
      </c>
      <c r="F124" s="279">
        <v>0</v>
      </c>
      <c r="G124" s="279">
        <v>0</v>
      </c>
      <c r="H124" s="279">
        <v>0</v>
      </c>
      <c r="I124" s="279">
        <v>0</v>
      </c>
      <c r="J124" s="279">
        <v>0</v>
      </c>
      <c r="K124" s="279">
        <v>0</v>
      </c>
      <c r="L124" s="279">
        <v>0</v>
      </c>
      <c r="M124" s="279">
        <v>0</v>
      </c>
      <c r="N124" s="279">
        <v>0</v>
      </c>
      <c r="O124" s="279">
        <v>0</v>
      </c>
      <c r="P124" s="279">
        <f t="shared" si="28"/>
        <v>0</v>
      </c>
    </row>
    <row r="125" spans="1:16">
      <c r="A125" s="273"/>
      <c r="B125" s="273" t="s">
        <v>423</v>
      </c>
      <c r="C125" s="273"/>
      <c r="D125" s="279">
        <f>SUM(D113:D124)</f>
        <v>0</v>
      </c>
      <c r="E125" s="279">
        <f t="shared" ref="E125:P125" si="29">SUM(E113:E124)</f>
        <v>0</v>
      </c>
      <c r="F125" s="279">
        <f t="shared" si="29"/>
        <v>0</v>
      </c>
      <c r="G125" s="279">
        <f t="shared" si="29"/>
        <v>0</v>
      </c>
      <c r="H125" s="279">
        <f t="shared" si="29"/>
        <v>0</v>
      </c>
      <c r="I125" s="279">
        <f t="shared" si="29"/>
        <v>0</v>
      </c>
      <c r="J125" s="279">
        <f t="shared" si="29"/>
        <v>0</v>
      </c>
      <c r="K125" s="279">
        <f t="shared" si="29"/>
        <v>0</v>
      </c>
      <c r="L125" s="279">
        <f t="shared" si="29"/>
        <v>0</v>
      </c>
      <c r="M125" s="279">
        <f t="shared" si="29"/>
        <v>0</v>
      </c>
      <c r="N125" s="279">
        <f t="shared" si="29"/>
        <v>0</v>
      </c>
      <c r="O125" s="279">
        <f t="shared" si="29"/>
        <v>0</v>
      </c>
      <c r="P125" s="279">
        <f t="shared" si="29"/>
        <v>0</v>
      </c>
    </row>
    <row r="126" spans="1:16">
      <c r="A126" s="273" t="s">
        <v>367</v>
      </c>
      <c r="B126" s="273" t="s">
        <v>404</v>
      </c>
      <c r="C126" s="273"/>
      <c r="D126" s="279">
        <v>0</v>
      </c>
      <c r="E126" s="279">
        <v>0</v>
      </c>
      <c r="F126" s="279">
        <v>0</v>
      </c>
      <c r="G126" s="279">
        <v>0</v>
      </c>
      <c r="H126" s="279">
        <v>0</v>
      </c>
      <c r="I126" s="279">
        <v>0</v>
      </c>
      <c r="J126" s="279">
        <v>0</v>
      </c>
      <c r="K126" s="279">
        <v>0</v>
      </c>
      <c r="L126" s="279">
        <v>0</v>
      </c>
      <c r="M126" s="279">
        <v>0</v>
      </c>
      <c r="N126" s="279">
        <v>0</v>
      </c>
      <c r="O126" s="279">
        <v>0</v>
      </c>
      <c r="P126" s="279">
        <f>SUM(D126:O126)</f>
        <v>0</v>
      </c>
    </row>
    <row r="127" spans="1:16">
      <c r="A127" s="273"/>
      <c r="B127" s="273" t="s">
        <v>406</v>
      </c>
      <c r="C127" s="273"/>
      <c r="D127" s="279">
        <v>0</v>
      </c>
      <c r="E127" s="279">
        <v>0</v>
      </c>
      <c r="F127" s="279">
        <v>0</v>
      </c>
      <c r="G127" s="279">
        <v>0</v>
      </c>
      <c r="H127" s="279">
        <v>0</v>
      </c>
      <c r="I127" s="279">
        <v>0</v>
      </c>
      <c r="J127" s="279">
        <v>0</v>
      </c>
      <c r="K127" s="279">
        <v>0</v>
      </c>
      <c r="L127" s="279">
        <v>0</v>
      </c>
      <c r="M127" s="279">
        <v>0</v>
      </c>
      <c r="N127" s="279">
        <v>0</v>
      </c>
      <c r="O127" s="279">
        <v>0</v>
      </c>
      <c r="P127" s="279">
        <f t="shared" ref="P127:P136" si="30">SUM(D127:O127)</f>
        <v>0</v>
      </c>
    </row>
    <row r="128" spans="1:16">
      <c r="A128" s="273"/>
      <c r="B128" s="273" t="s">
        <v>407</v>
      </c>
      <c r="C128" s="273"/>
      <c r="D128" s="279">
        <v>0</v>
      </c>
      <c r="E128" s="279">
        <v>0</v>
      </c>
      <c r="F128" s="279">
        <v>0</v>
      </c>
      <c r="G128" s="279">
        <v>0</v>
      </c>
      <c r="H128" s="279">
        <v>0</v>
      </c>
      <c r="I128" s="279">
        <v>0</v>
      </c>
      <c r="J128" s="279">
        <v>0</v>
      </c>
      <c r="K128" s="279">
        <v>0</v>
      </c>
      <c r="L128" s="279">
        <v>0</v>
      </c>
      <c r="M128" s="279">
        <v>0</v>
      </c>
      <c r="N128" s="279">
        <v>0</v>
      </c>
      <c r="O128" s="279">
        <v>0</v>
      </c>
      <c r="P128" s="279">
        <f t="shared" si="30"/>
        <v>0</v>
      </c>
    </row>
    <row r="129" spans="1:16">
      <c r="A129" s="273"/>
      <c r="B129" s="273" t="s">
        <v>408</v>
      </c>
      <c r="C129" s="273"/>
      <c r="D129" s="279">
        <v>0</v>
      </c>
      <c r="E129" s="279">
        <v>0</v>
      </c>
      <c r="F129" s="279">
        <v>0</v>
      </c>
      <c r="G129" s="279">
        <v>0</v>
      </c>
      <c r="H129" s="279">
        <v>0</v>
      </c>
      <c r="I129" s="279">
        <v>0</v>
      </c>
      <c r="J129" s="279">
        <v>0</v>
      </c>
      <c r="K129" s="279">
        <v>0</v>
      </c>
      <c r="L129" s="279">
        <v>0</v>
      </c>
      <c r="M129" s="279">
        <v>0</v>
      </c>
      <c r="N129" s="279">
        <v>0</v>
      </c>
      <c r="O129" s="279">
        <v>0</v>
      </c>
      <c r="P129" s="279">
        <f t="shared" si="30"/>
        <v>0</v>
      </c>
    </row>
    <row r="130" spans="1:16">
      <c r="A130" s="273"/>
      <c r="B130" s="273" t="s">
        <v>433</v>
      </c>
      <c r="C130" s="273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>
        <v>0</v>
      </c>
      <c r="O130" s="279">
        <v>0</v>
      </c>
      <c r="P130" s="279">
        <f t="shared" si="30"/>
        <v>0</v>
      </c>
    </row>
    <row r="131" spans="1:16">
      <c r="A131" s="273"/>
      <c r="B131" s="273" t="s">
        <v>410</v>
      </c>
      <c r="C131" s="273"/>
      <c r="D131" s="279">
        <v>0</v>
      </c>
      <c r="E131" s="279">
        <v>0</v>
      </c>
      <c r="F131" s="279">
        <v>0</v>
      </c>
      <c r="G131" s="279">
        <v>0</v>
      </c>
      <c r="H131" s="279">
        <v>0</v>
      </c>
      <c r="I131" s="279">
        <v>0</v>
      </c>
      <c r="J131" s="279">
        <v>0</v>
      </c>
      <c r="K131" s="279">
        <v>0</v>
      </c>
      <c r="L131" s="279">
        <v>0</v>
      </c>
      <c r="M131" s="279">
        <v>0</v>
      </c>
      <c r="N131" s="279">
        <v>0</v>
      </c>
      <c r="O131" s="279">
        <v>0</v>
      </c>
      <c r="P131" s="279">
        <f t="shared" si="30"/>
        <v>0</v>
      </c>
    </row>
    <row r="132" spans="1:16">
      <c r="A132" s="273"/>
      <c r="B132" s="273" t="s">
        <v>411</v>
      </c>
      <c r="C132" s="273"/>
      <c r="D132" s="279">
        <v>0</v>
      </c>
      <c r="E132" s="279">
        <v>0</v>
      </c>
      <c r="F132" s="279">
        <v>0</v>
      </c>
      <c r="G132" s="279">
        <v>0</v>
      </c>
      <c r="H132" s="279">
        <v>0</v>
      </c>
      <c r="I132" s="279">
        <v>0</v>
      </c>
      <c r="J132" s="279">
        <v>0</v>
      </c>
      <c r="K132" s="279">
        <v>0</v>
      </c>
      <c r="L132" s="279">
        <v>0</v>
      </c>
      <c r="M132" s="279">
        <v>0</v>
      </c>
      <c r="N132" s="279">
        <v>0</v>
      </c>
      <c r="O132" s="279">
        <v>0</v>
      </c>
      <c r="P132" s="279">
        <f t="shared" si="30"/>
        <v>0</v>
      </c>
    </row>
    <row r="133" spans="1:16">
      <c r="A133" s="273"/>
      <c r="B133" s="273" t="s">
        <v>412</v>
      </c>
      <c r="C133" s="273"/>
      <c r="D133" s="279">
        <v>20000</v>
      </c>
      <c r="E133" s="279">
        <v>20000</v>
      </c>
      <c r="F133" s="279">
        <v>20000</v>
      </c>
      <c r="G133" s="279">
        <v>20000</v>
      </c>
      <c r="H133" s="279">
        <v>27000</v>
      </c>
      <c r="I133" s="279">
        <v>30000</v>
      </c>
      <c r="J133" s="279">
        <v>50000</v>
      </c>
      <c r="K133" s="279">
        <v>30000</v>
      </c>
      <c r="L133" s="279">
        <v>48666.666669999999</v>
      </c>
      <c r="M133" s="279">
        <v>40000</v>
      </c>
      <c r="N133" s="279">
        <v>42000</v>
      </c>
      <c r="O133" s="279">
        <v>44666.666669999999</v>
      </c>
      <c r="P133" s="279">
        <f t="shared" si="30"/>
        <v>392333.33334000001</v>
      </c>
    </row>
    <row r="134" spans="1:16">
      <c r="A134" s="273"/>
      <c r="B134" s="273" t="s">
        <v>413</v>
      </c>
      <c r="C134" s="273"/>
      <c r="D134" s="279">
        <v>21521.57</v>
      </c>
      <c r="E134" s="279">
        <v>17002.797999999999</v>
      </c>
      <c r="F134" s="279">
        <v>16073.072</v>
      </c>
      <c r="G134" s="279">
        <v>18009.168000000001</v>
      </c>
      <c r="H134" s="279">
        <v>39034.574000000001</v>
      </c>
      <c r="I134" s="279">
        <v>45000</v>
      </c>
      <c r="J134" s="279">
        <v>75000</v>
      </c>
      <c r="K134" s="279">
        <v>45000</v>
      </c>
      <c r="L134" s="279">
        <v>73000</v>
      </c>
      <c r="M134" s="279">
        <v>60000</v>
      </c>
      <c r="N134" s="279">
        <v>63000</v>
      </c>
      <c r="O134" s="279">
        <v>54676.709329999998</v>
      </c>
      <c r="P134" s="279">
        <f t="shared" si="30"/>
        <v>527317.89133000001</v>
      </c>
    </row>
    <row r="135" spans="1:16">
      <c r="A135" s="273"/>
      <c r="B135" s="273" t="s">
        <v>418</v>
      </c>
      <c r="C135" s="273"/>
      <c r="D135" s="279">
        <v>2128.4699999999998</v>
      </c>
      <c r="E135" s="279">
        <v>3660.9319999999998</v>
      </c>
      <c r="F135" s="279">
        <v>6050.58</v>
      </c>
      <c r="G135" s="279">
        <v>12774.923000000001</v>
      </c>
      <c r="H135" s="279">
        <v>28876.2</v>
      </c>
      <c r="I135" s="279">
        <v>62233.027000000002</v>
      </c>
      <c r="J135" s="279">
        <v>112976.83500000001</v>
      </c>
      <c r="K135" s="279">
        <v>59495.08</v>
      </c>
      <c r="L135" s="279">
        <v>104027.66666</v>
      </c>
      <c r="M135" s="279">
        <v>80449.64</v>
      </c>
      <c r="N135" s="279">
        <v>60414.294999999998</v>
      </c>
      <c r="O135" s="279">
        <v>31772.44</v>
      </c>
      <c r="P135" s="279">
        <f t="shared" si="30"/>
        <v>564860.08866000001</v>
      </c>
    </row>
    <row r="136" spans="1:16">
      <c r="A136" s="273"/>
      <c r="B136" s="273" t="s">
        <v>420</v>
      </c>
      <c r="C136" s="273"/>
      <c r="D136" s="279">
        <v>0</v>
      </c>
      <c r="E136" s="279">
        <v>0</v>
      </c>
      <c r="F136" s="279">
        <v>0</v>
      </c>
      <c r="G136" s="279">
        <v>0</v>
      </c>
      <c r="H136" s="279">
        <v>68634.153999999995</v>
      </c>
      <c r="I136" s="279">
        <v>115814.287</v>
      </c>
      <c r="J136" s="279">
        <v>234455.16899999999</v>
      </c>
      <c r="K136" s="279">
        <v>94631.119000000006</v>
      </c>
      <c r="L136" s="279">
        <v>123788.87267</v>
      </c>
      <c r="M136" s="279">
        <v>63511.216999999997</v>
      </c>
      <c r="N136" s="279">
        <v>27353.848000000002</v>
      </c>
      <c r="O136" s="279">
        <v>18475.792000000001</v>
      </c>
      <c r="P136" s="279">
        <f t="shared" si="30"/>
        <v>746664.45866999996</v>
      </c>
    </row>
    <row r="137" spans="1:16">
      <c r="A137" s="273"/>
      <c r="B137" s="273" t="s">
        <v>424</v>
      </c>
      <c r="C137" s="273"/>
      <c r="D137" s="279">
        <f>SUM(D126:D136)</f>
        <v>43650.04</v>
      </c>
      <c r="E137" s="279">
        <f t="shared" ref="E137:O137" si="31">SUM(E126:E136)</f>
        <v>40663.729999999996</v>
      </c>
      <c r="F137" s="279">
        <f t="shared" si="31"/>
        <v>42123.652000000002</v>
      </c>
      <c r="G137" s="279">
        <f t="shared" si="31"/>
        <v>50784.091000000008</v>
      </c>
      <c r="H137" s="279">
        <f t="shared" si="31"/>
        <v>163544.92799999999</v>
      </c>
      <c r="I137" s="279">
        <f t="shared" si="31"/>
        <v>253047.31400000001</v>
      </c>
      <c r="J137" s="279">
        <f t="shared" si="31"/>
        <v>472432.00400000002</v>
      </c>
      <c r="K137" s="279">
        <f t="shared" si="31"/>
        <v>229126.19900000002</v>
      </c>
      <c r="L137" s="279">
        <f t="shared" si="31"/>
        <v>349483.20600000001</v>
      </c>
      <c r="M137" s="279">
        <f t="shared" si="31"/>
        <v>243960.85700000002</v>
      </c>
      <c r="N137" s="279">
        <f t="shared" si="31"/>
        <v>192768.14299999998</v>
      </c>
      <c r="O137" s="279">
        <f t="shared" si="31"/>
        <v>149591.60800000001</v>
      </c>
      <c r="P137" s="279">
        <f>SUM(D137:O137)</f>
        <v>2231175.7719999999</v>
      </c>
    </row>
    <row r="138" spans="1:16">
      <c r="A138" s="273" t="s">
        <v>368</v>
      </c>
      <c r="B138" s="273" t="s">
        <v>405</v>
      </c>
      <c r="C138" s="273"/>
      <c r="D138" s="279">
        <v>0</v>
      </c>
      <c r="E138" s="279">
        <v>0</v>
      </c>
      <c r="F138" s="279">
        <v>0</v>
      </c>
      <c r="G138" s="279">
        <v>0</v>
      </c>
      <c r="H138" s="279">
        <v>0</v>
      </c>
      <c r="I138" s="279">
        <v>0</v>
      </c>
      <c r="J138" s="279">
        <v>0</v>
      </c>
      <c r="K138" s="279">
        <v>0</v>
      </c>
      <c r="L138" s="279">
        <v>0</v>
      </c>
      <c r="M138" s="279">
        <v>0</v>
      </c>
      <c r="N138" s="279">
        <v>0</v>
      </c>
      <c r="O138" s="279">
        <v>0</v>
      </c>
      <c r="P138" s="279">
        <f>SUM(D138:O138)</f>
        <v>0</v>
      </c>
    </row>
    <row r="139" spans="1:16">
      <c r="A139" s="273"/>
      <c r="B139" s="273" t="s">
        <v>404</v>
      </c>
      <c r="C139" s="273"/>
      <c r="D139" s="279">
        <v>0</v>
      </c>
      <c r="E139" s="279">
        <v>0</v>
      </c>
      <c r="F139" s="279">
        <v>0</v>
      </c>
      <c r="G139" s="279">
        <v>0</v>
      </c>
      <c r="H139" s="279">
        <v>0</v>
      </c>
      <c r="I139" s="279">
        <v>0</v>
      </c>
      <c r="J139" s="279">
        <v>0</v>
      </c>
      <c r="K139" s="279">
        <v>0</v>
      </c>
      <c r="L139" s="279">
        <v>0</v>
      </c>
      <c r="M139" s="279">
        <v>0</v>
      </c>
      <c r="N139" s="279">
        <v>0</v>
      </c>
      <c r="O139" s="279">
        <v>0</v>
      </c>
      <c r="P139" s="279">
        <f t="shared" ref="P139:P147" si="32">SUM(D139:O139)</f>
        <v>0</v>
      </c>
    </row>
    <row r="140" spans="1:16">
      <c r="A140" s="273"/>
      <c r="B140" s="273" t="s">
        <v>406</v>
      </c>
      <c r="C140" s="273"/>
      <c r="D140" s="279">
        <v>0</v>
      </c>
      <c r="E140" s="279">
        <v>0</v>
      </c>
      <c r="F140" s="279">
        <v>0</v>
      </c>
      <c r="G140" s="279">
        <v>0</v>
      </c>
      <c r="H140" s="279">
        <v>0</v>
      </c>
      <c r="I140" s="279">
        <v>0</v>
      </c>
      <c r="J140" s="279">
        <v>0</v>
      </c>
      <c r="K140" s="279">
        <v>0</v>
      </c>
      <c r="L140" s="279">
        <v>0</v>
      </c>
      <c r="M140" s="279">
        <v>0</v>
      </c>
      <c r="N140" s="279">
        <v>0</v>
      </c>
      <c r="O140" s="279">
        <v>0</v>
      </c>
      <c r="P140" s="279">
        <f t="shared" si="32"/>
        <v>0</v>
      </c>
    </row>
    <row r="141" spans="1:16">
      <c r="A141" s="273"/>
      <c r="B141" s="273" t="s">
        <v>407</v>
      </c>
      <c r="C141" s="273"/>
      <c r="D141" s="279">
        <v>0</v>
      </c>
      <c r="E141" s="279">
        <v>0</v>
      </c>
      <c r="F141" s="279">
        <v>0</v>
      </c>
      <c r="G141" s="279">
        <v>0</v>
      </c>
      <c r="H141" s="279">
        <v>0</v>
      </c>
      <c r="I141" s="279">
        <v>0</v>
      </c>
      <c r="J141" s="279">
        <v>0</v>
      </c>
      <c r="K141" s="279">
        <v>0</v>
      </c>
      <c r="L141" s="279">
        <v>0</v>
      </c>
      <c r="M141" s="279">
        <v>0</v>
      </c>
      <c r="N141" s="279">
        <v>0</v>
      </c>
      <c r="O141" s="279">
        <v>0</v>
      </c>
      <c r="P141" s="279">
        <f t="shared" si="32"/>
        <v>0</v>
      </c>
    </row>
    <row r="142" spans="1:16">
      <c r="A142" s="273"/>
      <c r="B142" s="273" t="s">
        <v>411</v>
      </c>
      <c r="C142" s="273"/>
      <c r="D142" s="279">
        <v>0</v>
      </c>
      <c r="E142" s="279">
        <v>0</v>
      </c>
      <c r="F142" s="279">
        <v>0</v>
      </c>
      <c r="G142" s="279">
        <v>0</v>
      </c>
      <c r="H142" s="279">
        <v>0</v>
      </c>
      <c r="I142" s="279">
        <v>0</v>
      </c>
      <c r="J142" s="279">
        <v>0</v>
      </c>
      <c r="K142" s="279">
        <v>0</v>
      </c>
      <c r="L142" s="279">
        <v>0</v>
      </c>
      <c r="M142" s="279">
        <v>0</v>
      </c>
      <c r="N142" s="279">
        <v>0</v>
      </c>
      <c r="O142" s="279">
        <v>0</v>
      </c>
      <c r="P142" s="279">
        <f t="shared" si="32"/>
        <v>0</v>
      </c>
    </row>
    <row r="143" spans="1:16">
      <c r="A143" s="273"/>
      <c r="B143" s="273" t="s">
        <v>412</v>
      </c>
      <c r="C143" s="273"/>
      <c r="D143" s="279">
        <v>661708</v>
      </c>
      <c r="E143" s="279">
        <v>625724</v>
      </c>
      <c r="F143" s="279">
        <v>606107</v>
      </c>
      <c r="G143" s="279">
        <v>632571</v>
      </c>
      <c r="H143" s="279">
        <v>659147</v>
      </c>
      <c r="I143" s="279">
        <v>638931</v>
      </c>
      <c r="J143" s="279">
        <v>599625</v>
      </c>
      <c r="K143" s="279">
        <v>589978</v>
      </c>
      <c r="L143" s="279">
        <v>606232</v>
      </c>
      <c r="M143" s="279">
        <v>594772</v>
      </c>
      <c r="N143" s="279">
        <v>635679</v>
      </c>
      <c r="O143" s="279">
        <v>610870</v>
      </c>
      <c r="P143" s="279">
        <f t="shared" si="32"/>
        <v>7461344</v>
      </c>
    </row>
    <row r="144" spans="1:16">
      <c r="A144" s="273"/>
      <c r="B144" s="273" t="s">
        <v>413</v>
      </c>
      <c r="C144" s="273"/>
      <c r="D144" s="279">
        <v>551018</v>
      </c>
      <c r="E144" s="279">
        <v>463280</v>
      </c>
      <c r="F144" s="279">
        <v>480304</v>
      </c>
      <c r="G144" s="279">
        <v>493099</v>
      </c>
      <c r="H144" s="279">
        <v>581397</v>
      </c>
      <c r="I144" s="279">
        <v>702022</v>
      </c>
      <c r="J144" s="279">
        <v>725116</v>
      </c>
      <c r="K144" s="279">
        <v>713756</v>
      </c>
      <c r="L144" s="279">
        <v>675990</v>
      </c>
      <c r="M144" s="279">
        <v>651252</v>
      </c>
      <c r="N144" s="279">
        <v>575975</v>
      </c>
      <c r="O144" s="279">
        <v>536402</v>
      </c>
      <c r="P144" s="279">
        <f t="shared" si="32"/>
        <v>7149611</v>
      </c>
    </row>
    <row r="145" spans="1:17">
      <c r="A145" s="273"/>
      <c r="B145" s="273" t="s">
        <v>418</v>
      </c>
      <c r="C145" s="273"/>
      <c r="D145" s="279">
        <v>819225</v>
      </c>
      <c r="E145" s="279">
        <v>726021</v>
      </c>
      <c r="F145" s="279">
        <v>726394</v>
      </c>
      <c r="G145" s="279">
        <v>731560</v>
      </c>
      <c r="H145" s="279">
        <v>906559</v>
      </c>
      <c r="I145" s="279">
        <v>1653838</v>
      </c>
      <c r="J145" s="279">
        <v>1792352</v>
      </c>
      <c r="K145" s="279">
        <v>1611563</v>
      </c>
      <c r="L145" s="279">
        <v>1509466</v>
      </c>
      <c r="M145" s="279">
        <v>1483519</v>
      </c>
      <c r="N145" s="279">
        <v>1157011</v>
      </c>
      <c r="O145" s="279">
        <v>842970</v>
      </c>
      <c r="P145" s="279">
        <f t="shared" si="32"/>
        <v>13960478</v>
      </c>
    </row>
    <row r="146" spans="1:17">
      <c r="A146" s="273"/>
      <c r="B146" s="273" t="s">
        <v>420</v>
      </c>
      <c r="C146" s="273"/>
      <c r="D146" s="279">
        <v>200000</v>
      </c>
      <c r="E146" s="279">
        <v>200000</v>
      </c>
      <c r="F146" s="279">
        <v>200000</v>
      </c>
      <c r="G146" s="279">
        <v>200000</v>
      </c>
      <c r="H146" s="279">
        <v>200000</v>
      </c>
      <c r="I146" s="279">
        <v>339835</v>
      </c>
      <c r="J146" s="279">
        <v>448339</v>
      </c>
      <c r="K146" s="279">
        <v>354461</v>
      </c>
      <c r="L146" s="279">
        <v>309166</v>
      </c>
      <c r="M146" s="279">
        <v>285132</v>
      </c>
      <c r="N146" s="279">
        <v>217580</v>
      </c>
      <c r="O146" s="279">
        <v>200000</v>
      </c>
      <c r="P146" s="279">
        <f t="shared" si="32"/>
        <v>3154513</v>
      </c>
    </row>
    <row r="147" spans="1:17">
      <c r="A147" s="273"/>
      <c r="B147" s="273" t="s">
        <v>421</v>
      </c>
      <c r="C147" s="273"/>
      <c r="D147" s="279">
        <v>190859</v>
      </c>
      <c r="E147" s="279">
        <v>124231</v>
      </c>
      <c r="F147" s="279">
        <v>103399</v>
      </c>
      <c r="G147" s="279">
        <v>132717</v>
      </c>
      <c r="H147" s="279">
        <v>122416</v>
      </c>
      <c r="I147" s="279">
        <v>244303</v>
      </c>
      <c r="J147" s="279">
        <v>26285</v>
      </c>
      <c r="K147" s="279">
        <v>258355</v>
      </c>
      <c r="L147" s="279">
        <v>198780</v>
      </c>
      <c r="M147" s="279">
        <v>179458</v>
      </c>
      <c r="N147" s="279">
        <v>134483</v>
      </c>
      <c r="O147" s="279">
        <v>56982</v>
      </c>
      <c r="P147" s="279">
        <f t="shared" si="32"/>
        <v>1772268</v>
      </c>
    </row>
    <row r="148" spans="1:17">
      <c r="A148" s="273"/>
      <c r="B148" s="273" t="s">
        <v>425</v>
      </c>
      <c r="C148" s="273"/>
      <c r="D148" s="279">
        <f>SUM(D138:D147)</f>
        <v>2422810</v>
      </c>
      <c r="E148" s="279">
        <f t="shared" ref="E148:P148" si="33">SUM(E138:E147)</f>
        <v>2139256</v>
      </c>
      <c r="F148" s="279">
        <f t="shared" si="33"/>
        <v>2116204</v>
      </c>
      <c r="G148" s="279">
        <f t="shared" si="33"/>
        <v>2189947</v>
      </c>
      <c r="H148" s="279">
        <f t="shared" si="33"/>
        <v>2469519</v>
      </c>
      <c r="I148" s="279">
        <f t="shared" si="33"/>
        <v>3578929</v>
      </c>
      <c r="J148" s="279">
        <f t="shared" si="33"/>
        <v>3591717</v>
      </c>
      <c r="K148" s="279">
        <f t="shared" si="33"/>
        <v>3528113</v>
      </c>
      <c r="L148" s="279">
        <f t="shared" si="33"/>
        <v>3299634</v>
      </c>
      <c r="M148" s="279">
        <f t="shared" si="33"/>
        <v>3194133</v>
      </c>
      <c r="N148" s="279">
        <f t="shared" si="33"/>
        <v>2720728</v>
      </c>
      <c r="O148" s="279">
        <f t="shared" si="33"/>
        <v>2247224</v>
      </c>
      <c r="P148" s="279">
        <f t="shared" si="33"/>
        <v>33498214</v>
      </c>
    </row>
    <row r="149" spans="1:17">
      <c r="A149" s="273" t="s">
        <v>369</v>
      </c>
      <c r="B149" s="273" t="s">
        <v>404</v>
      </c>
      <c r="C149" s="273"/>
      <c r="D149" s="279">
        <v>0</v>
      </c>
      <c r="E149" s="279">
        <v>0</v>
      </c>
      <c r="F149" s="279">
        <v>0</v>
      </c>
      <c r="G149" s="279">
        <v>0</v>
      </c>
      <c r="H149" s="279">
        <v>0</v>
      </c>
      <c r="I149" s="279">
        <v>0</v>
      </c>
      <c r="J149" s="279">
        <v>0</v>
      </c>
      <c r="K149" s="279">
        <v>0</v>
      </c>
      <c r="L149" s="279">
        <v>0</v>
      </c>
      <c r="M149" s="279">
        <v>0</v>
      </c>
      <c r="N149" s="279">
        <v>0</v>
      </c>
      <c r="O149" s="279">
        <v>0</v>
      </c>
      <c r="P149" s="279">
        <v>0</v>
      </c>
    </row>
    <row r="150" spans="1:17">
      <c r="A150" s="273"/>
      <c r="B150" s="273" t="s">
        <v>412</v>
      </c>
      <c r="C150" s="273"/>
      <c r="D150" s="279">
        <v>115591</v>
      </c>
      <c r="E150" s="279">
        <v>496572</v>
      </c>
      <c r="F150" s="279">
        <v>930140</v>
      </c>
      <c r="G150" s="279">
        <v>1319723</v>
      </c>
      <c r="H150" s="279">
        <v>1513081</v>
      </c>
      <c r="I150" s="279">
        <v>1185017</v>
      </c>
      <c r="J150" s="279">
        <v>1150142</v>
      </c>
      <c r="K150" s="279">
        <v>336483</v>
      </c>
      <c r="L150" s="279">
        <v>369134</v>
      </c>
      <c r="M150" s="279">
        <v>867255</v>
      </c>
      <c r="N150" s="279">
        <v>1539241</v>
      </c>
      <c r="O150" s="279">
        <v>224797</v>
      </c>
      <c r="P150" s="279">
        <f>SUM(D150:O150)</f>
        <v>10047176</v>
      </c>
    </row>
    <row r="151" spans="1:17">
      <c r="A151" s="273"/>
      <c r="B151" s="273" t="s">
        <v>426</v>
      </c>
      <c r="C151" s="273"/>
      <c r="D151" s="279">
        <f>SUM(D149:D150)</f>
        <v>115591</v>
      </c>
      <c r="E151" s="279">
        <f t="shared" ref="E151:P151" si="34">SUM(E149:E150)</f>
        <v>496572</v>
      </c>
      <c r="F151" s="279">
        <f t="shared" si="34"/>
        <v>930140</v>
      </c>
      <c r="G151" s="279">
        <f t="shared" si="34"/>
        <v>1319723</v>
      </c>
      <c r="H151" s="279">
        <f t="shared" si="34"/>
        <v>1513081</v>
      </c>
      <c r="I151" s="279">
        <f t="shared" si="34"/>
        <v>1185017</v>
      </c>
      <c r="J151" s="279">
        <f t="shared" si="34"/>
        <v>1150142</v>
      </c>
      <c r="K151" s="279">
        <f t="shared" si="34"/>
        <v>336483</v>
      </c>
      <c r="L151" s="279">
        <f t="shared" si="34"/>
        <v>369134</v>
      </c>
      <c r="M151" s="279">
        <f t="shared" si="34"/>
        <v>867255</v>
      </c>
      <c r="N151" s="279">
        <f t="shared" si="34"/>
        <v>1539241</v>
      </c>
      <c r="O151" s="279">
        <f t="shared" si="34"/>
        <v>224797</v>
      </c>
      <c r="P151" s="279">
        <f t="shared" si="34"/>
        <v>10047176</v>
      </c>
      <c r="Q151" s="301"/>
    </row>
    <row r="152" spans="1:17">
      <c r="A152" s="273" t="s">
        <v>370</v>
      </c>
      <c r="B152" s="273" t="s">
        <v>405</v>
      </c>
      <c r="C152" s="273"/>
      <c r="D152" s="279">
        <v>0</v>
      </c>
      <c r="E152" s="279">
        <v>0</v>
      </c>
      <c r="F152" s="279">
        <v>0</v>
      </c>
      <c r="G152" s="279">
        <v>0</v>
      </c>
      <c r="H152" s="279">
        <v>0</v>
      </c>
      <c r="I152" s="279">
        <v>0</v>
      </c>
      <c r="J152" s="279">
        <v>0</v>
      </c>
      <c r="K152" s="279">
        <v>0</v>
      </c>
      <c r="L152" s="279">
        <v>0</v>
      </c>
      <c r="M152" s="279">
        <v>0</v>
      </c>
      <c r="N152" s="279">
        <v>0</v>
      </c>
      <c r="O152" s="279">
        <v>0</v>
      </c>
      <c r="P152" s="279">
        <f>SUM(D152:O152)</f>
        <v>0</v>
      </c>
    </row>
    <row r="153" spans="1:17">
      <c r="A153" s="273"/>
      <c r="B153" s="273" t="s">
        <v>404</v>
      </c>
      <c r="C153" s="273"/>
      <c r="D153" s="279">
        <v>0</v>
      </c>
      <c r="E153" s="279">
        <v>0</v>
      </c>
      <c r="F153" s="279">
        <v>0</v>
      </c>
      <c r="G153" s="279">
        <v>0</v>
      </c>
      <c r="H153" s="279">
        <v>0</v>
      </c>
      <c r="I153" s="279">
        <v>0</v>
      </c>
      <c r="J153" s="279">
        <v>0</v>
      </c>
      <c r="K153" s="279">
        <v>0</v>
      </c>
      <c r="L153" s="279">
        <v>0</v>
      </c>
      <c r="M153" s="279">
        <v>0</v>
      </c>
      <c r="N153" s="279">
        <v>0</v>
      </c>
      <c r="O153" s="279">
        <v>0</v>
      </c>
      <c r="P153" s="279">
        <f t="shared" ref="P153:P154" si="35">SUM(D153:O153)</f>
        <v>0</v>
      </c>
    </row>
    <row r="154" spans="1:17">
      <c r="A154" s="273"/>
      <c r="B154" s="273" t="s">
        <v>412</v>
      </c>
      <c r="C154" s="273"/>
      <c r="D154" s="279">
        <v>3392181</v>
      </c>
      <c r="E154" s="279">
        <v>3020403</v>
      </c>
      <c r="F154" s="279">
        <v>3187739</v>
      </c>
      <c r="G154" s="279">
        <v>3302651</v>
      </c>
      <c r="H154" s="279">
        <v>3824455</v>
      </c>
      <c r="I154" s="279">
        <v>4579501</v>
      </c>
      <c r="J154" s="279">
        <v>4831826</v>
      </c>
      <c r="K154" s="279">
        <v>3372436</v>
      </c>
      <c r="L154" s="279">
        <v>4249199</v>
      </c>
      <c r="M154" s="279">
        <v>4177737</v>
      </c>
      <c r="N154" s="279">
        <v>4042439</v>
      </c>
      <c r="O154" s="279">
        <v>3532436</v>
      </c>
      <c r="P154" s="279">
        <f t="shared" si="35"/>
        <v>45513003</v>
      </c>
    </row>
    <row r="155" spans="1:17">
      <c r="A155" s="273"/>
      <c r="B155" s="273" t="s">
        <v>427</v>
      </c>
      <c r="C155" s="273"/>
      <c r="D155" s="279">
        <f>SUM(D152:D154)</f>
        <v>3392181</v>
      </c>
      <c r="E155" s="279">
        <f t="shared" ref="E155:P155" si="36">SUM(E152:E154)</f>
        <v>3020403</v>
      </c>
      <c r="F155" s="279">
        <f t="shared" si="36"/>
        <v>3187739</v>
      </c>
      <c r="G155" s="279">
        <f t="shared" si="36"/>
        <v>3302651</v>
      </c>
      <c r="H155" s="279">
        <f t="shared" si="36"/>
        <v>3824455</v>
      </c>
      <c r="I155" s="279">
        <f t="shared" si="36"/>
        <v>4579501</v>
      </c>
      <c r="J155" s="279">
        <f t="shared" si="36"/>
        <v>4831826</v>
      </c>
      <c r="K155" s="279">
        <f t="shared" si="36"/>
        <v>3372436</v>
      </c>
      <c r="L155" s="279">
        <f t="shared" si="36"/>
        <v>4249199</v>
      </c>
      <c r="M155" s="279">
        <f t="shared" si="36"/>
        <v>4177737</v>
      </c>
      <c r="N155" s="279">
        <f t="shared" si="36"/>
        <v>4042439</v>
      </c>
      <c r="O155" s="279">
        <f t="shared" si="36"/>
        <v>3532436</v>
      </c>
      <c r="P155" s="279">
        <f t="shared" si="36"/>
        <v>45513003</v>
      </c>
    </row>
    <row r="156" spans="1:17">
      <c r="A156" s="273" t="s">
        <v>371</v>
      </c>
      <c r="B156" s="273" t="s">
        <v>404</v>
      </c>
      <c r="C156" s="273"/>
      <c r="D156" s="279">
        <v>0</v>
      </c>
      <c r="E156" s="279">
        <v>0</v>
      </c>
      <c r="F156" s="279">
        <v>0</v>
      </c>
      <c r="G156" s="279">
        <v>0</v>
      </c>
      <c r="H156" s="279">
        <v>0</v>
      </c>
      <c r="I156" s="279">
        <v>0</v>
      </c>
      <c r="J156" s="279">
        <v>0</v>
      </c>
      <c r="K156" s="279">
        <v>0</v>
      </c>
      <c r="L156" s="279">
        <v>0</v>
      </c>
      <c r="M156" s="279">
        <v>0</v>
      </c>
      <c r="N156" s="279">
        <v>0</v>
      </c>
      <c r="O156" s="279">
        <v>0</v>
      </c>
      <c r="P156" s="279">
        <v>0</v>
      </c>
    </row>
    <row r="157" spans="1:17">
      <c r="A157" s="273"/>
      <c r="B157" s="273" t="s">
        <v>428</v>
      </c>
      <c r="C157" s="273"/>
      <c r="D157" s="279">
        <v>0</v>
      </c>
      <c r="E157" s="279">
        <v>0</v>
      </c>
      <c r="F157" s="279">
        <v>0</v>
      </c>
      <c r="G157" s="279">
        <v>0</v>
      </c>
      <c r="H157" s="279">
        <v>0</v>
      </c>
      <c r="I157" s="279">
        <v>0</v>
      </c>
      <c r="J157" s="279">
        <v>0</v>
      </c>
      <c r="K157" s="279">
        <v>0</v>
      </c>
      <c r="L157" s="279">
        <v>0</v>
      </c>
      <c r="M157" s="279">
        <v>0</v>
      </c>
      <c r="N157" s="279">
        <v>0</v>
      </c>
      <c r="O157" s="279">
        <v>0</v>
      </c>
      <c r="P157" s="279">
        <v>0</v>
      </c>
    </row>
    <row r="158" spans="1:17">
      <c r="A158" s="273"/>
      <c r="B158" s="273" t="s">
        <v>429</v>
      </c>
      <c r="C158" s="273"/>
      <c r="D158" s="279">
        <v>0</v>
      </c>
      <c r="E158" s="279">
        <v>0</v>
      </c>
      <c r="F158" s="279">
        <v>0</v>
      </c>
      <c r="G158" s="279">
        <v>0</v>
      </c>
      <c r="H158" s="279">
        <v>0</v>
      </c>
      <c r="I158" s="279">
        <v>0</v>
      </c>
      <c r="J158" s="279">
        <v>0</v>
      </c>
      <c r="K158" s="279">
        <v>0</v>
      </c>
      <c r="L158" s="279">
        <v>0</v>
      </c>
      <c r="M158" s="279">
        <v>0</v>
      </c>
      <c r="N158" s="279">
        <v>0</v>
      </c>
      <c r="O158" s="279">
        <v>0</v>
      </c>
      <c r="P158" s="279">
        <v>0</v>
      </c>
    </row>
    <row r="159" spans="1:17">
      <c r="A159" s="273" t="s">
        <v>372</v>
      </c>
      <c r="B159" s="273" t="s">
        <v>428</v>
      </c>
      <c r="C159" s="273"/>
      <c r="D159" s="279">
        <v>0</v>
      </c>
      <c r="E159" s="279">
        <v>0</v>
      </c>
      <c r="F159" s="279">
        <v>0</v>
      </c>
      <c r="G159" s="279">
        <v>0</v>
      </c>
      <c r="H159" s="279">
        <v>0</v>
      </c>
      <c r="I159" s="279">
        <v>0</v>
      </c>
      <c r="J159" s="279">
        <v>0</v>
      </c>
      <c r="K159" s="279">
        <v>0</v>
      </c>
      <c r="L159" s="279">
        <v>0</v>
      </c>
      <c r="M159" s="279">
        <v>0</v>
      </c>
      <c r="N159" s="279">
        <v>0</v>
      </c>
      <c r="O159" s="279">
        <v>0</v>
      </c>
      <c r="P159" s="279">
        <v>0</v>
      </c>
    </row>
    <row r="160" spans="1:17">
      <c r="A160" s="273"/>
      <c r="B160" s="273" t="s">
        <v>430</v>
      </c>
      <c r="C160" s="273"/>
      <c r="D160" s="279">
        <v>0</v>
      </c>
      <c r="E160" s="279">
        <v>0</v>
      </c>
      <c r="F160" s="279">
        <v>0</v>
      </c>
      <c r="G160" s="279">
        <v>0</v>
      </c>
      <c r="H160" s="279">
        <v>0</v>
      </c>
      <c r="I160" s="279">
        <v>0</v>
      </c>
      <c r="J160" s="279">
        <v>0</v>
      </c>
      <c r="K160" s="279">
        <v>0</v>
      </c>
      <c r="L160" s="279">
        <v>0</v>
      </c>
      <c r="M160" s="279">
        <v>0</v>
      </c>
      <c r="N160" s="279">
        <v>0</v>
      </c>
      <c r="O160" s="279">
        <v>0</v>
      </c>
      <c r="P160" s="279">
        <v>0</v>
      </c>
    </row>
    <row r="161" spans="1:16">
      <c r="A161" s="273" t="s">
        <v>373</v>
      </c>
      <c r="B161" s="273" t="s">
        <v>404</v>
      </c>
      <c r="C161" s="273"/>
      <c r="D161" s="279">
        <v>0</v>
      </c>
      <c r="E161" s="279">
        <v>0</v>
      </c>
      <c r="F161" s="279">
        <v>0</v>
      </c>
      <c r="G161" s="279">
        <v>0</v>
      </c>
      <c r="H161" s="279">
        <v>0</v>
      </c>
      <c r="I161" s="279">
        <v>0</v>
      </c>
      <c r="J161" s="279">
        <v>0</v>
      </c>
      <c r="K161" s="279">
        <v>0</v>
      </c>
      <c r="L161" s="279">
        <v>0</v>
      </c>
      <c r="M161" s="279">
        <v>0</v>
      </c>
      <c r="N161" s="279">
        <v>0</v>
      </c>
      <c r="O161" s="279">
        <v>0</v>
      </c>
      <c r="P161" s="279">
        <v>0</v>
      </c>
    </row>
    <row r="162" spans="1:16">
      <c r="A162" s="273"/>
      <c r="B162" s="273" t="s">
        <v>431</v>
      </c>
      <c r="C162" s="273"/>
      <c r="D162" s="279">
        <v>0</v>
      </c>
      <c r="E162" s="279">
        <v>0</v>
      </c>
      <c r="F162" s="279">
        <v>0</v>
      </c>
      <c r="G162" s="279">
        <v>0</v>
      </c>
      <c r="H162" s="279">
        <v>0</v>
      </c>
      <c r="I162" s="279">
        <v>0</v>
      </c>
      <c r="J162" s="279">
        <v>0</v>
      </c>
      <c r="K162" s="279">
        <v>0</v>
      </c>
      <c r="L162" s="279">
        <v>0</v>
      </c>
      <c r="M162" s="279">
        <v>0</v>
      </c>
      <c r="N162" s="279">
        <v>0</v>
      </c>
      <c r="O162" s="279">
        <v>0</v>
      </c>
      <c r="P162" s="279">
        <v>0</v>
      </c>
    </row>
    <row r="163" spans="1:16">
      <c r="A163" s="273" t="s">
        <v>323</v>
      </c>
      <c r="B163" s="273"/>
      <c r="C163" s="273"/>
      <c r="D163" s="279">
        <f t="shared" ref="D163:P163" si="37">D56+D69+D83+D97+D111+D125+D137+D148+D151+D155</f>
        <v>10801859.335889999</v>
      </c>
      <c r="E163" s="279">
        <f t="shared" si="37"/>
        <v>9557535.6729799993</v>
      </c>
      <c r="F163" s="279">
        <f t="shared" si="37"/>
        <v>10408589.094629999</v>
      </c>
      <c r="G163" s="279">
        <f t="shared" si="37"/>
        <v>12537832.60379</v>
      </c>
      <c r="H163" s="279">
        <f t="shared" si="37"/>
        <v>26301779.944879998</v>
      </c>
      <c r="I163" s="279">
        <f t="shared" si="37"/>
        <v>44651793.58115001</v>
      </c>
      <c r="J163" s="279">
        <f t="shared" si="37"/>
        <v>45799240.26444</v>
      </c>
      <c r="K163" s="279">
        <f t="shared" si="37"/>
        <v>34847304.509259999</v>
      </c>
      <c r="L163" s="279">
        <f t="shared" si="37"/>
        <v>38779927.17701</v>
      </c>
      <c r="M163" s="279">
        <f t="shared" si="37"/>
        <v>27489687.782670002</v>
      </c>
      <c r="N163" s="279">
        <f t="shared" si="37"/>
        <v>19093514.347459998</v>
      </c>
      <c r="O163" s="279">
        <f t="shared" si="37"/>
        <v>10982449.091469999</v>
      </c>
      <c r="P163" s="279">
        <f t="shared" si="37"/>
        <v>291251513.40562993</v>
      </c>
    </row>
    <row r="164" spans="1:16">
      <c r="A164" s="273"/>
      <c r="B164" s="273"/>
      <c r="C164" s="273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</row>
    <row r="165" spans="1:16">
      <c r="A165" s="273" t="s">
        <v>471</v>
      </c>
      <c r="B165" s="273"/>
      <c r="C165" s="273"/>
      <c r="D165" s="273">
        <f t="shared" ref="D165:O165" si="38">C8</f>
        <v>202207</v>
      </c>
      <c r="E165" s="273">
        <f t="shared" si="38"/>
        <v>202208</v>
      </c>
      <c r="F165" s="273">
        <f t="shared" si="38"/>
        <v>202209</v>
      </c>
      <c r="G165" s="273">
        <f t="shared" si="38"/>
        <v>202210</v>
      </c>
      <c r="H165" s="273">
        <f t="shared" si="38"/>
        <v>202211</v>
      </c>
      <c r="I165" s="273">
        <f t="shared" si="38"/>
        <v>202212</v>
      </c>
      <c r="J165" s="273">
        <f t="shared" si="38"/>
        <v>202301</v>
      </c>
      <c r="K165" s="273">
        <f t="shared" si="38"/>
        <v>202302</v>
      </c>
      <c r="L165" s="273">
        <f t="shared" si="38"/>
        <v>202303</v>
      </c>
      <c r="M165" s="273">
        <f t="shared" si="38"/>
        <v>202304</v>
      </c>
      <c r="N165" s="273">
        <f t="shared" si="38"/>
        <v>202305</v>
      </c>
      <c r="O165" s="273">
        <f t="shared" si="38"/>
        <v>202306</v>
      </c>
      <c r="P165" s="273" t="s">
        <v>324</v>
      </c>
    </row>
    <row r="166" spans="1:16">
      <c r="A166" s="273"/>
      <c r="B166" s="273"/>
      <c r="C166" s="273" t="s">
        <v>435</v>
      </c>
      <c r="D166" s="279">
        <f>D56+D69</f>
        <v>2729499.8391499999</v>
      </c>
      <c r="E166" s="279">
        <f t="shared" ref="E166:P166" si="39">E56+E69</f>
        <v>2068281.8205299999</v>
      </c>
      <c r="F166" s="279">
        <f t="shared" si="39"/>
        <v>2218628.3139500003</v>
      </c>
      <c r="G166" s="279">
        <f t="shared" si="39"/>
        <v>3176209.2553699999</v>
      </c>
      <c r="H166" s="279">
        <f t="shared" si="39"/>
        <v>12573348.636220001</v>
      </c>
      <c r="I166" s="279">
        <f t="shared" si="39"/>
        <v>24982337.494570002</v>
      </c>
      <c r="J166" s="279">
        <f t="shared" si="39"/>
        <v>25296874.002070002</v>
      </c>
      <c r="K166" s="279">
        <f t="shared" si="39"/>
        <v>19579656.427620001</v>
      </c>
      <c r="L166" s="279">
        <f t="shared" si="39"/>
        <v>21312464.65312</v>
      </c>
      <c r="M166" s="279">
        <f t="shared" si="39"/>
        <v>13177748.55212</v>
      </c>
      <c r="N166" s="279">
        <f t="shared" si="39"/>
        <v>6751392.6318100002</v>
      </c>
      <c r="O166" s="279">
        <f t="shared" si="39"/>
        <v>2676831.2311500004</v>
      </c>
      <c r="P166" s="279">
        <f t="shared" si="39"/>
        <v>136543272.85767996</v>
      </c>
    </row>
    <row r="167" spans="1:16">
      <c r="A167" s="273"/>
      <c r="B167" s="273"/>
      <c r="C167" s="273" t="s">
        <v>304</v>
      </c>
      <c r="D167" s="279">
        <f>D83+D97</f>
        <v>2098127.4567399998</v>
      </c>
      <c r="E167" s="279">
        <f>E83+E97</f>
        <v>1792359.1224499999</v>
      </c>
      <c r="F167" s="279">
        <f t="shared" ref="F167:P167" si="40">F83+F97</f>
        <v>1913754.1286799998</v>
      </c>
      <c r="G167" s="279">
        <f t="shared" si="40"/>
        <v>2498518.2574199997</v>
      </c>
      <c r="H167" s="279">
        <f t="shared" si="40"/>
        <v>5757831.3806599993</v>
      </c>
      <c r="I167" s="279">
        <f t="shared" si="40"/>
        <v>10072961.77258</v>
      </c>
      <c r="J167" s="279">
        <f t="shared" si="40"/>
        <v>10456249.258369999</v>
      </c>
      <c r="K167" s="279">
        <f t="shared" si="40"/>
        <v>7801489.8826400004</v>
      </c>
      <c r="L167" s="279">
        <f t="shared" si="40"/>
        <v>9200012.3178899996</v>
      </c>
      <c r="M167" s="279">
        <f t="shared" si="40"/>
        <v>5828853.3735500006</v>
      </c>
      <c r="N167" s="279">
        <f t="shared" si="40"/>
        <v>3846945.57265</v>
      </c>
      <c r="O167" s="279">
        <f t="shared" si="40"/>
        <v>2151569.25232</v>
      </c>
      <c r="P167" s="279">
        <f t="shared" si="40"/>
        <v>63418671.775950007</v>
      </c>
    </row>
    <row r="168" spans="1:16">
      <c r="A168" s="273"/>
      <c r="B168" s="273"/>
      <c r="C168" s="273">
        <v>116</v>
      </c>
      <c r="D168" s="279">
        <f>D111+D125</f>
        <v>0</v>
      </c>
      <c r="E168" s="279">
        <f t="shared" ref="E168:P168" si="41">E111+E125</f>
        <v>0</v>
      </c>
      <c r="F168" s="279">
        <f t="shared" si="41"/>
        <v>0</v>
      </c>
      <c r="G168" s="279">
        <f t="shared" si="41"/>
        <v>0</v>
      </c>
      <c r="H168" s="279">
        <f t="shared" si="41"/>
        <v>0</v>
      </c>
      <c r="I168" s="279">
        <f t="shared" si="41"/>
        <v>0</v>
      </c>
      <c r="J168" s="279">
        <f t="shared" si="41"/>
        <v>0</v>
      </c>
      <c r="K168" s="279">
        <f t="shared" si="41"/>
        <v>0</v>
      </c>
      <c r="L168" s="279">
        <f t="shared" si="41"/>
        <v>0</v>
      </c>
      <c r="M168" s="279">
        <f t="shared" si="41"/>
        <v>0</v>
      </c>
      <c r="N168" s="279">
        <f t="shared" si="41"/>
        <v>0</v>
      </c>
      <c r="O168" s="279">
        <f t="shared" si="41"/>
        <v>0</v>
      </c>
      <c r="P168" s="279">
        <f t="shared" si="41"/>
        <v>0</v>
      </c>
    </row>
    <row r="169" spans="1:16">
      <c r="A169" s="273"/>
      <c r="B169" s="273"/>
      <c r="C169" s="273">
        <v>132</v>
      </c>
      <c r="D169" s="279">
        <f>D137</f>
        <v>43650.04</v>
      </c>
      <c r="E169" s="279">
        <f t="shared" ref="E169:P169" si="42">E137</f>
        <v>40663.729999999996</v>
      </c>
      <c r="F169" s="279">
        <f t="shared" si="42"/>
        <v>42123.652000000002</v>
      </c>
      <c r="G169" s="279">
        <f t="shared" si="42"/>
        <v>50784.091000000008</v>
      </c>
      <c r="H169" s="279">
        <f t="shared" si="42"/>
        <v>163544.92799999999</v>
      </c>
      <c r="I169" s="279">
        <f t="shared" si="42"/>
        <v>253047.31400000001</v>
      </c>
      <c r="J169" s="279">
        <f t="shared" si="42"/>
        <v>472432.00400000002</v>
      </c>
      <c r="K169" s="279">
        <f t="shared" si="42"/>
        <v>229126.19900000002</v>
      </c>
      <c r="L169" s="279">
        <f t="shared" si="42"/>
        <v>349483.20600000001</v>
      </c>
      <c r="M169" s="279">
        <f t="shared" si="42"/>
        <v>243960.85700000002</v>
      </c>
      <c r="N169" s="279">
        <f t="shared" si="42"/>
        <v>192768.14299999998</v>
      </c>
      <c r="O169" s="279">
        <f t="shared" si="42"/>
        <v>149591.60800000001</v>
      </c>
      <c r="P169" s="279">
        <f t="shared" si="42"/>
        <v>2231175.7719999999</v>
      </c>
    </row>
    <row r="170" spans="1:16">
      <c r="A170" s="273"/>
      <c r="B170" s="273"/>
      <c r="C170" s="273">
        <v>146</v>
      </c>
      <c r="D170" s="279">
        <f>D148</f>
        <v>2422810</v>
      </c>
      <c r="E170" s="279">
        <f t="shared" ref="E170:P170" si="43">E148</f>
        <v>2139256</v>
      </c>
      <c r="F170" s="279">
        <f t="shared" si="43"/>
        <v>2116204</v>
      </c>
      <c r="G170" s="279">
        <f t="shared" si="43"/>
        <v>2189947</v>
      </c>
      <c r="H170" s="279">
        <f t="shared" si="43"/>
        <v>2469519</v>
      </c>
      <c r="I170" s="279">
        <f t="shared" si="43"/>
        <v>3578929</v>
      </c>
      <c r="J170" s="279">
        <f t="shared" si="43"/>
        <v>3591717</v>
      </c>
      <c r="K170" s="279">
        <f t="shared" si="43"/>
        <v>3528113</v>
      </c>
      <c r="L170" s="279">
        <f t="shared" si="43"/>
        <v>3299634</v>
      </c>
      <c r="M170" s="279">
        <f t="shared" si="43"/>
        <v>3194133</v>
      </c>
      <c r="N170" s="279">
        <f t="shared" si="43"/>
        <v>2720728</v>
      </c>
      <c r="O170" s="279">
        <f>O148</f>
        <v>2247224</v>
      </c>
      <c r="P170" s="279">
        <f t="shared" si="43"/>
        <v>33498214</v>
      </c>
    </row>
    <row r="171" spans="1:16">
      <c r="A171" s="273"/>
      <c r="B171" s="273"/>
      <c r="C171" s="273">
        <v>147</v>
      </c>
      <c r="D171" s="279">
        <f>D151</f>
        <v>115591</v>
      </c>
      <c r="E171" s="279">
        <f t="shared" ref="E171:P171" si="44">E151</f>
        <v>496572</v>
      </c>
      <c r="F171" s="279">
        <f t="shared" si="44"/>
        <v>930140</v>
      </c>
      <c r="G171" s="279">
        <f t="shared" si="44"/>
        <v>1319723</v>
      </c>
      <c r="H171" s="279">
        <f t="shared" si="44"/>
        <v>1513081</v>
      </c>
      <c r="I171" s="279">
        <f t="shared" si="44"/>
        <v>1185017</v>
      </c>
      <c r="J171" s="279">
        <f t="shared" si="44"/>
        <v>1150142</v>
      </c>
      <c r="K171" s="279">
        <f t="shared" si="44"/>
        <v>336483</v>
      </c>
      <c r="L171" s="279">
        <f t="shared" si="44"/>
        <v>369134</v>
      </c>
      <c r="M171" s="279">
        <f t="shared" si="44"/>
        <v>867255</v>
      </c>
      <c r="N171" s="279">
        <f t="shared" si="44"/>
        <v>1539241</v>
      </c>
      <c r="O171" s="279">
        <f t="shared" si="44"/>
        <v>224797</v>
      </c>
      <c r="P171" s="279">
        <f t="shared" si="44"/>
        <v>10047176</v>
      </c>
    </row>
    <row r="172" spans="1:16">
      <c r="A172" s="273"/>
      <c r="B172" s="273"/>
      <c r="C172" s="273">
        <v>148</v>
      </c>
      <c r="D172" s="279">
        <f>D155</f>
        <v>3392181</v>
      </c>
      <c r="E172" s="279">
        <f t="shared" ref="E172:P172" si="45">E155</f>
        <v>3020403</v>
      </c>
      <c r="F172" s="279">
        <f t="shared" si="45"/>
        <v>3187739</v>
      </c>
      <c r="G172" s="279">
        <f t="shared" si="45"/>
        <v>3302651</v>
      </c>
      <c r="H172" s="279">
        <f t="shared" si="45"/>
        <v>3824455</v>
      </c>
      <c r="I172" s="279">
        <f t="shared" si="45"/>
        <v>4579501</v>
      </c>
      <c r="J172" s="279">
        <f t="shared" si="45"/>
        <v>4831826</v>
      </c>
      <c r="K172" s="279">
        <f t="shared" si="45"/>
        <v>3372436</v>
      </c>
      <c r="L172" s="279">
        <f t="shared" si="45"/>
        <v>4249199</v>
      </c>
      <c r="M172" s="279">
        <f t="shared" si="45"/>
        <v>4177737</v>
      </c>
      <c r="N172" s="279">
        <f t="shared" si="45"/>
        <v>4042439</v>
      </c>
      <c r="O172" s="279">
        <f t="shared" si="45"/>
        <v>3532436</v>
      </c>
      <c r="P172" s="279">
        <f t="shared" si="45"/>
        <v>45513003</v>
      </c>
    </row>
    <row r="173" spans="1:16">
      <c r="A173" s="273"/>
      <c r="B173" s="273"/>
      <c r="C173" s="273" t="s">
        <v>59</v>
      </c>
      <c r="D173" s="279">
        <f>SUM(D166:D172)</f>
        <v>10801859.335889999</v>
      </c>
      <c r="E173" s="279">
        <f t="shared" ref="E173:P173" si="46">SUM(E166:E172)</f>
        <v>9557535.6729799993</v>
      </c>
      <c r="F173" s="279">
        <f t="shared" si="46"/>
        <v>10408589.094629999</v>
      </c>
      <c r="G173" s="279">
        <f t="shared" si="46"/>
        <v>12537832.60379</v>
      </c>
      <c r="H173" s="279">
        <f t="shared" si="46"/>
        <v>26301779.944879998</v>
      </c>
      <c r="I173" s="279">
        <f t="shared" si="46"/>
        <v>44651793.581150003</v>
      </c>
      <c r="J173" s="279">
        <f t="shared" si="46"/>
        <v>45799240.26444</v>
      </c>
      <c r="K173" s="279">
        <f t="shared" si="46"/>
        <v>34847304.509259999</v>
      </c>
      <c r="L173" s="279">
        <f t="shared" si="46"/>
        <v>38779927.17701</v>
      </c>
      <c r="M173" s="279">
        <f t="shared" si="46"/>
        <v>27489687.782670002</v>
      </c>
      <c r="N173" s="279">
        <f t="shared" si="46"/>
        <v>19093514.347460002</v>
      </c>
      <c r="O173" s="279">
        <f t="shared" si="46"/>
        <v>10982449.091469999</v>
      </c>
      <c r="P173" s="279">
        <f t="shared" si="46"/>
        <v>291251513.40562999</v>
      </c>
    </row>
    <row r="174" spans="1:16">
      <c r="A174" s="273"/>
      <c r="B174" s="273"/>
      <c r="C174" s="273"/>
      <c r="D174" s="279"/>
      <c r="E174" s="279"/>
      <c r="F174" s="279"/>
      <c r="G174" s="279"/>
      <c r="H174" s="279"/>
      <c r="I174" s="279"/>
      <c r="J174" s="279"/>
      <c r="K174" s="279"/>
      <c r="L174" s="279"/>
      <c r="M174" s="279"/>
      <c r="N174" s="279"/>
      <c r="O174" s="279"/>
      <c r="P174" s="279"/>
    </row>
    <row r="175" spans="1:16">
      <c r="A175" s="273"/>
      <c r="B175" s="273"/>
      <c r="C175" s="273"/>
      <c r="D175" s="279">
        <f>D163-D173</f>
        <v>0</v>
      </c>
      <c r="E175" s="279">
        <f t="shared" ref="E175:P175" si="47">E163-E173</f>
        <v>0</v>
      </c>
      <c r="F175" s="279">
        <f t="shared" si="47"/>
        <v>0</v>
      </c>
      <c r="G175" s="279">
        <f t="shared" si="47"/>
        <v>0</v>
      </c>
      <c r="H175" s="279">
        <f t="shared" si="47"/>
        <v>0</v>
      </c>
      <c r="I175" s="279">
        <f t="shared" si="47"/>
        <v>0</v>
      </c>
      <c r="J175" s="279">
        <f t="shared" si="47"/>
        <v>0</v>
      </c>
      <c r="K175" s="279">
        <f t="shared" si="47"/>
        <v>0</v>
      </c>
      <c r="L175" s="279">
        <f t="shared" si="47"/>
        <v>0</v>
      </c>
      <c r="M175" s="279">
        <f t="shared" si="47"/>
        <v>0</v>
      </c>
      <c r="N175" s="279">
        <f t="shared" si="47"/>
        <v>0</v>
      </c>
      <c r="O175" s="279">
        <f t="shared" si="47"/>
        <v>0</v>
      </c>
      <c r="P175" s="279">
        <f t="shared" si="47"/>
        <v>0</v>
      </c>
    </row>
    <row r="184" spans="1:17">
      <c r="C184" t="s">
        <v>321</v>
      </c>
      <c r="D184">
        <f t="shared" ref="D184:O184" si="48">C8</f>
        <v>202207</v>
      </c>
      <c r="E184">
        <f t="shared" si="48"/>
        <v>202208</v>
      </c>
      <c r="F184">
        <f t="shared" si="48"/>
        <v>202209</v>
      </c>
      <c r="G184">
        <f t="shared" si="48"/>
        <v>202210</v>
      </c>
      <c r="H184">
        <f t="shared" si="48"/>
        <v>202211</v>
      </c>
      <c r="I184">
        <f t="shared" si="48"/>
        <v>202212</v>
      </c>
      <c r="J184">
        <f t="shared" si="48"/>
        <v>202301</v>
      </c>
      <c r="K184">
        <f t="shared" si="48"/>
        <v>202302</v>
      </c>
      <c r="L184">
        <f t="shared" si="48"/>
        <v>202303</v>
      </c>
      <c r="M184">
        <f t="shared" si="48"/>
        <v>202304</v>
      </c>
      <c r="N184">
        <f t="shared" si="48"/>
        <v>202305</v>
      </c>
      <c r="O184">
        <f t="shared" si="48"/>
        <v>202306</v>
      </c>
      <c r="P184" t="s">
        <v>324</v>
      </c>
    </row>
    <row r="185" spans="1:17">
      <c r="A185" s="273" t="s">
        <v>383</v>
      </c>
      <c r="B185" s="273" t="s">
        <v>270</v>
      </c>
      <c r="C185" s="273"/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</row>
    <row r="186" spans="1:17">
      <c r="A186" s="273" t="s">
        <v>384</v>
      </c>
      <c r="B186" s="273" t="s">
        <v>229</v>
      </c>
      <c r="C186" s="273"/>
      <c r="D186" s="279">
        <v>931611</v>
      </c>
      <c r="E186" s="279">
        <v>854027</v>
      </c>
      <c r="F186" s="279">
        <v>1248435</v>
      </c>
      <c r="G186" s="279">
        <v>3778531</v>
      </c>
      <c r="H186" s="279">
        <v>12393609</v>
      </c>
      <c r="I186" s="279">
        <v>14055982</v>
      </c>
      <c r="J186" s="279">
        <v>11360993</v>
      </c>
      <c r="K186" s="279">
        <v>11770688</v>
      </c>
      <c r="L186" s="279">
        <v>6977671</v>
      </c>
      <c r="M186" s="279">
        <v>4664857</v>
      </c>
      <c r="N186" s="279">
        <v>1260964</v>
      </c>
      <c r="O186" s="279">
        <v>950541</v>
      </c>
      <c r="P186" s="279">
        <f>SUM(D186:O186)</f>
        <v>70247909</v>
      </c>
    </row>
    <row r="187" spans="1:17">
      <c r="A187" s="273"/>
      <c r="B187" s="273" t="s">
        <v>230</v>
      </c>
      <c r="C187" s="273"/>
      <c r="D187" s="279">
        <v>648446</v>
      </c>
      <c r="E187" s="279">
        <v>666685</v>
      </c>
      <c r="F187" s="279">
        <v>988334</v>
      </c>
      <c r="G187" s="279">
        <v>2713795</v>
      </c>
      <c r="H187" s="279">
        <v>5374311</v>
      </c>
      <c r="I187" s="279">
        <v>5424296</v>
      </c>
      <c r="J187" s="279">
        <v>4494932</v>
      </c>
      <c r="K187" s="279">
        <v>4474122</v>
      </c>
      <c r="L187" s="279">
        <v>2887583</v>
      </c>
      <c r="M187" s="279">
        <v>1963702</v>
      </c>
      <c r="N187" s="279">
        <v>677078</v>
      </c>
      <c r="O187" s="388">
        <v>705248</v>
      </c>
      <c r="P187" s="279">
        <f t="shared" ref="P187:P202" si="49">SUM(D187:O187)</f>
        <v>31018532</v>
      </c>
    </row>
    <row r="188" spans="1:17">
      <c r="A188" s="273"/>
      <c r="B188" s="273" t="s">
        <v>447</v>
      </c>
      <c r="C188" s="273"/>
      <c r="D188" s="279">
        <v>0</v>
      </c>
      <c r="E188" s="279">
        <v>3054</v>
      </c>
      <c r="F188" s="279">
        <v>3079</v>
      </c>
      <c r="G188" s="279">
        <v>46207</v>
      </c>
      <c r="H188" s="279">
        <v>46026</v>
      </c>
      <c r="I188" s="279">
        <v>36926</v>
      </c>
      <c r="J188" s="279">
        <v>28852</v>
      </c>
      <c r="K188" s="279">
        <v>31510</v>
      </c>
      <c r="L188" s="279">
        <v>16135</v>
      </c>
      <c r="M188" s="279">
        <v>13549</v>
      </c>
      <c r="N188" s="279">
        <v>7782</v>
      </c>
      <c r="O188" s="279">
        <v>10747</v>
      </c>
      <c r="P188" s="279">
        <f t="shared" si="49"/>
        <v>243867</v>
      </c>
    </row>
    <row r="189" spans="1:17">
      <c r="A189" s="273"/>
      <c r="B189" s="273">
        <v>116</v>
      </c>
      <c r="C189" s="273"/>
      <c r="D189" s="279">
        <v>0</v>
      </c>
      <c r="E189" s="279">
        <v>0</v>
      </c>
      <c r="F189" s="279">
        <v>0</v>
      </c>
      <c r="G189" s="279">
        <v>0</v>
      </c>
      <c r="H189" s="279">
        <v>0</v>
      </c>
      <c r="I189" s="279">
        <v>0</v>
      </c>
      <c r="J189" s="279">
        <v>0</v>
      </c>
      <c r="K189" s="279">
        <v>0</v>
      </c>
      <c r="L189" s="279">
        <v>0</v>
      </c>
      <c r="M189" s="279">
        <v>0</v>
      </c>
      <c r="N189" s="279">
        <v>0</v>
      </c>
      <c r="O189" s="279">
        <v>0</v>
      </c>
      <c r="P189" s="279">
        <f t="shared" si="49"/>
        <v>0</v>
      </c>
      <c r="Q189" s="382"/>
    </row>
    <row r="190" spans="1:17">
      <c r="A190" s="273"/>
      <c r="B190" s="196" t="s">
        <v>508</v>
      </c>
      <c r="C190" s="273"/>
      <c r="D190" s="279">
        <v>0</v>
      </c>
      <c r="E190" s="279">
        <v>0</v>
      </c>
      <c r="F190" s="279">
        <v>0</v>
      </c>
      <c r="G190" s="279">
        <v>0</v>
      </c>
      <c r="H190" s="279">
        <v>0</v>
      </c>
      <c r="I190" s="279">
        <v>0</v>
      </c>
      <c r="J190" s="279">
        <v>0</v>
      </c>
      <c r="K190" s="279">
        <v>0</v>
      </c>
      <c r="L190" s="279">
        <v>0</v>
      </c>
      <c r="M190" s="279">
        <v>0</v>
      </c>
      <c r="N190" s="279">
        <v>0</v>
      </c>
      <c r="O190" s="279">
        <v>0</v>
      </c>
      <c r="P190" s="279">
        <f t="shared" si="49"/>
        <v>0</v>
      </c>
      <c r="Q190" s="382"/>
    </row>
    <row r="191" spans="1:17">
      <c r="A191" s="273"/>
      <c r="B191" s="273" t="s">
        <v>231</v>
      </c>
      <c r="C191" s="273"/>
      <c r="D191" s="279">
        <v>2138085</v>
      </c>
      <c r="E191" s="279">
        <v>2116204</v>
      </c>
      <c r="F191" s="279">
        <v>2187690</v>
      </c>
      <c r="G191" s="279">
        <v>2450703</v>
      </c>
      <c r="H191" s="279">
        <v>3541198</v>
      </c>
      <c r="I191" s="279">
        <v>3591717</v>
      </c>
      <c r="J191" s="279">
        <v>3527093</v>
      </c>
      <c r="K191" s="279">
        <v>3275439</v>
      </c>
      <c r="L191" s="279">
        <v>3194133</v>
      </c>
      <c r="M191" s="279">
        <v>2720728</v>
      </c>
      <c r="N191" s="279">
        <v>2247224</v>
      </c>
      <c r="O191" s="279">
        <v>2020848</v>
      </c>
      <c r="P191" s="279">
        <f t="shared" si="49"/>
        <v>33011062</v>
      </c>
    </row>
    <row r="192" spans="1:17">
      <c r="A192" s="273"/>
      <c r="B192" s="273" t="s">
        <v>448</v>
      </c>
      <c r="C192" s="273"/>
      <c r="D192" s="279">
        <v>0</v>
      </c>
      <c r="E192" s="279">
        <v>0</v>
      </c>
      <c r="F192" s="279">
        <v>0</v>
      </c>
      <c r="G192" s="279">
        <v>0</v>
      </c>
      <c r="H192" s="279">
        <v>0</v>
      </c>
      <c r="I192" s="279">
        <v>0</v>
      </c>
      <c r="J192" s="279">
        <v>0</v>
      </c>
      <c r="K192" s="279">
        <v>0</v>
      </c>
      <c r="L192" s="279">
        <v>0</v>
      </c>
      <c r="M192" s="279">
        <v>0</v>
      </c>
      <c r="N192" s="279">
        <v>0</v>
      </c>
      <c r="O192" s="279">
        <v>0</v>
      </c>
      <c r="P192" s="279">
        <f t="shared" si="49"/>
        <v>0</v>
      </c>
      <c r="Q192" s="382"/>
    </row>
    <row r="193" spans="1:17">
      <c r="A193" s="273"/>
      <c r="B193" s="273" t="s">
        <v>241</v>
      </c>
      <c r="C193" s="273"/>
      <c r="D193" s="279">
        <v>3020403</v>
      </c>
      <c r="E193" s="279">
        <v>3187739</v>
      </c>
      <c r="F193" s="279">
        <v>3302651</v>
      </c>
      <c r="G193" s="279">
        <v>3824758</v>
      </c>
      <c r="H193" s="279">
        <v>4579501</v>
      </c>
      <c r="I193" s="279">
        <v>4831826</v>
      </c>
      <c r="J193" s="279">
        <v>3372436</v>
      </c>
      <c r="K193" s="279">
        <v>4250481</v>
      </c>
      <c r="L193" s="279">
        <v>4177737</v>
      </c>
      <c r="M193" s="279">
        <v>4042439</v>
      </c>
      <c r="N193" s="279">
        <v>3532436</v>
      </c>
      <c r="O193" s="279">
        <v>2997297</v>
      </c>
      <c r="P193" s="279">
        <f t="shared" si="49"/>
        <v>45119704</v>
      </c>
    </row>
    <row r="194" spans="1:17">
      <c r="A194" s="273"/>
      <c r="B194" s="273" t="s">
        <v>385</v>
      </c>
      <c r="C194" s="273"/>
      <c r="D194" s="279">
        <f t="shared" ref="D194:P194" si="50">SUM(D186:D193)</f>
        <v>6738545</v>
      </c>
      <c r="E194" s="279">
        <f t="shared" si="50"/>
        <v>6827709</v>
      </c>
      <c r="F194" s="279">
        <f t="shared" si="50"/>
        <v>7730189</v>
      </c>
      <c r="G194" s="279">
        <f t="shared" si="50"/>
        <v>12813994</v>
      </c>
      <c r="H194" s="279">
        <f t="shared" si="50"/>
        <v>25934645</v>
      </c>
      <c r="I194" s="279">
        <f t="shared" si="50"/>
        <v>27940747</v>
      </c>
      <c r="J194" s="279">
        <f t="shared" si="50"/>
        <v>22784306</v>
      </c>
      <c r="K194" s="279">
        <f t="shared" si="50"/>
        <v>23802240</v>
      </c>
      <c r="L194" s="279">
        <f t="shared" si="50"/>
        <v>17253259</v>
      </c>
      <c r="M194" s="279">
        <f t="shared" si="50"/>
        <v>13405275</v>
      </c>
      <c r="N194" s="279">
        <f t="shared" si="50"/>
        <v>7725484</v>
      </c>
      <c r="O194" s="279">
        <f t="shared" si="50"/>
        <v>6684681</v>
      </c>
      <c r="P194" s="279">
        <f t="shared" si="50"/>
        <v>179641074</v>
      </c>
    </row>
    <row r="195" spans="1:17">
      <c r="A195" s="273" t="s">
        <v>386</v>
      </c>
      <c r="B195" s="273" t="s">
        <v>229</v>
      </c>
      <c r="C195" s="273"/>
      <c r="D195" s="279">
        <v>-1431217</v>
      </c>
      <c r="E195" s="279">
        <v>-931611</v>
      </c>
      <c r="F195" s="279">
        <v>-854027</v>
      </c>
      <c r="G195" s="279">
        <v>-1248435</v>
      </c>
      <c r="H195" s="279">
        <v>-3778531</v>
      </c>
      <c r="I195" s="279">
        <v>-12393609</v>
      </c>
      <c r="J195" s="279">
        <v>-14055982</v>
      </c>
      <c r="K195" s="279">
        <v>-11360993</v>
      </c>
      <c r="L195" s="279">
        <v>-11770688</v>
      </c>
      <c r="M195" s="279">
        <v>-6977671</v>
      </c>
      <c r="N195" s="279">
        <v>-4664857</v>
      </c>
      <c r="O195" s="279">
        <v>-1260964</v>
      </c>
      <c r="P195" s="279">
        <f>SUM(D195:O195)</f>
        <v>-70728585</v>
      </c>
    </row>
    <row r="196" spans="1:17">
      <c r="A196" s="273"/>
      <c r="B196" s="273" t="s">
        <v>230</v>
      </c>
      <c r="C196" s="273"/>
      <c r="D196" s="279">
        <v>-778470</v>
      </c>
      <c r="E196" s="279">
        <v>-648446</v>
      </c>
      <c r="F196" s="279">
        <v>-666685</v>
      </c>
      <c r="G196" s="279">
        <v>-988334</v>
      </c>
      <c r="H196" s="279">
        <v>-2713795</v>
      </c>
      <c r="I196" s="279">
        <v>-5374311</v>
      </c>
      <c r="J196" s="279">
        <v>-5424296</v>
      </c>
      <c r="K196" s="279">
        <v>-4494932</v>
      </c>
      <c r="L196" s="279">
        <v>-4474122</v>
      </c>
      <c r="M196" s="279">
        <v>-2887583</v>
      </c>
      <c r="N196" s="279">
        <v>-1963702</v>
      </c>
      <c r="O196" s="279">
        <v>-677078</v>
      </c>
      <c r="P196" s="279">
        <f t="shared" si="49"/>
        <v>-31091754</v>
      </c>
    </row>
    <row r="197" spans="1:17">
      <c r="A197" s="273"/>
      <c r="B197" s="273" t="s">
        <v>447</v>
      </c>
      <c r="C197" s="273"/>
      <c r="D197" s="279">
        <v>0</v>
      </c>
      <c r="E197" s="279">
        <v>0</v>
      </c>
      <c r="F197" s="279">
        <v>-3054</v>
      </c>
      <c r="G197" s="279">
        <v>-3079</v>
      </c>
      <c r="H197" s="279">
        <v>-46207</v>
      </c>
      <c r="I197" s="279">
        <v>-46026</v>
      </c>
      <c r="J197" s="279">
        <v>-36926</v>
      </c>
      <c r="K197" s="279">
        <v>-28852</v>
      </c>
      <c r="L197" s="279">
        <v>-31510</v>
      </c>
      <c r="M197" s="279">
        <v>-16135</v>
      </c>
      <c r="N197" s="279">
        <v>-13549</v>
      </c>
      <c r="O197" s="279">
        <v>-7782</v>
      </c>
      <c r="P197" s="279">
        <f t="shared" si="49"/>
        <v>-233120</v>
      </c>
    </row>
    <row r="198" spans="1:17">
      <c r="A198" s="273"/>
      <c r="B198" s="273">
        <v>116</v>
      </c>
      <c r="C198" s="273"/>
      <c r="D198" s="279">
        <v>0</v>
      </c>
      <c r="E198" s="279">
        <v>0</v>
      </c>
      <c r="F198" s="279">
        <v>0</v>
      </c>
      <c r="G198" s="279">
        <v>0</v>
      </c>
      <c r="H198" s="279">
        <v>0</v>
      </c>
      <c r="I198" s="279">
        <v>0</v>
      </c>
      <c r="J198" s="279">
        <v>0</v>
      </c>
      <c r="K198" s="279">
        <v>0</v>
      </c>
      <c r="L198" s="279">
        <v>0</v>
      </c>
      <c r="M198" s="279">
        <v>0</v>
      </c>
      <c r="N198" s="279">
        <v>0</v>
      </c>
      <c r="O198" s="279">
        <v>0</v>
      </c>
      <c r="P198" s="279">
        <f t="shared" si="49"/>
        <v>0</v>
      </c>
      <c r="Q198" s="382"/>
    </row>
    <row r="199" spans="1:17">
      <c r="A199" s="273"/>
      <c r="B199" s="196" t="s">
        <v>508</v>
      </c>
      <c r="C199" s="273"/>
      <c r="D199" s="279">
        <v>0</v>
      </c>
      <c r="E199" s="279">
        <v>0</v>
      </c>
      <c r="F199" s="279">
        <v>0</v>
      </c>
      <c r="G199" s="279">
        <v>0</v>
      </c>
      <c r="H199" s="279">
        <v>0</v>
      </c>
      <c r="I199" s="279">
        <v>0</v>
      </c>
      <c r="J199" s="279">
        <v>0</v>
      </c>
      <c r="K199" s="279">
        <v>0</v>
      </c>
      <c r="L199" s="279">
        <v>0</v>
      </c>
      <c r="M199" s="279">
        <v>0</v>
      </c>
      <c r="N199" s="279">
        <v>0</v>
      </c>
      <c r="O199" s="279">
        <v>0</v>
      </c>
      <c r="P199" s="279">
        <f t="shared" si="49"/>
        <v>0</v>
      </c>
      <c r="Q199" s="382"/>
    </row>
    <row r="200" spans="1:17">
      <c r="A200" s="273"/>
      <c r="B200" s="273" t="s">
        <v>231</v>
      </c>
      <c r="C200" s="273"/>
      <c r="D200" s="279">
        <v>-2439992</v>
      </c>
      <c r="E200" s="279">
        <v>-2138085</v>
      </c>
      <c r="F200" s="279">
        <v>-2116204</v>
      </c>
      <c r="G200" s="279">
        <v>-2187690</v>
      </c>
      <c r="H200" s="279">
        <v>-2450703</v>
      </c>
      <c r="I200" s="279">
        <v>-3541198</v>
      </c>
      <c r="J200" s="279">
        <v>-3591717</v>
      </c>
      <c r="K200" s="279">
        <v>-3527093</v>
      </c>
      <c r="L200" s="279">
        <v>-3275439</v>
      </c>
      <c r="M200" s="279">
        <v>-3194133</v>
      </c>
      <c r="N200" s="279">
        <v>-2720728</v>
      </c>
      <c r="O200" s="279">
        <v>-2247224</v>
      </c>
      <c r="P200" s="279">
        <f t="shared" si="49"/>
        <v>-33430206</v>
      </c>
    </row>
    <row r="201" spans="1:17">
      <c r="A201" s="273"/>
      <c r="B201" s="273" t="s">
        <v>448</v>
      </c>
      <c r="C201" s="273"/>
      <c r="D201" s="279"/>
      <c r="E201" s="279"/>
      <c r="F201" s="279"/>
      <c r="G201" s="279"/>
      <c r="H201" s="279"/>
      <c r="I201" s="279"/>
      <c r="J201" s="279"/>
      <c r="K201" s="279"/>
      <c r="L201" s="279"/>
      <c r="M201" s="279"/>
      <c r="N201" s="279"/>
      <c r="O201" s="279"/>
      <c r="P201" s="279">
        <f t="shared" si="49"/>
        <v>0</v>
      </c>
      <c r="Q201" s="382"/>
    </row>
    <row r="202" spans="1:17">
      <c r="A202" s="273"/>
      <c r="B202" s="273" t="s">
        <v>241</v>
      </c>
      <c r="C202" s="273"/>
      <c r="D202" s="279">
        <v>-3415866</v>
      </c>
      <c r="E202" s="279">
        <v>-3020403</v>
      </c>
      <c r="F202" s="279">
        <v>-3187739</v>
      </c>
      <c r="G202" s="279">
        <v>-3302651</v>
      </c>
      <c r="H202" s="279">
        <v>-3824758</v>
      </c>
      <c r="I202" s="279">
        <v>-4579501</v>
      </c>
      <c r="J202" s="279">
        <v>-4831826</v>
      </c>
      <c r="K202" s="279">
        <v>-3372436</v>
      </c>
      <c r="L202" s="279">
        <v>-4250481</v>
      </c>
      <c r="M202" s="279">
        <v>-4177737</v>
      </c>
      <c r="N202" s="279">
        <v>-4042439</v>
      </c>
      <c r="O202" s="279">
        <v>-3532436</v>
      </c>
      <c r="P202" s="279">
        <f t="shared" si="49"/>
        <v>-45538273</v>
      </c>
    </row>
    <row r="203" spans="1:17">
      <c r="A203" s="273"/>
      <c r="B203" s="273" t="s">
        <v>387</v>
      </c>
      <c r="C203" s="273"/>
      <c r="D203" s="279">
        <f t="shared" ref="D203:P203" si="51">SUM(D195:D202)</f>
        <v>-8065545</v>
      </c>
      <c r="E203" s="279">
        <f t="shared" si="51"/>
        <v>-6738545</v>
      </c>
      <c r="F203" s="279">
        <f t="shared" si="51"/>
        <v>-6827709</v>
      </c>
      <c r="G203" s="279">
        <f t="shared" si="51"/>
        <v>-7730189</v>
      </c>
      <c r="H203" s="279">
        <f t="shared" si="51"/>
        <v>-12813994</v>
      </c>
      <c r="I203" s="279">
        <f t="shared" si="51"/>
        <v>-25934645</v>
      </c>
      <c r="J203" s="279">
        <f t="shared" si="51"/>
        <v>-27940747</v>
      </c>
      <c r="K203" s="279">
        <f t="shared" si="51"/>
        <v>-22784306</v>
      </c>
      <c r="L203" s="279">
        <f t="shared" si="51"/>
        <v>-23802240</v>
      </c>
      <c r="M203" s="279">
        <f t="shared" si="51"/>
        <v>-17253259</v>
      </c>
      <c r="N203" s="279">
        <f t="shared" si="51"/>
        <v>-13405275</v>
      </c>
      <c r="O203" s="279">
        <f t="shared" si="51"/>
        <v>-7725484</v>
      </c>
      <c r="P203" s="279">
        <f t="shared" si="51"/>
        <v>-181021938</v>
      </c>
    </row>
    <row r="204" spans="1:17">
      <c r="A204" s="273" t="s">
        <v>323</v>
      </c>
      <c r="B204" s="273"/>
      <c r="C204" s="273"/>
      <c r="D204" s="279">
        <f t="shared" ref="D204:P204" si="52">D194+D203</f>
        <v>-1327000</v>
      </c>
      <c r="E204" s="279">
        <f t="shared" si="52"/>
        <v>89164</v>
      </c>
      <c r="F204" s="279">
        <f t="shared" si="52"/>
        <v>902480</v>
      </c>
      <c r="G204" s="279">
        <f t="shared" si="52"/>
        <v>5083805</v>
      </c>
      <c r="H204" s="279">
        <f t="shared" si="52"/>
        <v>13120651</v>
      </c>
      <c r="I204" s="279">
        <f t="shared" si="52"/>
        <v>2006102</v>
      </c>
      <c r="J204" s="279">
        <f t="shared" si="52"/>
        <v>-5156441</v>
      </c>
      <c r="K204" s="279">
        <f t="shared" si="52"/>
        <v>1017934</v>
      </c>
      <c r="L204" s="279">
        <f t="shared" si="52"/>
        <v>-6548981</v>
      </c>
      <c r="M204" s="279">
        <f t="shared" si="52"/>
        <v>-3847984</v>
      </c>
      <c r="N204" s="279">
        <f t="shared" si="52"/>
        <v>-5679791</v>
      </c>
      <c r="O204" s="279">
        <f t="shared" si="52"/>
        <v>-1040803</v>
      </c>
      <c r="P204" s="279">
        <f t="shared" si="52"/>
        <v>-1380864</v>
      </c>
    </row>
    <row r="205" spans="1:17">
      <c r="A205" s="273"/>
      <c r="B205" s="273"/>
      <c r="C205" s="273"/>
      <c r="D205" s="279"/>
      <c r="E205" s="279"/>
      <c r="F205" s="279"/>
      <c r="G205" s="279"/>
      <c r="H205" s="279"/>
      <c r="I205" s="279"/>
      <c r="J205" s="279"/>
      <c r="K205" s="279"/>
      <c r="L205" s="279"/>
      <c r="M205" s="279"/>
      <c r="N205" s="279"/>
      <c r="O205" s="279"/>
      <c r="P205" s="279"/>
    </row>
    <row r="206" spans="1:17">
      <c r="A206" s="273"/>
      <c r="B206" s="273"/>
      <c r="C206" s="273"/>
      <c r="D206" s="279"/>
      <c r="E206" s="279"/>
      <c r="F206" s="279"/>
      <c r="G206" s="279"/>
      <c r="H206" s="279"/>
      <c r="I206" s="279"/>
      <c r="J206" s="279"/>
      <c r="K206" s="279"/>
      <c r="L206" s="279"/>
      <c r="M206" s="279"/>
      <c r="N206" s="279"/>
      <c r="O206" s="279"/>
      <c r="P206" s="279"/>
    </row>
    <row r="207" spans="1:17">
      <c r="A207" s="273"/>
      <c r="B207" s="273"/>
      <c r="C207" s="273"/>
      <c r="D207" s="279"/>
      <c r="E207" s="279"/>
      <c r="F207" s="279"/>
      <c r="G207" s="279"/>
      <c r="H207" s="279"/>
      <c r="I207" s="279"/>
      <c r="J207" s="279"/>
      <c r="K207" s="279"/>
      <c r="L207" s="279"/>
      <c r="M207" s="279"/>
      <c r="N207" s="279"/>
      <c r="O207" s="279"/>
      <c r="P207" s="279"/>
    </row>
    <row r="208" spans="1:17">
      <c r="A208" s="273"/>
      <c r="B208" s="273"/>
      <c r="C208" s="273">
        <v>101</v>
      </c>
      <c r="D208" s="279">
        <f t="shared" ref="D208:P208" si="53">D186+D195</f>
        <v>-499606</v>
      </c>
      <c r="E208" s="279">
        <f t="shared" si="53"/>
        <v>-77584</v>
      </c>
      <c r="F208" s="279">
        <f t="shared" si="53"/>
        <v>394408</v>
      </c>
      <c r="G208" s="279">
        <f t="shared" si="53"/>
        <v>2530096</v>
      </c>
      <c r="H208" s="279">
        <f t="shared" si="53"/>
        <v>8615078</v>
      </c>
      <c r="I208" s="279">
        <f t="shared" si="53"/>
        <v>1662373</v>
      </c>
      <c r="J208" s="279">
        <f t="shared" si="53"/>
        <v>-2694989</v>
      </c>
      <c r="K208" s="279">
        <f t="shared" si="53"/>
        <v>409695</v>
      </c>
      <c r="L208" s="279">
        <f t="shared" si="53"/>
        <v>-4793017</v>
      </c>
      <c r="M208" s="279">
        <f t="shared" si="53"/>
        <v>-2312814</v>
      </c>
      <c r="N208" s="279">
        <f t="shared" si="53"/>
        <v>-3403893</v>
      </c>
      <c r="O208" s="279">
        <f t="shared" si="53"/>
        <v>-310423</v>
      </c>
      <c r="P208" s="279">
        <f t="shared" si="53"/>
        <v>-480676</v>
      </c>
    </row>
    <row r="209" spans="1:17">
      <c r="A209" s="273"/>
      <c r="B209" s="273"/>
      <c r="C209" s="273">
        <v>111</v>
      </c>
      <c r="D209" s="279">
        <f t="shared" ref="D209:P209" si="54">D187+D188+D197+D196</f>
        <v>-130024</v>
      </c>
      <c r="E209" s="279">
        <f t="shared" si="54"/>
        <v>21293</v>
      </c>
      <c r="F209" s="279">
        <f t="shared" si="54"/>
        <v>321674</v>
      </c>
      <c r="G209" s="279">
        <f t="shared" si="54"/>
        <v>1768589</v>
      </c>
      <c r="H209" s="279">
        <f t="shared" si="54"/>
        <v>2660335</v>
      </c>
      <c r="I209" s="279">
        <f t="shared" si="54"/>
        <v>40885</v>
      </c>
      <c r="J209" s="279">
        <f t="shared" si="54"/>
        <v>-937438</v>
      </c>
      <c r="K209" s="279">
        <f t="shared" si="54"/>
        <v>-18152</v>
      </c>
      <c r="L209" s="279">
        <f t="shared" si="54"/>
        <v>-1601914</v>
      </c>
      <c r="M209" s="279">
        <f t="shared" si="54"/>
        <v>-926467</v>
      </c>
      <c r="N209" s="279">
        <f t="shared" si="54"/>
        <v>-1292391</v>
      </c>
      <c r="O209" s="279">
        <f t="shared" si="54"/>
        <v>31135</v>
      </c>
      <c r="P209" s="279">
        <f t="shared" si="54"/>
        <v>-62475</v>
      </c>
    </row>
    <row r="210" spans="1:17">
      <c r="A210" s="273"/>
      <c r="B210" s="273"/>
      <c r="C210" s="273">
        <v>116</v>
      </c>
      <c r="D210" s="279">
        <f t="shared" ref="D210:P210" si="55">D189+D190+D199+D198</f>
        <v>0</v>
      </c>
      <c r="E210" s="279">
        <f t="shared" si="55"/>
        <v>0</v>
      </c>
      <c r="F210" s="279">
        <f t="shared" si="55"/>
        <v>0</v>
      </c>
      <c r="G210" s="279">
        <f t="shared" si="55"/>
        <v>0</v>
      </c>
      <c r="H210" s="279">
        <f t="shared" si="55"/>
        <v>0</v>
      </c>
      <c r="I210" s="279">
        <f t="shared" si="55"/>
        <v>0</v>
      </c>
      <c r="J210" s="279">
        <f t="shared" si="55"/>
        <v>0</v>
      </c>
      <c r="K210" s="279">
        <f t="shared" si="55"/>
        <v>0</v>
      </c>
      <c r="L210" s="279">
        <f t="shared" si="55"/>
        <v>0</v>
      </c>
      <c r="M210" s="279">
        <f t="shared" si="55"/>
        <v>0</v>
      </c>
      <c r="N210" s="279">
        <f t="shared" si="55"/>
        <v>0</v>
      </c>
      <c r="O210" s="279">
        <f t="shared" si="55"/>
        <v>0</v>
      </c>
      <c r="P210" s="279">
        <f t="shared" si="55"/>
        <v>0</v>
      </c>
      <c r="Q210" s="382"/>
    </row>
    <row r="211" spans="1:17">
      <c r="A211" s="273"/>
      <c r="B211" s="273"/>
      <c r="C211" s="273">
        <v>146</v>
      </c>
      <c r="D211" s="279">
        <f t="shared" ref="D211:P211" si="56">D191+D200</f>
        <v>-301907</v>
      </c>
      <c r="E211" s="279">
        <f t="shared" si="56"/>
        <v>-21881</v>
      </c>
      <c r="F211" s="279">
        <f t="shared" si="56"/>
        <v>71486</v>
      </c>
      <c r="G211" s="279">
        <f t="shared" si="56"/>
        <v>263013</v>
      </c>
      <c r="H211" s="279">
        <f t="shared" si="56"/>
        <v>1090495</v>
      </c>
      <c r="I211" s="279">
        <f t="shared" si="56"/>
        <v>50519</v>
      </c>
      <c r="J211" s="279">
        <f t="shared" si="56"/>
        <v>-64624</v>
      </c>
      <c r="K211" s="279">
        <f t="shared" si="56"/>
        <v>-251654</v>
      </c>
      <c r="L211" s="279">
        <f t="shared" si="56"/>
        <v>-81306</v>
      </c>
      <c r="M211" s="279">
        <f t="shared" si="56"/>
        <v>-473405</v>
      </c>
      <c r="N211" s="279">
        <f t="shared" si="56"/>
        <v>-473504</v>
      </c>
      <c r="O211" s="279">
        <f t="shared" si="56"/>
        <v>-226376</v>
      </c>
      <c r="P211" s="279">
        <f t="shared" si="56"/>
        <v>-419144</v>
      </c>
    </row>
    <row r="212" spans="1:17">
      <c r="A212" s="273"/>
      <c r="B212" s="273"/>
      <c r="C212" s="273">
        <v>147</v>
      </c>
      <c r="D212" s="279">
        <f t="shared" ref="D212:P212" si="57">D192+D201</f>
        <v>0</v>
      </c>
      <c r="E212" s="279">
        <f t="shared" si="57"/>
        <v>0</v>
      </c>
      <c r="F212" s="279">
        <f t="shared" si="57"/>
        <v>0</v>
      </c>
      <c r="G212" s="279">
        <f t="shared" si="57"/>
        <v>0</v>
      </c>
      <c r="H212" s="279">
        <f t="shared" si="57"/>
        <v>0</v>
      </c>
      <c r="I212" s="279">
        <f t="shared" si="57"/>
        <v>0</v>
      </c>
      <c r="J212" s="279">
        <f t="shared" si="57"/>
        <v>0</v>
      </c>
      <c r="K212" s="279">
        <f t="shared" si="57"/>
        <v>0</v>
      </c>
      <c r="L212" s="279">
        <f t="shared" si="57"/>
        <v>0</v>
      </c>
      <c r="M212" s="279">
        <f t="shared" si="57"/>
        <v>0</v>
      </c>
      <c r="N212" s="279">
        <f t="shared" si="57"/>
        <v>0</v>
      </c>
      <c r="O212" s="279">
        <f t="shared" si="57"/>
        <v>0</v>
      </c>
      <c r="P212" s="279">
        <f t="shared" si="57"/>
        <v>0</v>
      </c>
      <c r="Q212" s="382"/>
    </row>
    <row r="213" spans="1:17">
      <c r="A213" s="273"/>
      <c r="B213" s="273"/>
      <c r="C213" s="273">
        <v>148</v>
      </c>
      <c r="D213" s="279">
        <f t="shared" ref="D213:P213" si="58">D193+D202</f>
        <v>-395463</v>
      </c>
      <c r="E213" s="279">
        <f t="shared" si="58"/>
        <v>167336</v>
      </c>
      <c r="F213" s="279">
        <f t="shared" si="58"/>
        <v>114912</v>
      </c>
      <c r="G213" s="279">
        <f t="shared" si="58"/>
        <v>522107</v>
      </c>
      <c r="H213" s="279">
        <f t="shared" si="58"/>
        <v>754743</v>
      </c>
      <c r="I213" s="279">
        <f t="shared" si="58"/>
        <v>252325</v>
      </c>
      <c r="J213" s="279">
        <f t="shared" si="58"/>
        <v>-1459390</v>
      </c>
      <c r="K213" s="279">
        <f t="shared" si="58"/>
        <v>878045</v>
      </c>
      <c r="L213" s="279">
        <f t="shared" si="58"/>
        <v>-72744</v>
      </c>
      <c r="M213" s="279">
        <f t="shared" si="58"/>
        <v>-135298</v>
      </c>
      <c r="N213" s="279">
        <f t="shared" si="58"/>
        <v>-510003</v>
      </c>
      <c r="O213" s="279">
        <f t="shared" si="58"/>
        <v>-535139</v>
      </c>
      <c r="P213" s="279">
        <f t="shared" si="58"/>
        <v>-418569</v>
      </c>
    </row>
    <row r="214" spans="1:17">
      <c r="A214" s="273"/>
      <c r="B214" s="273"/>
      <c r="C214" s="273" t="s">
        <v>59</v>
      </c>
      <c r="D214" s="279">
        <f>SUM(D208:D213)</f>
        <v>-1327000</v>
      </c>
      <c r="E214" s="279">
        <f t="shared" ref="E214:O214" si="59">SUM(E208:E213)</f>
        <v>89164</v>
      </c>
      <c r="F214" s="279">
        <f t="shared" si="59"/>
        <v>902480</v>
      </c>
      <c r="G214" s="279">
        <f t="shared" si="59"/>
        <v>5083805</v>
      </c>
      <c r="H214" s="279">
        <f t="shared" si="59"/>
        <v>13120651</v>
      </c>
      <c r="I214" s="279">
        <f t="shared" si="59"/>
        <v>2006102</v>
      </c>
      <c r="J214" s="279">
        <f t="shared" si="59"/>
        <v>-5156441</v>
      </c>
      <c r="K214" s="279">
        <f t="shared" si="59"/>
        <v>1017934</v>
      </c>
      <c r="L214" s="279">
        <f t="shared" si="59"/>
        <v>-6548981</v>
      </c>
      <c r="M214" s="279">
        <f t="shared" si="59"/>
        <v>-3847984</v>
      </c>
      <c r="N214" s="279">
        <f t="shared" si="59"/>
        <v>-5679791</v>
      </c>
      <c r="O214" s="279">
        <f t="shared" si="59"/>
        <v>-1040803</v>
      </c>
      <c r="P214" s="279">
        <f t="shared" ref="P214" si="60">SUM(P208:P213)</f>
        <v>-1380864</v>
      </c>
    </row>
    <row r="215" spans="1:17"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</row>
    <row r="216" spans="1:17">
      <c r="D216" s="301">
        <f>D204-D214</f>
        <v>0</v>
      </c>
      <c r="E216" s="301">
        <f t="shared" ref="E216:P216" si="61">E204-E214</f>
        <v>0</v>
      </c>
      <c r="F216" s="301">
        <f t="shared" si="61"/>
        <v>0</v>
      </c>
      <c r="G216" s="301">
        <f t="shared" si="61"/>
        <v>0</v>
      </c>
      <c r="H216" s="301">
        <f t="shared" si="61"/>
        <v>0</v>
      </c>
      <c r="I216" s="301">
        <f t="shared" si="61"/>
        <v>0</v>
      </c>
      <c r="J216" s="301">
        <f t="shared" si="61"/>
        <v>0</v>
      </c>
      <c r="K216" s="301">
        <f t="shared" si="61"/>
        <v>0</v>
      </c>
      <c r="L216" s="301">
        <f t="shared" si="61"/>
        <v>0</v>
      </c>
      <c r="M216" s="301">
        <f t="shared" si="61"/>
        <v>0</v>
      </c>
      <c r="N216" s="301">
        <f t="shared" si="61"/>
        <v>0</v>
      </c>
      <c r="O216" s="301">
        <f t="shared" si="61"/>
        <v>0</v>
      </c>
      <c r="P216" s="301">
        <f t="shared" si="61"/>
        <v>0</v>
      </c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68BC8535C0754CA971EFD63AEB6665" ma:contentTypeVersion="12" ma:contentTypeDescription="" ma:contentTypeScope="" ma:versionID="b57250949b3a12335e4da6a042e9df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8D8205-AB28-4A93-A0C0-0DACD4DA1187}"/>
</file>

<file path=customXml/itemProps2.xml><?xml version="1.0" encoding="utf-8"?>
<ds:datastoreItem xmlns:ds="http://schemas.openxmlformats.org/officeDocument/2006/customXml" ds:itemID="{EC8C6B3A-C763-41F3-B332-0ACED3768B5E}"/>
</file>

<file path=customXml/itemProps3.xml><?xml version="1.0" encoding="utf-8"?>
<ds:datastoreItem xmlns:ds="http://schemas.openxmlformats.org/officeDocument/2006/customXml" ds:itemID="{74C470AA-047C-4E6E-86E7-1A5933944701}"/>
</file>

<file path=customXml/itemProps4.xml><?xml version="1.0" encoding="utf-8"?>
<ds:datastoreItem xmlns:ds="http://schemas.openxmlformats.org/officeDocument/2006/customXml" ds:itemID="{B7132064-CF57-4960-9EAD-D1F464E39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PF Adjustment JCA-5</vt:lpstr>
      <vt:lpstr>Reconcile ROO to CB</vt:lpstr>
      <vt:lpstr>Pres &amp; Prop Rev</vt:lpstr>
      <vt:lpstr>Rate Design</vt:lpstr>
      <vt:lpstr>RS</vt:lpstr>
      <vt:lpstr>RD</vt:lpstr>
      <vt:lpstr>BFG</vt:lpstr>
      <vt:lpstr>Bill Determ</vt:lpstr>
      <vt:lpstr>Block Usage</vt:lpstr>
      <vt:lpstr>Big Schedules</vt:lpstr>
      <vt:lpstr>12MEJUN23</vt:lpstr>
      <vt:lpstr>Base1_Billing2</vt:lpstr>
      <vt:lpstr>'12MEJUN23'!Print_Area</vt:lpstr>
      <vt:lpstr>BFG!Print_Area</vt:lpstr>
      <vt:lpstr>'Big Schedules'!Print_Area</vt:lpstr>
      <vt:lpstr>'Bill Determ'!Print_Area</vt:lpstr>
      <vt:lpstr>'Block Usage'!Print_Area</vt:lpstr>
      <vt:lpstr>'PF Adjustment JCA-5'!Print_Area</vt:lpstr>
      <vt:lpstr>'Pres &amp; Prop Rev'!Print_Area</vt:lpstr>
      <vt:lpstr>'Rate Design'!Print_Area</vt:lpstr>
      <vt:lpstr>RD!Print_Area</vt:lpstr>
      <vt:lpstr>'Reconcile ROO to CB'!Print_Area</vt:lpstr>
      <vt:lpstr>RS!Print_Area</vt:lpstr>
      <vt:lpstr>'Pres &amp; Prop Rev'!PrintHeader</vt:lpstr>
      <vt:lpstr>Rates_Base_Present</vt:lpstr>
      <vt:lpstr>Rates_Base_Proposed</vt:lpstr>
      <vt:lpstr>Rates_Billing_Present</vt:lpstr>
      <vt:lpstr>Rates_Billing_Proposed</vt:lpstr>
    </vt:vector>
  </TitlesOfParts>
  <Company>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zz1x44</dc:creator>
  <cp:lastModifiedBy>Miller, Joe</cp:lastModifiedBy>
  <cp:lastPrinted>2024-01-25T20:44:04Z</cp:lastPrinted>
  <dcterms:created xsi:type="dcterms:W3CDTF">2004-04-05T21:48:48Z</dcterms:created>
  <dcterms:modified xsi:type="dcterms:W3CDTF">2024-01-25T20:44:19Z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0x0101006E56B4D1795A2E4DB2F0B01679ED314A00CD68BC8535C0754CA971EFD63AEB6665</vt:lpwstr>
  </property>
  <property fmtid="{D5CDD505-2E9C-101B-9397-08002B2CF9AE}" pid="3" name="_docset_NoMedatataSyncRequired">
    <vt:lpwstr>False</vt:lpwstr>
  </property>
</Properties>
</file>