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5320" windowHeight="13500" activeTab="0"/>
  </bookViews>
  <sheets>
    <sheet name="Class Summary" sheetId="1" r:id="rId1"/>
    <sheet name="Energy Summary" sheetId="2" r:id="rId2"/>
    <sheet name="Demand Summary" sheetId="3" r:id="rId3"/>
    <sheet name="Customer Summary" sheetId="4" r:id="rId4"/>
    <sheet name="Revenue Summary" sheetId="5" r:id="rId5"/>
    <sheet name="Expense Summary" sheetId="6" r:id="rId6"/>
    <sheet name="Ratebase Summary" sheetId="7" r:id="rId7"/>
    <sheet name="Basic Charge" sheetId="8" r:id="rId8"/>
    <sheet name="Sch 40 Feeder " sheetId="9" r:id="rId9"/>
    <sheet name="Sch 40 Substation O&amp;M" sheetId="10" r:id="rId10"/>
    <sheet name="Sch 40 Substation A&amp;G" sheetId="11" r:id="rId11"/>
  </sheets>
  <externalReferences>
    <externalReference r:id="rId14"/>
  </externalReferences>
  <definedNames>
    <definedName name="CASE">'[1]INPUTS'!$C$11</definedName>
    <definedName name="EffTax">'[1]INPUTS'!$F$36</definedName>
    <definedName name="FTAX">'[1]INPUTS'!$F$35</definedName>
    <definedName name="_xlnm.Print_Area" localSheetId="7">'Basic Charge'!$A$5:$O$62</definedName>
    <definedName name="_xlnm.Print_Area" localSheetId="0">'Class Summary'!$A$1:$P$410</definedName>
    <definedName name="_xlnm.Print_Area" localSheetId="3">'Customer Summary'!$A$1:$M$26</definedName>
    <definedName name="_xlnm.Print_Area" localSheetId="2">'Demand Summary'!$A$1:$M$26</definedName>
    <definedName name="_xlnm.Print_Area" localSheetId="1">'Energy Summary'!$A$1:$M$28</definedName>
    <definedName name="_xlnm.Print_Area" localSheetId="5">'Expense Summary'!$A$4:$O$141</definedName>
    <definedName name="_xlnm.Print_Area" localSheetId="6">'Ratebase Summary'!$A$3:$O$155</definedName>
    <definedName name="_xlnm.Print_Area" localSheetId="4">'Revenue Summary'!$A$4:$O$52</definedName>
    <definedName name="_xlnm.Print_Area" localSheetId="8">'Sch 40 Feeder '!$A$5:$E$33</definedName>
    <definedName name="_xlnm.Print_Area" localSheetId="10">'Sch 40 Substation A&amp;G'!$A$4:$C$25</definedName>
    <definedName name="_xlnm.Print_Area" localSheetId="9">'Sch 40 Substation O&amp;M'!$A$4:$C$30</definedName>
    <definedName name="_xlnm.Print_Titles" localSheetId="7">'Basic Charge'!$A:$E</definedName>
    <definedName name="_xlnm.Print_Titles" localSheetId="3">'Customer Summary'!$A:$C</definedName>
    <definedName name="_xlnm.Print_Titles" localSheetId="2">'Demand Summary'!$A:$C</definedName>
    <definedName name="_xlnm.Print_Titles" localSheetId="1">'Energy Summary'!$A:$C</definedName>
    <definedName name="_xlnm.Print_Titles" localSheetId="5">'Expense Summary'!$B:$E,'Expense Summary'!$3:$4</definedName>
    <definedName name="_xlnm.Print_Titles" localSheetId="6">'Ratebase Summary'!$B:$E,'Ratebase Summary'!$3:$4</definedName>
    <definedName name="_xlnm.Print_Titles" localSheetId="4">'Revenue Summary'!$B:$E,'Revenue Summary'!$3:$4</definedName>
    <definedName name="_xlnm.Print_Titles" localSheetId="8">'Sch 40 Feeder '!$B:$C,'Sch 40 Feeder '!$6:$7</definedName>
    <definedName name="_xlnm.Print_Titles" localSheetId="10">'Sch 40 Substation A&amp;G'!$B:$C,'Sch 40 Substation A&amp;G'!$5:$6</definedName>
    <definedName name="ResRCF">'[1]INPUTS'!$F$44</definedName>
    <definedName name="ResUnc">'[1]INPUTS'!$F$39</definedName>
    <definedName name="ROD">'[1]INPUTS'!$F$30</definedName>
    <definedName name="ROR">'[1]INPUTS'!$F$29</definedName>
    <definedName name="STAX">'[1]INPUTS'!$F$34</definedName>
  </definedNames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<sst xmlns="http://schemas.openxmlformats.org/spreadsheetml/2006/main" count="1222" uniqueCount="564">
  <si>
    <t>Puget Sound Energy</t>
  </si>
  <si>
    <t>ELECTRIC COST OF SERVICE SUMMARY</t>
  </si>
  <si>
    <t>Line No.</t>
  </si>
  <si>
    <t>Description</t>
  </si>
  <si>
    <t>Total Company</t>
  </si>
  <si>
    <t>Residential
Sch 7</t>
  </si>
  <si>
    <t>Sec Volt
Sch 24
(kW&lt; 50)</t>
  </si>
  <si>
    <t>Sec Volt
Sch 25
(kW &gt; 50 &amp; &lt; 350)</t>
  </si>
  <si>
    <t>Sec Volt
Sch 26
(kW &gt; 350)</t>
  </si>
  <si>
    <t>Pri Volt
Sch 31/35/43</t>
  </si>
  <si>
    <t>Campus
Sch 40</t>
  </si>
  <si>
    <t>High Volt
Sch 46/49</t>
  </si>
  <si>
    <t>Choice /
Retail Wheeling
Sch 448/449</t>
  </si>
  <si>
    <t>Lighting
Sch 50-59</t>
  </si>
  <si>
    <t>Firm Resale /
Special Contract</t>
  </si>
  <si>
    <t>(a)</t>
  </si>
  <si>
    <t>(b)</t>
  </si>
  <si>
    <t>(c)</t>
  </si>
  <si>
    <t>(d)</t>
  </si>
  <si>
    <t>(e)</t>
  </si>
  <si>
    <t>(g)</t>
  </si>
  <si>
    <t>(h)</t>
  </si>
  <si>
    <t>(k)</t>
  </si>
  <si>
    <t>(l)</t>
  </si>
  <si>
    <t>(m)</t>
  </si>
  <si>
    <t>(n)</t>
  </si>
  <si>
    <t>(o)</t>
  </si>
  <si>
    <t>Rate Base</t>
  </si>
  <si>
    <t>Plant in Service</t>
  </si>
  <si>
    <t>Accumulated Reserve</t>
  </si>
  <si>
    <t>Other Ratebase Items</t>
  </si>
  <si>
    <t>TOTAL RATE BASE</t>
  </si>
  <si>
    <t>Firm Sales</t>
  </si>
  <si>
    <t>Non-Firm Sales</t>
  </si>
  <si>
    <t>Other Operating Revenue</t>
  </si>
  <si>
    <t>Expenses at Current Rates</t>
  </si>
  <si>
    <t>Operation and Maintenance</t>
  </si>
  <si>
    <t>Depreciation Expense</t>
  </si>
  <si>
    <t>Taxes Other Than Income</t>
  </si>
  <si>
    <t>Income Taxes</t>
  </si>
  <si>
    <t>Calculation of Rate Schedule Revenue Requirement at Equal Rates of Return</t>
  </si>
  <si>
    <t>Required Return</t>
  </si>
  <si>
    <t>Required Operating Income</t>
  </si>
  <si>
    <t>Operating Income Deficiency / (Surplus)</t>
  </si>
  <si>
    <t>Revenue Conversion Factor</t>
  </si>
  <si>
    <t>Revenue Deficiency / (Surplus)</t>
  </si>
  <si>
    <t>Revenue Requirement</t>
  </si>
  <si>
    <t>Revenues Other Than Rate Sch. Rev.</t>
  </si>
  <si>
    <t>Rate Schedule Revenue Requirement</t>
  </si>
  <si>
    <t>Deficiency / (Surplus) as % of Firm Sales</t>
  </si>
  <si>
    <t>Expense at Required Return</t>
  </si>
  <si>
    <t>TOTAL EXPENSES - Required</t>
  </si>
  <si>
    <t>Rate Schedule Revenue as Proposed</t>
  </si>
  <si>
    <t>Other Revenue</t>
  </si>
  <si>
    <t>Revenue as Proposed</t>
  </si>
  <si>
    <t>Proposed Revenue Increase</t>
  </si>
  <si>
    <t>Proposed Revenue - Revenue Deficiency</t>
  </si>
  <si>
    <t>Current Revenue to Cost Ratio</t>
  </si>
  <si>
    <t>Parity Ratio</t>
  </si>
  <si>
    <t>Proposed Revenue to Cost Ratio</t>
  </si>
  <si>
    <t>Functional Rate Base</t>
  </si>
  <si>
    <t>System Total</t>
  </si>
  <si>
    <t>TOTAL</t>
  </si>
  <si>
    <t>Functional Revenue Requirement</t>
  </si>
  <si>
    <t>TOTAL REVENUE REQUIREMENT</t>
  </si>
  <si>
    <t>Unit Costs (per kWh)</t>
  </si>
  <si>
    <t>Total</t>
  </si>
  <si>
    <t>Delivered kWh</t>
  </si>
  <si>
    <t>Allocate Deficiency to Cost</t>
  </si>
  <si>
    <t>Uncollectible Expense</t>
  </si>
  <si>
    <t>Regulatory Exp</t>
  </si>
  <si>
    <t>Utility Tax</t>
  </si>
  <si>
    <t>FIT</t>
  </si>
  <si>
    <t>Total Deficiency (Expense)</t>
  </si>
  <si>
    <t>Allocation to Class</t>
  </si>
  <si>
    <t>ELECTRIC COST OF SERVICE SUMMARY - ENERGY RELATED</t>
  </si>
  <si>
    <t>(f)</t>
  </si>
  <si>
    <t>(i)</t>
  </si>
  <si>
    <t>(j)</t>
  </si>
  <si>
    <t>Expense</t>
  </si>
  <si>
    <t>TOTAL EXPENSES</t>
  </si>
  <si>
    <t>Requested Return on Net Investment</t>
  </si>
  <si>
    <t>Total Cost of Service</t>
  </si>
  <si>
    <t>Construction Work in Progress</t>
  </si>
  <si>
    <t>Working Capital Assets</t>
  </si>
  <si>
    <t>Other Items</t>
  </si>
  <si>
    <t>ELECTRIC COST OF SERVICE SUMMARY - DEMAND RELATED</t>
  </si>
  <si>
    <t>Pri Volt Sch 31</t>
  </si>
  <si>
    <t>Pri Volt Sch 35</t>
  </si>
  <si>
    <t>Pri Volt Sch 43</t>
  </si>
  <si>
    <t>ELECTRIC COST OF SERVICE SUMMARY - CUSTOMER RELATED</t>
  </si>
  <si>
    <t>ELECTRIC ACCOUNT ALLOCATION</t>
  </si>
  <si>
    <t>COS ID</t>
  </si>
  <si>
    <t>Account Description</t>
  </si>
  <si>
    <t>Allocation Method</t>
  </si>
  <si>
    <t>SALES REVENUE</t>
  </si>
  <si>
    <t>TOTAL OPERATING EXPENSES</t>
  </si>
  <si>
    <t>Customer Charge Calculation</t>
  </si>
  <si>
    <t>PLANT INVESTMENT:</t>
  </si>
  <si>
    <t>Meters (A/C 370)</t>
  </si>
  <si>
    <t>UG Service (A/C 369)</t>
  </si>
  <si>
    <t>OH Service (A/C 369)</t>
  </si>
  <si>
    <t>Transformers (A/C 368)</t>
  </si>
  <si>
    <t>Subtotal Transformer, Meter &amp; Service</t>
  </si>
  <si>
    <t>General Plant</t>
  </si>
  <si>
    <t>Prod, Trans &amp; Dist Plant</t>
  </si>
  <si>
    <t>Related General Plant</t>
  </si>
  <si>
    <t>Related Distribution Accumulated Depreciation</t>
  </si>
  <si>
    <t>General Accumulated Depreciation</t>
  </si>
  <si>
    <t>Related General Accumulated Depreciation</t>
  </si>
  <si>
    <t>Net Plant Investment</t>
  </si>
  <si>
    <t>EXPENSE:</t>
  </si>
  <si>
    <t>OE - Supervision &amp; Eng (A/C 580)</t>
  </si>
  <si>
    <t>OE - Meters (A/C 586)</t>
  </si>
  <si>
    <t>OE - Customer Installation (A/C 587)</t>
  </si>
  <si>
    <t>ME - Line Transformers (A/C 595)</t>
  </si>
  <si>
    <t>ME - Meters (A/C 597)</t>
  </si>
  <si>
    <t>CAE - Supervision (A/C 901)</t>
  </si>
  <si>
    <t>CAE - Meter Reading (A/C 902)</t>
  </si>
  <si>
    <t>CAE - Records &amp; Collections (A/C 903)</t>
  </si>
  <si>
    <t>Subtotal O&amp;M and Cust Acctg Expense</t>
  </si>
  <si>
    <t>Total Admin &amp; General</t>
  </si>
  <si>
    <t>Total Prod, Tran, Dist &amp; Customer Expense</t>
  </si>
  <si>
    <t>Related Admin &amp; General</t>
  </si>
  <si>
    <t>Distribution Depreciation Expense</t>
  </si>
  <si>
    <t>Related Distribution Depreciation Expense</t>
  </si>
  <si>
    <t>Total Depreciation Expense</t>
  </si>
  <si>
    <t>General Distribution Expense</t>
  </si>
  <si>
    <t>Depreciation Net of General Expense</t>
  </si>
  <si>
    <t>Related General Depr Expense</t>
  </si>
  <si>
    <t>Total Plant in Service</t>
  </si>
  <si>
    <t>Property Tax (A/C 236)</t>
  </si>
  <si>
    <t>Related Property Tax</t>
  </si>
  <si>
    <t>Total Related Expense</t>
  </si>
  <si>
    <t>Customers (Annual)</t>
  </si>
  <si>
    <t>Cost of Capital (Net of Tax)</t>
  </si>
  <si>
    <t>Conversion Factor</t>
  </si>
  <si>
    <t>1 - FIT Rate</t>
  </si>
  <si>
    <t>$ / Month per Customer for Plant Investment</t>
  </si>
  <si>
    <t>$ / Month per Customer for Expense</t>
  </si>
  <si>
    <t>TOTAL MONTHLY CUSTOMER CHARGE</t>
  </si>
  <si>
    <t>Sch 40 Feeder Allocation</t>
  </si>
  <si>
    <t>Line</t>
  </si>
  <si>
    <t>FERC 366 &amp; 367</t>
  </si>
  <si>
    <t>No.</t>
  </si>
  <si>
    <t>% to Total</t>
  </si>
  <si>
    <t>UG Lines</t>
  </si>
  <si>
    <t>Distribution Ratebase</t>
  </si>
  <si>
    <t>Direct Ratebase</t>
  </si>
  <si>
    <t>Direct Accumulated Depreciation</t>
  </si>
  <si>
    <t>Indirect Ratebase</t>
  </si>
  <si>
    <t>General / Other Ratebase</t>
  </si>
  <si>
    <t>Total Distribution Ratebase</t>
  </si>
  <si>
    <t>Rate of Return</t>
  </si>
  <si>
    <t>Return on Distribution Ratebase</t>
  </si>
  <si>
    <t>Distribution Expense</t>
  </si>
  <si>
    <t>Total Distribution Expense</t>
  </si>
  <si>
    <t xml:space="preserve">Less:  </t>
  </si>
  <si>
    <t>Depreciation</t>
  </si>
  <si>
    <t>Property Tax</t>
  </si>
  <si>
    <t>Subtotal Distribution Expense</t>
  </si>
  <si>
    <t>Direct Expense</t>
  </si>
  <si>
    <t>Indirect Expense</t>
  </si>
  <si>
    <t>Total Distribution Cost of Service</t>
  </si>
  <si>
    <t>% Expense to Distribution Plant</t>
  </si>
  <si>
    <t>Sch 40 Substation O&amp;M Overhead</t>
  </si>
  <si>
    <t>Substation O&amp;M  %</t>
  </si>
  <si>
    <t>A&amp;G - Operating Expense</t>
  </si>
  <si>
    <t>A&amp;G - Maintenance Expense</t>
  </si>
  <si>
    <t>Total A&amp;G</t>
  </si>
  <si>
    <t>Plant In Service</t>
  </si>
  <si>
    <t>Intangible Plant</t>
  </si>
  <si>
    <t>Total Plant In Service</t>
  </si>
  <si>
    <t>% A&amp;G to Total Plant</t>
  </si>
  <si>
    <t>Distribution Operating Expense</t>
  </si>
  <si>
    <t>Distribution Maintenance Expense</t>
  </si>
  <si>
    <t>Total Distribution O&amp;M Expense</t>
  </si>
  <si>
    <t>Distribution Plant in Service</t>
  </si>
  <si>
    <t>% Dist O&amp;M Expense to Plant</t>
  </si>
  <si>
    <t>Total O&amp;M and A&amp;G</t>
  </si>
  <si>
    <t>Revenue Sensitive Factor</t>
  </si>
  <si>
    <t>After Tax Rate</t>
  </si>
  <si>
    <t>Sch 40 Substation Administrative &amp; General Overhead</t>
  </si>
  <si>
    <t>Substation A&amp;G  %</t>
  </si>
  <si>
    <t>O&amp;M Expense</t>
  </si>
  <si>
    <t>Production O&amp;M</t>
  </si>
  <si>
    <t>Transmission O&amp;M</t>
  </si>
  <si>
    <t>Distribution O&amp;M</t>
  </si>
  <si>
    <t>Customer Accounting</t>
  </si>
  <si>
    <t>Customer Service / Sales</t>
  </si>
  <si>
    <t>Less:</t>
  </si>
  <si>
    <t>Fuel</t>
  </si>
  <si>
    <t>Purchased Power</t>
  </si>
  <si>
    <t>Other Purchase Power</t>
  </si>
  <si>
    <t>Wheeling</t>
  </si>
  <si>
    <t>Conservation Amortization</t>
  </si>
  <si>
    <t>Total O&amp;M for A&amp;G Calculation</t>
  </si>
  <si>
    <t>A&amp;G % to Total</t>
  </si>
  <si>
    <t>Adjusted Test Year Twelve Months ended December 2010 @ Proforma Rev Requirement</t>
  </si>
  <si>
    <t>Production</t>
  </si>
  <si>
    <t>Demand</t>
  </si>
  <si>
    <t>Energy</t>
  </si>
  <si>
    <t>Customer</t>
  </si>
  <si>
    <t>~</t>
  </si>
  <si>
    <t>Transmission</t>
  </si>
  <si>
    <t>Distribution</t>
  </si>
  <si>
    <t>Revenue at Current Rates</t>
  </si>
  <si>
    <t>TOTAL REVENUE - Current</t>
  </si>
  <si>
    <t>TOTAL EXPENSES - Current</t>
  </si>
  <si>
    <t>OPERATING INCOME - Current</t>
  </si>
  <si>
    <t>Current Rate of Return</t>
  </si>
  <si>
    <t>REVENUE</t>
  </si>
  <si>
    <t>Sales of Electricity - Firm Revenue</t>
  </si>
  <si>
    <t>PROFORMA_RETAIL</t>
  </si>
  <si>
    <t>Sales of Electricity - Transportation Revenue - Retail</t>
  </si>
  <si>
    <t>DIR_449</t>
  </si>
  <si>
    <t>Sales of Electricity - Small Firm Resale</t>
  </si>
  <si>
    <t>DIR_RESALE_SMALL</t>
  </si>
  <si>
    <t>Sales of Electricity - Unbilled Revenue</t>
  </si>
  <si>
    <t>UNBILLED</t>
  </si>
  <si>
    <t>Other Elect Revenue -  OATT - Sch 449</t>
  </si>
  <si>
    <t>DIR_449_OATT</t>
  </si>
  <si>
    <t>Other Elect Revenue - Other Transmission</t>
  </si>
  <si>
    <t>DIR_SPEC_CONT</t>
  </si>
  <si>
    <t>NON FIRM REVENUE</t>
  </si>
  <si>
    <t>Sales of Electricity - Non Firm Revenue</t>
  </si>
  <si>
    <t>PC4</t>
  </si>
  <si>
    <t>TOTAL NON FIRM REVENUE</t>
  </si>
  <si>
    <t>OTHER OPERATING REVENUE</t>
  </si>
  <si>
    <t>Late Payment Revenue - Interest</t>
  </si>
  <si>
    <t>DIR450.01</t>
  </si>
  <si>
    <t>Late Payment Revenue - Field Call</t>
  </si>
  <si>
    <t>DIR450.02</t>
  </si>
  <si>
    <t xml:space="preserve">Misc Service Revenue - Temporary Service </t>
  </si>
  <si>
    <t>CUST_2</t>
  </si>
  <si>
    <t>Misc Service Revenue - Reconnection Charge</t>
  </si>
  <si>
    <t>DIR451.02</t>
  </si>
  <si>
    <t>Misc Service Revenue - Modified Service Charge</t>
  </si>
  <si>
    <t>Misc Service Revenue - Water Heater Rental</t>
  </si>
  <si>
    <t>RESID</t>
  </si>
  <si>
    <t>Misc Service Revenue - Billing Initiation Charge</t>
  </si>
  <si>
    <t>DIR451.05</t>
  </si>
  <si>
    <t>Misc Service Revenue - NSF Handling Chg</t>
  </si>
  <si>
    <t>DIR451.06</t>
  </si>
  <si>
    <t>Misc Service Revenue - Deferred FIT CIAC</t>
  </si>
  <si>
    <t>DIR252.00</t>
  </si>
  <si>
    <t>Misc Service Revenue - Energy Diversion</t>
  </si>
  <si>
    <t>Rental Revenue - Steam Plant</t>
  </si>
  <si>
    <t>PP.T</t>
  </si>
  <si>
    <t>Rental Revenue - Distribution Pole Contacts</t>
  </si>
  <si>
    <t>D364.T</t>
  </si>
  <si>
    <t>Rental Revenue - Personal Cell Site</t>
  </si>
  <si>
    <t>Rental Revenue - Land &amp; Bldg</t>
  </si>
  <si>
    <t>PTDP.T</t>
  </si>
  <si>
    <t>Rental Revenue - Transf &amp; Equip</t>
  </si>
  <si>
    <t>DIR454.05</t>
  </si>
  <si>
    <t>Rental Revenue - Pole Rental</t>
  </si>
  <si>
    <t>DIR373.00</t>
  </si>
  <si>
    <t>Other Elect Revenue -  Wheeling</t>
  </si>
  <si>
    <t>Other Elect Revenue - Jobbing Revenue</t>
  </si>
  <si>
    <t>DP.T</t>
  </si>
  <si>
    <t>Other Elect Revenue - Dist O&amp;M</t>
  </si>
  <si>
    <t>LINE.T</t>
  </si>
  <si>
    <t>Other Elect Revenue - Summit Buyout</t>
  </si>
  <si>
    <t>GP.T</t>
  </si>
  <si>
    <t>Other Elect Revenue - PCS</t>
  </si>
  <si>
    <t>Other Elect Revenue - Non-Core Gas Sales</t>
  </si>
  <si>
    <t>Other Elect Revenue -Green Energy Option</t>
  </si>
  <si>
    <t>Other Elect Revenue - Sumas Water Sale</t>
  </si>
  <si>
    <t>Other Elect Revenue - Small Generator Application Fee</t>
  </si>
  <si>
    <t>Other Elect Revenue - Intolight</t>
  </si>
  <si>
    <t>CUS</t>
  </si>
  <si>
    <t>Other Elect Revenue - AG Settlement</t>
  </si>
  <si>
    <t>Other Elect Revenue - REC Revenue</t>
  </si>
  <si>
    <t>Other Elect Revenue - Cedar Hills Facility Fee</t>
  </si>
  <si>
    <t>Other Elect Revenue -  Imbalance</t>
  </si>
  <si>
    <t>IMBAL</t>
  </si>
  <si>
    <t>TOTAL OTHER OPERATING INCOME</t>
  </si>
  <si>
    <t>TOTAL REVENUE</t>
  </si>
  <si>
    <t>EXPENSES</t>
  </si>
  <si>
    <t>O &amp; M Expenses</t>
  </si>
  <si>
    <t>Production - O&amp;M - Fuel</t>
  </si>
  <si>
    <t>FUEL.ST</t>
  </si>
  <si>
    <t>Steam Prod O&amp;M - Fuel</t>
  </si>
  <si>
    <t>FUEL.OT</t>
  </si>
  <si>
    <t>Other Prod O&amp;M - Fuel</t>
  </si>
  <si>
    <t>Sub-total</t>
  </si>
  <si>
    <t>Production - O&amp;M - Purchase Power</t>
  </si>
  <si>
    <t>Purch Pwr - Other</t>
  </si>
  <si>
    <t>Purch Pwr - Res Exchange</t>
  </si>
  <si>
    <t>BPAX</t>
  </si>
  <si>
    <t>Purch Pwr - Transp Ancillary</t>
  </si>
  <si>
    <t>ANCIL</t>
  </si>
  <si>
    <t>Regulation &amp; Frequency Response</t>
  </si>
  <si>
    <t>Production - O&amp;M - Wheeling</t>
  </si>
  <si>
    <t>Wheeling by Others - Wheeling</t>
  </si>
  <si>
    <t>Production - O&amp;M - Other</t>
  </si>
  <si>
    <t xml:space="preserve">Steam Prod O&amp;M </t>
  </si>
  <si>
    <t>Hydro Prod O&amp;M - O&amp;M</t>
  </si>
  <si>
    <t>Other Prod O&amp;M - O&amp;M</t>
  </si>
  <si>
    <t>System Control &amp; Load Dispatch</t>
  </si>
  <si>
    <t>Transmission  - O&amp;M</t>
  </si>
  <si>
    <t>TP.T</t>
  </si>
  <si>
    <t>Distribution Expense - Operating</t>
  </si>
  <si>
    <t>Dist O&amp;M - Load Dispatch</t>
  </si>
  <si>
    <t>DES3.T</t>
  </si>
  <si>
    <t>Dist O&amp;M - Station</t>
  </si>
  <si>
    <t>D362.T</t>
  </si>
  <si>
    <t>Dist O&amp;M - OVHD Lines</t>
  </si>
  <si>
    <t>Dist O&amp;M - UNGD Lines</t>
  </si>
  <si>
    <t>D366.T</t>
  </si>
  <si>
    <t>Dist O&amp;M - Street Lighting</t>
  </si>
  <si>
    <t>Dist O&amp;M - Meter</t>
  </si>
  <si>
    <t>D370.T</t>
  </si>
  <si>
    <t>Dist O&amp;M - Cust Installations - Meters</t>
  </si>
  <si>
    <t>Dist O&amp;M - Rents</t>
  </si>
  <si>
    <t>Dist O&amp;M - Supr &amp; Eng</t>
  </si>
  <si>
    <t>DES1.T</t>
  </si>
  <si>
    <t>Dist O&amp;M - Miscellaneous</t>
  </si>
  <si>
    <t>Customer Accounts Expense</t>
  </si>
  <si>
    <t>CAE - Suprv</t>
  </si>
  <si>
    <t>CAES1.T</t>
  </si>
  <si>
    <t>CAE - Meter Reading</t>
  </si>
  <si>
    <t>CUST_4</t>
  </si>
  <si>
    <t>CAE - Records &amp; Collections</t>
  </si>
  <si>
    <t>CUST_3</t>
  </si>
  <si>
    <t xml:space="preserve">CAE - Uncollect Accts </t>
  </si>
  <si>
    <t>DIR904.00</t>
  </si>
  <si>
    <t>CAE - Miscellaneous</t>
  </si>
  <si>
    <t>CUST_1</t>
  </si>
  <si>
    <t>Customer Service &amp; Information Expense</t>
  </si>
  <si>
    <t>Cust Svc Exp - Cust Assistance</t>
  </si>
  <si>
    <t>DIR908.01</t>
  </si>
  <si>
    <t>Cust Svc Exp - Weatherization</t>
  </si>
  <si>
    <t>Cust Svc Exp - Info &amp; Instruct</t>
  </si>
  <si>
    <t>Cust Svc Exp - Misc</t>
  </si>
  <si>
    <t>Cust Svc Exp - Demonstration</t>
  </si>
  <si>
    <t>Cust Svc Exp - Demonstration &amp; Selling</t>
  </si>
  <si>
    <t>Cust Svc Exp - Advertising</t>
  </si>
  <si>
    <t>Cust Svc Exp - Misc Selling</t>
  </si>
  <si>
    <t>General Expenses</t>
  </si>
  <si>
    <t>A&amp;G Exp - Salaries</t>
  </si>
  <si>
    <t>ADJPTDCE.T</t>
  </si>
  <si>
    <t>A&amp;G Exp - Office Supplies</t>
  </si>
  <si>
    <t>A&amp;G Exp - Transf (credit)</t>
  </si>
  <si>
    <t>A&amp;G Exp - Outside Svcs</t>
  </si>
  <si>
    <t>A&amp;G Exp - Prop Insurance - Other</t>
  </si>
  <si>
    <t>PTDGP.T</t>
  </si>
  <si>
    <t>A&amp;G Exp - Injuries &amp; Damages - Other</t>
  </si>
  <si>
    <t>SW.T</t>
  </si>
  <si>
    <t>A&amp;G Exp - Pensions &amp; Benefits</t>
  </si>
  <si>
    <t xml:space="preserve">A&amp;G Exp - Reg Comm Exp </t>
  </si>
  <si>
    <t>PTDE.T</t>
  </si>
  <si>
    <t>A&amp;G Exp - Miscellaneous</t>
  </si>
  <si>
    <t>A&amp;G Exp - Rents</t>
  </si>
  <si>
    <t>Distribution Expense - Maintenance</t>
  </si>
  <si>
    <t>Dist O&amp;M - Station Eqpt</t>
  </si>
  <si>
    <t>Dist O&amp;M - Lines Transformers</t>
  </si>
  <si>
    <t>D368.T</t>
  </si>
  <si>
    <t>Dist O&amp;M - Meters</t>
  </si>
  <si>
    <t>General Expense - Maintenance &amp; Other</t>
  </si>
  <si>
    <t>A&amp;G Exp - Maint of Gen Plant</t>
  </si>
  <si>
    <t>Regulatory Debit / Credit - Production</t>
  </si>
  <si>
    <t>Regulatory Debit / Credit - Transmission</t>
  </si>
  <si>
    <t>Regulatory Debit / Credit - Distribution</t>
  </si>
  <si>
    <t>Regulatory Debit / Credit - Transmission + Distribution</t>
  </si>
  <si>
    <t>TDP.T</t>
  </si>
  <si>
    <t>FAS 133 Gain / Loss - Production</t>
  </si>
  <si>
    <t>TOTAL MAINTENANCE EXPENSES</t>
  </si>
  <si>
    <t>TOTAL O &amp; M EXPENSES</t>
  </si>
  <si>
    <t>Depr Exp - Production Steam Baseload</t>
  </si>
  <si>
    <t>Depr Exp - Production Hydro</t>
  </si>
  <si>
    <t>Depr Exp - Production Other</t>
  </si>
  <si>
    <t>Depr Exp - Transmission</t>
  </si>
  <si>
    <t>Depr Exp - Distribution</t>
  </si>
  <si>
    <t>Depr Exp - General</t>
  </si>
  <si>
    <t>Depr Exp - FAS 143</t>
  </si>
  <si>
    <t>Depr Exp - VROW</t>
  </si>
  <si>
    <t>Amort Exp - Limited Term Plant - Prod</t>
  </si>
  <si>
    <t>Amort Exp - Limited Term Plant - General</t>
  </si>
  <si>
    <t>Accretion Exp - FAS 143</t>
  </si>
  <si>
    <t>Amort Exp - WUTC AFUDC</t>
  </si>
  <si>
    <t>Amort Exp - Acq Adjustment - Transmission</t>
  </si>
  <si>
    <t>PC3</t>
  </si>
  <si>
    <t>Amort Exp - Acq Adjustment - Distribution</t>
  </si>
  <si>
    <t>Amort Exp - FERC Colstrip</t>
  </si>
  <si>
    <t>Amort Exp - Acq Adjustment - Production</t>
  </si>
  <si>
    <t>Amort Exp - Property Losses - Production</t>
  </si>
  <si>
    <t>Amort Exp - Storm T&amp;D</t>
  </si>
  <si>
    <t>TOTAL DEPRECIATION EXPENSES</t>
  </si>
  <si>
    <t>Taxes (Other Than Income)</t>
  </si>
  <si>
    <t>Property Taxes</t>
  </si>
  <si>
    <t>Payroll Taxes</t>
  </si>
  <si>
    <t>Other Taxes - Wash Excise - Allocated</t>
  </si>
  <si>
    <t>REVFAC1.T</t>
  </si>
  <si>
    <t>Other Taxes - Muni</t>
  </si>
  <si>
    <t>Other Taxes - MT Elec Energy Lic</t>
  </si>
  <si>
    <t>NRG</t>
  </si>
  <si>
    <t>TOTAL TAXES OTHER THAN INCOME</t>
  </si>
  <si>
    <t>INCOME TAXES</t>
  </si>
  <si>
    <t>409.10</t>
  </si>
  <si>
    <t>Current Federal Income Tax @ Rate</t>
  </si>
  <si>
    <t>RB.T</t>
  </si>
  <si>
    <t>410.10</t>
  </si>
  <si>
    <t>Provision for Def Inc Tax</t>
  </si>
  <si>
    <t>411.10</t>
  </si>
  <si>
    <t>Prov for Def Income Tax (Credit)</t>
  </si>
  <si>
    <t>TOTAL FIT</t>
  </si>
  <si>
    <t>RATE BASE</t>
  </si>
  <si>
    <t>Plant-in-Service</t>
  </si>
  <si>
    <t>Production Plant</t>
  </si>
  <si>
    <t>Thermal Baseload Generation</t>
  </si>
  <si>
    <t>Hydro Baseload Generation</t>
  </si>
  <si>
    <t>Other Production Generation</t>
  </si>
  <si>
    <t>Transmission Plant</t>
  </si>
  <si>
    <t>Transmission Plant - Integrated Generation</t>
  </si>
  <si>
    <t>Bulk Transmission Plant (&gt;230 kV)</t>
  </si>
  <si>
    <t>Sub Transmission Plant (&lt;230 kV)</t>
  </si>
  <si>
    <t>Distribution Plant</t>
  </si>
  <si>
    <t>Land &amp; Land Rights - Assigned</t>
  </si>
  <si>
    <t>DIR360.01</t>
  </si>
  <si>
    <t>Land &amp; Land Rights - Allocated</t>
  </si>
  <si>
    <t>NCP_360</t>
  </si>
  <si>
    <t>Land &amp; Land Rights -  - HV Distribution</t>
  </si>
  <si>
    <t>Structures &amp; Improve - Assigned</t>
  </si>
  <si>
    <t>DIR361.01</t>
  </si>
  <si>
    <t>Structures &amp; Improve - Allocated</t>
  </si>
  <si>
    <t>NCP_361</t>
  </si>
  <si>
    <t>Structures &amp; Improve -  - HV Distribution</t>
  </si>
  <si>
    <t>Station Equipment - Assigned</t>
  </si>
  <si>
    <t>DIR362.01</t>
  </si>
  <si>
    <t>Station Equipment - Allocated</t>
  </si>
  <si>
    <t>NCP_362</t>
  </si>
  <si>
    <t>Station Equipment -  - HV Distribution</t>
  </si>
  <si>
    <t xml:space="preserve">Poles Towers &amp; Fixtures </t>
  </si>
  <si>
    <t>OH_NCP</t>
  </si>
  <si>
    <t>Poles Towers &amp; Fixtures  - HV Distribution</t>
  </si>
  <si>
    <t>OH Lines Direct Assignment</t>
  </si>
  <si>
    <t>DIR364.01</t>
  </si>
  <si>
    <t xml:space="preserve">OVHD Cond &amp; Devices </t>
  </si>
  <si>
    <t>OVHD Cond &amp; Devices  - HV Distribution</t>
  </si>
  <si>
    <t xml:space="preserve">UG Conduit </t>
  </si>
  <si>
    <t>UG_NCP</t>
  </si>
  <si>
    <t>UG Conduit  - HV Distribution</t>
  </si>
  <si>
    <t>DEM_2A</t>
  </si>
  <si>
    <t>UG Conduit Direct Assignment</t>
  </si>
  <si>
    <t>DIR366.01</t>
  </si>
  <si>
    <t xml:space="preserve">UG Conductor &amp; Devices </t>
  </si>
  <si>
    <t>UG Conductor &amp; Devices - HV Distribution</t>
  </si>
  <si>
    <t>368.OH</t>
  </si>
  <si>
    <t>Line Transf  OVHD</t>
  </si>
  <si>
    <t>TFR</t>
  </si>
  <si>
    <t>368.UG</t>
  </si>
  <si>
    <t>Line Transf  UNGD</t>
  </si>
  <si>
    <t>Line Transf  Assigned</t>
  </si>
  <si>
    <t>369.OH</t>
  </si>
  <si>
    <t>Services - OVHD</t>
  </si>
  <si>
    <t>OH_SVC</t>
  </si>
  <si>
    <t>369.UG</t>
  </si>
  <si>
    <t>Services - UNGD</t>
  </si>
  <si>
    <t>Meters</t>
  </si>
  <si>
    <t>METER</t>
  </si>
  <si>
    <t>Leased Prop Assigned - Water Htrs</t>
  </si>
  <si>
    <t>DIR372.00</t>
  </si>
  <si>
    <t xml:space="preserve">Str &amp; Area Lighting Sys </t>
  </si>
  <si>
    <t>Asset Retirement Obligation</t>
  </si>
  <si>
    <t>Land &amp; Land Rights</t>
  </si>
  <si>
    <t>Structures &amp; Improvements</t>
  </si>
  <si>
    <t>Office Furniture &amp; Equip</t>
  </si>
  <si>
    <t>Transportation Equip</t>
  </si>
  <si>
    <t>Stores Equip</t>
  </si>
  <si>
    <t>Tools &amp; Shop &amp; Garage Equip</t>
  </si>
  <si>
    <t>SWPTD.T</t>
  </si>
  <si>
    <t>Lab Equip</t>
  </si>
  <si>
    <t>Power Operated Equip</t>
  </si>
  <si>
    <t>Communication Equip</t>
  </si>
  <si>
    <t>Miscellaneous Equip</t>
  </si>
  <si>
    <t>Other Tangible Property</t>
  </si>
  <si>
    <t>TOTAL PLANT-IN-SERVICE</t>
  </si>
  <si>
    <t>Accumulated Reserve for Depreciation</t>
  </si>
  <si>
    <t>Accum Amortization - Production</t>
  </si>
  <si>
    <t>Accum Amortization - General</t>
  </si>
  <si>
    <t>Accum Depreciation Thermal Baseload Generation</t>
  </si>
  <si>
    <t>Accum Depreciation Hydro Baseload Generation</t>
  </si>
  <si>
    <t>Accum Depreciation Other Production Generation</t>
  </si>
  <si>
    <t>Transmisson Plant</t>
  </si>
  <si>
    <t>108.04_IG</t>
  </si>
  <si>
    <t>Accum Depreciation Integrating Gen Transmisson Plant</t>
  </si>
  <si>
    <t>108.04_BT</t>
  </si>
  <si>
    <t>Accum Depreciation Bulk Transmisson Plant &gt;230kV</t>
  </si>
  <si>
    <t>108.04_ST</t>
  </si>
  <si>
    <t>Accum Depreciation Sub Transmisson Plant &lt;230kV</t>
  </si>
  <si>
    <t>108.05_360a</t>
  </si>
  <si>
    <t>Land Rights - Assigned</t>
  </si>
  <si>
    <t>DIR108.360</t>
  </si>
  <si>
    <t>108.05_360b</t>
  </si>
  <si>
    <t>Land Rights - Allocated</t>
  </si>
  <si>
    <t>108.05_360c</t>
  </si>
  <si>
    <t>Land Rights - HV Distribution</t>
  </si>
  <si>
    <t>108.05_361a</t>
  </si>
  <si>
    <t>DIR108.361</t>
  </si>
  <si>
    <t>108.05_361b</t>
  </si>
  <si>
    <t>108.05_361c</t>
  </si>
  <si>
    <t>Structures &amp; Improve - HV Distribution</t>
  </si>
  <si>
    <t>108.05_362a</t>
  </si>
  <si>
    <t>DIR108.362</t>
  </si>
  <si>
    <t>108.05_362b</t>
  </si>
  <si>
    <t>108.05_362c</t>
  </si>
  <si>
    <t>Station Equipment - HV Distribution</t>
  </si>
  <si>
    <t>108.10_364a</t>
  </si>
  <si>
    <t>108.10_364b</t>
  </si>
  <si>
    <t>108.10_364c</t>
  </si>
  <si>
    <t>Poles &amp; OH Conductor - Assigned</t>
  </si>
  <si>
    <t>DIR108.364</t>
  </si>
  <si>
    <t>108.10_365a</t>
  </si>
  <si>
    <t>108.10_365b</t>
  </si>
  <si>
    <t>OVHD Cond &amp; Devices - HV Distribution</t>
  </si>
  <si>
    <t>108.10_366a</t>
  </si>
  <si>
    <t xml:space="preserve">UNGD Conduit </t>
  </si>
  <si>
    <t>108.10_366b</t>
  </si>
  <si>
    <t>UNGD Conduit - HV Distribution</t>
  </si>
  <si>
    <t>108.10_366c</t>
  </si>
  <si>
    <t>UG Conduit &amp; Conductor - Assigned</t>
  </si>
  <si>
    <t>DIR108.366</t>
  </si>
  <si>
    <t>108.10_367a</t>
  </si>
  <si>
    <t xml:space="preserve">UNGDCond &amp; Devices </t>
  </si>
  <si>
    <t>108.10_367b</t>
  </si>
  <si>
    <t>UNGDCond &amp; Devices - HV Distribution</t>
  </si>
  <si>
    <t>108.10_368</t>
  </si>
  <si>
    <t>Line Transformers</t>
  </si>
  <si>
    <t>108.10_369</t>
  </si>
  <si>
    <t>Services</t>
  </si>
  <si>
    <t>D369.T</t>
  </si>
  <si>
    <t>108.10_370</t>
  </si>
  <si>
    <t>108.10_372</t>
  </si>
  <si>
    <t>108.10_373</t>
  </si>
  <si>
    <t>108.10_374</t>
  </si>
  <si>
    <t>Accum Depreciation General Plant</t>
  </si>
  <si>
    <t>RWIP</t>
  </si>
  <si>
    <t>TOTAL ACCUMULATED RESERVE FOR DEPRECIATION</t>
  </si>
  <si>
    <t>Rate Base Adjustments and Working Capital</t>
  </si>
  <si>
    <t>WC</t>
  </si>
  <si>
    <t>Working Capital</t>
  </si>
  <si>
    <t>EPIS.T</t>
  </si>
  <si>
    <t>Misc Def Debits - Production</t>
  </si>
  <si>
    <t>Misc Def Debits - Transmission</t>
  </si>
  <si>
    <t xml:space="preserve">Accum Deferred Income Tax - Prod </t>
  </si>
  <si>
    <t>Accum Deferred Income Tax - General</t>
  </si>
  <si>
    <t>Customer Deposits</t>
  </si>
  <si>
    <t>DIR235.00</t>
  </si>
  <si>
    <t>Customer Deposits - Transmission</t>
  </si>
  <si>
    <t>Customer Advances</t>
  </si>
  <si>
    <t>Landlord Incentive</t>
  </si>
  <si>
    <t>Acquisition Adjustment - Production</t>
  </si>
  <si>
    <t>Acquisition Adjustment - Transmission</t>
  </si>
  <si>
    <t>Acquisition Adjustment - Distribution</t>
  </si>
  <si>
    <t>Accum Amort Acquition Adj - Production</t>
  </si>
  <si>
    <t>Accum Amort Acquition Adj - Transmission</t>
  </si>
  <si>
    <t>Accum Amort Acquition Adj - Distribution</t>
  </si>
  <si>
    <t>ARO - Production</t>
  </si>
  <si>
    <t>ARO - Transmission</t>
  </si>
  <si>
    <t>ARO - Distribution</t>
  </si>
  <si>
    <t>ARO - General</t>
  </si>
  <si>
    <t>TOTAL OTHER RATE BASE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</si>
</sst>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.000000_);_(* \(#,##0.000000\);_(* &quot;-&quot;??_);_(@_)"/>
    <numFmt numFmtId="167" formatCode="_(&quot;$&quot;* #,##0.000000_);_(&quot;$&quot;* \(#,##0.000000\);_(&quot;$&quot;* &quot;-&quot;??_);_(@_)"/>
    <numFmt numFmtId="168" formatCode="_(* #,##0_);_(* \(#,##0\);_(* &quot;-&quot;??_);_(@_)"/>
    <numFmt numFmtId="169" formatCode="0.0000%"/>
    <numFmt numFmtId="170" formatCode="_(* #,##0.00000_);_(* \(#,##0.00000\);_(* &quot;-&quot;??_);_(@_)"/>
    <numFmt numFmtId="171" formatCode="0.0000000"/>
    <numFmt numFmtId="172" formatCode="d\.mmm\.yy"/>
    <numFmt numFmtId="173" formatCode="#."/>
    <numFmt numFmtId="174" formatCode="_(* ###0_);_(* \(###0\);_(* &quot;-&quot;_);_(@_)"/>
    <numFmt numFmtId="175" formatCode="0.00_)"/>
    <numFmt numFmtId="176" formatCode="&quot;$&quot;#,##0;\-&quot;$&quot;#,##0"/>
    <numFmt numFmtId="177" formatCode="_(&quot;$&quot;* #,##0.0000_);_(&quot;$&quot;* \(#,##0.0000\);_(&quot;$&quot;* &quot;-&quot;????_);_(@_)"/>
    <numFmt numFmtId="178" formatCode="_(* #,##0.0_);_(* \(#,##0.0\);_(* &quot;-&quot;_);_(@_)"/>
    <numFmt numFmtId="179" formatCode="&quot;$&quot;#,##0.00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9"/>
      <name val="Calibri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0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0"/>
    </font>
    <font>
      <i/>
      <sz val="10"/>
      <name val="Arial"/>
      <family val="2"/>
    </font>
    <font>
      <sz val="8"/>
      <name val="Helv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hair"/>
      <top/>
      <bottom style="thin"/>
    </border>
    <border>
      <left/>
      <right style="hair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hair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double">
        <color indexed="8"/>
      </top>
      <bottom/>
    </border>
  </borders>
  <cellStyleXfs count="472">
    <xf numFmtId="164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1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0" fontId="4" fillId="0" borderId="0">
      <alignment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0" fontId="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0" fontId="4" fillId="0" borderId="0">
      <alignment/>
      <protection/>
    </xf>
    <xf numFmtId="0" fontId="5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4" borderId="0" applyNumberFormat="0" applyBorder="0" applyAlignment="0" applyProtection="0"/>
    <xf numFmtId="0" fontId="5" fillId="25" borderId="0" applyNumberFormat="0" applyBorder="0" applyAlignment="0" applyProtection="0"/>
    <xf numFmtId="0" fontId="51" fillId="26" borderId="0" applyNumberFormat="0" applyBorder="0" applyAlignment="0" applyProtection="0"/>
    <xf numFmtId="0" fontId="5" fillId="17" borderId="0" applyNumberFormat="0" applyBorder="0" applyAlignment="0" applyProtection="0"/>
    <xf numFmtId="0" fontId="51" fillId="27" borderId="0" applyNumberFormat="0" applyBorder="0" applyAlignment="0" applyProtection="0"/>
    <xf numFmtId="0" fontId="5" fillId="19" borderId="0" applyNumberFormat="0" applyBorder="0" applyAlignment="0" applyProtection="0"/>
    <xf numFmtId="0" fontId="51" fillId="28" borderId="0" applyNumberFormat="0" applyBorder="0" applyAlignment="0" applyProtection="0"/>
    <xf numFmtId="0" fontId="5" fillId="29" borderId="0" applyNumberFormat="0" applyBorder="0" applyAlignment="0" applyProtection="0"/>
    <xf numFmtId="0" fontId="51" fillId="30" borderId="0" applyNumberFormat="0" applyBorder="0" applyAlignment="0" applyProtection="0"/>
    <xf numFmtId="0" fontId="5" fillId="31" borderId="0" applyNumberFormat="0" applyBorder="0" applyAlignment="0" applyProtection="0"/>
    <xf numFmtId="0" fontId="51" fillId="32" borderId="0" applyNumberFormat="0" applyBorder="0" applyAlignment="0" applyProtection="0"/>
    <xf numFmtId="0" fontId="5" fillId="33" borderId="0" applyNumberFormat="0" applyBorder="0" applyAlignment="0" applyProtection="0"/>
    <xf numFmtId="0" fontId="51" fillId="34" borderId="0" applyNumberFormat="0" applyBorder="0" applyAlignment="0" applyProtection="0"/>
    <xf numFmtId="0" fontId="5" fillId="35" borderId="0" applyNumberFormat="0" applyBorder="0" applyAlignment="0" applyProtection="0"/>
    <xf numFmtId="0" fontId="51" fillId="36" borderId="0" applyNumberFormat="0" applyBorder="0" applyAlignment="0" applyProtection="0"/>
    <xf numFmtId="0" fontId="5" fillId="37" borderId="0" applyNumberFormat="0" applyBorder="0" applyAlignment="0" applyProtection="0"/>
    <xf numFmtId="0" fontId="51" fillId="38" borderId="0" applyNumberFormat="0" applyBorder="0" applyAlignment="0" applyProtection="0"/>
    <xf numFmtId="0" fontId="5" fillId="39" borderId="0" applyNumberFormat="0" applyBorder="0" applyAlignment="0" applyProtection="0"/>
    <xf numFmtId="0" fontId="51" fillId="40" borderId="0" applyNumberFormat="0" applyBorder="0" applyAlignment="0" applyProtection="0"/>
    <xf numFmtId="0" fontId="5" fillId="29" borderId="0" applyNumberFormat="0" applyBorder="0" applyAlignment="0" applyProtection="0"/>
    <xf numFmtId="0" fontId="51" fillId="41" borderId="0" applyNumberFormat="0" applyBorder="0" applyAlignment="0" applyProtection="0"/>
    <xf numFmtId="0" fontId="5" fillId="31" borderId="0" applyNumberFormat="0" applyBorder="0" applyAlignment="0" applyProtection="0"/>
    <xf numFmtId="0" fontId="51" fillId="42" borderId="0" applyNumberFormat="0" applyBorder="0" applyAlignment="0" applyProtection="0"/>
    <xf numFmtId="0" fontId="5" fillId="43" borderId="0" applyNumberFormat="0" applyBorder="0" applyAlignment="0" applyProtection="0"/>
    <xf numFmtId="0" fontId="52" fillId="44" borderId="0" applyNumberFormat="0" applyBorder="0" applyAlignment="0" applyProtection="0"/>
    <xf numFmtId="0" fontId="6" fillId="5" borderId="0" applyNumberFormat="0" applyBorder="0" applyAlignment="0" applyProtection="0"/>
    <xf numFmtId="172" fontId="7" fillId="0" borderId="0" applyFill="0" applyBorder="0" applyAlignment="0">
      <protection/>
    </xf>
    <xf numFmtId="41" fontId="0" fillId="45" borderId="0">
      <alignment/>
      <protection/>
    </xf>
    <xf numFmtId="41" fontId="0" fillId="45" borderId="0">
      <alignment/>
      <protection/>
    </xf>
    <xf numFmtId="0" fontId="53" fillId="46" borderId="1" applyNumberFormat="0" applyAlignment="0" applyProtection="0"/>
    <xf numFmtId="0" fontId="8" fillId="47" borderId="2" applyNumberFormat="0" applyAlignment="0" applyProtection="0"/>
    <xf numFmtId="41" fontId="0" fillId="48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0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73" fontId="13" fillId="0" borderId="0">
      <alignment/>
      <protection locked="0"/>
    </xf>
    <xf numFmtId="0" fontId="11" fillId="0" borderId="0">
      <alignment/>
      <protection/>
    </xf>
    <xf numFmtId="0" fontId="14" fillId="0" borderId="0" applyNumberFormat="0" applyAlignment="0">
      <protection/>
    </xf>
    <xf numFmtId="0" fontId="15" fillId="0" borderId="0" applyNumberFormat="0" applyAlignment="0"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4" fontId="0" fillId="0" borderId="0">
      <alignment/>
      <protection/>
    </xf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10" fillId="0" borderId="0">
      <alignment/>
      <protection/>
    </xf>
    <xf numFmtId="0" fontId="55" fillId="49" borderId="0" applyNumberFormat="0" applyBorder="0" applyAlignment="0" applyProtection="0"/>
    <xf numFmtId="0" fontId="17" fillId="7" borderId="0" applyNumberFormat="0" applyBorder="0" applyAlignment="0" applyProtection="0"/>
    <xf numFmtId="38" fontId="18" fillId="48" borderId="0" applyNumberFormat="0" applyBorder="0" applyAlignment="0" applyProtection="0"/>
    <xf numFmtId="38" fontId="18" fillId="48" borderId="0" applyNumberFormat="0" applyBorder="0" applyAlignment="0" applyProtection="0"/>
    <xf numFmtId="38" fontId="18" fillId="48" borderId="0" applyNumberFormat="0" applyBorder="0" applyAlignment="0" applyProtection="0"/>
    <xf numFmtId="38" fontId="18" fillId="48" borderId="0" applyNumberFormat="0" applyBorder="0" applyAlignment="0" applyProtection="0"/>
    <xf numFmtId="38" fontId="18" fillId="48" borderId="0" applyNumberFormat="0" applyBorder="0" applyAlignment="0" applyProtection="0"/>
    <xf numFmtId="0" fontId="19" fillId="0" borderId="3" applyNumberFormat="0" applyAlignment="0" applyProtection="0"/>
    <xf numFmtId="0" fontId="19" fillId="0" borderId="4">
      <alignment horizontal="left"/>
      <protection/>
    </xf>
    <xf numFmtId="0" fontId="56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38" fontId="3" fillId="0" borderId="0">
      <alignment/>
      <protection/>
    </xf>
    <xf numFmtId="40" fontId="3" fillId="0" borderId="0">
      <alignment/>
      <protection/>
    </xf>
    <xf numFmtId="0" fontId="59" fillId="50" borderId="8" applyNumberFormat="0" applyAlignment="0" applyProtection="0"/>
    <xf numFmtId="10" fontId="18" fillId="45" borderId="9" applyNumberFormat="0" applyBorder="0" applyAlignment="0" applyProtection="0"/>
    <xf numFmtId="10" fontId="18" fillId="45" borderId="9" applyNumberFormat="0" applyBorder="0" applyAlignment="0" applyProtection="0"/>
    <xf numFmtId="10" fontId="18" fillId="45" borderId="9" applyNumberFormat="0" applyBorder="0" applyAlignment="0" applyProtection="0"/>
    <xf numFmtId="10" fontId="18" fillId="45" borderId="9" applyNumberFormat="0" applyBorder="0" applyAlignment="0" applyProtection="0"/>
    <xf numFmtId="10" fontId="18" fillId="45" borderId="9" applyNumberFormat="0" applyBorder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41" fontId="21" fillId="51" borderId="11">
      <alignment horizontal="left"/>
      <protection locked="0"/>
    </xf>
    <xf numFmtId="10" fontId="21" fillId="51" borderId="11">
      <alignment horizontal="right"/>
      <protection locked="0"/>
    </xf>
    <xf numFmtId="0" fontId="18" fillId="48" borderId="0">
      <alignment/>
      <protection/>
    </xf>
    <xf numFmtId="3" fontId="22" fillId="0" borderId="0" applyFill="0" applyBorder="0" applyAlignment="0" applyProtection="0"/>
    <xf numFmtId="0" fontId="60" fillId="0" borderId="12" applyNumberFormat="0" applyFill="0" applyAlignment="0" applyProtection="0"/>
    <xf numFmtId="44" fontId="2" fillId="0" borderId="13" applyNumberFormat="0" applyFont="0" applyAlignment="0">
      <protection/>
    </xf>
    <xf numFmtId="44" fontId="2" fillId="0" borderId="13" applyNumberFormat="0" applyFont="0" applyAlignment="0">
      <protection/>
    </xf>
    <xf numFmtId="44" fontId="2" fillId="0" borderId="13" applyNumberFormat="0" applyFont="0" applyAlignment="0">
      <protection/>
    </xf>
    <xf numFmtId="44" fontId="2" fillId="0" borderId="13" applyNumberFormat="0" applyFont="0" applyAlignment="0">
      <protection/>
    </xf>
    <xf numFmtId="44" fontId="2" fillId="0" borderId="14" applyNumberFormat="0" applyFont="0" applyAlignment="0">
      <protection/>
    </xf>
    <xf numFmtId="44" fontId="2" fillId="0" borderId="14" applyNumberFormat="0" applyFont="0" applyAlignment="0">
      <protection/>
    </xf>
    <xf numFmtId="44" fontId="2" fillId="0" borderId="14" applyNumberFormat="0" applyFont="0" applyAlignment="0">
      <protection/>
    </xf>
    <xf numFmtId="44" fontId="2" fillId="0" borderId="14" applyNumberFormat="0" applyFont="0" applyAlignment="0">
      <protection/>
    </xf>
    <xf numFmtId="0" fontId="61" fillId="52" borderId="0" applyNumberFormat="0" applyBorder="0" applyAlignment="0" applyProtection="0"/>
    <xf numFmtId="0" fontId="23" fillId="51" borderId="0" applyNumberFormat="0" applyBorder="0" applyAlignment="0" applyProtection="0"/>
    <xf numFmtId="37" fontId="24" fillId="0" borderId="0">
      <alignment/>
      <protection/>
    </xf>
    <xf numFmtId="175" fontId="25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164" fontId="0" fillId="0" borderId="0">
      <alignment horizontal="left" wrapText="1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3" borderId="15" applyNumberFormat="0" applyFont="0" applyAlignment="0" applyProtection="0"/>
    <xf numFmtId="0" fontId="1" fillId="54" borderId="16" applyNumberFormat="0" applyFont="0" applyAlignment="0" applyProtection="0"/>
    <xf numFmtId="0" fontId="1" fillId="54" borderId="16" applyNumberFormat="0" applyFont="0" applyAlignment="0" applyProtection="0"/>
    <xf numFmtId="0" fontId="0" fillId="54" borderId="16" applyNumberFormat="0" applyFont="0" applyAlignment="0" applyProtection="0"/>
    <xf numFmtId="0" fontId="1" fillId="54" borderId="16" applyNumberFormat="0" applyFont="0" applyAlignment="0" applyProtection="0"/>
    <xf numFmtId="0" fontId="1" fillId="54" borderId="16" applyNumberFormat="0" applyFont="0" applyAlignment="0" applyProtection="0"/>
    <xf numFmtId="0" fontId="1" fillId="54" borderId="16" applyNumberFormat="0" applyFont="0" applyAlignment="0" applyProtection="0"/>
    <xf numFmtId="0" fontId="1" fillId="54" borderId="16" applyNumberFormat="0" applyFont="0" applyAlignment="0" applyProtection="0"/>
    <xf numFmtId="0" fontId="1" fillId="54" borderId="16" applyNumberFormat="0" applyFont="0" applyAlignment="0" applyProtection="0"/>
    <xf numFmtId="0" fontId="1" fillId="54" borderId="16" applyNumberFormat="0" applyFont="0" applyAlignment="0" applyProtection="0"/>
    <xf numFmtId="0" fontId="1" fillId="54" borderId="16" applyNumberFormat="0" applyFont="0" applyAlignment="0" applyProtection="0"/>
    <xf numFmtId="0" fontId="1" fillId="54" borderId="16" applyNumberFormat="0" applyFont="0" applyAlignment="0" applyProtection="0"/>
    <xf numFmtId="0" fontId="62" fillId="55" borderId="17" applyNumberFormat="0" applyAlignment="0" applyProtection="0"/>
    <xf numFmtId="0" fontId="27" fillId="48" borderId="18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10" fontId="0" fillId="0" borderId="11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11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56" borderId="11">
      <alignment/>
      <protection/>
    </xf>
    <xf numFmtId="0" fontId="26" fillId="0" borderId="0" applyNumberFormat="0" applyFont="0" applyFill="0" applyBorder="0" applyAlignment="0" applyProtection="0"/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28" fillId="0" borderId="19">
      <alignment horizontal="center"/>
      <protection/>
    </xf>
    <xf numFmtId="3" fontId="26" fillId="0" borderId="0" applyFont="0" applyFill="0" applyBorder="0" applyAlignment="0" applyProtection="0"/>
    <xf numFmtId="0" fontId="26" fillId="57" borderId="0" applyNumberFormat="0" applyFont="0" applyBorder="0" applyAlignment="0" applyProtection="0"/>
    <xf numFmtId="0" fontId="11" fillId="0" borderId="0">
      <alignment/>
      <protection/>
    </xf>
    <xf numFmtId="3" fontId="29" fillId="0" borderId="0" applyFill="0" applyBorder="0" applyAlignment="0" applyProtection="0"/>
    <xf numFmtId="0" fontId="30" fillId="0" borderId="0">
      <alignment/>
      <protection/>
    </xf>
    <xf numFmtId="3" fontId="29" fillId="0" borderId="0" applyFill="0" applyBorder="0" applyAlignment="0" applyProtection="0"/>
    <xf numFmtId="42" fontId="0" fillId="45" borderId="0">
      <alignment/>
      <protection/>
    </xf>
    <xf numFmtId="42" fontId="0" fillId="45" borderId="20">
      <alignment vertical="center"/>
      <protection/>
    </xf>
    <xf numFmtId="0" fontId="2" fillId="45" borderId="21" applyNumberFormat="0">
      <alignment horizontal="center" vertical="center" wrapText="1"/>
      <protection/>
    </xf>
    <xf numFmtId="10" fontId="0" fillId="45" borderId="0">
      <alignment/>
      <protection/>
    </xf>
    <xf numFmtId="177" fontId="0" fillId="45" borderId="0">
      <alignment/>
      <protection/>
    </xf>
    <xf numFmtId="168" fontId="3" fillId="0" borderId="0" applyBorder="0" applyAlignment="0">
      <protection/>
    </xf>
    <xf numFmtId="42" fontId="0" fillId="45" borderId="22">
      <alignment horizontal="left"/>
      <protection/>
    </xf>
    <xf numFmtId="177" fontId="31" fillId="45" borderId="22">
      <alignment horizontal="left"/>
      <protection/>
    </xf>
    <xf numFmtId="14" fontId="32" fillId="0" borderId="0" applyNumberFormat="0" applyFill="0" applyBorder="0" applyAlignment="0" applyProtection="0"/>
    <xf numFmtId="178" fontId="0" fillId="0" borderId="0" applyFont="0" applyFill="0" applyAlignment="0">
      <protection/>
    </xf>
    <xf numFmtId="4" fontId="33" fillId="51" borderId="18" applyNumberFormat="0" applyProtection="0">
      <alignment vertical="center"/>
    </xf>
    <xf numFmtId="4" fontId="34" fillId="51" borderId="18" applyNumberFormat="0" applyProtection="0">
      <alignment vertical="center"/>
    </xf>
    <xf numFmtId="4" fontId="33" fillId="51" borderId="18" applyNumberFormat="0" applyProtection="0">
      <alignment horizontal="left" vertical="center" indent="1"/>
    </xf>
    <xf numFmtId="4" fontId="33" fillId="51" borderId="18" applyNumberFormat="0" applyProtection="0">
      <alignment horizontal="left" vertical="center" indent="1"/>
    </xf>
    <xf numFmtId="0" fontId="0" fillId="3" borderId="18" applyNumberFormat="0" applyProtection="0">
      <alignment horizontal="left" vertical="center" indent="1"/>
    </xf>
    <xf numFmtId="4" fontId="33" fillId="5" borderId="18" applyNumberFormat="0" applyProtection="0">
      <alignment horizontal="right" vertical="center"/>
    </xf>
    <xf numFmtId="4" fontId="33" fillId="17" borderId="18" applyNumberFormat="0" applyProtection="0">
      <alignment horizontal="right" vertical="center"/>
    </xf>
    <xf numFmtId="4" fontId="33" fillId="37" borderId="18" applyNumberFormat="0" applyProtection="0">
      <alignment horizontal="right" vertical="center"/>
    </xf>
    <xf numFmtId="4" fontId="33" fillId="23" borderId="18" applyNumberFormat="0" applyProtection="0">
      <alignment horizontal="right" vertical="center"/>
    </xf>
    <xf numFmtId="4" fontId="33" fillId="33" borderId="18" applyNumberFormat="0" applyProtection="0">
      <alignment horizontal="right" vertical="center"/>
    </xf>
    <xf numFmtId="4" fontId="33" fillId="43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58" borderId="18" applyNumberFormat="0" applyProtection="0">
      <alignment horizontal="right" vertical="center"/>
    </xf>
    <xf numFmtId="4" fontId="33" fillId="19" borderId="18" applyNumberFormat="0" applyProtection="0">
      <alignment horizontal="right" vertical="center"/>
    </xf>
    <xf numFmtId="4" fontId="35" fillId="59" borderId="18" applyNumberFormat="0" applyProtection="0">
      <alignment horizontal="left" vertical="center" indent="1"/>
    </xf>
    <xf numFmtId="4" fontId="33" fillId="60" borderId="23" applyNumberFormat="0" applyProtection="0">
      <alignment horizontal="left" vertical="center" indent="1"/>
    </xf>
    <xf numFmtId="4" fontId="36" fillId="61" borderId="0" applyNumberFormat="0" applyProtection="0">
      <alignment horizontal="left" vertical="center" indent="1"/>
    </xf>
    <xf numFmtId="0" fontId="0" fillId="3" borderId="18" applyNumberFormat="0" applyProtection="0">
      <alignment horizontal="left" vertical="center" indent="1"/>
    </xf>
    <xf numFmtId="4" fontId="33" fillId="60" borderId="18" applyNumberFormat="0" applyProtection="0">
      <alignment horizontal="left" vertical="center" indent="1"/>
    </xf>
    <xf numFmtId="4" fontId="33" fillId="62" borderId="18" applyNumberFormat="0" applyProtection="0">
      <alignment horizontal="left" vertical="center" indent="1"/>
    </xf>
    <xf numFmtId="0" fontId="0" fillId="62" borderId="18" applyNumberFormat="0" applyProtection="0">
      <alignment horizontal="left" vertical="center" indent="1"/>
    </xf>
    <xf numFmtId="0" fontId="0" fillId="62" borderId="18" applyNumberFormat="0" applyProtection="0">
      <alignment horizontal="left" vertical="center" indent="1"/>
    </xf>
    <xf numFmtId="0" fontId="0" fillId="47" borderId="18" applyNumberFormat="0" applyProtection="0">
      <alignment horizontal="left" vertical="center" indent="1"/>
    </xf>
    <xf numFmtId="0" fontId="0" fillId="47" borderId="18" applyNumberFormat="0" applyProtection="0">
      <alignment horizontal="left" vertical="center" indent="1"/>
    </xf>
    <xf numFmtId="0" fontId="0" fillId="48" borderId="18" applyNumberFormat="0" applyProtection="0">
      <alignment horizontal="left" vertical="center" indent="1"/>
    </xf>
    <xf numFmtId="0" fontId="0" fillId="48" borderId="18" applyNumberFormat="0" applyProtection="0">
      <alignment horizontal="left" vertical="center" indent="1"/>
    </xf>
    <xf numFmtId="0" fontId="0" fillId="3" borderId="18" applyNumberFormat="0" applyProtection="0">
      <alignment horizontal="left" vertical="center" indent="1"/>
    </xf>
    <xf numFmtId="0" fontId="0" fillId="3" borderId="18" applyNumberFormat="0" applyProtection="0">
      <alignment horizontal="left" vertical="center" indent="1"/>
    </xf>
    <xf numFmtId="4" fontId="33" fillId="54" borderId="18" applyNumberFormat="0" applyProtection="0">
      <alignment vertical="center"/>
    </xf>
    <xf numFmtId="4" fontId="34" fillId="54" borderId="18" applyNumberFormat="0" applyProtection="0">
      <alignment vertical="center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60" borderId="18" applyNumberFormat="0" applyProtection="0">
      <alignment horizontal="right" vertical="center"/>
    </xf>
    <xf numFmtId="4" fontId="34" fillId="60" borderId="18" applyNumberFormat="0" applyProtection="0">
      <alignment horizontal="right" vertical="center"/>
    </xf>
    <xf numFmtId="0" fontId="0" fillId="3" borderId="18" applyNumberFormat="0" applyProtection="0">
      <alignment horizontal="left" vertical="center" indent="1"/>
    </xf>
    <xf numFmtId="0" fontId="0" fillId="3" borderId="18" applyNumberFormat="0" applyProtection="0">
      <alignment horizontal="left" vertical="center" indent="1"/>
    </xf>
    <xf numFmtId="0" fontId="37" fillId="0" borderId="0">
      <alignment/>
      <protection/>
    </xf>
    <xf numFmtId="4" fontId="38" fillId="60" borderId="18" applyNumberFormat="0" applyProtection="0">
      <alignment horizontal="right" vertical="center"/>
    </xf>
    <xf numFmtId="39" fontId="0" fillId="63" borderId="0">
      <alignment/>
      <protection/>
    </xf>
    <xf numFmtId="38" fontId="18" fillId="0" borderId="24">
      <alignment/>
      <protection/>
    </xf>
    <xf numFmtId="38" fontId="18" fillId="0" borderId="24">
      <alignment/>
      <protection/>
    </xf>
    <xf numFmtId="38" fontId="18" fillId="0" borderId="24">
      <alignment/>
      <protection/>
    </xf>
    <xf numFmtId="38" fontId="18" fillId="0" borderId="24">
      <alignment/>
      <protection/>
    </xf>
    <xf numFmtId="38" fontId="18" fillId="0" borderId="24">
      <alignment/>
      <protection/>
    </xf>
    <xf numFmtId="38" fontId="3" fillId="0" borderId="22">
      <alignment/>
      <protection/>
    </xf>
    <xf numFmtId="39" fontId="32" fillId="64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40" fontId="39" fillId="0" borderId="0" applyBorder="0">
      <alignment horizontal="right"/>
      <protection/>
    </xf>
    <xf numFmtId="41" fontId="40" fillId="45" borderId="0">
      <alignment horizontal="left"/>
      <protection/>
    </xf>
    <xf numFmtId="0" fontId="63" fillId="0" borderId="0" applyNumberFormat="0" applyFill="0" applyBorder="0" applyAlignment="0" applyProtection="0"/>
    <xf numFmtId="179" fontId="41" fillId="45" borderId="0">
      <alignment horizontal="left" vertical="center"/>
      <protection/>
    </xf>
    <xf numFmtId="0" fontId="2" fillId="45" borderId="0">
      <alignment horizontal="left" wrapText="1"/>
      <protection/>
    </xf>
    <xf numFmtId="0" fontId="42" fillId="0" borderId="0">
      <alignment horizontal="left" vertical="center"/>
      <protection/>
    </xf>
    <xf numFmtId="0" fontId="64" fillId="0" borderId="25" applyNumberFormat="0" applyFill="0" applyAlignment="0" applyProtection="0"/>
    <xf numFmtId="0" fontId="9" fillId="0" borderId="26" applyNumberFormat="0" applyFont="0" applyFill="0" applyAlignment="0" applyProtection="0"/>
    <xf numFmtId="0" fontId="11" fillId="0" borderId="27">
      <alignment/>
      <protection/>
    </xf>
    <xf numFmtId="0" fontId="65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92">
    <xf numFmtId="164" fontId="0" fillId="0" borderId="0" xfId="0" applyAlignment="1">
      <alignment horizontal="left" wrapText="1"/>
    </xf>
    <xf numFmtId="0" fontId="2" fillId="45" borderId="0" xfId="0" applyNumberFormat="1" applyFont="1" applyFill="1" applyAlignment="1">
      <alignment/>
    </xf>
    <xf numFmtId="0" fontId="2" fillId="45" borderId="4" xfId="0" applyNumberFormat="1" applyFont="1" applyFill="1" applyBorder="1" applyAlignment="1">
      <alignment horizontal="center" vertical="center" wrapText="1"/>
    </xf>
    <xf numFmtId="0" fontId="0" fillId="45" borderId="0" xfId="0" applyNumberFormat="1" applyFill="1" applyAlignment="1">
      <alignment/>
    </xf>
    <xf numFmtId="165" fontId="0" fillId="45" borderId="0" xfId="256" applyNumberFormat="1" applyFont="1" applyFill="1" applyAlignment="1">
      <alignment/>
    </xf>
    <xf numFmtId="0" fontId="2" fillId="45" borderId="20" xfId="0" applyNumberFormat="1" applyFont="1" applyFill="1" applyBorder="1" applyAlignment="1">
      <alignment/>
    </xf>
    <xf numFmtId="165" fontId="2" fillId="45" borderId="20" xfId="256" applyNumberFormat="1" applyFont="1" applyFill="1" applyBorder="1" applyAlignment="1">
      <alignment/>
    </xf>
    <xf numFmtId="10" fontId="0" fillId="0" borderId="0" xfId="375" applyFont="1" applyBorder="1">
      <alignment/>
      <protection/>
    </xf>
    <xf numFmtId="166" fontId="0" fillId="45" borderId="0" xfId="226" applyNumberFormat="1" applyFont="1" applyFill="1" applyAlignment="1">
      <alignment/>
    </xf>
    <xf numFmtId="0" fontId="2" fillId="45" borderId="4" xfId="0" applyNumberFormat="1" applyFont="1" applyFill="1" applyBorder="1" applyAlignment="1">
      <alignment/>
    </xf>
    <xf numFmtId="165" fontId="2" fillId="45" borderId="4" xfId="256" applyNumberFormat="1" applyFont="1" applyFill="1" applyBorder="1" applyAlignment="1">
      <alignment/>
    </xf>
    <xf numFmtId="0" fontId="0" fillId="45" borderId="0" xfId="0" applyNumberFormat="1" applyFill="1" applyAlignment="1">
      <alignment horizontal="center"/>
    </xf>
    <xf numFmtId="0" fontId="2" fillId="45" borderId="4" xfId="0" applyNumberFormat="1" applyFont="1" applyFill="1" applyBorder="1" applyAlignment="1">
      <alignment horizontal="center"/>
    </xf>
    <xf numFmtId="0" fontId="2" fillId="45" borderId="20" xfId="0" applyNumberFormat="1" applyFont="1" applyFill="1" applyBorder="1" applyAlignment="1">
      <alignment horizontal="center"/>
    </xf>
    <xf numFmtId="0" fontId="2" fillId="45" borderId="0" xfId="0" applyNumberFormat="1" applyFont="1" applyFill="1" applyAlignment="1">
      <alignment horizontal="center" vertical="center" wrapText="1"/>
    </xf>
    <xf numFmtId="0" fontId="2" fillId="45" borderId="4" xfId="0" applyNumberFormat="1" applyFont="1" applyFill="1" applyBorder="1" applyAlignment="1">
      <alignment horizontal="left" vertical="center" wrapText="1"/>
    </xf>
    <xf numFmtId="2" fontId="0" fillId="45" borderId="0" xfId="0" applyNumberFormat="1" applyFill="1" applyAlignment="1">
      <alignment/>
    </xf>
    <xf numFmtId="2" fontId="2" fillId="45" borderId="4" xfId="0" applyNumberFormat="1" applyFont="1" applyFill="1" applyBorder="1" applyAlignment="1">
      <alignment/>
    </xf>
    <xf numFmtId="2" fontId="2" fillId="45" borderId="20" xfId="0" applyNumberFormat="1" applyFont="1" applyFill="1" applyBorder="1" applyAlignment="1">
      <alignment/>
    </xf>
    <xf numFmtId="2" fontId="0" fillId="45" borderId="0" xfId="0" applyNumberFormat="1" applyFill="1" applyAlignment="1">
      <alignment horizontal="center"/>
    </xf>
    <xf numFmtId="2" fontId="2" fillId="45" borderId="4" xfId="0" applyNumberFormat="1" applyFont="1" applyFill="1" applyBorder="1" applyAlignment="1">
      <alignment horizontal="center"/>
    </xf>
    <xf numFmtId="2" fontId="2" fillId="45" borderId="2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2" fillId="45" borderId="22" xfId="0" applyNumberFormat="1" applyFont="1" applyFill="1" applyBorder="1" applyAlignment="1">
      <alignment horizontal="center"/>
    </xf>
    <xf numFmtId="0" fontId="2" fillId="45" borderId="22" xfId="0" applyNumberFormat="1" applyFont="1" applyFill="1" applyBorder="1" applyAlignment="1">
      <alignment/>
    </xf>
    <xf numFmtId="165" fontId="2" fillId="45" borderId="22" xfId="256" applyNumberFormat="1" applyFont="1" applyFill="1" applyBorder="1" applyAlignment="1">
      <alignment/>
    </xf>
    <xf numFmtId="0" fontId="0" fillId="45" borderId="0" xfId="0" applyNumberFormat="1" applyFill="1" applyBorder="1" applyAlignment="1">
      <alignment/>
    </xf>
    <xf numFmtId="165" fontId="0" fillId="0" borderId="0" xfId="256" applyNumberFormat="1" applyFont="1" applyFill="1" applyAlignment="1">
      <alignment horizontal="left" wrapText="1"/>
    </xf>
    <xf numFmtId="168" fontId="0" fillId="45" borderId="0" xfId="226" applyNumberFormat="1" applyFont="1" applyFill="1" applyAlignment="1">
      <alignment/>
    </xf>
    <xf numFmtId="9" fontId="0" fillId="0" borderId="0" xfId="375" applyNumberFormat="1" applyFont="1" applyBorder="1">
      <alignment/>
      <protection/>
    </xf>
    <xf numFmtId="0" fontId="2" fillId="45" borderId="0" xfId="0" applyNumberFormat="1" applyFont="1" applyFill="1" applyAlignment="1">
      <alignment horizontal="center"/>
    </xf>
    <xf numFmtId="44" fontId="2" fillId="45" borderId="0" xfId="256" applyFont="1" applyFill="1" applyAlignment="1">
      <alignment/>
    </xf>
    <xf numFmtId="44" fontId="2" fillId="45" borderId="20" xfId="256" applyFont="1" applyFill="1" applyBorder="1" applyAlignment="1">
      <alignment/>
    </xf>
    <xf numFmtId="0" fontId="2" fillId="45" borderId="21" xfId="0" applyNumberFormat="1" applyFont="1" applyFill="1" applyBorder="1" applyAlignment="1">
      <alignment/>
    </xf>
    <xf numFmtId="0" fontId="2" fillId="45" borderId="2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10" fontId="0" fillId="0" borderId="0" xfId="375" applyFont="1" applyBorder="1" applyAlignment="1">
      <alignment horizontal="center"/>
      <protection/>
    </xf>
    <xf numFmtId="10" fontId="2" fillId="0" borderId="22" xfId="375" applyFont="1" applyBorder="1" applyAlignment="1">
      <alignment horizontal="center"/>
      <protection/>
    </xf>
    <xf numFmtId="165" fontId="0" fillId="0" borderId="0" xfId="256" applyNumberFormat="1" applyFont="1" applyFill="1" applyBorder="1" applyAlignment="1">
      <alignment/>
    </xf>
    <xf numFmtId="10" fontId="0" fillId="0" borderId="0" xfId="375" applyFont="1" applyBorder="1" applyAlignment="1">
      <alignment horizontal="right"/>
      <protection/>
    </xf>
    <xf numFmtId="10" fontId="2" fillId="0" borderId="4" xfId="375" applyFont="1" applyBorder="1" applyAlignment="1">
      <alignment horizontal="center"/>
      <protection/>
    </xf>
    <xf numFmtId="0" fontId="0" fillId="45" borderId="22" xfId="0" applyNumberFormat="1" applyFill="1" applyBorder="1" applyAlignment="1">
      <alignment horizontal="center"/>
    </xf>
    <xf numFmtId="0" fontId="0" fillId="45" borderId="22" xfId="0" applyNumberFormat="1" applyFill="1" applyBorder="1" applyAlignment="1">
      <alignment/>
    </xf>
    <xf numFmtId="165" fontId="0" fillId="45" borderId="22" xfId="256" applyNumberFormat="1" applyFont="1" applyFill="1" applyBorder="1" applyAlignment="1">
      <alignment/>
    </xf>
    <xf numFmtId="10" fontId="2" fillId="0" borderId="20" xfId="375" applyFont="1" applyBorder="1" applyAlignment="1">
      <alignment horizontal="right"/>
      <protection/>
    </xf>
    <xf numFmtId="164" fontId="2" fillId="0" borderId="0" xfId="0" applyFont="1" applyAlignment="1">
      <alignment horizontal="center" wrapText="1"/>
    </xf>
    <xf numFmtId="41" fontId="0" fillId="45" borderId="0" xfId="221">
      <alignment/>
      <protection/>
    </xf>
    <xf numFmtId="165" fontId="0" fillId="45" borderId="0" xfId="256" applyNumberFormat="1" applyFill="1" applyAlignment="1">
      <alignment/>
    </xf>
    <xf numFmtId="10" fontId="2" fillId="0" borderId="4" xfId="375" applyFont="1" applyBorder="1" applyAlignment="1">
      <alignment horizontal="right"/>
      <protection/>
    </xf>
    <xf numFmtId="169" fontId="0" fillId="0" borderId="0" xfId="375" applyNumberFormat="1" applyFont="1" applyBorder="1" applyAlignment="1">
      <alignment horizontal="right"/>
      <protection/>
    </xf>
    <xf numFmtId="169" fontId="2" fillId="0" borderId="20" xfId="375" applyNumberFormat="1" applyFont="1" applyBorder="1" applyAlignment="1">
      <alignment horizontal="right"/>
      <protection/>
    </xf>
    <xf numFmtId="0" fontId="2" fillId="45" borderId="0" xfId="0" applyNumberFormat="1" applyFont="1" applyFill="1" applyAlignment="1" quotePrefix="1">
      <alignment horizontal="left"/>
    </xf>
    <xf numFmtId="0" fontId="0" fillId="45" borderId="0" xfId="0" applyNumberFormat="1" applyFill="1" applyAlignment="1">
      <alignment horizontal="left" indent="1"/>
    </xf>
    <xf numFmtId="0" fontId="0" fillId="45" borderId="0" xfId="0" applyNumberFormat="1" applyFill="1" applyAlignment="1">
      <alignment horizontal="left" indent="2"/>
    </xf>
    <xf numFmtId="0" fontId="2" fillId="45" borderId="0" xfId="0" applyNumberFormat="1" applyFont="1" applyFill="1" applyBorder="1" applyAlignment="1">
      <alignment/>
    </xf>
    <xf numFmtId="165" fontId="2" fillId="45" borderId="0" xfId="256" applyNumberFormat="1" applyFont="1" applyFill="1" applyBorder="1" applyAlignment="1">
      <alignment/>
    </xf>
    <xf numFmtId="9" fontId="2" fillId="0" borderId="20" xfId="375" applyNumberFormat="1" applyFont="1" applyBorder="1" applyAlignment="1">
      <alignment horizontal="right"/>
      <protection/>
    </xf>
    <xf numFmtId="0" fontId="2" fillId="45" borderId="0" xfId="334" applyNumberFormat="1" applyFont="1" applyFill="1" applyAlignment="1">
      <alignment/>
      <protection/>
    </xf>
    <xf numFmtId="0" fontId="2" fillId="45" borderId="4" xfId="334" applyNumberFormat="1" applyFont="1" applyFill="1" applyBorder="1" applyAlignment="1">
      <alignment horizontal="center" vertical="center" wrapText="1"/>
      <protection/>
    </xf>
    <xf numFmtId="0" fontId="2" fillId="45" borderId="0" xfId="334" applyNumberFormat="1" applyFont="1" applyFill="1" applyAlignment="1">
      <alignment horizontal="center" wrapText="1"/>
      <protection/>
    </xf>
    <xf numFmtId="0" fontId="0" fillId="45" borderId="0" xfId="334" applyNumberFormat="1" applyFill="1" applyAlignment="1">
      <alignment/>
      <protection/>
    </xf>
    <xf numFmtId="165" fontId="0" fillId="45" borderId="0" xfId="259" applyNumberFormat="1" applyFont="1" applyFill="1" applyAlignment="1">
      <alignment/>
    </xf>
    <xf numFmtId="0" fontId="2" fillId="45" borderId="20" xfId="334" applyNumberFormat="1" applyFont="1" applyFill="1" applyBorder="1" applyAlignment="1">
      <alignment/>
      <protection/>
    </xf>
    <xf numFmtId="165" fontId="2" fillId="45" borderId="20" xfId="259" applyNumberFormat="1" applyFont="1" applyFill="1" applyBorder="1" applyAlignment="1">
      <alignment/>
    </xf>
    <xf numFmtId="10" fontId="2" fillId="0" borderId="20" xfId="379" applyFont="1" applyBorder="1">
      <alignment/>
      <protection/>
    </xf>
    <xf numFmtId="0" fontId="0" fillId="45" borderId="0" xfId="334" applyNumberFormat="1" applyFont="1" applyFill="1" applyBorder="1" applyAlignment="1">
      <alignment/>
      <protection/>
    </xf>
    <xf numFmtId="10" fontId="0" fillId="0" borderId="0" xfId="379" applyFont="1" applyBorder="1">
      <alignment/>
      <protection/>
    </xf>
    <xf numFmtId="166" fontId="0" fillId="45" borderId="0" xfId="230" applyNumberFormat="1" applyFont="1" applyFill="1" applyAlignment="1">
      <alignment/>
    </xf>
    <xf numFmtId="0" fontId="2" fillId="45" borderId="4" xfId="334" applyNumberFormat="1" applyFont="1" applyFill="1" applyBorder="1" applyAlignment="1">
      <alignment/>
      <protection/>
    </xf>
    <xf numFmtId="165" fontId="2" fillId="45" borderId="4" xfId="259" applyNumberFormat="1" applyFont="1" applyFill="1" applyBorder="1" applyAlignment="1">
      <alignment/>
    </xf>
    <xf numFmtId="0" fontId="0" fillId="45" borderId="4" xfId="334" applyNumberFormat="1" applyFill="1" applyBorder="1" applyAlignment="1">
      <alignment/>
      <protection/>
    </xf>
    <xf numFmtId="165" fontId="0" fillId="45" borderId="4" xfId="259" applyNumberFormat="1" applyFont="1" applyFill="1" applyBorder="1" applyAlignment="1">
      <alignment/>
    </xf>
    <xf numFmtId="0" fontId="0" fillId="45" borderId="20" xfId="334" applyNumberFormat="1" applyFill="1" applyBorder="1" applyAlignment="1">
      <alignment/>
      <protection/>
    </xf>
    <xf numFmtId="0" fontId="0" fillId="45" borderId="20" xfId="334" applyNumberFormat="1" applyFill="1" applyBorder="1" applyAlignment="1" quotePrefix="1">
      <alignment horizontal="left"/>
      <protection/>
    </xf>
    <xf numFmtId="165" fontId="0" fillId="45" borderId="20" xfId="259" applyNumberFormat="1" applyFont="1" applyFill="1" applyBorder="1" applyAlignment="1">
      <alignment/>
    </xf>
    <xf numFmtId="43" fontId="2" fillId="45" borderId="4" xfId="230" applyFont="1" applyFill="1" applyBorder="1" applyAlignment="1">
      <alignment/>
    </xf>
    <xf numFmtId="43" fontId="2" fillId="45" borderId="20" xfId="230" applyFont="1" applyFill="1" applyBorder="1" applyAlignment="1">
      <alignment/>
    </xf>
    <xf numFmtId="0" fontId="0" fillId="45" borderId="0" xfId="334" applyNumberFormat="1" applyFill="1" applyAlignment="1">
      <alignment horizontal="center"/>
      <protection/>
    </xf>
    <xf numFmtId="0" fontId="2" fillId="45" borderId="4" xfId="334" applyNumberFormat="1" applyFont="1" applyFill="1" applyBorder="1" applyAlignment="1">
      <alignment horizontal="center"/>
      <protection/>
    </xf>
    <xf numFmtId="0" fontId="2" fillId="45" borderId="20" xfId="334" applyNumberFormat="1" applyFont="1" applyFill="1" applyBorder="1" applyAlignment="1">
      <alignment horizontal="center"/>
      <protection/>
    </xf>
    <xf numFmtId="0" fontId="2" fillId="45" borderId="0" xfId="334" applyNumberFormat="1" applyFont="1" applyFill="1" applyAlignment="1">
      <alignment horizontal="center" vertical="center" wrapText="1"/>
      <protection/>
    </xf>
    <xf numFmtId="0" fontId="2" fillId="45" borderId="0" xfId="334" applyNumberFormat="1" applyFont="1" applyFill="1" applyAlignment="1">
      <alignment horizontal="center" vertical="center"/>
      <protection/>
    </xf>
    <xf numFmtId="167" fontId="0" fillId="45" borderId="0" xfId="259" applyNumberFormat="1" applyFont="1" applyFill="1" applyAlignment="1">
      <alignment/>
    </xf>
    <xf numFmtId="167" fontId="2" fillId="45" borderId="4" xfId="259" applyNumberFormat="1" applyFont="1" applyFill="1" applyBorder="1" applyAlignment="1">
      <alignment/>
    </xf>
    <xf numFmtId="168" fontId="2" fillId="45" borderId="4" xfId="230" applyNumberFormat="1" applyFont="1" applyFill="1" applyBorder="1" applyAlignment="1">
      <alignment/>
    </xf>
    <xf numFmtId="0" fontId="2" fillId="45" borderId="0" xfId="334" applyNumberFormat="1" applyFont="1" applyFill="1" applyAlignment="1">
      <alignment horizontal="center"/>
      <protection/>
    </xf>
    <xf numFmtId="0" fontId="2" fillId="45" borderId="0" xfId="334" applyNumberFormat="1" applyFont="1" applyFill="1" applyAlignment="1">
      <alignment/>
      <protection/>
    </xf>
    <xf numFmtId="0" fontId="2" fillId="45" borderId="0" xfId="0" applyNumberFormat="1" applyFont="1" applyFill="1" applyAlignment="1">
      <alignment horizontal="center"/>
    </xf>
    <xf numFmtId="0" fontId="2" fillId="45" borderId="0" xfId="0" applyNumberFormat="1" applyFont="1" applyFill="1" applyAlignment="1">
      <alignment/>
    </xf>
    <xf numFmtId="0" fontId="3" fillId="45" borderId="0" xfId="0" applyNumberFormat="1" applyFont="1" applyFill="1" applyAlignment="1">
      <alignment/>
    </xf>
    <xf numFmtId="0" fontId="0" fillId="45" borderId="0" xfId="0" applyNumberFormat="1" applyFill="1" applyAlignment="1">
      <alignment/>
    </xf>
    <xf numFmtId="0" fontId="2" fillId="45" borderId="22" xfId="0" applyNumberFormat="1" applyFont="1" applyFill="1" applyBorder="1" applyAlignment="1">
      <alignment horizontal="center"/>
    </xf>
  </cellXfs>
  <cellStyles count="458">
    <cellStyle name="Normal" xfId="0"/>
    <cellStyle name="_x0013_" xfId="15"/>
    <cellStyle name="_4.06E Pass Throughs" xfId="16"/>
    <cellStyle name="_4.06E Pass Throughs_04 07E Wild Horse Wind Expansion (C) (2)" xfId="17"/>
    <cellStyle name="_4.06E Pass Throughs_04 07E Wild Horse Wind Expansion (C) (2)_Electric Rev Req Model (2009 GRC) " xfId="18"/>
    <cellStyle name="_4.06E Pass Throughs_Production Adj 4.37" xfId="19"/>
    <cellStyle name="_4.06E Pass Throughs_Purchased Power Adj 4.03" xfId="20"/>
    <cellStyle name="_4.06E Pass Throughs_ROR 5.02" xfId="21"/>
    <cellStyle name="_4.13E Montana Energy Tax" xfId="22"/>
    <cellStyle name="_4.13E Montana Energy Tax_04 07E Wild Horse Wind Expansion (C) (2)" xfId="23"/>
    <cellStyle name="_4.13E Montana Energy Tax_04 07E Wild Horse Wind Expansion (C) (2)_Electric Rev Req Model (2009 GRC) " xfId="24"/>
    <cellStyle name="_4.13E Montana Energy Tax_Production Adj 4.37" xfId="25"/>
    <cellStyle name="_4.13E Montana Energy Tax_Purchased Power Adj 4.03" xfId="26"/>
    <cellStyle name="_4.13E Montana Energy Tax_ROR 5.02" xfId="27"/>
    <cellStyle name="_Book1" xfId="28"/>
    <cellStyle name="_Book1 (2)" xfId="29"/>
    <cellStyle name="_Book1 (2)_04 07E Wild Horse Wind Expansion (C) (2)" xfId="30"/>
    <cellStyle name="_Book1 (2)_04 07E Wild Horse Wind Expansion (C) (2)_Electric Rev Req Model (2009 GRC) " xfId="31"/>
    <cellStyle name="_Book1 (2)_Production Adj 4.37" xfId="32"/>
    <cellStyle name="_Book1 (2)_Purchased Power Adj 4.03" xfId="33"/>
    <cellStyle name="_Book1 (2)_ROR 5.02" xfId="34"/>
    <cellStyle name="_Book1_Production Adj 4.37" xfId="35"/>
    <cellStyle name="_Book1_Purchased Power Adj 4.03" xfId="36"/>
    <cellStyle name="_Book1_ROR 5.02" xfId="37"/>
    <cellStyle name="_Book2" xfId="38"/>
    <cellStyle name="_Book2_04 07E Wild Horse Wind Expansion (C) (2)" xfId="39"/>
    <cellStyle name="_Book2_04 07E Wild Horse Wind Expansion (C) (2)_Electric Rev Req Model (2009 GRC) " xfId="40"/>
    <cellStyle name="_Book2_Production Adj 4.37" xfId="41"/>
    <cellStyle name="_Book2_Purchased Power Adj 4.03" xfId="42"/>
    <cellStyle name="_Book2_ROR 5.02" xfId="43"/>
    <cellStyle name="_Chelan Debt Forecast 12.19.05" xfId="44"/>
    <cellStyle name="_Chelan Debt Forecast 12.19.05_Production Adj 4.37" xfId="45"/>
    <cellStyle name="_Chelan Debt Forecast 12.19.05_Purchased Power Adj 4.03" xfId="46"/>
    <cellStyle name="_Chelan Debt Forecast 12.19.05_ROR 5.02" xfId="47"/>
    <cellStyle name="_Costs not in AURORA 06GRC" xfId="48"/>
    <cellStyle name="_Costs not in AURORA 06GRC_04 07E Wild Horse Wind Expansion (C) (2)" xfId="49"/>
    <cellStyle name="_Costs not in AURORA 06GRC_04 07E Wild Horse Wind Expansion (C) (2)_Electric Rev Req Model (2009 GRC) " xfId="50"/>
    <cellStyle name="_Costs not in AURORA 06GRC_Production Adj 4.37" xfId="51"/>
    <cellStyle name="_Costs not in AURORA 06GRC_Purchased Power Adj 4.03" xfId="52"/>
    <cellStyle name="_Costs not in AURORA 06GRC_ROR 5.02" xfId="53"/>
    <cellStyle name="_Costs not in AURORA 2006GRC 6.15.06" xfId="54"/>
    <cellStyle name="_Costs not in AURORA 2006GRC 6.15.06_04 07E Wild Horse Wind Expansion (C) (2)" xfId="55"/>
    <cellStyle name="_Costs not in AURORA 2006GRC 6.15.06_04 07E Wild Horse Wind Expansion (C) (2)_Electric Rev Req Model (2009 GRC) " xfId="56"/>
    <cellStyle name="_Costs not in AURORA 2006GRC 6.15.06_Production Adj 4.37" xfId="57"/>
    <cellStyle name="_Costs not in AURORA 2006GRC 6.15.06_Purchased Power Adj 4.03" xfId="58"/>
    <cellStyle name="_Costs not in AURORA 2006GRC 6.15.06_ROR 5.02" xfId="59"/>
    <cellStyle name="_Costs not in AURORA 2006GRC w gas price updated" xfId="60"/>
    <cellStyle name="_Costs not in AURORA 2006GRC w gas price updated_Electric Rev Req Model (2009 GRC) " xfId="61"/>
    <cellStyle name="_Costs not in AURORA 2007 Rate Case" xfId="62"/>
    <cellStyle name="_Costs not in AURORA 2007 Rate Case_Production Adj 4.37" xfId="63"/>
    <cellStyle name="_Costs not in AURORA 2007 Rate Case_Purchased Power Adj 4.03" xfId="64"/>
    <cellStyle name="_Costs not in AURORA 2007 Rate Case_ROR 5.02" xfId="65"/>
    <cellStyle name="_Costs not in KWI3000 '06Budget" xfId="66"/>
    <cellStyle name="_Costs not in KWI3000 '06Budget_Production Adj 4.37" xfId="67"/>
    <cellStyle name="_Costs not in KWI3000 '06Budget_Purchased Power Adj 4.03" xfId="68"/>
    <cellStyle name="_Costs not in KWI3000 '06Budget_ROR 5.02" xfId="69"/>
    <cellStyle name="_DEM-WP (C) Power Cost 2006GRC Order" xfId="70"/>
    <cellStyle name="_DEM-WP (C) Power Cost 2006GRC Order_04 07E Wild Horse Wind Expansion (C) (2)" xfId="71"/>
    <cellStyle name="_DEM-WP (C) Power Cost 2006GRC Order_04 07E Wild Horse Wind Expansion (C) (2)_Electric Rev Req Model (2009 GRC) " xfId="72"/>
    <cellStyle name="_DEM-WP (C) Power Cost 2006GRC Order_Production Adj 4.37" xfId="73"/>
    <cellStyle name="_DEM-WP (C) Power Cost 2006GRC Order_Purchased Power Adj 4.03" xfId="74"/>
    <cellStyle name="_DEM-WP (C) Power Cost 2006GRC Order_ROR 5.02" xfId="75"/>
    <cellStyle name="_DEM-WP Revised (HC) Wild Horse 2006GRC" xfId="76"/>
    <cellStyle name="_DEM-WP Revised (HC) Wild Horse 2006GRC_Electric Rev Req Model (2009 GRC) " xfId="77"/>
    <cellStyle name="_DEM-WP(C) Costs not in AURORA 2006GRC" xfId="78"/>
    <cellStyle name="_DEM-WP(C) Costs not in AURORA 2006GRC_Production Adj 4.37" xfId="79"/>
    <cellStyle name="_DEM-WP(C) Costs not in AURORA 2006GRC_Purchased Power Adj 4.03" xfId="80"/>
    <cellStyle name="_DEM-WP(C) Costs not in AURORA 2006GRC_ROR 5.02" xfId="81"/>
    <cellStyle name="_DEM-WP(C) Costs not in AURORA 2007GRC" xfId="82"/>
    <cellStyle name="_DEM-WP(C) Costs not in AURORA 2007GRC_Electric Rev Req Model (2009 GRC) " xfId="83"/>
    <cellStyle name="_DEM-WP(C) Costs not in AURORA 2007PCORC-5.07Update" xfId="84"/>
    <cellStyle name="_DEM-WP(C) Costs not in AURORA 2007PCORC-5.07Update_Electric Rev Req Model (2009 GRC) " xfId="85"/>
    <cellStyle name="_DEM-WP(C) Sumas Proforma 11.5.07" xfId="86"/>
    <cellStyle name="_DEM-WP(C) Westside Hydro Data_051007" xfId="87"/>
    <cellStyle name="_DEM-WP(C) Westside Hydro Data_051007_Electric Rev Req Model (2009 GRC) " xfId="88"/>
    <cellStyle name="_x0013__Electric Rev Req Model (2009 GRC) " xfId="89"/>
    <cellStyle name="_Fuel Prices 4-14" xfId="90"/>
    <cellStyle name="_Fuel Prices 4-14_04 07E Wild Horse Wind Expansion (C) (2)" xfId="91"/>
    <cellStyle name="_Fuel Prices 4-14_04 07E Wild Horse Wind Expansion (C) (2)_Electric Rev Req Model (2009 GRC) " xfId="92"/>
    <cellStyle name="_Fuel Prices 4-14_Production Adj 4.37" xfId="93"/>
    <cellStyle name="_Fuel Prices 4-14_Purchased Power Adj 4.03" xfId="94"/>
    <cellStyle name="_Fuel Prices 4-14_ROR 5.02" xfId="95"/>
    <cellStyle name="_Fuel Prices 4-14_Sch 40 Interim Energy Rates " xfId="96"/>
    <cellStyle name="_NIM 06 Base Case Current Trends" xfId="97"/>
    <cellStyle name="_NIM 06 Base Case Current Trends_Electric Rev Req Model (2009 GRC) " xfId="98"/>
    <cellStyle name="_Portfolio SPlan Base Case.xls Chart 1" xfId="99"/>
    <cellStyle name="_Portfolio SPlan Base Case.xls Chart 1_Electric Rev Req Model (2009 GRC) " xfId="100"/>
    <cellStyle name="_Portfolio SPlan Base Case.xls Chart 2" xfId="101"/>
    <cellStyle name="_Portfolio SPlan Base Case.xls Chart 2_Electric Rev Req Model (2009 GRC) " xfId="102"/>
    <cellStyle name="_Portfolio SPlan Base Case.xls Chart 3" xfId="103"/>
    <cellStyle name="_Portfolio SPlan Base Case.xls Chart 3_Electric Rev Req Model (2009 GRC) " xfId="104"/>
    <cellStyle name="_Power Cost Value Copy 11.30.05 gas 1.09.06 AURORA at 1.10.06" xfId="105"/>
    <cellStyle name="_Power Cost Value Copy 11.30.05 gas 1.09.06 AURORA at 1.10.06_04 07E Wild Horse Wind Expansion (C) (2)" xfId="106"/>
    <cellStyle name="_Power Cost Value Copy 11.30.05 gas 1.09.06 AURORA at 1.10.06_04 07E Wild Horse Wind Expansion (C) (2)_Electric Rev Req Model (2009 GRC) " xfId="107"/>
    <cellStyle name="_Power Cost Value Copy 11.30.05 gas 1.09.06 AURORA at 1.10.06_Production Adj 4.37" xfId="108"/>
    <cellStyle name="_Power Cost Value Copy 11.30.05 gas 1.09.06 AURORA at 1.10.06_Purchased Power Adj 4.03" xfId="109"/>
    <cellStyle name="_Power Cost Value Copy 11.30.05 gas 1.09.06 AURORA at 1.10.06_ROR 5.02" xfId="110"/>
    <cellStyle name="_Power Cost Value Copy 11.30.05 gas 1.09.06 AURORA at 1.10.06_Sch 40 Interim Energy Rates " xfId="111"/>
    <cellStyle name="_Recon to Darrin's 5.11.05 proforma" xfId="112"/>
    <cellStyle name="_Recon to Darrin's 5.11.05 proforma_Production Adj 4.37" xfId="113"/>
    <cellStyle name="_Recon to Darrin's 5.11.05 proforma_Purchased Power Adj 4.03" xfId="114"/>
    <cellStyle name="_Recon to Darrin's 5.11.05 proforma_ROR 5.02" xfId="115"/>
    <cellStyle name="_Tenaska Comparison" xfId="116"/>
    <cellStyle name="_Tenaska Comparison_Production Adj 4.37" xfId="117"/>
    <cellStyle name="_Tenaska Comparison_Purchased Power Adj 4.03" xfId="118"/>
    <cellStyle name="_Tenaska Comparison_ROR 5.02" xfId="119"/>
    <cellStyle name="_Value Copy 11 30 05 gas 12 09 05 AURORA at 12 14 05" xfId="120"/>
    <cellStyle name="_Value Copy 11 30 05 gas 12 09 05 AURORA at 12 14 05_04 07E Wild Horse Wind Expansion (C) (2)" xfId="121"/>
    <cellStyle name="_Value Copy 11 30 05 gas 12 09 05 AURORA at 12 14 05_04 07E Wild Horse Wind Expansion (C) (2)_Electric Rev Req Model (2009 GRC) " xfId="122"/>
    <cellStyle name="_Value Copy 11 30 05 gas 12 09 05 AURORA at 12 14 05_Production Adj 4.37" xfId="123"/>
    <cellStyle name="_Value Copy 11 30 05 gas 12 09 05 AURORA at 12 14 05_Purchased Power Adj 4.03" xfId="124"/>
    <cellStyle name="_Value Copy 11 30 05 gas 12 09 05 AURORA at 12 14 05_ROR 5.02" xfId="125"/>
    <cellStyle name="_Value Copy 11 30 05 gas 12 09 05 AURORA at 12 14 05_Sch 40 Interim Energy Rates " xfId="126"/>
    <cellStyle name="_VC 6.15.06 update on 06GRC power costs.xls Chart 1" xfId="127"/>
    <cellStyle name="_VC 6.15.06 update on 06GRC power costs.xls Chart 1_04 07E Wild Horse Wind Expansion (C) (2)" xfId="128"/>
    <cellStyle name="_VC 6.15.06 update on 06GRC power costs.xls Chart 1_04 07E Wild Horse Wind Expansion (C) (2)_Electric Rev Req Model (2009 GRC) " xfId="129"/>
    <cellStyle name="_VC 6.15.06 update on 06GRC power costs.xls Chart 1_Production Adj 4.37" xfId="130"/>
    <cellStyle name="_VC 6.15.06 update on 06GRC power costs.xls Chart 1_Purchased Power Adj 4.03" xfId="131"/>
    <cellStyle name="_VC 6.15.06 update on 06GRC power costs.xls Chart 1_ROR 5.02" xfId="132"/>
    <cellStyle name="_VC 6.15.06 update on 06GRC power costs.xls Chart 2" xfId="133"/>
    <cellStyle name="_VC 6.15.06 update on 06GRC power costs.xls Chart 2_04 07E Wild Horse Wind Expansion (C) (2)" xfId="134"/>
    <cellStyle name="_VC 6.15.06 update on 06GRC power costs.xls Chart 2_04 07E Wild Horse Wind Expansion (C) (2)_Electric Rev Req Model (2009 GRC) " xfId="135"/>
    <cellStyle name="_VC 6.15.06 update on 06GRC power costs.xls Chart 2_Production Adj 4.37" xfId="136"/>
    <cellStyle name="_VC 6.15.06 update on 06GRC power costs.xls Chart 2_Purchased Power Adj 4.03" xfId="137"/>
    <cellStyle name="_VC 6.15.06 update on 06GRC power costs.xls Chart 2_ROR 5.02" xfId="138"/>
    <cellStyle name="_VC 6.15.06 update on 06GRC power costs.xls Chart 3" xfId="139"/>
    <cellStyle name="_VC 6.15.06 update on 06GRC power costs.xls Chart 3_04 07E Wild Horse Wind Expansion (C) (2)" xfId="140"/>
    <cellStyle name="_VC 6.15.06 update on 06GRC power costs.xls Chart 3_04 07E Wild Horse Wind Expansion (C) (2)_Electric Rev Req Model (2009 GRC) " xfId="141"/>
    <cellStyle name="_VC 6.15.06 update on 06GRC power costs.xls Chart 3_Production Adj 4.37" xfId="142"/>
    <cellStyle name="_VC 6.15.06 update on 06GRC power costs.xls Chart 3_Purchased Power Adj 4.03" xfId="143"/>
    <cellStyle name="_VC 6.15.06 update on 06GRC power costs.xls Chart 3_ROR 5.02" xfId="144"/>
    <cellStyle name="0,0&#13;&#10;NA&#13;&#10;" xfId="145"/>
    <cellStyle name="20% - Accent1" xfId="146"/>
    <cellStyle name="20% - Accent1 2" xfId="147"/>
    <cellStyle name="20% - Accent1 3" xfId="148"/>
    <cellStyle name="20% - Accent1 4" xfId="149"/>
    <cellStyle name="20% - Accent2" xfId="150"/>
    <cellStyle name="20% - Accent2 2" xfId="151"/>
    <cellStyle name="20% - Accent2 3" xfId="152"/>
    <cellStyle name="20% - Accent2 4" xfId="153"/>
    <cellStyle name="20% - Accent3" xfId="154"/>
    <cellStyle name="20% - Accent3 2" xfId="155"/>
    <cellStyle name="20% - Accent3 3" xfId="156"/>
    <cellStyle name="20% - Accent3 4" xfId="157"/>
    <cellStyle name="20% - Accent4" xfId="158"/>
    <cellStyle name="20% - Accent4 2" xfId="159"/>
    <cellStyle name="20% - Accent4 3" xfId="160"/>
    <cellStyle name="20% - Accent4 4" xfId="161"/>
    <cellStyle name="20% - Accent5" xfId="162"/>
    <cellStyle name="20% - Accent5 2" xfId="163"/>
    <cellStyle name="20% - Accent5 3" xfId="164"/>
    <cellStyle name="20% - Accent5 4" xfId="165"/>
    <cellStyle name="20% - Accent6" xfId="166"/>
    <cellStyle name="20% - Accent6 2" xfId="167"/>
    <cellStyle name="20% - Accent6 3" xfId="168"/>
    <cellStyle name="20% - Accent6 4" xfId="169"/>
    <cellStyle name="40% - Accent1" xfId="170"/>
    <cellStyle name="40% - Accent1 2" xfId="171"/>
    <cellStyle name="40% - Accent1 3" xfId="172"/>
    <cellStyle name="40% - Accent1 4" xfId="173"/>
    <cellStyle name="40% - Accent2" xfId="174"/>
    <cellStyle name="40% - Accent2 2" xfId="175"/>
    <cellStyle name="40% - Accent2 3" xfId="176"/>
    <cellStyle name="40% - Accent2 4" xfId="177"/>
    <cellStyle name="40% - Accent3" xfId="178"/>
    <cellStyle name="40% - Accent3 2" xfId="179"/>
    <cellStyle name="40% - Accent3 3" xfId="180"/>
    <cellStyle name="40% - Accent3 4" xfId="181"/>
    <cellStyle name="40% - Accent4" xfId="182"/>
    <cellStyle name="40% - Accent4 2" xfId="183"/>
    <cellStyle name="40% - Accent4 3" xfId="184"/>
    <cellStyle name="40% - Accent4 4" xfId="185"/>
    <cellStyle name="40% - Accent5" xfId="186"/>
    <cellStyle name="40% - Accent5 2" xfId="187"/>
    <cellStyle name="40% - Accent5 3" xfId="188"/>
    <cellStyle name="40% - Accent5 4" xfId="189"/>
    <cellStyle name="40% - Accent6" xfId="190"/>
    <cellStyle name="40% - Accent6 2" xfId="191"/>
    <cellStyle name="40% - Accent6 3" xfId="192"/>
    <cellStyle name="40% - Accent6 4" xfId="193"/>
    <cellStyle name="60% - Accent1" xfId="194"/>
    <cellStyle name="60% - Accent1 2" xfId="195"/>
    <cellStyle name="60% - Accent2" xfId="196"/>
    <cellStyle name="60% - Accent2 2" xfId="197"/>
    <cellStyle name="60% - Accent3" xfId="198"/>
    <cellStyle name="60% - Accent3 2" xfId="199"/>
    <cellStyle name="60% - Accent4" xfId="200"/>
    <cellStyle name="60% - Accent4 2" xfId="201"/>
    <cellStyle name="60% - Accent5" xfId="202"/>
    <cellStyle name="60% - Accent5 2" xfId="203"/>
    <cellStyle name="60% - Accent6" xfId="204"/>
    <cellStyle name="60% - Accent6 2" xfId="205"/>
    <cellStyle name="Accent1" xfId="206"/>
    <cellStyle name="Accent1 2" xfId="207"/>
    <cellStyle name="Accent2" xfId="208"/>
    <cellStyle name="Accent2 2" xfId="209"/>
    <cellStyle name="Accent3" xfId="210"/>
    <cellStyle name="Accent3 2" xfId="211"/>
    <cellStyle name="Accent4" xfId="212"/>
    <cellStyle name="Accent4 2" xfId="213"/>
    <cellStyle name="Accent5" xfId="214"/>
    <cellStyle name="Accent5 2" xfId="215"/>
    <cellStyle name="Accent6" xfId="216"/>
    <cellStyle name="Accent6 2" xfId="217"/>
    <cellStyle name="Bad" xfId="218"/>
    <cellStyle name="Bad 2" xfId="219"/>
    <cellStyle name="Calc Currency (0)" xfId="220"/>
    <cellStyle name="Calculation" xfId="221"/>
    <cellStyle name="Calculation 2" xfId="222"/>
    <cellStyle name="Check Cell" xfId="223"/>
    <cellStyle name="Check Cell 2" xfId="224"/>
    <cellStyle name="CheckCell" xfId="225"/>
    <cellStyle name="Comma" xfId="226"/>
    <cellStyle name="Comma [0]" xfId="227"/>
    <cellStyle name="Comma 10" xfId="228"/>
    <cellStyle name="Comma 11" xfId="229"/>
    <cellStyle name="Comma 12" xfId="230"/>
    <cellStyle name="Comma 2" xfId="231"/>
    <cellStyle name="Comma 2 2" xfId="232"/>
    <cellStyle name="Comma 3" xfId="233"/>
    <cellStyle name="Comma 4" xfId="234"/>
    <cellStyle name="Comma 5" xfId="235"/>
    <cellStyle name="Comma 6" xfId="236"/>
    <cellStyle name="Comma 7" xfId="237"/>
    <cellStyle name="Comma 8" xfId="238"/>
    <cellStyle name="Comma 8 2" xfId="239"/>
    <cellStyle name="Comma 9" xfId="240"/>
    <cellStyle name="Comma0" xfId="241"/>
    <cellStyle name="Comma0 - Style2" xfId="242"/>
    <cellStyle name="Comma0 - Style4" xfId="243"/>
    <cellStyle name="Comma0 - Style5" xfId="244"/>
    <cellStyle name="Comma0 2" xfId="245"/>
    <cellStyle name="Comma0 3" xfId="246"/>
    <cellStyle name="Comma0 4" xfId="247"/>
    <cellStyle name="Comma0_00COS Ind Allocators" xfId="248"/>
    <cellStyle name="Comma1 - Style1" xfId="249"/>
    <cellStyle name="Copied" xfId="250"/>
    <cellStyle name="COST1" xfId="251"/>
    <cellStyle name="Curren - Style1" xfId="252"/>
    <cellStyle name="Curren - Style2" xfId="253"/>
    <cellStyle name="Curren - Style5" xfId="254"/>
    <cellStyle name="Curren - Style6" xfId="255"/>
    <cellStyle name="Currency" xfId="256"/>
    <cellStyle name="Currency [0]" xfId="257"/>
    <cellStyle name="Currency 10" xfId="258"/>
    <cellStyle name="Currency 11" xfId="259"/>
    <cellStyle name="Currency 2" xfId="260"/>
    <cellStyle name="Currency 3" xfId="261"/>
    <cellStyle name="Currency 3 2" xfId="262"/>
    <cellStyle name="Currency 4" xfId="263"/>
    <cellStyle name="Currency 5" xfId="264"/>
    <cellStyle name="Currency 6" xfId="265"/>
    <cellStyle name="Currency 7" xfId="266"/>
    <cellStyle name="Currency 8" xfId="267"/>
    <cellStyle name="Currency 9" xfId="268"/>
    <cellStyle name="Currency0" xfId="269"/>
    <cellStyle name="Date" xfId="270"/>
    <cellStyle name="Date 2" xfId="271"/>
    <cellStyle name="Date 3" xfId="272"/>
    <cellStyle name="Date 4" xfId="273"/>
    <cellStyle name="Entered" xfId="274"/>
    <cellStyle name="Explanatory Text" xfId="275"/>
    <cellStyle name="Explanatory Text 2" xfId="276"/>
    <cellStyle name="Fixed" xfId="277"/>
    <cellStyle name="Fixed3 - Style3" xfId="278"/>
    <cellStyle name="Good" xfId="279"/>
    <cellStyle name="Good 2" xfId="280"/>
    <cellStyle name="Grey" xfId="281"/>
    <cellStyle name="Grey 2" xfId="282"/>
    <cellStyle name="Grey 3" xfId="283"/>
    <cellStyle name="Grey 4" xfId="284"/>
    <cellStyle name="Grey_ERB" xfId="285"/>
    <cellStyle name="Header1" xfId="286"/>
    <cellStyle name="Header2" xfId="287"/>
    <cellStyle name="Heading 1" xfId="288"/>
    <cellStyle name="Heading 1 2" xfId="289"/>
    <cellStyle name="Heading 2" xfId="290"/>
    <cellStyle name="Heading 2 2" xfId="291"/>
    <cellStyle name="Heading 3" xfId="292"/>
    <cellStyle name="Heading 4" xfId="293"/>
    <cellStyle name="Heading1" xfId="294"/>
    <cellStyle name="Heading2" xfId="295"/>
    <cellStyle name="Input" xfId="296"/>
    <cellStyle name="Input [yellow]" xfId="297"/>
    <cellStyle name="Input [yellow] 2" xfId="298"/>
    <cellStyle name="Input [yellow] 3" xfId="299"/>
    <cellStyle name="Input [yellow] 4" xfId="300"/>
    <cellStyle name="Input [yellow]_ERB" xfId="301"/>
    <cellStyle name="Input 2" xfId="302"/>
    <cellStyle name="Input 3" xfId="303"/>
    <cellStyle name="Input 4" xfId="304"/>
    <cellStyle name="Input Cells" xfId="305"/>
    <cellStyle name="Input Cells Percent" xfId="306"/>
    <cellStyle name="Lines" xfId="307"/>
    <cellStyle name="LINKED" xfId="308"/>
    <cellStyle name="Linked Cell" xfId="309"/>
    <cellStyle name="modified border" xfId="310"/>
    <cellStyle name="modified border 2" xfId="311"/>
    <cellStyle name="modified border 3" xfId="312"/>
    <cellStyle name="modified border 4" xfId="313"/>
    <cellStyle name="modified border1" xfId="314"/>
    <cellStyle name="modified border1 2" xfId="315"/>
    <cellStyle name="modified border1 3" xfId="316"/>
    <cellStyle name="modified border1 4" xfId="317"/>
    <cellStyle name="Neutral" xfId="318"/>
    <cellStyle name="Neutral 2" xfId="319"/>
    <cellStyle name="no dec" xfId="320"/>
    <cellStyle name="Normal - Style1" xfId="321"/>
    <cellStyle name="Normal - Style1 2" xfId="322"/>
    <cellStyle name="Normal - Style1 3" xfId="323"/>
    <cellStyle name="Normal - Style1 4" xfId="324"/>
    <cellStyle name="Normal - Style1_Depreciation Exp" xfId="325"/>
    <cellStyle name="Normal 10" xfId="326"/>
    <cellStyle name="Normal 11" xfId="327"/>
    <cellStyle name="Normal 12" xfId="328"/>
    <cellStyle name="Normal 13" xfId="329"/>
    <cellStyle name="Normal 14" xfId="330"/>
    <cellStyle name="Normal 15" xfId="331"/>
    <cellStyle name="Normal 16" xfId="332"/>
    <cellStyle name="Normal 17" xfId="333"/>
    <cellStyle name="Normal 18" xfId="334"/>
    <cellStyle name="Normal 2" xfId="335"/>
    <cellStyle name="Normal 2 2" xfId="336"/>
    <cellStyle name="Normal 2 2 2" xfId="337"/>
    <cellStyle name="Normal 2 2 3" xfId="338"/>
    <cellStyle name="Normal 2 2_4.14E Miscellaneous Operating Expense working file" xfId="339"/>
    <cellStyle name="Normal 2 3" xfId="340"/>
    <cellStyle name="Normal 2 4" xfId="341"/>
    <cellStyle name="Normal 2 5" xfId="342"/>
    <cellStyle name="Normal 2 6" xfId="343"/>
    <cellStyle name="Normal 2 7" xfId="344"/>
    <cellStyle name="Normal 2 8" xfId="345"/>
    <cellStyle name="Normal 2 9" xfId="346"/>
    <cellStyle name="Normal 2_Allocation Method - Working File" xfId="347"/>
    <cellStyle name="Normal 3" xfId="348"/>
    <cellStyle name="Normal 3 2" xfId="349"/>
    <cellStyle name="Normal 3 3" xfId="350"/>
    <cellStyle name="Normal 3_4.14E Miscellaneous Operating Expense working file" xfId="351"/>
    <cellStyle name="Normal 4" xfId="352"/>
    <cellStyle name="Normal 5" xfId="353"/>
    <cellStyle name="Normal 6" xfId="354"/>
    <cellStyle name="Normal 7" xfId="355"/>
    <cellStyle name="Normal 8" xfId="356"/>
    <cellStyle name="Normal 9" xfId="357"/>
    <cellStyle name="Note" xfId="358"/>
    <cellStyle name="Note 10" xfId="359"/>
    <cellStyle name="Note 11" xfId="360"/>
    <cellStyle name="Note 12" xfId="361"/>
    <cellStyle name="Note 2" xfId="362"/>
    <cellStyle name="Note 3" xfId="363"/>
    <cellStyle name="Note 4" xfId="364"/>
    <cellStyle name="Note 5" xfId="365"/>
    <cellStyle name="Note 6" xfId="366"/>
    <cellStyle name="Note 7" xfId="367"/>
    <cellStyle name="Note 8" xfId="368"/>
    <cellStyle name="Note 9" xfId="369"/>
    <cellStyle name="Output" xfId="370"/>
    <cellStyle name="Output 2" xfId="371"/>
    <cellStyle name="Percen - Style1" xfId="372"/>
    <cellStyle name="Percen - Style2" xfId="373"/>
    <cellStyle name="Percen - Style3" xfId="374"/>
    <cellStyle name="Percent" xfId="375"/>
    <cellStyle name="Percent [2]" xfId="376"/>
    <cellStyle name="Percent 10" xfId="377"/>
    <cellStyle name="Percent 11" xfId="378"/>
    <cellStyle name="Percent 12" xfId="379"/>
    <cellStyle name="Percent 2" xfId="380"/>
    <cellStyle name="Percent 3" xfId="381"/>
    <cellStyle name="Percent 4" xfId="382"/>
    <cellStyle name="Percent 4 2" xfId="383"/>
    <cellStyle name="Percent 5" xfId="384"/>
    <cellStyle name="Percent 6" xfId="385"/>
    <cellStyle name="Percent 7" xfId="386"/>
    <cellStyle name="Percent 8" xfId="387"/>
    <cellStyle name="Percent 9" xfId="388"/>
    <cellStyle name="Processing" xfId="389"/>
    <cellStyle name="PSChar" xfId="390"/>
    <cellStyle name="PSDate" xfId="391"/>
    <cellStyle name="PSDec" xfId="392"/>
    <cellStyle name="PSHeading" xfId="393"/>
    <cellStyle name="PSInt" xfId="394"/>
    <cellStyle name="PSSpacer" xfId="395"/>
    <cellStyle name="purple - Style8" xfId="396"/>
    <cellStyle name="RED" xfId="397"/>
    <cellStyle name="Red - Style7" xfId="398"/>
    <cellStyle name="RED_04 07E Wild Horse Wind Expansion (C) (2)" xfId="399"/>
    <cellStyle name="Report" xfId="400"/>
    <cellStyle name="Report Bar" xfId="401"/>
    <cellStyle name="Report Heading" xfId="402"/>
    <cellStyle name="Report Percent" xfId="403"/>
    <cellStyle name="Report Unit Cost" xfId="404"/>
    <cellStyle name="Reports" xfId="405"/>
    <cellStyle name="Reports Total" xfId="406"/>
    <cellStyle name="Reports Unit Cost Total" xfId="407"/>
    <cellStyle name="RevList" xfId="408"/>
    <cellStyle name="round100" xfId="409"/>
    <cellStyle name="SAPBEXaggData" xfId="410"/>
    <cellStyle name="SAPBEXaggDataEmph" xfId="411"/>
    <cellStyle name="SAPBEXaggItem" xfId="412"/>
    <cellStyle name="SAPBEXaggItemX" xfId="413"/>
    <cellStyle name="SAPBEXchaText" xfId="414"/>
    <cellStyle name="SAPBEXexcBad7" xfId="415"/>
    <cellStyle name="SAPBEXexcBad8" xfId="416"/>
    <cellStyle name="SAPBEXexcBad9" xfId="417"/>
    <cellStyle name="SAPBEXexcCritical4" xfId="418"/>
    <cellStyle name="SAPBEXexcCritical5" xfId="419"/>
    <cellStyle name="SAPBEXexcCritical6" xfId="420"/>
    <cellStyle name="SAPBEXexcGood1" xfId="421"/>
    <cellStyle name="SAPBEXexcGood2" xfId="422"/>
    <cellStyle name="SAPBEXexcGood3" xfId="423"/>
    <cellStyle name="SAPBEXfilterDrill" xfId="424"/>
    <cellStyle name="SAPBEXfilterItem" xfId="425"/>
    <cellStyle name="SAPBEXfilterText" xfId="426"/>
    <cellStyle name="SAPBEXformats" xfId="427"/>
    <cellStyle name="SAPBEXheaderItem" xfId="428"/>
    <cellStyle name="SAPBEXheaderText" xfId="429"/>
    <cellStyle name="SAPBEXHLevel0" xfId="430"/>
    <cellStyle name="SAPBEXHLevel0X" xfId="431"/>
    <cellStyle name="SAPBEXHLevel1" xfId="432"/>
    <cellStyle name="SAPBEXHLevel1X" xfId="433"/>
    <cellStyle name="SAPBEXHLevel2" xfId="434"/>
    <cellStyle name="SAPBEXHLevel2X" xfId="435"/>
    <cellStyle name="SAPBEXHLevel3" xfId="436"/>
    <cellStyle name="SAPBEXHLevel3X" xfId="437"/>
    <cellStyle name="SAPBEXresData" xfId="438"/>
    <cellStyle name="SAPBEXresDataEmph" xfId="439"/>
    <cellStyle name="SAPBEXresItem" xfId="440"/>
    <cellStyle name="SAPBEXresItemX" xfId="441"/>
    <cellStyle name="SAPBEXstdData" xfId="442"/>
    <cellStyle name="SAPBEXstdDataEmph" xfId="443"/>
    <cellStyle name="SAPBEXstdItem" xfId="444"/>
    <cellStyle name="SAPBEXstdItemX" xfId="445"/>
    <cellStyle name="SAPBEXtitle" xfId="446"/>
    <cellStyle name="SAPBEXundefined" xfId="447"/>
    <cellStyle name="shade" xfId="448"/>
    <cellStyle name="StmtTtl1" xfId="449"/>
    <cellStyle name="StmtTtl1 2" xfId="450"/>
    <cellStyle name="StmtTtl1 3" xfId="451"/>
    <cellStyle name="StmtTtl1 4" xfId="452"/>
    <cellStyle name="StmtTtl1_ERB" xfId="453"/>
    <cellStyle name="StmtTtl2" xfId="454"/>
    <cellStyle name="STYL1 - Style1" xfId="455"/>
    <cellStyle name="Style 1" xfId="456"/>
    <cellStyle name="Style 1 2" xfId="457"/>
    <cellStyle name="Style 1 3" xfId="458"/>
    <cellStyle name="Style 1 4" xfId="459"/>
    <cellStyle name="Style 1_4.14E Miscellaneous Operating Expense working file" xfId="460"/>
    <cellStyle name="Subtotal" xfId="461"/>
    <cellStyle name="Sub-total" xfId="462"/>
    <cellStyle name="Title" xfId="463"/>
    <cellStyle name="Title: Major" xfId="464"/>
    <cellStyle name="Title: Minor" xfId="465"/>
    <cellStyle name="Title: Worksheet" xfId="466"/>
    <cellStyle name="Total" xfId="467"/>
    <cellStyle name="Total 2" xfId="468"/>
    <cellStyle name="Total4 - Style4" xfId="469"/>
    <cellStyle name="Warning Text" xfId="470"/>
    <cellStyle name="Warning Text 2" xfId="4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#2011%20GRC%20Docket%20UE-11xxxx\Compliance\Compliance%202011%20GRC%20E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1">
        <row r="11">
          <cell r="C11">
            <v>2</v>
          </cell>
        </row>
        <row r="29">
          <cell r="F29">
            <v>0.078</v>
          </cell>
        </row>
        <row r="30">
          <cell r="F30">
            <v>0.031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0"/>
  <sheetViews>
    <sheetView showGridLines="0" tabSelected="1" zoomScalePageLayoutView="0" workbookViewId="0" topLeftCell="A10">
      <selection activeCell="A1" sqref="A1:P410"/>
    </sheetView>
  </sheetViews>
  <sheetFormatPr defaultColWidth="9.140625" defaultRowHeight="12.75"/>
  <cols>
    <col min="1" max="1" width="5.00390625" style="60" bestFit="1" customWidth="1"/>
    <col min="2" max="2" width="3.28125" style="60" bestFit="1" customWidth="1"/>
    <col min="3" max="3" width="38.28125" style="60" bestFit="1" customWidth="1"/>
    <col min="4" max="4" width="1.7109375" style="60" customWidth="1"/>
    <col min="5" max="5" width="15.57421875" style="60" customWidth="1"/>
    <col min="6" max="6" width="1.7109375" style="60" customWidth="1"/>
    <col min="7" max="7" width="15.57421875" style="60" customWidth="1"/>
    <col min="8" max="8" width="16.57421875" style="60" bestFit="1" customWidth="1"/>
    <col min="9" max="9" width="17.00390625" style="60" bestFit="1" customWidth="1"/>
    <col min="10" max="11" width="16.57421875" style="60" bestFit="1" customWidth="1"/>
    <col min="12" max="13" width="16.140625" style="60" bestFit="1" customWidth="1"/>
    <col min="14" max="14" width="16.57421875" style="60" bestFit="1" customWidth="1"/>
    <col min="15" max="15" width="15.28125" style="60" bestFit="1" customWidth="1"/>
    <col min="16" max="16" width="16.57421875" style="60" bestFit="1" customWidth="1"/>
    <col min="17" max="19" width="9.140625" style="60" customWidth="1"/>
    <col min="20" max="21" width="15.00390625" style="60" bestFit="1" customWidth="1"/>
    <col min="22" max="16384" width="9.140625" style="60" customWidth="1"/>
  </cols>
  <sheetData>
    <row r="1" spans="1:16" s="57" customFormat="1" ht="12.7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s="57" customFormat="1" ht="12.75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s="57" customFormat="1" ht="12.75">
      <c r="A3" s="85" t="s">
        <v>198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6" spans="1:16" s="59" customFormat="1" ht="42" customHeight="1">
      <c r="A6" s="58" t="s">
        <v>2</v>
      </c>
      <c r="B6" s="58"/>
      <c r="C6" s="58" t="s">
        <v>3</v>
      </c>
      <c r="D6" s="58"/>
      <c r="E6" s="58" t="s">
        <v>4</v>
      </c>
      <c r="F6" s="58"/>
      <c r="G6" s="58" t="s">
        <v>5</v>
      </c>
      <c r="H6" s="58" t="s">
        <v>6</v>
      </c>
      <c r="I6" s="58" t="s">
        <v>7</v>
      </c>
      <c r="J6" s="58" t="s">
        <v>8</v>
      </c>
      <c r="K6" s="58" t="s">
        <v>9</v>
      </c>
      <c r="L6" s="58" t="s">
        <v>10</v>
      </c>
      <c r="M6" s="58" t="s">
        <v>11</v>
      </c>
      <c r="N6" s="58" t="s">
        <v>12</v>
      </c>
      <c r="O6" s="58" t="s">
        <v>13</v>
      </c>
      <c r="P6" s="58" t="s">
        <v>14</v>
      </c>
    </row>
    <row r="7" spans="3:16" s="59" customFormat="1" ht="12.75">
      <c r="C7" s="59" t="s">
        <v>15</v>
      </c>
      <c r="E7" s="59" t="s">
        <v>16</v>
      </c>
      <c r="G7" s="59" t="s">
        <v>17</v>
      </c>
      <c r="H7" s="59" t="s">
        <v>18</v>
      </c>
      <c r="I7" s="59" t="s">
        <v>19</v>
      </c>
      <c r="J7" s="59" t="s">
        <v>20</v>
      </c>
      <c r="K7" s="59" t="s">
        <v>21</v>
      </c>
      <c r="L7" s="59" t="s">
        <v>22</v>
      </c>
      <c r="M7" s="59" t="s">
        <v>23</v>
      </c>
      <c r="N7" s="59" t="s">
        <v>24</v>
      </c>
      <c r="O7" s="59" t="s">
        <v>25</v>
      </c>
      <c r="P7" s="59" t="s">
        <v>26</v>
      </c>
    </row>
    <row r="9" spans="1:3" ht="12.75">
      <c r="A9" s="60">
        <v>1</v>
      </c>
      <c r="C9" s="57" t="s">
        <v>27</v>
      </c>
    </row>
    <row r="10" spans="1:16" ht="12.75">
      <c r="A10" s="60">
        <f>+A9+1</f>
        <v>2</v>
      </c>
      <c r="C10" s="60" t="s">
        <v>28</v>
      </c>
      <c r="E10" s="61">
        <f>SUM(G10:P10)</f>
        <v>7629582517.484165</v>
      </c>
      <c r="F10" s="61"/>
      <c r="G10" s="61">
        <v>4412476260.014916</v>
      </c>
      <c r="H10" s="61">
        <v>918986590.1892326</v>
      </c>
      <c r="I10" s="61">
        <v>883239532.7728311</v>
      </c>
      <c r="J10" s="61">
        <v>525320851.05245376</v>
      </c>
      <c r="K10" s="61">
        <v>410384118.2316121</v>
      </c>
      <c r="L10" s="61">
        <v>187021087.4451346</v>
      </c>
      <c r="M10" s="61">
        <v>121871394.57655327</v>
      </c>
      <c r="N10" s="61">
        <v>71676673.2260806</v>
      </c>
      <c r="O10" s="61">
        <v>88622997.82903427</v>
      </c>
      <c r="P10" s="61">
        <v>9983012.146316104</v>
      </c>
    </row>
    <row r="11" spans="1:16" ht="12.75">
      <c r="A11" s="60">
        <f aca="true" t="shared" si="0" ref="A11:A58">+A10+1</f>
        <v>3</v>
      </c>
      <c r="C11" s="60" t="s">
        <v>29</v>
      </c>
      <c r="E11" s="61">
        <f>SUM(G11:P11)</f>
        <v>-2699587026.064997</v>
      </c>
      <c r="F11" s="61"/>
      <c r="G11" s="61">
        <v>-1579345697.5746882</v>
      </c>
      <c r="H11" s="61">
        <v>-319980901.8013553</v>
      </c>
      <c r="I11" s="61">
        <v>-306085662.61723715</v>
      </c>
      <c r="J11" s="61">
        <v>-181588395.8424288</v>
      </c>
      <c r="K11" s="61">
        <v>-141619972.7477877</v>
      </c>
      <c r="L11" s="61">
        <v>-65957562.20108912</v>
      </c>
      <c r="M11" s="61">
        <v>-42398552.51320075</v>
      </c>
      <c r="N11" s="61">
        <v>-22793585.829232812</v>
      </c>
      <c r="O11" s="61">
        <v>-35804949.61501827</v>
      </c>
      <c r="P11" s="61">
        <v>-4011745.3229596308</v>
      </c>
    </row>
    <row r="12" spans="1:16" ht="12.75">
      <c r="A12" s="60">
        <f t="shared" si="0"/>
        <v>4</v>
      </c>
      <c r="C12" s="60" t="s">
        <v>30</v>
      </c>
      <c r="E12" s="61">
        <f>SUM(G12:P12)</f>
        <v>-76747064.12875004</v>
      </c>
      <c r="F12" s="61"/>
      <c r="G12" s="61">
        <v>-77347898.86983581</v>
      </c>
      <c r="H12" s="61">
        <v>-20485376.950322337</v>
      </c>
      <c r="I12" s="61">
        <v>7134123.371642722</v>
      </c>
      <c r="J12" s="61">
        <v>9968413.970349744</v>
      </c>
      <c r="K12" s="61">
        <v>4085625.673621201</v>
      </c>
      <c r="L12" s="61">
        <v>4098839.735155478</v>
      </c>
      <c r="M12" s="61">
        <v>3950407.109186614</v>
      </c>
      <c r="N12" s="61">
        <v>-4211440.777837383</v>
      </c>
      <c r="O12" s="61">
        <v>-3510348.093878206</v>
      </c>
      <c r="P12" s="61">
        <v>-429409.2968320716</v>
      </c>
    </row>
    <row r="13" spans="1:16" ht="13.5" thickBot="1">
      <c r="A13" s="62">
        <f t="shared" si="0"/>
        <v>5</v>
      </c>
      <c r="B13" s="62"/>
      <c r="C13" s="62" t="s">
        <v>31</v>
      </c>
      <c r="D13" s="62"/>
      <c r="E13" s="63">
        <f>SUM(E10:E12)</f>
        <v>4853248427.290419</v>
      </c>
      <c r="F13" s="63"/>
      <c r="G13" s="63">
        <f aca="true" t="shared" si="1" ref="G13:P13">SUM(G10:G12)</f>
        <v>2755782663.5703926</v>
      </c>
      <c r="H13" s="63">
        <f t="shared" si="1"/>
        <v>578520311.4375548</v>
      </c>
      <c r="I13" s="63">
        <f t="shared" si="1"/>
        <v>584287993.5272366</v>
      </c>
      <c r="J13" s="63">
        <f t="shared" si="1"/>
        <v>353700869.1803747</v>
      </c>
      <c r="K13" s="63">
        <f t="shared" si="1"/>
        <v>272849771.15744555</v>
      </c>
      <c r="L13" s="63">
        <f t="shared" si="1"/>
        <v>125162364.97920097</v>
      </c>
      <c r="M13" s="63">
        <f t="shared" si="1"/>
        <v>83423249.17253914</v>
      </c>
      <c r="N13" s="63">
        <f t="shared" si="1"/>
        <v>44671646.619010404</v>
      </c>
      <c r="O13" s="63">
        <f t="shared" si="1"/>
        <v>49307700.120137796</v>
      </c>
      <c r="P13" s="63">
        <f t="shared" si="1"/>
        <v>5541857.526524401</v>
      </c>
    </row>
    <row r="14" spans="1:16" ht="13.5" thickTop="1">
      <c r="A14" s="60">
        <f t="shared" si="0"/>
        <v>6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</row>
    <row r="15" spans="1:16" ht="12.75">
      <c r="A15" s="60">
        <f t="shared" si="0"/>
        <v>7</v>
      </c>
      <c r="C15" s="57" t="s">
        <v>206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1:16" ht="12.75">
      <c r="A16" s="60">
        <f t="shared" si="0"/>
        <v>8</v>
      </c>
      <c r="C16" s="60" t="s">
        <v>32</v>
      </c>
      <c r="E16" s="61">
        <f>SUM(G16:P16)</f>
        <v>1978331283.9999998</v>
      </c>
      <c r="F16" s="61"/>
      <c r="G16" s="61">
        <v>1080571965.143736</v>
      </c>
      <c r="H16" s="61">
        <v>245101490.49680227</v>
      </c>
      <c r="I16" s="61">
        <v>259205761.44296864</v>
      </c>
      <c r="J16" s="61">
        <v>162542635.24997696</v>
      </c>
      <c r="K16" s="61">
        <v>116499893.78290659</v>
      </c>
      <c r="L16" s="61">
        <v>52879481.72778073</v>
      </c>
      <c r="M16" s="61">
        <v>36345929.051001646</v>
      </c>
      <c r="N16" s="61">
        <v>7033518.995643673</v>
      </c>
      <c r="O16" s="61">
        <v>16932861.109183475</v>
      </c>
      <c r="P16" s="61">
        <v>1217747</v>
      </c>
    </row>
    <row r="17" spans="1:16" ht="12.75">
      <c r="A17" s="60">
        <f t="shared" si="0"/>
        <v>9</v>
      </c>
      <c r="C17" s="60" t="s">
        <v>33</v>
      </c>
      <c r="E17" s="61">
        <f>SUM(G17:P17)</f>
        <v>40163723</v>
      </c>
      <c r="F17" s="61"/>
      <c r="G17" s="61">
        <v>21387598.39710267</v>
      </c>
      <c r="H17" s="61">
        <v>4848891.240276103</v>
      </c>
      <c r="I17" s="61">
        <v>5377081.2661389755</v>
      </c>
      <c r="J17" s="61">
        <v>3604048.5262144217</v>
      </c>
      <c r="K17" s="61">
        <v>2484741.4876767867</v>
      </c>
      <c r="L17" s="61">
        <v>1322979.5472769097</v>
      </c>
      <c r="M17" s="61">
        <v>974627.8600819915</v>
      </c>
      <c r="N17" s="61">
        <v>0</v>
      </c>
      <c r="O17" s="61">
        <v>149898.6684755055</v>
      </c>
      <c r="P17" s="61">
        <v>13856.006756641329</v>
      </c>
    </row>
    <row r="18" spans="1:16" ht="12.75">
      <c r="A18" s="60">
        <f t="shared" si="0"/>
        <v>10</v>
      </c>
      <c r="C18" s="60" t="s">
        <v>34</v>
      </c>
      <c r="E18" s="61">
        <f>SUM(G18:P18)</f>
        <v>39020207.73</v>
      </c>
      <c r="F18" s="61"/>
      <c r="G18" s="61">
        <v>21832182.673694342</v>
      </c>
      <c r="H18" s="61">
        <v>4141810.6354227727</v>
      </c>
      <c r="I18" s="61">
        <v>2837687.0791321243</v>
      </c>
      <c r="J18" s="61">
        <v>1628690.2163056252</v>
      </c>
      <c r="K18" s="61">
        <v>1739572.8751051626</v>
      </c>
      <c r="L18" s="61">
        <v>585443.817938808</v>
      </c>
      <c r="M18" s="61">
        <v>2914273.604848265</v>
      </c>
      <c r="N18" s="61">
        <v>3095112.795495685</v>
      </c>
      <c r="O18" s="61">
        <v>163512.80902025825</v>
      </c>
      <c r="P18" s="61">
        <v>81921.22303695859</v>
      </c>
    </row>
    <row r="19" spans="1:16" ht="13.5" thickBot="1">
      <c r="A19" s="62">
        <f t="shared" si="0"/>
        <v>11</v>
      </c>
      <c r="B19" s="62"/>
      <c r="C19" s="62" t="s">
        <v>207</v>
      </c>
      <c r="D19" s="62"/>
      <c r="E19" s="63">
        <f>SUM(E16:E18)</f>
        <v>2057515214.7299998</v>
      </c>
      <c r="F19" s="63"/>
      <c r="G19" s="63">
        <f aca="true" t="shared" si="2" ref="G19:P19">SUM(G16:G18)</f>
        <v>1123791746.2145329</v>
      </c>
      <c r="H19" s="63">
        <f t="shared" si="2"/>
        <v>254092192.37250113</v>
      </c>
      <c r="I19" s="63">
        <f t="shared" si="2"/>
        <v>267420529.78823972</v>
      </c>
      <c r="J19" s="63">
        <f t="shared" si="2"/>
        <v>167775373.992497</v>
      </c>
      <c r="K19" s="63">
        <f t="shared" si="2"/>
        <v>120724208.14568853</v>
      </c>
      <c r="L19" s="63">
        <f t="shared" si="2"/>
        <v>54787905.09299644</v>
      </c>
      <c r="M19" s="63">
        <f t="shared" si="2"/>
        <v>40234830.515931904</v>
      </c>
      <c r="N19" s="63">
        <f t="shared" si="2"/>
        <v>10128631.791139359</v>
      </c>
      <c r="O19" s="63">
        <f t="shared" si="2"/>
        <v>17246272.58667924</v>
      </c>
      <c r="P19" s="63">
        <f t="shared" si="2"/>
        <v>1313524.2297936</v>
      </c>
    </row>
    <row r="20" spans="1:16" ht="13.5" thickTop="1">
      <c r="A20" s="60">
        <f t="shared" si="0"/>
        <v>12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</row>
    <row r="21" spans="1:16" ht="12.75">
      <c r="A21" s="60">
        <f t="shared" si="0"/>
        <v>13</v>
      </c>
      <c r="C21" s="57" t="s">
        <v>35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</row>
    <row r="22" spans="1:16" ht="12.75">
      <c r="A22" s="60">
        <f t="shared" si="0"/>
        <v>14</v>
      </c>
      <c r="C22" s="60" t="s">
        <v>36</v>
      </c>
      <c r="E22" s="61">
        <f>SUM(G22:P22)</f>
        <v>1208402816.0000002</v>
      </c>
      <c r="F22" s="61"/>
      <c r="G22" s="61">
        <v>667814295.8763207</v>
      </c>
      <c r="H22" s="61">
        <v>145610406.19621667</v>
      </c>
      <c r="I22" s="61">
        <v>150431164.94546372</v>
      </c>
      <c r="J22" s="61">
        <v>98187720.1746924</v>
      </c>
      <c r="K22" s="61">
        <v>70375255.95652193</v>
      </c>
      <c r="L22" s="61">
        <v>36254881.258308016</v>
      </c>
      <c r="M22" s="61">
        <v>26132512.043204773</v>
      </c>
      <c r="N22" s="61">
        <v>3345070.141445788</v>
      </c>
      <c r="O22" s="61">
        <v>9472801.803550716</v>
      </c>
      <c r="P22" s="61">
        <v>778707.6042754801</v>
      </c>
    </row>
    <row r="23" spans="1:16" ht="12.75">
      <c r="A23" s="60">
        <f t="shared" si="0"/>
        <v>15</v>
      </c>
      <c r="C23" s="60" t="s">
        <v>37</v>
      </c>
      <c r="E23" s="61">
        <f>SUM(G23:P23)</f>
        <v>276612250.00000006</v>
      </c>
      <c r="F23" s="61"/>
      <c r="G23" s="61">
        <v>161270483.66902757</v>
      </c>
      <c r="H23" s="61">
        <v>33295022.709127285</v>
      </c>
      <c r="I23" s="61">
        <v>31566090.60191453</v>
      </c>
      <c r="J23" s="61">
        <v>18736083.92219249</v>
      </c>
      <c r="K23" s="61">
        <v>14644434.391017629</v>
      </c>
      <c r="L23" s="61">
        <v>6709475.902968781</v>
      </c>
      <c r="M23" s="61">
        <v>4356955.732900646</v>
      </c>
      <c r="N23" s="61">
        <v>2467388.9099991713</v>
      </c>
      <c r="O23" s="61">
        <v>3214923.8427103106</v>
      </c>
      <c r="P23" s="61">
        <v>351390.31814162235</v>
      </c>
    </row>
    <row r="24" spans="1:16" ht="12.75">
      <c r="A24" s="60">
        <f t="shared" si="0"/>
        <v>16</v>
      </c>
      <c r="C24" s="60" t="s">
        <v>38</v>
      </c>
      <c r="E24" s="61">
        <f>SUM(G24:P24)</f>
        <v>124214949.74000002</v>
      </c>
      <c r="F24" s="61"/>
      <c r="G24" s="61">
        <v>70640842.04343984</v>
      </c>
      <c r="H24" s="61">
        <v>14939106.819289623</v>
      </c>
      <c r="I24" s="61">
        <v>14789621.314257009</v>
      </c>
      <c r="J24" s="61">
        <v>9186032.807086816</v>
      </c>
      <c r="K24" s="61">
        <v>6892654.92172529</v>
      </c>
      <c r="L24" s="61">
        <v>3335980.546469777</v>
      </c>
      <c r="M24" s="61">
        <v>2284566.5011101887</v>
      </c>
      <c r="N24" s="61">
        <v>804687.8770685121</v>
      </c>
      <c r="O24" s="61">
        <v>1217555.883569839</v>
      </c>
      <c r="P24" s="61">
        <v>123901.02598314104</v>
      </c>
    </row>
    <row r="25" spans="1:16" ht="12.75">
      <c r="A25" s="60">
        <f t="shared" si="0"/>
        <v>17</v>
      </c>
      <c r="C25" s="60" t="s">
        <v>39</v>
      </c>
      <c r="E25" s="61">
        <f>SUM(G25:P25)</f>
        <v>109037256.38731563</v>
      </c>
      <c r="F25" s="61"/>
      <c r="G25" s="61">
        <v>61913785.23831407</v>
      </c>
      <c r="H25" s="61">
        <v>12997535.252631662</v>
      </c>
      <c r="I25" s="61">
        <v>13127116.962736754</v>
      </c>
      <c r="J25" s="61">
        <v>7946548.159449719</v>
      </c>
      <c r="K25" s="61">
        <v>6130077.802245278</v>
      </c>
      <c r="L25" s="61">
        <v>2812005.4196152636</v>
      </c>
      <c r="M25" s="61">
        <v>1874258.5187973832</v>
      </c>
      <c r="N25" s="61">
        <v>1003631.6620948289</v>
      </c>
      <c r="O25" s="61">
        <v>1107789.2303300004</v>
      </c>
      <c r="P25" s="61">
        <v>124508.14110065678</v>
      </c>
    </row>
    <row r="26" spans="1:16" ht="13.5" thickBot="1">
      <c r="A26" s="62">
        <f t="shared" si="0"/>
        <v>18</v>
      </c>
      <c r="B26" s="62"/>
      <c r="C26" s="62" t="s">
        <v>208</v>
      </c>
      <c r="D26" s="62"/>
      <c r="E26" s="63">
        <f>SUM(E22:E25)</f>
        <v>1718267272.127316</v>
      </c>
      <c r="F26" s="63"/>
      <c r="G26" s="63">
        <f aca="true" t="shared" si="3" ref="G26:P26">SUM(G22:G25)</f>
        <v>961639406.8271022</v>
      </c>
      <c r="H26" s="63">
        <f t="shared" si="3"/>
        <v>206842070.97726524</v>
      </c>
      <c r="I26" s="63">
        <f t="shared" si="3"/>
        <v>209913993.824372</v>
      </c>
      <c r="J26" s="63">
        <f t="shared" si="3"/>
        <v>134056385.06342143</v>
      </c>
      <c r="K26" s="63">
        <f t="shared" si="3"/>
        <v>98042423.07151012</v>
      </c>
      <c r="L26" s="63">
        <f t="shared" si="3"/>
        <v>49112343.127361834</v>
      </c>
      <c r="M26" s="63">
        <f t="shared" si="3"/>
        <v>34648292.79601299</v>
      </c>
      <c r="N26" s="63">
        <f t="shared" si="3"/>
        <v>7620778.5906083</v>
      </c>
      <c r="O26" s="63">
        <f t="shared" si="3"/>
        <v>15013070.760160865</v>
      </c>
      <c r="P26" s="63">
        <f t="shared" si="3"/>
        <v>1378507.0895009001</v>
      </c>
    </row>
    <row r="27" spans="1:16" ht="13.5" thickTop="1">
      <c r="A27" s="60">
        <f t="shared" si="0"/>
        <v>19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</row>
    <row r="28" spans="1:16" ht="12.75">
      <c r="A28" s="60">
        <f t="shared" si="0"/>
        <v>20</v>
      </c>
      <c r="C28" s="60" t="s">
        <v>209</v>
      </c>
      <c r="E28" s="61">
        <f>SUM(G28:P28)</f>
        <v>339247942.60268384</v>
      </c>
      <c r="F28" s="61"/>
      <c r="G28" s="61">
        <f aca="true" t="shared" si="4" ref="G28:P28">G19-G26</f>
        <v>162152339.38743067</v>
      </c>
      <c r="H28" s="61">
        <f t="shared" si="4"/>
        <v>47250121.395235896</v>
      </c>
      <c r="I28" s="61">
        <f t="shared" si="4"/>
        <v>57506535.963867724</v>
      </c>
      <c r="J28" s="61">
        <f t="shared" si="4"/>
        <v>33718988.92907557</v>
      </c>
      <c r="K28" s="61">
        <f t="shared" si="4"/>
        <v>22681785.074178413</v>
      </c>
      <c r="L28" s="61">
        <f>L19-L26</f>
        <v>5675561.965634607</v>
      </c>
      <c r="M28" s="61">
        <f t="shared" si="4"/>
        <v>5586537.719918914</v>
      </c>
      <c r="N28" s="61">
        <f t="shared" si="4"/>
        <v>2507853.200531059</v>
      </c>
      <c r="O28" s="61">
        <f>O19-O26</f>
        <v>2233201.8265183736</v>
      </c>
      <c r="P28" s="61">
        <f t="shared" si="4"/>
        <v>-64982.859707300086</v>
      </c>
    </row>
    <row r="29" spans="1:16" s="57" customFormat="1" ht="13.5" thickBot="1">
      <c r="A29" s="62">
        <f t="shared" si="0"/>
        <v>21</v>
      </c>
      <c r="B29" s="62"/>
      <c r="C29" s="62" t="s">
        <v>210</v>
      </c>
      <c r="D29" s="62"/>
      <c r="E29" s="64">
        <f>IF(E13=0,0,E28/E13)</f>
        <v>0.069901211051767</v>
      </c>
      <c r="F29" s="64"/>
      <c r="G29" s="64">
        <f aca="true" t="shared" si="5" ref="G29:P29">IF(G13=0,0,G28/G13)</f>
        <v>0.05884075748460732</v>
      </c>
      <c r="H29" s="64">
        <f t="shared" si="5"/>
        <v>0.08167409244080802</v>
      </c>
      <c r="I29" s="64">
        <f t="shared" si="5"/>
        <v>0.09842156025954187</v>
      </c>
      <c r="J29" s="64">
        <f t="shared" si="5"/>
        <v>0.0953319368629544</v>
      </c>
      <c r="K29" s="64">
        <f t="shared" si="5"/>
        <v>0.08312920688172426</v>
      </c>
      <c r="L29" s="64">
        <f t="shared" si="5"/>
        <v>0.04534559543180373</v>
      </c>
      <c r="M29" s="64">
        <f t="shared" si="5"/>
        <v>0.06696619677764677</v>
      </c>
      <c r="N29" s="64">
        <f>IF(N13=0,0,N28/N13)</f>
        <v>0.0561397080774681</v>
      </c>
      <c r="O29" s="64">
        <f t="shared" si="5"/>
        <v>0.045291137511528544</v>
      </c>
      <c r="P29" s="64">
        <f t="shared" si="5"/>
        <v>-0.01172582647537934</v>
      </c>
    </row>
    <row r="30" ht="13.5" thickTop="1">
      <c r="A30" s="60">
        <f t="shared" si="0"/>
        <v>22</v>
      </c>
    </row>
    <row r="31" spans="1:8" ht="12.75">
      <c r="A31" s="60">
        <f t="shared" si="0"/>
        <v>23</v>
      </c>
      <c r="C31" s="86" t="s">
        <v>40</v>
      </c>
      <c r="D31" s="86"/>
      <c r="E31" s="86"/>
      <c r="F31" s="86"/>
      <c r="G31" s="86"/>
      <c r="H31" s="86"/>
    </row>
    <row r="32" spans="1:16" s="65" customFormat="1" ht="12.75">
      <c r="A32" s="65">
        <f t="shared" si="0"/>
        <v>24</v>
      </c>
      <c r="C32" s="65" t="s">
        <v>41</v>
      </c>
      <c r="E32" s="66">
        <v>0.078</v>
      </c>
      <c r="F32" s="66"/>
      <c r="G32" s="66">
        <v>0.078</v>
      </c>
      <c r="H32" s="66">
        <v>0.078</v>
      </c>
      <c r="I32" s="66">
        <v>0.078</v>
      </c>
      <c r="J32" s="66">
        <v>0.078</v>
      </c>
      <c r="K32" s="66">
        <v>0.078</v>
      </c>
      <c r="L32" s="66">
        <v>0.078</v>
      </c>
      <c r="M32" s="66">
        <v>0.078</v>
      </c>
      <c r="N32" s="66">
        <v>0.078</v>
      </c>
      <c r="O32" s="66">
        <v>0.078</v>
      </c>
      <c r="P32" s="66">
        <v>0.078</v>
      </c>
    </row>
    <row r="33" spans="1:16" ht="12.75">
      <c r="A33" s="60">
        <f t="shared" si="0"/>
        <v>25</v>
      </c>
      <c r="C33" s="60" t="s">
        <v>42</v>
      </c>
      <c r="E33" s="61">
        <f>SUM(G33:P33)</f>
        <v>378553377.32865256</v>
      </c>
      <c r="F33" s="61"/>
      <c r="G33" s="61">
        <f>G32*G13</f>
        <v>214951047.75849062</v>
      </c>
      <c r="H33" s="61">
        <f aca="true" t="shared" si="6" ref="H33:P33">H32*H13</f>
        <v>45124584.29212928</v>
      </c>
      <c r="I33" s="61">
        <f t="shared" si="6"/>
        <v>45574463.49512445</v>
      </c>
      <c r="J33" s="61">
        <f t="shared" si="6"/>
        <v>27588667.796069223</v>
      </c>
      <c r="K33" s="61">
        <f t="shared" si="6"/>
        <v>21282282.15028075</v>
      </c>
      <c r="L33" s="61">
        <f t="shared" si="6"/>
        <v>9762664.468377676</v>
      </c>
      <c r="M33" s="61">
        <f t="shared" si="6"/>
        <v>6507013.435458053</v>
      </c>
      <c r="N33" s="61">
        <f t="shared" si="6"/>
        <v>3484388.4362828117</v>
      </c>
      <c r="O33" s="61">
        <f t="shared" si="6"/>
        <v>3846000.609370748</v>
      </c>
      <c r="P33" s="61">
        <f t="shared" si="6"/>
        <v>432264.8870689033</v>
      </c>
    </row>
    <row r="34" spans="1:16" ht="12.75">
      <c r="A34" s="60">
        <f t="shared" si="0"/>
        <v>26</v>
      </c>
      <c r="C34" s="60" t="s">
        <v>43</v>
      </c>
      <c r="E34" s="61">
        <f>SUM(G34:P34)</f>
        <v>39305434.72596859</v>
      </c>
      <c r="F34" s="61"/>
      <c r="G34" s="61">
        <f>G33-G28</f>
        <v>52798708.371059954</v>
      </c>
      <c r="H34" s="61">
        <f aca="true" t="shared" si="7" ref="H34:P34">H33-H28</f>
        <v>-2125537.103106618</v>
      </c>
      <c r="I34" s="61">
        <f t="shared" si="7"/>
        <v>-11932072.468743272</v>
      </c>
      <c r="J34" s="61">
        <f t="shared" si="7"/>
        <v>-6130321.1330063455</v>
      </c>
      <c r="K34" s="61">
        <f t="shared" si="7"/>
        <v>-1399502.9238976613</v>
      </c>
      <c r="L34" s="61">
        <f t="shared" si="7"/>
        <v>4087102.502743069</v>
      </c>
      <c r="M34" s="61">
        <f t="shared" si="7"/>
        <v>920475.7155391388</v>
      </c>
      <c r="N34" s="61">
        <f t="shared" si="7"/>
        <v>976535.2357517527</v>
      </c>
      <c r="O34" s="61">
        <f t="shared" si="7"/>
        <v>1612798.7828523745</v>
      </c>
      <c r="P34" s="61">
        <f t="shared" si="7"/>
        <v>497247.7467762034</v>
      </c>
    </row>
    <row r="35" spans="1:5" ht="12.75">
      <c r="A35" s="60">
        <f t="shared" si="0"/>
        <v>27</v>
      </c>
      <c r="C35" s="60" t="s">
        <v>44</v>
      </c>
      <c r="E35" s="67">
        <f>+E34/E36</f>
        <v>0.6207489985579817</v>
      </c>
    </row>
    <row r="36" spans="1:16" ht="13.5" thickBot="1">
      <c r="A36" s="62">
        <f t="shared" si="0"/>
        <v>28</v>
      </c>
      <c r="B36" s="62"/>
      <c r="C36" s="62" t="s">
        <v>45</v>
      </c>
      <c r="D36" s="62"/>
      <c r="E36" s="63">
        <f>SUM(G36:P36)</f>
        <v>63319368.72596859</v>
      </c>
      <c r="F36" s="63"/>
      <c r="G36" s="63">
        <f>SUM(G34,G404:G407)</f>
        <v>66498733.71018271</v>
      </c>
      <c r="H36" s="63">
        <f aca="true" t="shared" si="8" ref="H36:P36">SUM(H34,H404:H407)</f>
        <v>727653.4521340523</v>
      </c>
      <c r="I36" s="63">
        <f t="shared" si="8"/>
        <v>-9060097.703809157</v>
      </c>
      <c r="J36" s="63">
        <f t="shared" si="8"/>
        <v>-4385616.092265913</v>
      </c>
      <c r="K36" s="63">
        <f t="shared" si="8"/>
        <v>-61356.91187533457</v>
      </c>
      <c r="L36" s="63">
        <f t="shared" si="8"/>
        <v>4705980.4800193</v>
      </c>
      <c r="M36" s="63">
        <f t="shared" si="8"/>
        <v>1335866.6392805032</v>
      </c>
      <c r="N36" s="63">
        <f t="shared" si="8"/>
        <v>1183819.1354259436</v>
      </c>
      <c r="O36" s="63">
        <f t="shared" si="8"/>
        <v>1850847.9179378108</v>
      </c>
      <c r="P36" s="63">
        <f t="shared" si="8"/>
        <v>523538.09893867624</v>
      </c>
    </row>
    <row r="37" ht="13.5" thickTop="1">
      <c r="A37" s="60">
        <f t="shared" si="0"/>
        <v>29</v>
      </c>
    </row>
    <row r="38" spans="1:16" ht="12.75">
      <c r="A38" s="60">
        <f t="shared" si="0"/>
        <v>30</v>
      </c>
      <c r="C38" s="60" t="s">
        <v>46</v>
      </c>
      <c r="E38" s="61">
        <f>SUM(G38:P38)</f>
        <v>2120834583.4559684</v>
      </c>
      <c r="F38" s="61"/>
      <c r="G38" s="61">
        <f>G36+G19</f>
        <v>1190290479.9247155</v>
      </c>
      <c r="H38" s="61">
        <f aca="true" t="shared" si="9" ref="H38:P38">H36+H19</f>
        <v>254819845.82463518</v>
      </c>
      <c r="I38" s="61">
        <f t="shared" si="9"/>
        <v>258360432.08443058</v>
      </c>
      <c r="J38" s="61">
        <f t="shared" si="9"/>
        <v>163389757.9002311</v>
      </c>
      <c r="K38" s="61">
        <f t="shared" si="9"/>
        <v>120662851.2338132</v>
      </c>
      <c r="L38" s="61">
        <f t="shared" si="9"/>
        <v>59493885.57301574</v>
      </c>
      <c r="M38" s="61">
        <f t="shared" si="9"/>
        <v>41570697.15521241</v>
      </c>
      <c r="N38" s="61">
        <f t="shared" si="9"/>
        <v>11312450.926565303</v>
      </c>
      <c r="O38" s="61">
        <f t="shared" si="9"/>
        <v>19097120.50461705</v>
      </c>
      <c r="P38" s="61">
        <f t="shared" si="9"/>
        <v>1837062.3287322763</v>
      </c>
    </row>
    <row r="39" spans="1:16" ht="12.75">
      <c r="A39" s="60">
        <f t="shared" si="0"/>
        <v>31</v>
      </c>
      <c r="C39" s="60" t="s">
        <v>47</v>
      </c>
      <c r="E39" s="61">
        <f>SUM(G39:P39)</f>
        <v>79183930.72999999</v>
      </c>
      <c r="F39" s="61"/>
      <c r="G39" s="61">
        <f>SUM(G17:G18)</f>
        <v>43219781.07079701</v>
      </c>
      <c r="H39" s="61">
        <f aca="true" t="shared" si="10" ref="H39:P39">SUM(H17:H18)</f>
        <v>8990701.875698876</v>
      </c>
      <c r="I39" s="61">
        <f t="shared" si="10"/>
        <v>8214768.345271099</v>
      </c>
      <c r="J39" s="61">
        <f t="shared" si="10"/>
        <v>5232738.742520047</v>
      </c>
      <c r="K39" s="61">
        <f t="shared" si="10"/>
        <v>4224314.362781949</v>
      </c>
      <c r="L39" s="61">
        <f t="shared" si="10"/>
        <v>1908423.3652157178</v>
      </c>
      <c r="M39" s="61">
        <f t="shared" si="10"/>
        <v>3888901.464930257</v>
      </c>
      <c r="N39" s="61">
        <f>SUM(N17:N18)</f>
        <v>3095112.795495685</v>
      </c>
      <c r="O39" s="61">
        <f t="shared" si="10"/>
        <v>313411.47749576374</v>
      </c>
      <c r="P39" s="61">
        <f t="shared" si="10"/>
        <v>95777.22979359992</v>
      </c>
    </row>
    <row r="40" spans="1:16" s="57" customFormat="1" ht="12.75">
      <c r="A40" s="68">
        <f t="shared" si="0"/>
        <v>32</v>
      </c>
      <c r="B40" s="68"/>
      <c r="C40" s="68" t="s">
        <v>48</v>
      </c>
      <c r="D40" s="68"/>
      <c r="E40" s="69">
        <f>SUM(G40:P40)</f>
        <v>2041650652.7259681</v>
      </c>
      <c r="F40" s="69"/>
      <c r="G40" s="69">
        <f>G38-G39</f>
        <v>1147070698.8539186</v>
      </c>
      <c r="H40" s="69">
        <f aca="true" t="shared" si="11" ref="H40:P40">H38-H39</f>
        <v>245829143.9489363</v>
      </c>
      <c r="I40" s="69">
        <f t="shared" si="11"/>
        <v>250145663.73915946</v>
      </c>
      <c r="J40" s="69">
        <f t="shared" si="11"/>
        <v>158157019.15771106</v>
      </c>
      <c r="K40" s="69">
        <f t="shared" si="11"/>
        <v>116438536.87103125</v>
      </c>
      <c r="L40" s="69">
        <f t="shared" si="11"/>
        <v>57585462.20780002</v>
      </c>
      <c r="M40" s="69">
        <f t="shared" si="11"/>
        <v>37681795.69028215</v>
      </c>
      <c r="N40" s="69">
        <f>N38-N39</f>
        <v>8217338.131069617</v>
      </c>
      <c r="O40" s="69">
        <f t="shared" si="11"/>
        <v>18783709.027121287</v>
      </c>
      <c r="P40" s="69">
        <f t="shared" si="11"/>
        <v>1741285.0989386765</v>
      </c>
    </row>
    <row r="41" spans="1:16" s="65" customFormat="1" ht="12.75">
      <c r="A41" s="65">
        <f t="shared" si="0"/>
        <v>33</v>
      </c>
      <c r="C41" s="65" t="s">
        <v>49</v>
      </c>
      <c r="E41" s="66">
        <f>IF(E16=0,0,(E40/E16)-1)</f>
        <v>0.032006453741125984</v>
      </c>
      <c r="F41" s="66"/>
      <c r="G41" s="66">
        <f aca="true" t="shared" si="12" ref="G41:P41">IF(G16=0,0,(G40/G16)-1)</f>
        <v>0.061540309998082465</v>
      </c>
      <c r="H41" s="66">
        <f t="shared" si="12"/>
        <v>0.002968784280581671</v>
      </c>
      <c r="I41" s="66">
        <f t="shared" si="12"/>
        <v>-0.03495330371274408</v>
      </c>
      <c r="J41" s="66">
        <f t="shared" si="12"/>
        <v>-0.026981327609960304</v>
      </c>
      <c r="K41" s="66">
        <f t="shared" si="12"/>
        <v>-0.0005266692516447957</v>
      </c>
      <c r="L41" s="66">
        <f t="shared" si="12"/>
        <v>0.08899445165225517</v>
      </c>
      <c r="M41" s="66">
        <f t="shared" si="12"/>
        <v>0.0367542300928938</v>
      </c>
      <c r="N41" s="66">
        <f t="shared" si="12"/>
        <v>0.1683110738961766</v>
      </c>
      <c r="O41" s="66">
        <f t="shared" si="12"/>
        <v>0.10930509061661242</v>
      </c>
      <c r="P41" s="66">
        <f t="shared" si="12"/>
        <v>0.42992353825439644</v>
      </c>
    </row>
    <row r="42" ht="12.75">
      <c r="A42" s="60">
        <f t="shared" si="0"/>
        <v>34</v>
      </c>
    </row>
    <row r="43" spans="1:3" ht="12.75">
      <c r="A43" s="60">
        <f t="shared" si="0"/>
        <v>35</v>
      </c>
      <c r="C43" s="57" t="s">
        <v>50</v>
      </c>
    </row>
    <row r="44" spans="1:16" ht="12.75">
      <c r="A44" s="60">
        <f t="shared" si="0"/>
        <v>36</v>
      </c>
      <c r="C44" s="60" t="s">
        <v>36</v>
      </c>
      <c r="E44" s="61">
        <f>SUM(G44:P44)</f>
        <v>1208810846.0000002</v>
      </c>
      <c r="F44" s="61"/>
      <c r="G44" s="61">
        <f>+G22+G404+G405</f>
        <v>668128887.3296665</v>
      </c>
      <c r="H44" s="61">
        <f aca="true" t="shared" si="13" ref="H44:P44">+H22+H404+H405</f>
        <v>145647236.29781824</v>
      </c>
      <c r="I44" s="61">
        <f t="shared" si="13"/>
        <v>150456987.08281496</v>
      </c>
      <c r="J44" s="61">
        <f t="shared" si="13"/>
        <v>98200651.69251539</v>
      </c>
      <c r="K44" s="61">
        <f t="shared" si="13"/>
        <v>70384270.13368888</v>
      </c>
      <c r="L44" s="61">
        <f t="shared" si="13"/>
        <v>36258863.26126231</v>
      </c>
      <c r="M44" s="61">
        <f t="shared" si="13"/>
        <v>26135634.925090596</v>
      </c>
      <c r="N44" s="61">
        <f t="shared" si="13"/>
        <v>3345366.4976908644</v>
      </c>
      <c r="O44" s="61">
        <f t="shared" si="13"/>
        <v>9474165.0583172</v>
      </c>
      <c r="P44" s="61">
        <f t="shared" si="13"/>
        <v>778783.7211351912</v>
      </c>
    </row>
    <row r="45" spans="1:16" ht="12.75">
      <c r="A45" s="60">
        <f t="shared" si="0"/>
        <v>37</v>
      </c>
      <c r="C45" s="60" t="s">
        <v>37</v>
      </c>
      <c r="E45" s="61">
        <f>SUM(G45:P45)</f>
        <v>276612250.00000006</v>
      </c>
      <c r="F45" s="61"/>
      <c r="G45" s="61">
        <f>+G23</f>
        <v>161270483.66902757</v>
      </c>
      <c r="H45" s="61">
        <f aca="true" t="shared" si="14" ref="H45:P45">+H23</f>
        <v>33295022.709127285</v>
      </c>
      <c r="I45" s="61">
        <f t="shared" si="14"/>
        <v>31566090.60191453</v>
      </c>
      <c r="J45" s="61">
        <f t="shared" si="14"/>
        <v>18736083.92219249</v>
      </c>
      <c r="K45" s="61">
        <f t="shared" si="14"/>
        <v>14644434.391017629</v>
      </c>
      <c r="L45" s="61">
        <f t="shared" si="14"/>
        <v>6709475.902968781</v>
      </c>
      <c r="M45" s="61">
        <f t="shared" si="14"/>
        <v>4356955.732900646</v>
      </c>
      <c r="N45" s="61">
        <f t="shared" si="14"/>
        <v>2467388.9099991713</v>
      </c>
      <c r="O45" s="61">
        <f t="shared" si="14"/>
        <v>3214923.8427103106</v>
      </c>
      <c r="P45" s="61">
        <f t="shared" si="14"/>
        <v>351390.31814162235</v>
      </c>
    </row>
    <row r="46" spans="1:16" ht="12.75">
      <c r="A46" s="60">
        <f t="shared" si="0"/>
        <v>38</v>
      </c>
      <c r="C46" s="60" t="s">
        <v>38</v>
      </c>
      <c r="E46" s="61">
        <f>SUM(G46:P46)</f>
        <v>126656417.74000004</v>
      </c>
      <c r="F46" s="61"/>
      <c r="G46" s="61">
        <f aca="true" t="shared" si="15" ref="G46:P47">+G24+G406</f>
        <v>72008637.29257108</v>
      </c>
      <c r="H46" s="61">
        <f t="shared" si="15"/>
        <v>15232609.378972508</v>
      </c>
      <c r="I46" s="61">
        <f t="shared" si="15"/>
        <v>15087763.876037486</v>
      </c>
      <c r="J46" s="61">
        <f t="shared" si="15"/>
        <v>9375359.137971312</v>
      </c>
      <c r="K46" s="61">
        <f t="shared" si="15"/>
        <v>7031921.534185597</v>
      </c>
      <c r="L46" s="61">
        <f t="shared" si="15"/>
        <v>3405058.415063738</v>
      </c>
      <c r="M46" s="61">
        <f t="shared" si="15"/>
        <v>2333035.7297634147</v>
      </c>
      <c r="N46" s="61">
        <f t="shared" si="15"/>
        <v>816867.7117954971</v>
      </c>
      <c r="O46" s="61">
        <f t="shared" si="15"/>
        <v>1239216.7802857026</v>
      </c>
      <c r="P46" s="61">
        <f t="shared" si="15"/>
        <v>125947.88335369025</v>
      </c>
    </row>
    <row r="47" spans="1:16" ht="12.75">
      <c r="A47" s="60">
        <f t="shared" si="0"/>
        <v>39</v>
      </c>
      <c r="C47" s="60" t="s">
        <v>39</v>
      </c>
      <c r="E47" s="61">
        <f>SUM(G47:P47)</f>
        <v>130201692.38731562</v>
      </c>
      <c r="F47" s="61"/>
      <c r="G47" s="61">
        <f t="shared" si="15"/>
        <v>73931423.87495972</v>
      </c>
      <c r="H47" s="61">
        <f t="shared" si="15"/>
        <v>15520393.146587875</v>
      </c>
      <c r="I47" s="61">
        <f t="shared" si="15"/>
        <v>15675127.028539145</v>
      </c>
      <c r="J47" s="61">
        <f t="shared" si="15"/>
        <v>9488995.351482663</v>
      </c>
      <c r="K47" s="61">
        <f t="shared" si="15"/>
        <v>7319943.024640341</v>
      </c>
      <c r="L47" s="61">
        <f t="shared" si="15"/>
        <v>3357823.5253432407</v>
      </c>
      <c r="M47" s="61">
        <f t="shared" si="15"/>
        <v>2238057.3319996987</v>
      </c>
      <c r="N47" s="61">
        <f t="shared" si="15"/>
        <v>1198439.3707969587</v>
      </c>
      <c r="O47" s="61">
        <f t="shared" si="15"/>
        <v>1322814.2139330911</v>
      </c>
      <c r="P47" s="61">
        <f t="shared" si="15"/>
        <v>148675.51903286937</v>
      </c>
    </row>
    <row r="48" spans="1:16" ht="13.5" thickBot="1">
      <c r="A48" s="62">
        <f t="shared" si="0"/>
        <v>40</v>
      </c>
      <c r="B48" s="62"/>
      <c r="C48" s="62" t="s">
        <v>51</v>
      </c>
      <c r="D48" s="62"/>
      <c r="E48" s="63">
        <f>SUM(E44:E47)</f>
        <v>1742281206.1273158</v>
      </c>
      <c r="F48" s="63"/>
      <c r="G48" s="63">
        <f aca="true" t="shared" si="16" ref="G48:P48">SUM(G44:G47)</f>
        <v>975339432.1662248</v>
      </c>
      <c r="H48" s="63">
        <f t="shared" si="16"/>
        <v>209695261.5325059</v>
      </c>
      <c r="I48" s="63">
        <f t="shared" si="16"/>
        <v>212785968.58930612</v>
      </c>
      <c r="J48" s="63">
        <f t="shared" si="16"/>
        <v>135801090.10416186</v>
      </c>
      <c r="K48" s="63">
        <f t="shared" si="16"/>
        <v>99380569.08353245</v>
      </c>
      <c r="L48" s="63">
        <f t="shared" si="16"/>
        <v>49731221.10463807</v>
      </c>
      <c r="M48" s="63">
        <f t="shared" si="16"/>
        <v>35063683.71975435</v>
      </c>
      <c r="N48" s="63">
        <f t="shared" si="16"/>
        <v>7828062.490282491</v>
      </c>
      <c r="O48" s="63">
        <f t="shared" si="16"/>
        <v>15251119.895246305</v>
      </c>
      <c r="P48" s="63">
        <f t="shared" si="16"/>
        <v>1404797.4416633733</v>
      </c>
    </row>
    <row r="49" ht="13.5" thickTop="1">
      <c r="A49" s="60">
        <f t="shared" si="0"/>
        <v>41</v>
      </c>
    </row>
    <row r="50" spans="1:16" ht="12.75">
      <c r="A50" s="60">
        <f t="shared" si="0"/>
        <v>42</v>
      </c>
      <c r="C50" s="60" t="s">
        <v>52</v>
      </c>
      <c r="E50" s="61">
        <f>SUM(G50:P50)</f>
        <v>2041650652.9999998</v>
      </c>
      <c r="F50" s="61"/>
      <c r="G50" s="61">
        <f aca="true" t="shared" si="17" ref="G50:P50">+G16+G410</f>
        <v>1116566965.143736</v>
      </c>
      <c r="H50" s="61">
        <f t="shared" si="17"/>
        <v>253266411.49680227</v>
      </c>
      <c r="I50" s="61">
        <f t="shared" si="17"/>
        <v>265649343.44296864</v>
      </c>
      <c r="J50" s="61">
        <f t="shared" si="17"/>
        <v>167833619.24997696</v>
      </c>
      <c r="K50" s="61">
        <f t="shared" si="17"/>
        <v>120380618.78290659</v>
      </c>
      <c r="L50" s="61">
        <f t="shared" si="17"/>
        <v>53891639.72778073</v>
      </c>
      <c r="M50" s="61">
        <f t="shared" si="17"/>
        <v>37556647.051001646</v>
      </c>
      <c r="N50" s="61">
        <f t="shared" si="17"/>
        <v>7267219.995643673</v>
      </c>
      <c r="O50" s="61">
        <f t="shared" si="17"/>
        <v>17496903.109183475</v>
      </c>
      <c r="P50" s="61">
        <f t="shared" si="17"/>
        <v>1741285</v>
      </c>
    </row>
    <row r="51" spans="1:16" ht="12.75">
      <c r="A51" s="60">
        <f t="shared" si="0"/>
        <v>43</v>
      </c>
      <c r="C51" s="60" t="s">
        <v>53</v>
      </c>
      <c r="E51" s="61">
        <f>SUM(G51:P51)</f>
        <v>79183930.72999999</v>
      </c>
      <c r="F51" s="61"/>
      <c r="G51" s="61">
        <f>+G39</f>
        <v>43219781.07079701</v>
      </c>
      <c r="H51" s="61">
        <f aca="true" t="shared" si="18" ref="H51:P51">+H39</f>
        <v>8990701.875698876</v>
      </c>
      <c r="I51" s="61">
        <f t="shared" si="18"/>
        <v>8214768.345271099</v>
      </c>
      <c r="J51" s="61">
        <f t="shared" si="18"/>
        <v>5232738.742520047</v>
      </c>
      <c r="K51" s="61">
        <f t="shared" si="18"/>
        <v>4224314.362781949</v>
      </c>
      <c r="L51" s="61">
        <f t="shared" si="18"/>
        <v>1908423.3652157178</v>
      </c>
      <c r="M51" s="61">
        <f t="shared" si="18"/>
        <v>3888901.464930257</v>
      </c>
      <c r="N51" s="61">
        <f t="shared" si="18"/>
        <v>3095112.795495685</v>
      </c>
      <c r="O51" s="61">
        <f t="shared" si="18"/>
        <v>313411.47749576374</v>
      </c>
      <c r="P51" s="61">
        <f t="shared" si="18"/>
        <v>95777.22979359992</v>
      </c>
    </row>
    <row r="52" spans="1:16" ht="12.75">
      <c r="A52" s="70">
        <f t="shared" si="0"/>
        <v>44</v>
      </c>
      <c r="B52" s="70"/>
      <c r="C52" s="70" t="s">
        <v>54</v>
      </c>
      <c r="D52" s="70"/>
      <c r="E52" s="71">
        <f>SUM(E50:E51)</f>
        <v>2120834583.7299998</v>
      </c>
      <c r="F52" s="71"/>
      <c r="G52" s="71">
        <f aca="true" t="shared" si="19" ref="G52:P52">SUM(G50:G51)</f>
        <v>1159786746.2145329</v>
      </c>
      <c r="H52" s="71">
        <f t="shared" si="19"/>
        <v>262257113.37250113</v>
      </c>
      <c r="I52" s="71">
        <f t="shared" si="19"/>
        <v>273864111.7882397</v>
      </c>
      <c r="J52" s="71">
        <f t="shared" si="19"/>
        <v>173066357.992497</v>
      </c>
      <c r="K52" s="71">
        <f t="shared" si="19"/>
        <v>124604933.14568853</v>
      </c>
      <c r="L52" s="71">
        <f t="shared" si="19"/>
        <v>55800063.09299645</v>
      </c>
      <c r="M52" s="71">
        <f t="shared" si="19"/>
        <v>41445548.515931904</v>
      </c>
      <c r="N52" s="71">
        <f t="shared" si="19"/>
        <v>10362332.791139359</v>
      </c>
      <c r="O52" s="71">
        <f t="shared" si="19"/>
        <v>17810314.58667924</v>
      </c>
      <c r="P52" s="71">
        <f t="shared" si="19"/>
        <v>1837062.2297935998</v>
      </c>
    </row>
    <row r="53" spans="1:16" ht="12.75">
      <c r="A53" s="70">
        <f t="shared" si="0"/>
        <v>45</v>
      </c>
      <c r="B53" s="70"/>
      <c r="C53" s="70" t="s">
        <v>55</v>
      </c>
      <c r="D53" s="70"/>
      <c r="E53" s="71">
        <f>SUM(G53:P53)</f>
        <v>63319369.00000001</v>
      </c>
      <c r="F53" s="71"/>
      <c r="G53" s="71">
        <f>+G52-G19</f>
        <v>35995000</v>
      </c>
      <c r="H53" s="71">
        <f aca="true" t="shared" si="20" ref="H53:P53">+H52-H19</f>
        <v>8164921</v>
      </c>
      <c r="I53" s="71">
        <f t="shared" si="20"/>
        <v>6443582</v>
      </c>
      <c r="J53" s="71">
        <f t="shared" si="20"/>
        <v>5290984</v>
      </c>
      <c r="K53" s="71">
        <f t="shared" si="20"/>
        <v>3880725</v>
      </c>
      <c r="L53" s="71">
        <f t="shared" si="20"/>
        <v>1012158.0000000075</v>
      </c>
      <c r="M53" s="71">
        <f t="shared" si="20"/>
        <v>1210718</v>
      </c>
      <c r="N53" s="71">
        <f t="shared" si="20"/>
        <v>233701</v>
      </c>
      <c r="O53" s="71">
        <f t="shared" si="20"/>
        <v>564042</v>
      </c>
      <c r="P53" s="71">
        <f t="shared" si="20"/>
        <v>523537.99999999977</v>
      </c>
    </row>
    <row r="54" spans="1:16" ht="13.5" thickBot="1">
      <c r="A54" s="72">
        <f t="shared" si="0"/>
        <v>46</v>
      </c>
      <c r="B54" s="72"/>
      <c r="C54" s="73" t="s">
        <v>56</v>
      </c>
      <c r="D54" s="72"/>
      <c r="E54" s="74">
        <f>SUM(G54:P54)</f>
        <v>0.27403141610557213</v>
      </c>
      <c r="F54" s="74"/>
      <c r="G54" s="74">
        <f>+G53-G36</f>
        <v>-30503733.71018271</v>
      </c>
      <c r="H54" s="74">
        <f aca="true" t="shared" si="21" ref="H54:P54">+H53-H36</f>
        <v>7437267.547865948</v>
      </c>
      <c r="I54" s="74">
        <f t="shared" si="21"/>
        <v>15503679.703809157</v>
      </c>
      <c r="J54" s="74">
        <f t="shared" si="21"/>
        <v>9676600.092265913</v>
      </c>
      <c r="K54" s="74">
        <f t="shared" si="21"/>
        <v>3942081.9118753346</v>
      </c>
      <c r="L54" s="74">
        <f t="shared" si="21"/>
        <v>-3693822.480019293</v>
      </c>
      <c r="M54" s="74">
        <f t="shared" si="21"/>
        <v>-125148.63928050315</v>
      </c>
      <c r="N54" s="74">
        <f t="shared" si="21"/>
        <v>-950118.1354259436</v>
      </c>
      <c r="O54" s="74">
        <f t="shared" si="21"/>
        <v>-1286805.9179378108</v>
      </c>
      <c r="P54" s="74">
        <f t="shared" si="21"/>
        <v>-0.09893867647042498</v>
      </c>
    </row>
    <row r="55" spans="1:16" ht="13.5" thickTop="1">
      <c r="A55" s="60">
        <f t="shared" si="0"/>
        <v>47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 s="57" customFormat="1" ht="12.75">
      <c r="A56" s="68">
        <f t="shared" si="0"/>
        <v>48</v>
      </c>
      <c r="B56" s="68"/>
      <c r="C56" s="68" t="s">
        <v>57</v>
      </c>
      <c r="D56" s="68"/>
      <c r="E56" s="75">
        <f>+E16/E40</f>
        <v>0.9689861883856449</v>
      </c>
      <c r="F56" s="75"/>
      <c r="G56" s="75">
        <f>+G16/G40</f>
        <v>0.9420273451526362</v>
      </c>
      <c r="H56" s="75">
        <f aca="true" t="shared" si="22" ref="H56:O56">+H16/H40</f>
        <v>0.997040003311059</v>
      </c>
      <c r="I56" s="75">
        <f t="shared" si="22"/>
        <v>1.0362192874678677</v>
      </c>
      <c r="J56" s="75">
        <f t="shared" si="22"/>
        <v>1.027729506509557</v>
      </c>
      <c r="K56" s="75">
        <f t="shared" si="22"/>
        <v>1.0005269467783102</v>
      </c>
      <c r="L56" s="75">
        <f t="shared" si="22"/>
        <v>0.9182783240839931</v>
      </c>
      <c r="M56" s="75">
        <f t="shared" si="22"/>
        <v>0.9645487531894608</v>
      </c>
      <c r="N56" s="75">
        <f t="shared" si="22"/>
        <v>0.8559364216801614</v>
      </c>
      <c r="O56" s="75">
        <f t="shared" si="22"/>
        <v>0.9014652582583439</v>
      </c>
      <c r="P56" s="75">
        <f>+P16/P40</f>
        <v>0.6993380927352011</v>
      </c>
    </row>
    <row r="57" spans="1:16" s="57" customFormat="1" ht="12.75">
      <c r="A57" s="68">
        <f t="shared" si="0"/>
        <v>49</v>
      </c>
      <c r="B57" s="68"/>
      <c r="C57" s="68" t="s">
        <v>58</v>
      </c>
      <c r="D57" s="68"/>
      <c r="E57" s="75">
        <f>+E56/$E$56</f>
        <v>1</v>
      </c>
      <c r="F57" s="75"/>
      <c r="G57" s="75">
        <f>+G56/$E$56</f>
        <v>0.9721782997981397</v>
      </c>
      <c r="H57" s="75">
        <f aca="true" t="shared" si="23" ref="H57:O57">+H56/$E$56</f>
        <v>1.0289517180550865</v>
      </c>
      <c r="I57" s="75">
        <f t="shared" si="23"/>
        <v>1.0693849921578706</v>
      </c>
      <c r="J57" s="75">
        <f t="shared" si="23"/>
        <v>1.0606234834180455</v>
      </c>
      <c r="K57" s="75">
        <f t="shared" si="23"/>
        <v>1.0325502662171202</v>
      </c>
      <c r="L57" s="75">
        <f t="shared" si="23"/>
        <v>0.9476691567852661</v>
      </c>
      <c r="M57" s="75">
        <f t="shared" si="23"/>
        <v>0.99542053823948</v>
      </c>
      <c r="N57" s="75">
        <f t="shared" si="23"/>
        <v>0.8833319111660124</v>
      </c>
      <c r="O57" s="75">
        <f t="shared" si="23"/>
        <v>0.9303179643460218</v>
      </c>
      <c r="P57" s="75">
        <f>+P56/$E$56</f>
        <v>0.7217214250497376</v>
      </c>
    </row>
    <row r="58" spans="1:16" s="57" customFormat="1" ht="13.5" thickBot="1">
      <c r="A58" s="62">
        <f t="shared" si="0"/>
        <v>50</v>
      </c>
      <c r="B58" s="62"/>
      <c r="C58" s="62" t="s">
        <v>59</v>
      </c>
      <c r="D58" s="62"/>
      <c r="E58" s="76">
        <f>+E52/E38</f>
        <v>1.0000000001292093</v>
      </c>
      <c r="F58" s="76"/>
      <c r="G58" s="76">
        <f aca="true" t="shared" si="24" ref="G58:P58">+G52/G38</f>
        <v>0.974372865930918</v>
      </c>
      <c r="H58" s="76">
        <f t="shared" si="24"/>
        <v>1.0291863748829997</v>
      </c>
      <c r="I58" s="76">
        <f t="shared" si="24"/>
        <v>1.060007949277398</v>
      </c>
      <c r="J58" s="76">
        <f t="shared" si="24"/>
        <v>1.0592240310324386</v>
      </c>
      <c r="K58" s="76">
        <f t="shared" si="24"/>
        <v>1.0326702201345848</v>
      </c>
      <c r="L58" s="76">
        <f t="shared" si="24"/>
        <v>0.9379125695953086</v>
      </c>
      <c r="M58" s="76">
        <f t="shared" si="24"/>
        <v>0.9969894986650515</v>
      </c>
      <c r="N58" s="76">
        <f>+N52/N38</f>
        <v>0.9160112921953316</v>
      </c>
      <c r="O58" s="76">
        <f t="shared" si="24"/>
        <v>0.9326178039444897</v>
      </c>
      <c r="P58" s="76">
        <f t="shared" si="24"/>
        <v>0.9999999461429941</v>
      </c>
    </row>
    <row r="59" ht="13.5" thickTop="1"/>
    <row r="60" spans="1:16" ht="12.75">
      <c r="A60" s="85" t="str">
        <f>A1</f>
        <v>Puget Sound Energy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</row>
    <row r="61" spans="1:16" ht="12.75">
      <c r="A61" s="85" t="str">
        <f>A2</f>
        <v>ELECTRIC COST OF SERVICE SUMMARY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</row>
    <row r="62" spans="1:16" ht="12.75">
      <c r="A62" s="85" t="s">
        <v>198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</row>
    <row r="63" spans="1:16" ht="12.75">
      <c r="A63" s="85" t="s">
        <v>60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</row>
    <row r="65" spans="1:16" s="59" customFormat="1" ht="49.5" customHeight="1">
      <c r="A65" s="58"/>
      <c r="B65" s="58"/>
      <c r="C65" s="58"/>
      <c r="D65" s="58"/>
      <c r="E65" s="58" t="s">
        <v>61</v>
      </c>
      <c r="F65" s="58"/>
      <c r="G65" s="58" t="str">
        <f>+G6</f>
        <v>Residential
Sch 7</v>
      </c>
      <c r="H65" s="58" t="str">
        <f aca="true" t="shared" si="25" ref="H65:P65">+H6</f>
        <v>Sec Volt
Sch 24
(kW&lt; 50)</v>
      </c>
      <c r="I65" s="58" t="str">
        <f t="shared" si="25"/>
        <v>Sec Volt
Sch 25
(kW &gt; 50 &amp; &lt; 350)</v>
      </c>
      <c r="J65" s="58" t="str">
        <f t="shared" si="25"/>
        <v>Sec Volt
Sch 26
(kW &gt; 350)</v>
      </c>
      <c r="K65" s="58" t="str">
        <f t="shared" si="25"/>
        <v>Pri Volt
Sch 31/35/43</v>
      </c>
      <c r="L65" s="58" t="str">
        <f t="shared" si="25"/>
        <v>Campus
Sch 40</v>
      </c>
      <c r="M65" s="58" t="str">
        <f t="shared" si="25"/>
        <v>High Volt
Sch 46/49</v>
      </c>
      <c r="N65" s="58" t="str">
        <f t="shared" si="25"/>
        <v>Choice /
Retail Wheeling
Sch 448/449</v>
      </c>
      <c r="O65" s="58" t="str">
        <f t="shared" si="25"/>
        <v>Lighting
Sch 50-59</v>
      </c>
      <c r="P65" s="58" t="str">
        <f t="shared" si="25"/>
        <v>Firm Resale /
Special Contract</v>
      </c>
    </row>
    <row r="66" spans="3:16" s="59" customFormat="1" ht="12.75">
      <c r="C66" s="59" t="s">
        <v>15</v>
      </c>
      <c r="E66" s="59" t="s">
        <v>16</v>
      </c>
      <c r="G66" s="59" t="s">
        <v>17</v>
      </c>
      <c r="H66" s="59" t="s">
        <v>18</v>
      </c>
      <c r="I66" s="59" t="s">
        <v>19</v>
      </c>
      <c r="J66" s="59" t="s">
        <v>20</v>
      </c>
      <c r="K66" s="59" t="s">
        <v>21</v>
      </c>
      <c r="L66" s="59" t="s">
        <v>22</v>
      </c>
      <c r="M66" s="59" t="s">
        <v>23</v>
      </c>
      <c r="N66" s="59" t="s">
        <v>24</v>
      </c>
      <c r="O66" s="59" t="s">
        <v>25</v>
      </c>
      <c r="P66" s="59" t="s">
        <v>26</v>
      </c>
    </row>
    <row r="68" spans="1:3" ht="12.75">
      <c r="A68" s="77">
        <v>1</v>
      </c>
      <c r="C68" s="57" t="s">
        <v>199</v>
      </c>
    </row>
    <row r="69" spans="1:16" ht="12.75">
      <c r="A69" s="77">
        <f aca="true" t="shared" si="26" ref="A69:A93">+A68+1</f>
        <v>2</v>
      </c>
      <c r="B69" s="60">
        <f>IF(OR((C68="~"),(C69="~")),"~","")</f>
      </c>
      <c r="C69" s="60" t="s">
        <v>200</v>
      </c>
      <c r="E69" s="61" t="e">
        <f aca="true" t="shared" si="27" ref="E69:E74">SUM(G69:P69)</f>
        <v>#REF!</v>
      </c>
      <c r="F69" s="61"/>
      <c r="G69" s="61">
        <v>283242204.51672894</v>
      </c>
      <c r="H69" s="61">
        <v>49102693.582544856</v>
      </c>
      <c r="I69" s="61">
        <v>49857761.29798462</v>
      </c>
      <c r="J69" s="61">
        <v>31476461.297075383</v>
      </c>
      <c r="K69" s="61" t="e">
        <v>#REF!</v>
      </c>
      <c r="L69" s="61">
        <v>10725979.281307079</v>
      </c>
      <c r="M69" s="61">
        <v>7703834.344229389</v>
      </c>
      <c r="N69" s="61">
        <v>0</v>
      </c>
      <c r="O69" s="61">
        <v>1212074.3681365221</v>
      </c>
      <c r="P69" s="61">
        <v>179135.75114493706</v>
      </c>
    </row>
    <row r="70" spans="1:16" ht="12.75">
      <c r="A70" s="77">
        <f t="shared" si="26"/>
        <v>3</v>
      </c>
      <c r="B70" s="60">
        <f>IF(OR((C68="~"),(C70="~")),"~","")</f>
      </c>
      <c r="C70" s="60" t="s">
        <v>201</v>
      </c>
      <c r="E70" s="61" t="e">
        <f t="shared" si="27"/>
        <v>#REF!</v>
      </c>
      <c r="F70" s="61"/>
      <c r="G70" s="61">
        <v>983257508.4134201</v>
      </c>
      <c r="H70" s="61">
        <v>238031899.55022702</v>
      </c>
      <c r="I70" s="61">
        <v>268554421.0108828</v>
      </c>
      <c r="J70" s="61">
        <v>181942845.494062</v>
      </c>
      <c r="K70" s="61" t="e">
        <v>#REF!</v>
      </c>
      <c r="L70" s="61">
        <v>67616300.47019827</v>
      </c>
      <c r="M70" s="61">
        <v>50010261.557944685</v>
      </c>
      <c r="N70" s="61">
        <v>0</v>
      </c>
      <c r="O70" s="61">
        <v>7664407.089386891</v>
      </c>
      <c r="P70" s="61">
        <v>641369.1159196008</v>
      </c>
    </row>
    <row r="71" spans="1:16" ht="12.75">
      <c r="A71" s="77">
        <f t="shared" si="26"/>
        <v>4</v>
      </c>
      <c r="B71" s="60">
        <f>IF(OR((C68="~"),(C71="~")),"~","")</f>
      </c>
      <c r="C71" s="60" t="s">
        <v>202</v>
      </c>
      <c r="E71" s="61" t="e">
        <f t="shared" si="27"/>
        <v>#REF!</v>
      </c>
      <c r="F71" s="61"/>
      <c r="G71" s="61">
        <v>0</v>
      </c>
      <c r="H71" s="61">
        <v>0</v>
      </c>
      <c r="I71" s="61">
        <v>0</v>
      </c>
      <c r="J71" s="61">
        <v>0</v>
      </c>
      <c r="K71" s="61" t="e">
        <v>#REF!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</row>
    <row r="72" spans="1:16" ht="12.75">
      <c r="A72" s="77">
        <f t="shared" si="26"/>
        <v>5</v>
      </c>
      <c r="B72" s="60" t="str">
        <f>IF(OR((C68="~"),(C72="~")),"~","")</f>
        <v>~</v>
      </c>
      <c r="C72" s="60" t="s">
        <v>203</v>
      </c>
      <c r="E72" s="61" t="e">
        <f t="shared" si="27"/>
        <v>#REF!</v>
      </c>
      <c r="F72" s="61"/>
      <c r="G72" s="61">
        <v>0</v>
      </c>
      <c r="H72" s="61">
        <v>0</v>
      </c>
      <c r="I72" s="61">
        <v>0</v>
      </c>
      <c r="J72" s="61">
        <v>0</v>
      </c>
      <c r="K72" s="61" t="e">
        <v>#REF!</v>
      </c>
      <c r="L72" s="61">
        <v>0</v>
      </c>
      <c r="M72" s="61">
        <v>0</v>
      </c>
      <c r="N72" s="61">
        <v>0</v>
      </c>
      <c r="O72" s="61">
        <v>0</v>
      </c>
      <c r="P72" s="61">
        <v>0</v>
      </c>
    </row>
    <row r="73" spans="1:16" ht="12.75">
      <c r="A73" s="77">
        <f t="shared" si="26"/>
        <v>6</v>
      </c>
      <c r="B73" s="60" t="str">
        <f>IF(OR((C68="~"),(C73="~")),"~","")</f>
        <v>~</v>
      </c>
      <c r="C73" s="60" t="s">
        <v>203</v>
      </c>
      <c r="E73" s="61" t="e">
        <f t="shared" si="27"/>
        <v>#REF!</v>
      </c>
      <c r="F73" s="61"/>
      <c r="G73" s="61">
        <v>0</v>
      </c>
      <c r="H73" s="61">
        <v>0</v>
      </c>
      <c r="I73" s="61">
        <v>0</v>
      </c>
      <c r="J73" s="61">
        <v>0</v>
      </c>
      <c r="K73" s="61" t="e">
        <v>#REF!</v>
      </c>
      <c r="L73" s="61">
        <v>0</v>
      </c>
      <c r="M73" s="61">
        <v>0</v>
      </c>
      <c r="N73" s="61">
        <v>0</v>
      </c>
      <c r="O73" s="61">
        <v>0</v>
      </c>
      <c r="P73" s="61">
        <v>0</v>
      </c>
    </row>
    <row r="74" spans="1:16" ht="12.75">
      <c r="A74" s="77">
        <f t="shared" si="26"/>
        <v>7</v>
      </c>
      <c r="B74" s="60" t="str">
        <f>IF(OR((C68="~"),(C74="~")),"~","")</f>
        <v>~</v>
      </c>
      <c r="C74" s="60" t="s">
        <v>203</v>
      </c>
      <c r="E74" s="61" t="e">
        <f t="shared" si="27"/>
        <v>#REF!</v>
      </c>
      <c r="F74" s="61"/>
      <c r="G74" s="61">
        <v>0</v>
      </c>
      <c r="H74" s="61">
        <v>0</v>
      </c>
      <c r="I74" s="61">
        <v>0</v>
      </c>
      <c r="J74" s="61">
        <v>0</v>
      </c>
      <c r="K74" s="61" t="e">
        <v>#REF!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</row>
    <row r="75" spans="1:16" ht="12.75">
      <c r="A75" s="78">
        <f t="shared" si="26"/>
        <v>8</v>
      </c>
      <c r="B75" s="68">
        <f>IF(OR((C68="~"),(C75="~")),"~","")</f>
      </c>
      <c r="C75" s="68" t="str">
        <f>IF(C68="~","~","Sub-total")</f>
        <v>Sub-total</v>
      </c>
      <c r="D75" s="68"/>
      <c r="E75" s="69" t="e">
        <f>SUM(E69:E74)</f>
        <v>#REF!</v>
      </c>
      <c r="F75" s="69"/>
      <c r="G75" s="69">
        <f aca="true" t="shared" si="28" ref="G75:P75">SUM(G69:G74)</f>
        <v>1266499712.930149</v>
      </c>
      <c r="H75" s="69">
        <f t="shared" si="28"/>
        <v>287134593.13277185</v>
      </c>
      <c r="I75" s="69">
        <f t="shared" si="28"/>
        <v>318412182.3088674</v>
      </c>
      <c r="J75" s="69">
        <f t="shared" si="28"/>
        <v>213419306.7911374</v>
      </c>
      <c r="K75" s="69" t="e">
        <f t="shared" si="28"/>
        <v>#REF!</v>
      </c>
      <c r="L75" s="69">
        <f t="shared" si="28"/>
        <v>78342279.75150535</v>
      </c>
      <c r="M75" s="69">
        <f t="shared" si="28"/>
        <v>57714095.90217407</v>
      </c>
      <c r="N75" s="69">
        <f t="shared" si="28"/>
        <v>0</v>
      </c>
      <c r="O75" s="69">
        <f t="shared" si="28"/>
        <v>8876481.457523413</v>
      </c>
      <c r="P75" s="69">
        <f t="shared" si="28"/>
        <v>820504.867064538</v>
      </c>
    </row>
    <row r="76" spans="1:2" ht="12.75">
      <c r="A76" s="77">
        <f t="shared" si="26"/>
        <v>9</v>
      </c>
      <c r="B76" s="60">
        <f>IF(OR((C68="~"),(C76="~")),"~","")</f>
      </c>
    </row>
    <row r="77" spans="1:3" ht="12.75">
      <c r="A77" s="77">
        <f t="shared" si="26"/>
        <v>10</v>
      </c>
      <c r="C77" s="57" t="s">
        <v>204</v>
      </c>
    </row>
    <row r="78" spans="1:16" ht="12.75">
      <c r="A78" s="77">
        <f t="shared" si="26"/>
        <v>11</v>
      </c>
      <c r="B78" s="60">
        <f>IF(OR((C77="~"),(C78="~")),"~","")</f>
      </c>
      <c r="C78" s="60" t="s">
        <v>200</v>
      </c>
      <c r="E78" s="61" t="e">
        <f aca="true" t="shared" si="29" ref="E78:E83">SUM(G78:P78)</f>
        <v>#REF!</v>
      </c>
      <c r="F78" s="61"/>
      <c r="G78" s="61">
        <v>45041450.30360467</v>
      </c>
      <c r="H78" s="61">
        <v>7808357.9971596245</v>
      </c>
      <c r="I78" s="61">
        <v>7928429.598208147</v>
      </c>
      <c r="J78" s="61">
        <v>5005417.429455932</v>
      </c>
      <c r="K78" s="61" t="e">
        <v>#REF!</v>
      </c>
      <c r="L78" s="61">
        <v>1705655.636951351</v>
      </c>
      <c r="M78" s="61">
        <v>1225071.215480943</v>
      </c>
      <c r="N78" s="61">
        <v>1424417.5818930115</v>
      </c>
      <c r="O78" s="61">
        <v>192745.24257372733</v>
      </c>
      <c r="P78" s="61">
        <v>132383.82597288955</v>
      </c>
    </row>
    <row r="79" spans="1:16" ht="12.75">
      <c r="A79" s="77">
        <f t="shared" si="26"/>
        <v>12</v>
      </c>
      <c r="B79" s="60">
        <f>IF(OR((C77="~"),(C79="~")),"~","")</f>
      </c>
      <c r="C79" s="60" t="s">
        <v>201</v>
      </c>
      <c r="E79" s="61" t="e">
        <f t="shared" si="29"/>
        <v>#REF!</v>
      </c>
      <c r="F79" s="61"/>
      <c r="G79" s="61">
        <v>154889728.26479584</v>
      </c>
      <c r="H79" s="61">
        <v>37496480.753225066</v>
      </c>
      <c r="I79" s="61">
        <v>42304605.80138854</v>
      </c>
      <c r="J79" s="61">
        <v>28660933.333498627</v>
      </c>
      <c r="K79" s="61" t="e">
        <v>#REF!</v>
      </c>
      <c r="L79" s="61">
        <v>10651401.404499922</v>
      </c>
      <c r="M79" s="61">
        <v>7877972.71506266</v>
      </c>
      <c r="N79" s="61">
        <v>8736916.408112071</v>
      </c>
      <c r="O79" s="61">
        <v>1207352.012293779</v>
      </c>
      <c r="P79" s="61">
        <v>757413.0339615276</v>
      </c>
    </row>
    <row r="80" spans="1:16" ht="12.75">
      <c r="A80" s="77">
        <f t="shared" si="26"/>
        <v>13</v>
      </c>
      <c r="B80" s="60">
        <f>IF(OR((C77="~"),(C80="~")),"~","")</f>
      </c>
      <c r="C80" s="60" t="s">
        <v>202</v>
      </c>
      <c r="E80" s="61" t="e">
        <f t="shared" si="29"/>
        <v>#REF!</v>
      </c>
      <c r="F80" s="61"/>
      <c r="G80" s="61">
        <v>0</v>
      </c>
      <c r="H80" s="61">
        <v>0</v>
      </c>
      <c r="I80" s="61">
        <v>0</v>
      </c>
      <c r="J80" s="61">
        <v>0</v>
      </c>
      <c r="K80" s="61" t="e">
        <v>#REF!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</row>
    <row r="81" spans="1:16" ht="12.75">
      <c r="A81" s="77">
        <f t="shared" si="26"/>
        <v>14</v>
      </c>
      <c r="B81" s="60" t="str">
        <f>IF(OR((C77="~"),(C81="~")),"~","")</f>
        <v>~</v>
      </c>
      <c r="C81" s="60" t="s">
        <v>203</v>
      </c>
      <c r="E81" s="61" t="e">
        <f t="shared" si="29"/>
        <v>#REF!</v>
      </c>
      <c r="F81" s="61"/>
      <c r="G81" s="61">
        <v>0</v>
      </c>
      <c r="H81" s="61">
        <v>0</v>
      </c>
      <c r="I81" s="61">
        <v>0</v>
      </c>
      <c r="J81" s="61">
        <v>0</v>
      </c>
      <c r="K81" s="61" t="e">
        <v>#REF!</v>
      </c>
      <c r="L81" s="61">
        <v>0</v>
      </c>
      <c r="M81" s="61">
        <v>0</v>
      </c>
      <c r="N81" s="61">
        <v>0</v>
      </c>
      <c r="O81" s="61">
        <v>0</v>
      </c>
      <c r="P81" s="61">
        <v>0</v>
      </c>
    </row>
    <row r="82" spans="1:16" ht="12.75">
      <c r="A82" s="77">
        <f t="shared" si="26"/>
        <v>15</v>
      </c>
      <c r="B82" s="60" t="str">
        <f>IF(OR((C77="~"),(C82="~")),"~","")</f>
        <v>~</v>
      </c>
      <c r="C82" s="60" t="s">
        <v>203</v>
      </c>
      <c r="E82" s="61" t="e">
        <f t="shared" si="29"/>
        <v>#REF!</v>
      </c>
      <c r="F82" s="61"/>
      <c r="G82" s="61">
        <v>0</v>
      </c>
      <c r="H82" s="61">
        <v>0</v>
      </c>
      <c r="I82" s="61">
        <v>0</v>
      </c>
      <c r="J82" s="61">
        <v>0</v>
      </c>
      <c r="K82" s="61" t="e">
        <v>#REF!</v>
      </c>
      <c r="L82" s="61">
        <v>0</v>
      </c>
      <c r="M82" s="61">
        <v>0</v>
      </c>
      <c r="N82" s="61">
        <v>0</v>
      </c>
      <c r="O82" s="61">
        <v>0</v>
      </c>
      <c r="P82" s="61">
        <v>0</v>
      </c>
    </row>
    <row r="83" spans="1:16" ht="12.75">
      <c r="A83" s="77">
        <f t="shared" si="26"/>
        <v>16</v>
      </c>
      <c r="B83" s="60" t="str">
        <f>IF(OR((C77="~"),(C83="~")),"~","")</f>
        <v>~</v>
      </c>
      <c r="C83" s="60" t="s">
        <v>203</v>
      </c>
      <c r="E83" s="61" t="e">
        <f t="shared" si="29"/>
        <v>#REF!</v>
      </c>
      <c r="F83" s="61"/>
      <c r="G83" s="61">
        <v>0</v>
      </c>
      <c r="H83" s="61">
        <v>0</v>
      </c>
      <c r="I83" s="61">
        <v>0</v>
      </c>
      <c r="J83" s="61">
        <v>0</v>
      </c>
      <c r="K83" s="61" t="e">
        <v>#REF!</v>
      </c>
      <c r="L83" s="61">
        <v>0</v>
      </c>
      <c r="M83" s="61">
        <v>0</v>
      </c>
      <c r="N83" s="61">
        <v>0</v>
      </c>
      <c r="O83" s="61">
        <v>0</v>
      </c>
      <c r="P83" s="61">
        <v>0</v>
      </c>
    </row>
    <row r="84" spans="1:16" ht="12.75">
      <c r="A84" s="78">
        <f t="shared" si="26"/>
        <v>17</v>
      </c>
      <c r="B84" s="68">
        <f>IF(OR((C77="~"),(C84="~")),"~","")</f>
      </c>
      <c r="C84" s="68" t="str">
        <f>IF(C77="~","~","Sub-total")</f>
        <v>Sub-total</v>
      </c>
      <c r="D84" s="68"/>
      <c r="E84" s="69" t="e">
        <f>SUM(E78:E83)</f>
        <v>#REF!</v>
      </c>
      <c r="F84" s="69"/>
      <c r="G84" s="69">
        <f aca="true" t="shared" si="30" ref="G84:P84">SUM(G78:G83)</f>
        <v>199931178.5684005</v>
      </c>
      <c r="H84" s="69">
        <f t="shared" si="30"/>
        <v>45304838.75038469</v>
      </c>
      <c r="I84" s="69">
        <f t="shared" si="30"/>
        <v>50233035.39959668</v>
      </c>
      <c r="J84" s="69">
        <f t="shared" si="30"/>
        <v>33666350.76295456</v>
      </c>
      <c r="K84" s="69" t="e">
        <f t="shared" si="30"/>
        <v>#REF!</v>
      </c>
      <c r="L84" s="69">
        <f t="shared" si="30"/>
        <v>12357057.041451273</v>
      </c>
      <c r="M84" s="69">
        <f t="shared" si="30"/>
        <v>9103043.930543603</v>
      </c>
      <c r="N84" s="69">
        <f t="shared" si="30"/>
        <v>10161333.990005083</v>
      </c>
      <c r="O84" s="69">
        <f t="shared" si="30"/>
        <v>1400097.2548675064</v>
      </c>
      <c r="P84" s="69">
        <f t="shared" si="30"/>
        <v>889796.8599344172</v>
      </c>
    </row>
    <row r="85" spans="1:2" ht="12.75">
      <c r="A85" s="77">
        <f t="shared" si="26"/>
        <v>18</v>
      </c>
      <c r="B85" s="60">
        <f>IF(OR((C77="~"),(C85="~")),"~","")</f>
      </c>
    </row>
    <row r="86" spans="1:3" ht="12.75">
      <c r="A86" s="77">
        <f t="shared" si="26"/>
        <v>19</v>
      </c>
      <c r="C86" s="57" t="s">
        <v>205</v>
      </c>
    </row>
    <row r="87" spans="1:16" ht="12.75">
      <c r="A87" s="77">
        <f t="shared" si="26"/>
        <v>20</v>
      </c>
      <c r="B87" s="60">
        <f>IF(OR((C86="~"),(C87="~")),"~","")</f>
      </c>
      <c r="C87" s="60" t="s">
        <v>200</v>
      </c>
      <c r="E87" s="61" t="e">
        <f aca="true" t="shared" si="31" ref="E87:E92">SUM(G87:P87)</f>
        <v>#REF!</v>
      </c>
      <c r="F87" s="61"/>
      <c r="G87" s="61">
        <v>880097462.1815397</v>
      </c>
      <c r="H87" s="61">
        <v>162794888.52739647</v>
      </c>
      <c r="I87" s="61">
        <v>146254402.72602347</v>
      </c>
      <c r="J87" s="61">
        <v>72787247.34318425</v>
      </c>
      <c r="K87" s="61" t="e">
        <v>#REF!</v>
      </c>
      <c r="L87" s="61">
        <v>21625855.397141833</v>
      </c>
      <c r="M87" s="61">
        <v>8496347.708766978</v>
      </c>
      <c r="N87" s="61">
        <v>8476113.29231771</v>
      </c>
      <c r="O87" s="61">
        <v>8268274.182779358</v>
      </c>
      <c r="P87" s="61">
        <v>1580997.6358827688</v>
      </c>
    </row>
    <row r="88" spans="1:16" ht="12.75">
      <c r="A88" s="77">
        <f t="shared" si="26"/>
        <v>21</v>
      </c>
      <c r="B88" s="60">
        <f>IF(OR((C86="~"),(C88="~")),"~","")</f>
      </c>
      <c r="C88" s="60" t="s">
        <v>201</v>
      </c>
      <c r="E88" s="61" t="e">
        <f t="shared" si="31"/>
        <v>#REF!</v>
      </c>
      <c r="F88" s="61"/>
      <c r="G88" s="61">
        <v>148522857.6200214</v>
      </c>
      <c r="H88" s="61">
        <v>35955156.836755134</v>
      </c>
      <c r="I88" s="61">
        <v>40565639.920093015</v>
      </c>
      <c r="J88" s="61">
        <v>27482801.916152954</v>
      </c>
      <c r="K88" s="61" t="e">
        <v>#REF!</v>
      </c>
      <c r="L88" s="61">
        <v>10213566.722447392</v>
      </c>
      <c r="M88" s="61">
        <v>7554142.117761091</v>
      </c>
      <c r="N88" s="61">
        <v>25763897.302568655</v>
      </c>
      <c r="O88" s="61">
        <v>1157722.8072386768</v>
      </c>
      <c r="P88" s="61">
        <v>2032449.2594115587</v>
      </c>
    </row>
    <row r="89" spans="1:16" ht="12.75">
      <c r="A89" s="77">
        <f t="shared" si="26"/>
        <v>22</v>
      </c>
      <c r="B89" s="60">
        <f>IF(OR((C86="~"),(C89="~")),"~","")</f>
      </c>
      <c r="C89" s="60" t="s">
        <v>202</v>
      </c>
      <c r="E89" s="61" t="e">
        <f t="shared" si="31"/>
        <v>#REF!</v>
      </c>
      <c r="F89" s="61"/>
      <c r="G89" s="61">
        <v>260731452.2702818</v>
      </c>
      <c r="H89" s="61">
        <v>47330834.19024693</v>
      </c>
      <c r="I89" s="61">
        <v>28822733.17265601</v>
      </c>
      <c r="J89" s="61">
        <v>6345162.366945645</v>
      </c>
      <c r="K89" s="61" t="e">
        <v>#REF!</v>
      </c>
      <c r="L89" s="61">
        <v>2623606.066655129</v>
      </c>
      <c r="M89" s="61">
        <v>555619.5132933956</v>
      </c>
      <c r="N89" s="61">
        <v>270302.03411893995</v>
      </c>
      <c r="O89" s="61">
        <v>29605124.417728834</v>
      </c>
      <c r="P89" s="61">
        <v>218108.90423111885</v>
      </c>
    </row>
    <row r="90" spans="1:16" ht="12.75">
      <c r="A90" s="77">
        <f t="shared" si="26"/>
        <v>23</v>
      </c>
      <c r="B90" s="60" t="str">
        <f>IF(OR((C86="~"),(C90="~")),"~","")</f>
        <v>~</v>
      </c>
      <c r="C90" s="60" t="s">
        <v>203</v>
      </c>
      <c r="E90" s="61" t="e">
        <f t="shared" si="31"/>
        <v>#REF!</v>
      </c>
      <c r="F90" s="61"/>
      <c r="G90" s="61">
        <v>0</v>
      </c>
      <c r="H90" s="61">
        <v>0</v>
      </c>
      <c r="I90" s="61">
        <v>0</v>
      </c>
      <c r="J90" s="61">
        <v>0</v>
      </c>
      <c r="K90" s="61" t="e">
        <v>#REF!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</row>
    <row r="91" spans="1:16" ht="12.75">
      <c r="A91" s="77">
        <f t="shared" si="26"/>
        <v>24</v>
      </c>
      <c r="B91" s="60" t="str">
        <f>IF(OR((C86="~"),(C91="~")),"~","")</f>
        <v>~</v>
      </c>
      <c r="C91" s="60" t="s">
        <v>203</v>
      </c>
      <c r="E91" s="61" t="e">
        <f t="shared" si="31"/>
        <v>#REF!</v>
      </c>
      <c r="F91" s="61"/>
      <c r="G91" s="61">
        <v>0</v>
      </c>
      <c r="H91" s="61">
        <v>0</v>
      </c>
      <c r="I91" s="61">
        <v>0</v>
      </c>
      <c r="J91" s="61">
        <v>0</v>
      </c>
      <c r="K91" s="61" t="e">
        <v>#REF!</v>
      </c>
      <c r="L91" s="61">
        <v>0</v>
      </c>
      <c r="M91" s="61">
        <v>0</v>
      </c>
      <c r="N91" s="61">
        <v>0</v>
      </c>
      <c r="O91" s="61">
        <v>0</v>
      </c>
      <c r="P91" s="61">
        <v>0</v>
      </c>
    </row>
    <row r="92" spans="1:16" ht="12.75">
      <c r="A92" s="77">
        <f t="shared" si="26"/>
        <v>25</v>
      </c>
      <c r="B92" s="60" t="str">
        <f>IF(OR((C86="~"),(C92="~")),"~","")</f>
        <v>~</v>
      </c>
      <c r="C92" s="60" t="s">
        <v>203</v>
      </c>
      <c r="E92" s="61" t="e">
        <f t="shared" si="31"/>
        <v>#REF!</v>
      </c>
      <c r="F92" s="61"/>
      <c r="G92" s="61">
        <v>0</v>
      </c>
      <c r="H92" s="61">
        <v>0</v>
      </c>
      <c r="I92" s="61">
        <v>0</v>
      </c>
      <c r="J92" s="61">
        <v>0</v>
      </c>
      <c r="K92" s="61" t="e">
        <v>#REF!</v>
      </c>
      <c r="L92" s="61">
        <v>0</v>
      </c>
      <c r="M92" s="61">
        <v>0</v>
      </c>
      <c r="N92" s="61">
        <v>0</v>
      </c>
      <c r="O92" s="61">
        <v>0</v>
      </c>
      <c r="P92" s="61">
        <v>0</v>
      </c>
    </row>
    <row r="93" spans="1:16" ht="12.75">
      <c r="A93" s="78">
        <f t="shared" si="26"/>
        <v>26</v>
      </c>
      <c r="B93" s="68">
        <f>IF(OR((C86="~"),(C93="~")),"~","")</f>
      </c>
      <c r="C93" s="68" t="str">
        <f>IF(C86="~","~","Sub-total")</f>
        <v>Sub-total</v>
      </c>
      <c r="D93" s="68"/>
      <c r="E93" s="69" t="e">
        <f>SUM(E87:E92)</f>
        <v>#REF!</v>
      </c>
      <c r="F93" s="69"/>
      <c r="G93" s="69">
        <f aca="true" t="shared" si="32" ref="G93:P93">SUM(G87:G92)</f>
        <v>1289351772.071843</v>
      </c>
      <c r="H93" s="69">
        <f t="shared" si="32"/>
        <v>246080879.55439854</v>
      </c>
      <c r="I93" s="69">
        <f t="shared" si="32"/>
        <v>215642775.8187725</v>
      </c>
      <c r="J93" s="69">
        <f t="shared" si="32"/>
        <v>106615211.62628284</v>
      </c>
      <c r="K93" s="69" t="e">
        <f t="shared" si="32"/>
        <v>#REF!</v>
      </c>
      <c r="L93" s="69">
        <f t="shared" si="32"/>
        <v>34463028.18624435</v>
      </c>
      <c r="M93" s="69">
        <f t="shared" si="32"/>
        <v>16606109.339821463</v>
      </c>
      <c r="N93" s="69">
        <f t="shared" si="32"/>
        <v>34510312.629005305</v>
      </c>
      <c r="O93" s="69">
        <f t="shared" si="32"/>
        <v>39031121.40774687</v>
      </c>
      <c r="P93" s="69">
        <f t="shared" si="32"/>
        <v>3831555.7995254463</v>
      </c>
    </row>
    <row r="94" spans="1:2" ht="12.75" hidden="1">
      <c r="A94" s="77"/>
      <c r="B94" s="60">
        <f>IF(OR((C86="~"),(C94="~")),"~","")</f>
      </c>
    </row>
    <row r="95" spans="1:3" ht="12.75" hidden="1">
      <c r="A95" s="77"/>
      <c r="B95" s="60" t="s">
        <v>203</v>
      </c>
      <c r="C95" s="57"/>
    </row>
    <row r="96" spans="1:16" ht="12.75" hidden="1">
      <c r="A96" s="77"/>
      <c r="B96" s="60" t="str">
        <f>IF(OR((B95="~"),(C96="~")),"~","")</f>
        <v>~</v>
      </c>
      <c r="C96" s="60" t="s">
        <v>203</v>
      </c>
      <c r="E96" s="61">
        <f aca="true" t="shared" si="33" ref="E96:E101">SUM(G96:P96)</f>
        <v>0</v>
      </c>
      <c r="F96" s="61"/>
      <c r="G96" s="61">
        <v>0</v>
      </c>
      <c r="H96" s="61">
        <v>0</v>
      </c>
      <c r="I96" s="61">
        <v>0</v>
      </c>
      <c r="J96" s="61">
        <v>0</v>
      </c>
      <c r="K96" s="61">
        <v>0</v>
      </c>
      <c r="L96" s="61">
        <v>0</v>
      </c>
      <c r="M96" s="61">
        <v>0</v>
      </c>
      <c r="N96" s="61">
        <v>0</v>
      </c>
      <c r="O96" s="61">
        <v>0</v>
      </c>
      <c r="P96" s="61">
        <v>0</v>
      </c>
    </row>
    <row r="97" spans="1:16" ht="12.75" hidden="1">
      <c r="A97" s="77"/>
      <c r="B97" s="60" t="str">
        <f>IF(OR((B95="~"),(C97="~")),"~","")</f>
        <v>~</v>
      </c>
      <c r="C97" s="60" t="s">
        <v>203</v>
      </c>
      <c r="E97" s="61">
        <f t="shared" si="33"/>
        <v>0</v>
      </c>
      <c r="F97" s="61"/>
      <c r="G97" s="61">
        <v>0</v>
      </c>
      <c r="H97" s="61">
        <v>0</v>
      </c>
      <c r="I97" s="61">
        <v>0</v>
      </c>
      <c r="J97" s="61">
        <v>0</v>
      </c>
      <c r="K97" s="61">
        <v>0</v>
      </c>
      <c r="L97" s="61">
        <v>0</v>
      </c>
      <c r="M97" s="61">
        <v>0</v>
      </c>
      <c r="N97" s="61">
        <v>0</v>
      </c>
      <c r="O97" s="61">
        <v>0</v>
      </c>
      <c r="P97" s="61">
        <v>0</v>
      </c>
    </row>
    <row r="98" spans="1:16" ht="12.75" hidden="1">
      <c r="A98" s="77"/>
      <c r="B98" s="60" t="str">
        <f>IF(OR((B95="~"),(C98="~")),"~","")</f>
        <v>~</v>
      </c>
      <c r="C98" s="60" t="s">
        <v>203</v>
      </c>
      <c r="E98" s="61">
        <f t="shared" si="33"/>
        <v>0</v>
      </c>
      <c r="F98" s="61"/>
      <c r="G98" s="61">
        <v>0</v>
      </c>
      <c r="H98" s="61">
        <v>0</v>
      </c>
      <c r="I98" s="61">
        <v>0</v>
      </c>
      <c r="J98" s="61">
        <v>0</v>
      </c>
      <c r="K98" s="61">
        <v>0</v>
      </c>
      <c r="L98" s="61">
        <v>0</v>
      </c>
      <c r="M98" s="61">
        <v>0</v>
      </c>
      <c r="N98" s="61">
        <v>0</v>
      </c>
      <c r="O98" s="61">
        <v>0</v>
      </c>
      <c r="P98" s="61">
        <v>0</v>
      </c>
    </row>
    <row r="99" spans="1:16" ht="12.75" hidden="1">
      <c r="A99" s="77"/>
      <c r="B99" s="60" t="str">
        <f>IF(OR((B95="~"),(C99="~")),"~","")</f>
        <v>~</v>
      </c>
      <c r="C99" s="60" t="s">
        <v>203</v>
      </c>
      <c r="E99" s="61">
        <f t="shared" si="33"/>
        <v>0</v>
      </c>
      <c r="F99" s="61"/>
      <c r="G99" s="61">
        <v>0</v>
      </c>
      <c r="H99" s="61">
        <v>0</v>
      </c>
      <c r="I99" s="61">
        <v>0</v>
      </c>
      <c r="J99" s="61">
        <v>0</v>
      </c>
      <c r="K99" s="61">
        <v>0</v>
      </c>
      <c r="L99" s="61">
        <v>0</v>
      </c>
      <c r="M99" s="61">
        <v>0</v>
      </c>
      <c r="N99" s="61">
        <v>0</v>
      </c>
      <c r="O99" s="61">
        <v>0</v>
      </c>
      <c r="P99" s="61">
        <v>0</v>
      </c>
    </row>
    <row r="100" spans="1:16" ht="12.75" hidden="1">
      <c r="A100" s="77"/>
      <c r="B100" s="60" t="str">
        <f>IF(OR((B95="~"),(C100="~")),"~","")</f>
        <v>~</v>
      </c>
      <c r="C100" s="60" t="s">
        <v>203</v>
      </c>
      <c r="E100" s="61">
        <f t="shared" si="33"/>
        <v>0</v>
      </c>
      <c r="F100" s="61"/>
      <c r="G100" s="61">
        <v>0</v>
      </c>
      <c r="H100" s="61">
        <v>0</v>
      </c>
      <c r="I100" s="61">
        <v>0</v>
      </c>
      <c r="J100" s="61">
        <v>0</v>
      </c>
      <c r="K100" s="61">
        <v>0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</row>
    <row r="101" spans="1:16" ht="12.75" hidden="1">
      <c r="A101" s="77"/>
      <c r="B101" s="60" t="str">
        <f>IF(OR((B95="~"),(C101="~")),"~","")</f>
        <v>~</v>
      </c>
      <c r="C101" s="60" t="s">
        <v>203</v>
      </c>
      <c r="E101" s="61">
        <f t="shared" si="33"/>
        <v>0</v>
      </c>
      <c r="F101" s="61"/>
      <c r="G101" s="61">
        <v>0</v>
      </c>
      <c r="H101" s="61">
        <v>0</v>
      </c>
      <c r="I101" s="61">
        <v>0</v>
      </c>
      <c r="J101" s="61">
        <v>0</v>
      </c>
      <c r="K101" s="61">
        <v>0</v>
      </c>
      <c r="L101" s="61">
        <v>0</v>
      </c>
      <c r="M101" s="61">
        <v>0</v>
      </c>
      <c r="N101" s="61">
        <v>0</v>
      </c>
      <c r="O101" s="61">
        <v>0</v>
      </c>
      <c r="P101" s="61">
        <v>0</v>
      </c>
    </row>
    <row r="102" spans="1:16" ht="12.75" hidden="1">
      <c r="A102" s="78"/>
      <c r="B102" s="68" t="str">
        <f>IF(OR((B95="~"),(C102="~")),"~","")</f>
        <v>~</v>
      </c>
      <c r="C102" s="68" t="str">
        <f>IF(B95="~","~","Sub-total")</f>
        <v>~</v>
      </c>
      <c r="D102" s="68"/>
      <c r="E102" s="69">
        <f>SUM(E96:E101)</f>
        <v>0</v>
      </c>
      <c r="F102" s="69"/>
      <c r="G102" s="69">
        <f aca="true" t="shared" si="34" ref="G102:P102">SUM(G96:G101)</f>
        <v>0</v>
      </c>
      <c r="H102" s="69">
        <f t="shared" si="34"/>
        <v>0</v>
      </c>
      <c r="I102" s="69">
        <f t="shared" si="34"/>
        <v>0</v>
      </c>
      <c r="J102" s="69">
        <f t="shared" si="34"/>
        <v>0</v>
      </c>
      <c r="K102" s="69">
        <f t="shared" si="34"/>
        <v>0</v>
      </c>
      <c r="L102" s="69">
        <f t="shared" si="34"/>
        <v>0</v>
      </c>
      <c r="M102" s="69">
        <f t="shared" si="34"/>
        <v>0</v>
      </c>
      <c r="N102" s="69">
        <f t="shared" si="34"/>
        <v>0</v>
      </c>
      <c r="O102" s="69">
        <f t="shared" si="34"/>
        <v>0</v>
      </c>
      <c r="P102" s="69">
        <f t="shared" si="34"/>
        <v>0</v>
      </c>
    </row>
    <row r="103" spans="1:3" ht="12.75" hidden="1">
      <c r="A103" s="77"/>
      <c r="B103" s="60" t="str">
        <f>IF(OR((B95="~"),(C103="~")),"~","")</f>
        <v>~</v>
      </c>
      <c r="C103" s="57"/>
    </row>
    <row r="104" spans="1:3" ht="12.75" hidden="1">
      <c r="A104" s="77"/>
      <c r="B104" s="60" t="s">
        <v>203</v>
      </c>
      <c r="C104" s="57"/>
    </row>
    <row r="105" spans="1:16" ht="12.75" hidden="1">
      <c r="A105" s="77"/>
      <c r="B105" s="60" t="str">
        <f>IF(OR((B104="~"),(C105="~")),"~","")</f>
        <v>~</v>
      </c>
      <c r="C105" s="60" t="s">
        <v>203</v>
      </c>
      <c r="E105" s="61">
        <f aca="true" t="shared" si="35" ref="E105:E110">SUM(G105:P105)</f>
        <v>0</v>
      </c>
      <c r="F105" s="61"/>
      <c r="G105" s="61">
        <v>0</v>
      </c>
      <c r="H105" s="61">
        <v>0</v>
      </c>
      <c r="I105" s="61">
        <v>0</v>
      </c>
      <c r="J105" s="61">
        <v>0</v>
      </c>
      <c r="K105" s="61">
        <v>0</v>
      </c>
      <c r="L105" s="61">
        <v>0</v>
      </c>
      <c r="M105" s="61">
        <v>0</v>
      </c>
      <c r="N105" s="61">
        <v>0</v>
      </c>
      <c r="O105" s="61">
        <v>0</v>
      </c>
      <c r="P105" s="61">
        <v>0</v>
      </c>
    </row>
    <row r="106" spans="1:16" ht="12.75" hidden="1">
      <c r="A106" s="77"/>
      <c r="B106" s="60" t="str">
        <f>IF(OR((B104="~"),(C106="~")),"~","")</f>
        <v>~</v>
      </c>
      <c r="C106" s="60" t="s">
        <v>203</v>
      </c>
      <c r="E106" s="61">
        <f t="shared" si="35"/>
        <v>0</v>
      </c>
      <c r="F106" s="61"/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61">
        <v>0</v>
      </c>
      <c r="P106" s="61">
        <v>0</v>
      </c>
    </row>
    <row r="107" spans="1:16" ht="12.75" hidden="1">
      <c r="A107" s="77"/>
      <c r="B107" s="60" t="str">
        <f>IF(OR((B104="~"),(C107="~")),"~","")</f>
        <v>~</v>
      </c>
      <c r="C107" s="60" t="s">
        <v>203</v>
      </c>
      <c r="E107" s="61">
        <f t="shared" si="35"/>
        <v>0</v>
      </c>
      <c r="F107" s="61"/>
      <c r="G107" s="61">
        <v>0</v>
      </c>
      <c r="H107" s="61">
        <v>0</v>
      </c>
      <c r="I107" s="61">
        <v>0</v>
      </c>
      <c r="J107" s="61">
        <v>0</v>
      </c>
      <c r="K107" s="61">
        <v>0</v>
      </c>
      <c r="L107" s="61">
        <v>0</v>
      </c>
      <c r="M107" s="61">
        <v>0</v>
      </c>
      <c r="N107" s="61">
        <v>0</v>
      </c>
      <c r="O107" s="61">
        <v>0</v>
      </c>
      <c r="P107" s="61">
        <v>0</v>
      </c>
    </row>
    <row r="108" spans="1:16" ht="12.75" hidden="1">
      <c r="A108" s="77"/>
      <c r="B108" s="60" t="str">
        <f>IF(OR((B104="~"),(C108="~")),"~","")</f>
        <v>~</v>
      </c>
      <c r="C108" s="60" t="s">
        <v>203</v>
      </c>
      <c r="E108" s="61">
        <f t="shared" si="35"/>
        <v>0</v>
      </c>
      <c r="F108" s="61"/>
      <c r="G108" s="61">
        <v>0</v>
      </c>
      <c r="H108" s="61">
        <v>0</v>
      </c>
      <c r="I108" s="61">
        <v>0</v>
      </c>
      <c r="J108" s="61">
        <v>0</v>
      </c>
      <c r="K108" s="61">
        <v>0</v>
      </c>
      <c r="L108" s="61">
        <v>0</v>
      </c>
      <c r="M108" s="61">
        <v>0</v>
      </c>
      <c r="N108" s="61">
        <v>0</v>
      </c>
      <c r="O108" s="61">
        <v>0</v>
      </c>
      <c r="P108" s="61">
        <v>0</v>
      </c>
    </row>
    <row r="109" spans="1:16" ht="12.75" hidden="1">
      <c r="A109" s="77"/>
      <c r="B109" s="60" t="str">
        <f>IF(OR((B104="~"),(C109="~")),"~","")</f>
        <v>~</v>
      </c>
      <c r="C109" s="60" t="s">
        <v>203</v>
      </c>
      <c r="E109" s="61">
        <f t="shared" si="35"/>
        <v>0</v>
      </c>
      <c r="F109" s="61"/>
      <c r="G109" s="61">
        <v>0</v>
      </c>
      <c r="H109" s="61">
        <v>0</v>
      </c>
      <c r="I109" s="61">
        <v>0</v>
      </c>
      <c r="J109" s="61">
        <v>0</v>
      </c>
      <c r="K109" s="61">
        <v>0</v>
      </c>
      <c r="L109" s="61">
        <v>0</v>
      </c>
      <c r="M109" s="61">
        <v>0</v>
      </c>
      <c r="N109" s="61">
        <v>0</v>
      </c>
      <c r="O109" s="61">
        <v>0</v>
      </c>
      <c r="P109" s="61">
        <v>0</v>
      </c>
    </row>
    <row r="110" spans="1:16" ht="12.75" hidden="1">
      <c r="A110" s="77"/>
      <c r="B110" s="60" t="str">
        <f>IF(OR((B104="~"),(C110="~")),"~","")</f>
        <v>~</v>
      </c>
      <c r="C110" s="60" t="s">
        <v>203</v>
      </c>
      <c r="E110" s="61">
        <f t="shared" si="35"/>
        <v>0</v>
      </c>
      <c r="F110" s="61"/>
      <c r="G110" s="61">
        <v>0</v>
      </c>
      <c r="H110" s="61">
        <v>0</v>
      </c>
      <c r="I110" s="61">
        <v>0</v>
      </c>
      <c r="J110" s="61">
        <v>0</v>
      </c>
      <c r="K110" s="61">
        <v>0</v>
      </c>
      <c r="L110" s="61">
        <v>0</v>
      </c>
      <c r="M110" s="61">
        <v>0</v>
      </c>
      <c r="N110" s="61">
        <v>0</v>
      </c>
      <c r="O110" s="61">
        <v>0</v>
      </c>
      <c r="P110" s="61">
        <v>0</v>
      </c>
    </row>
    <row r="111" spans="1:16" ht="12.75" hidden="1">
      <c r="A111" s="78"/>
      <c r="B111" s="68" t="str">
        <f>IF(OR((B104="~"),(C111="~")),"~","")</f>
        <v>~</v>
      </c>
      <c r="C111" s="68" t="str">
        <f>IF(B104="~","~","Sub-total")</f>
        <v>~</v>
      </c>
      <c r="D111" s="68"/>
      <c r="E111" s="69">
        <f>SUM(E105:E110)</f>
        <v>0</v>
      </c>
      <c r="F111" s="69"/>
      <c r="G111" s="69">
        <f aca="true" t="shared" si="36" ref="G111:P111">SUM(G105:G110)</f>
        <v>0</v>
      </c>
      <c r="H111" s="69">
        <f t="shared" si="36"/>
        <v>0</v>
      </c>
      <c r="I111" s="69">
        <f t="shared" si="36"/>
        <v>0</v>
      </c>
      <c r="J111" s="69">
        <f t="shared" si="36"/>
        <v>0</v>
      </c>
      <c r="K111" s="69">
        <f t="shared" si="36"/>
        <v>0</v>
      </c>
      <c r="L111" s="69">
        <f t="shared" si="36"/>
        <v>0</v>
      </c>
      <c r="M111" s="69">
        <f t="shared" si="36"/>
        <v>0</v>
      </c>
      <c r="N111" s="69">
        <f t="shared" si="36"/>
        <v>0</v>
      </c>
      <c r="O111" s="69">
        <f t="shared" si="36"/>
        <v>0</v>
      </c>
      <c r="P111" s="69">
        <f t="shared" si="36"/>
        <v>0</v>
      </c>
    </row>
    <row r="112" spans="1:3" ht="12.75" hidden="1">
      <c r="A112" s="77"/>
      <c r="B112" s="60" t="str">
        <f>IF(OR((B104="~"),(C112="~")),"~","")</f>
        <v>~</v>
      </c>
      <c r="C112" s="57"/>
    </row>
    <row r="113" spans="1:3" ht="12.75" hidden="1">
      <c r="A113" s="77"/>
      <c r="B113" s="60" t="s">
        <v>203</v>
      </c>
      <c r="C113" s="57"/>
    </row>
    <row r="114" spans="1:16" ht="12.75" hidden="1">
      <c r="A114" s="77"/>
      <c r="B114" s="60" t="str">
        <f>IF(OR((B113="~"),(C114="~")),"~","")</f>
        <v>~</v>
      </c>
      <c r="C114" s="60" t="s">
        <v>203</v>
      </c>
      <c r="E114" s="61">
        <f aca="true" t="shared" si="37" ref="E114:E119">SUM(G114:P114)</f>
        <v>0</v>
      </c>
      <c r="F114" s="61"/>
      <c r="G114" s="61">
        <v>0</v>
      </c>
      <c r="H114" s="61">
        <v>0</v>
      </c>
      <c r="I114" s="61">
        <v>0</v>
      </c>
      <c r="J114" s="61">
        <v>0</v>
      </c>
      <c r="K114" s="61">
        <v>0</v>
      </c>
      <c r="L114" s="61">
        <v>0</v>
      </c>
      <c r="M114" s="61">
        <v>0</v>
      </c>
      <c r="N114" s="61">
        <v>0</v>
      </c>
      <c r="O114" s="61">
        <v>0</v>
      </c>
      <c r="P114" s="61">
        <v>0</v>
      </c>
    </row>
    <row r="115" spans="1:16" ht="12.75" hidden="1">
      <c r="A115" s="77"/>
      <c r="B115" s="60" t="str">
        <f>IF(OR((B113="~"),(C115="~")),"~","")</f>
        <v>~</v>
      </c>
      <c r="C115" s="60" t="s">
        <v>203</v>
      </c>
      <c r="E115" s="61">
        <f t="shared" si="37"/>
        <v>0</v>
      </c>
      <c r="F115" s="61"/>
      <c r="G115" s="61">
        <v>0</v>
      </c>
      <c r="H115" s="61">
        <v>0</v>
      </c>
      <c r="I115" s="61">
        <v>0</v>
      </c>
      <c r="J115" s="61">
        <v>0</v>
      </c>
      <c r="K115" s="61">
        <v>0</v>
      </c>
      <c r="L115" s="61">
        <v>0</v>
      </c>
      <c r="M115" s="61">
        <v>0</v>
      </c>
      <c r="N115" s="61">
        <v>0</v>
      </c>
      <c r="O115" s="61">
        <v>0</v>
      </c>
      <c r="P115" s="61">
        <v>0</v>
      </c>
    </row>
    <row r="116" spans="1:16" ht="12.75" hidden="1">
      <c r="A116" s="77"/>
      <c r="B116" s="60" t="str">
        <f>IF(OR((B113="~"),(C116="~")),"~","")</f>
        <v>~</v>
      </c>
      <c r="C116" s="60" t="s">
        <v>203</v>
      </c>
      <c r="E116" s="61">
        <f t="shared" si="37"/>
        <v>0</v>
      </c>
      <c r="F116" s="61"/>
      <c r="G116" s="61">
        <v>0</v>
      </c>
      <c r="H116" s="61">
        <v>0</v>
      </c>
      <c r="I116" s="61">
        <v>0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</row>
    <row r="117" spans="1:16" ht="12.75" hidden="1">
      <c r="A117" s="77"/>
      <c r="B117" s="60" t="str">
        <f>IF(OR((B113="~"),(C117="~")),"~","")</f>
        <v>~</v>
      </c>
      <c r="C117" s="60" t="s">
        <v>203</v>
      </c>
      <c r="E117" s="61">
        <f t="shared" si="37"/>
        <v>0</v>
      </c>
      <c r="F117" s="61"/>
      <c r="G117" s="61">
        <v>0</v>
      </c>
      <c r="H117" s="61">
        <v>0</v>
      </c>
      <c r="I117" s="61">
        <v>0</v>
      </c>
      <c r="J117" s="61">
        <v>0</v>
      </c>
      <c r="K117" s="61">
        <v>0</v>
      </c>
      <c r="L117" s="61">
        <v>0</v>
      </c>
      <c r="M117" s="61">
        <v>0</v>
      </c>
      <c r="N117" s="61">
        <v>0</v>
      </c>
      <c r="O117" s="61">
        <v>0</v>
      </c>
      <c r="P117" s="61">
        <v>0</v>
      </c>
    </row>
    <row r="118" spans="1:16" ht="12.75" hidden="1">
      <c r="A118" s="77"/>
      <c r="B118" s="60" t="str">
        <f>IF(OR((B113="~"),(C118="~")),"~","")</f>
        <v>~</v>
      </c>
      <c r="C118" s="60" t="s">
        <v>203</v>
      </c>
      <c r="E118" s="61">
        <f t="shared" si="37"/>
        <v>0</v>
      </c>
      <c r="F118" s="61"/>
      <c r="G118" s="61">
        <v>0</v>
      </c>
      <c r="H118" s="61">
        <v>0</v>
      </c>
      <c r="I118" s="61">
        <v>0</v>
      </c>
      <c r="J118" s="61">
        <v>0</v>
      </c>
      <c r="K118" s="61">
        <v>0</v>
      </c>
      <c r="L118" s="61">
        <v>0</v>
      </c>
      <c r="M118" s="61">
        <v>0</v>
      </c>
      <c r="N118" s="61">
        <v>0</v>
      </c>
      <c r="O118" s="61">
        <v>0</v>
      </c>
      <c r="P118" s="61">
        <v>0</v>
      </c>
    </row>
    <row r="119" spans="1:16" ht="12.75" hidden="1">
      <c r="A119" s="77"/>
      <c r="B119" s="60" t="str">
        <f>IF(OR((B113="~"),(C119="~")),"~","")</f>
        <v>~</v>
      </c>
      <c r="C119" s="60" t="s">
        <v>203</v>
      </c>
      <c r="E119" s="61">
        <f t="shared" si="37"/>
        <v>0</v>
      </c>
      <c r="F119" s="61"/>
      <c r="G119" s="61">
        <v>0</v>
      </c>
      <c r="H119" s="61">
        <v>0</v>
      </c>
      <c r="I119" s="61">
        <v>0</v>
      </c>
      <c r="J119" s="61">
        <v>0</v>
      </c>
      <c r="K119" s="61">
        <v>0</v>
      </c>
      <c r="L119" s="61">
        <v>0</v>
      </c>
      <c r="M119" s="61">
        <v>0</v>
      </c>
      <c r="N119" s="61">
        <v>0</v>
      </c>
      <c r="O119" s="61">
        <v>0</v>
      </c>
      <c r="P119" s="61">
        <v>0</v>
      </c>
    </row>
    <row r="120" spans="1:16" ht="12.75" hidden="1">
      <c r="A120" s="78"/>
      <c r="B120" s="68" t="str">
        <f>IF(OR((B113="~"),(C120="~")),"~","")</f>
        <v>~</v>
      </c>
      <c r="C120" s="68" t="str">
        <f>IF(B113="~","~","Sub-total")</f>
        <v>~</v>
      </c>
      <c r="D120" s="68"/>
      <c r="E120" s="69">
        <f>SUM(E114:E119)</f>
        <v>0</v>
      </c>
      <c r="F120" s="69"/>
      <c r="G120" s="69">
        <f aca="true" t="shared" si="38" ref="G120:P120">SUM(G114:G119)</f>
        <v>0</v>
      </c>
      <c r="H120" s="69">
        <f t="shared" si="38"/>
        <v>0</v>
      </c>
      <c r="I120" s="69">
        <f t="shared" si="38"/>
        <v>0</v>
      </c>
      <c r="J120" s="69">
        <f t="shared" si="38"/>
        <v>0</v>
      </c>
      <c r="K120" s="69">
        <f t="shared" si="38"/>
        <v>0</v>
      </c>
      <c r="L120" s="69">
        <f t="shared" si="38"/>
        <v>0</v>
      </c>
      <c r="M120" s="69">
        <f t="shared" si="38"/>
        <v>0</v>
      </c>
      <c r="N120" s="69">
        <f t="shared" si="38"/>
        <v>0</v>
      </c>
      <c r="O120" s="69">
        <f t="shared" si="38"/>
        <v>0</v>
      </c>
      <c r="P120" s="69">
        <f t="shared" si="38"/>
        <v>0</v>
      </c>
    </row>
    <row r="121" spans="1:3" ht="12.75" hidden="1">
      <c r="A121" s="77"/>
      <c r="B121" s="60" t="str">
        <f>IF(OR((B113="~"),(C121="~")),"~","")</f>
        <v>~</v>
      </c>
      <c r="C121" s="57"/>
    </row>
    <row r="122" spans="1:3" ht="12.75" hidden="1">
      <c r="A122" s="77"/>
      <c r="B122" s="60" t="s">
        <v>203</v>
      </c>
      <c r="C122" s="57"/>
    </row>
    <row r="123" spans="1:16" ht="12.75" hidden="1">
      <c r="A123" s="77"/>
      <c r="B123" s="60" t="str">
        <f>IF(OR((B122="~"),(C123="~")),"~","")</f>
        <v>~</v>
      </c>
      <c r="C123" s="60" t="s">
        <v>203</v>
      </c>
      <c r="E123" s="61">
        <f aca="true" t="shared" si="39" ref="E123:E128">SUM(G123:P123)</f>
        <v>0</v>
      </c>
      <c r="F123" s="61"/>
      <c r="G123" s="61">
        <v>0</v>
      </c>
      <c r="H123" s="61">
        <v>0</v>
      </c>
      <c r="I123" s="61">
        <v>0</v>
      </c>
      <c r="J123" s="61">
        <v>0</v>
      </c>
      <c r="K123" s="61">
        <v>0</v>
      </c>
      <c r="L123" s="61">
        <v>0</v>
      </c>
      <c r="M123" s="61">
        <v>0</v>
      </c>
      <c r="N123" s="61">
        <v>0</v>
      </c>
      <c r="O123" s="61">
        <v>0</v>
      </c>
      <c r="P123" s="61">
        <v>0</v>
      </c>
    </row>
    <row r="124" spans="1:16" ht="12.75" hidden="1">
      <c r="A124" s="77"/>
      <c r="B124" s="60" t="str">
        <f>IF(OR((B122="~"),(C124="~")),"~","")</f>
        <v>~</v>
      </c>
      <c r="C124" s="60" t="s">
        <v>203</v>
      </c>
      <c r="E124" s="61">
        <f t="shared" si="39"/>
        <v>0</v>
      </c>
      <c r="F124" s="61"/>
      <c r="G124" s="61">
        <v>0</v>
      </c>
      <c r="H124" s="61">
        <v>0</v>
      </c>
      <c r="I124" s="61">
        <v>0</v>
      </c>
      <c r="J124" s="61">
        <v>0</v>
      </c>
      <c r="K124" s="61">
        <v>0</v>
      </c>
      <c r="L124" s="61">
        <v>0</v>
      </c>
      <c r="M124" s="61">
        <v>0</v>
      </c>
      <c r="N124" s="61">
        <v>0</v>
      </c>
      <c r="O124" s="61">
        <v>0</v>
      </c>
      <c r="P124" s="61">
        <v>0</v>
      </c>
    </row>
    <row r="125" spans="1:16" ht="12.75" hidden="1">
      <c r="A125" s="77"/>
      <c r="B125" s="60" t="str">
        <f>IF(OR((B122="~"),(C125="~")),"~","")</f>
        <v>~</v>
      </c>
      <c r="C125" s="60" t="s">
        <v>203</v>
      </c>
      <c r="E125" s="61">
        <f t="shared" si="39"/>
        <v>0</v>
      </c>
      <c r="F125" s="61"/>
      <c r="G125" s="61">
        <v>0</v>
      </c>
      <c r="H125" s="61">
        <v>0</v>
      </c>
      <c r="I125" s="61">
        <v>0</v>
      </c>
      <c r="J125" s="61">
        <v>0</v>
      </c>
      <c r="K125" s="61">
        <v>0</v>
      </c>
      <c r="L125" s="61">
        <v>0</v>
      </c>
      <c r="M125" s="61">
        <v>0</v>
      </c>
      <c r="N125" s="61">
        <v>0</v>
      </c>
      <c r="O125" s="61">
        <v>0</v>
      </c>
      <c r="P125" s="61">
        <v>0</v>
      </c>
    </row>
    <row r="126" spans="1:16" ht="12.75" hidden="1">
      <c r="A126" s="77"/>
      <c r="B126" s="60" t="str">
        <f>IF(OR((B122="~"),(C126="~")),"~","")</f>
        <v>~</v>
      </c>
      <c r="C126" s="60" t="s">
        <v>203</v>
      </c>
      <c r="E126" s="61">
        <f t="shared" si="39"/>
        <v>0</v>
      </c>
      <c r="F126" s="61"/>
      <c r="G126" s="61">
        <v>0</v>
      </c>
      <c r="H126" s="61">
        <v>0</v>
      </c>
      <c r="I126" s="61">
        <v>0</v>
      </c>
      <c r="J126" s="61">
        <v>0</v>
      </c>
      <c r="K126" s="61">
        <v>0</v>
      </c>
      <c r="L126" s="61">
        <v>0</v>
      </c>
      <c r="M126" s="61">
        <v>0</v>
      </c>
      <c r="N126" s="61">
        <v>0</v>
      </c>
      <c r="O126" s="61">
        <v>0</v>
      </c>
      <c r="P126" s="61">
        <v>0</v>
      </c>
    </row>
    <row r="127" spans="1:16" ht="12.75" hidden="1">
      <c r="A127" s="77"/>
      <c r="B127" s="60" t="str">
        <f>IF(OR((B122="~"),(C127="~")),"~","")</f>
        <v>~</v>
      </c>
      <c r="C127" s="60" t="s">
        <v>203</v>
      </c>
      <c r="E127" s="61">
        <f t="shared" si="39"/>
        <v>0</v>
      </c>
      <c r="F127" s="61"/>
      <c r="G127" s="61">
        <v>0</v>
      </c>
      <c r="H127" s="61">
        <v>0</v>
      </c>
      <c r="I127" s="61">
        <v>0</v>
      </c>
      <c r="J127" s="61">
        <v>0</v>
      </c>
      <c r="K127" s="61">
        <v>0</v>
      </c>
      <c r="L127" s="61">
        <v>0</v>
      </c>
      <c r="M127" s="61">
        <v>0</v>
      </c>
      <c r="N127" s="61">
        <v>0</v>
      </c>
      <c r="O127" s="61">
        <v>0</v>
      </c>
      <c r="P127" s="61">
        <v>0</v>
      </c>
    </row>
    <row r="128" spans="1:16" ht="12.75" hidden="1">
      <c r="A128" s="77"/>
      <c r="B128" s="60" t="str">
        <f>IF(OR((B122="~"),(C128="~")),"~","")</f>
        <v>~</v>
      </c>
      <c r="C128" s="60" t="s">
        <v>203</v>
      </c>
      <c r="E128" s="61">
        <f t="shared" si="39"/>
        <v>0</v>
      </c>
      <c r="F128" s="61"/>
      <c r="G128" s="61">
        <v>0</v>
      </c>
      <c r="H128" s="61">
        <v>0</v>
      </c>
      <c r="I128" s="61">
        <v>0</v>
      </c>
      <c r="J128" s="61">
        <v>0</v>
      </c>
      <c r="K128" s="61">
        <v>0</v>
      </c>
      <c r="L128" s="61">
        <v>0</v>
      </c>
      <c r="M128" s="61">
        <v>0</v>
      </c>
      <c r="N128" s="61">
        <v>0</v>
      </c>
      <c r="O128" s="61">
        <v>0</v>
      </c>
      <c r="P128" s="61">
        <v>0</v>
      </c>
    </row>
    <row r="129" spans="1:16" ht="12.75" hidden="1">
      <c r="A129" s="78"/>
      <c r="B129" s="68" t="str">
        <f>IF(OR((B122="~"),(C129="~")),"~","")</f>
        <v>~</v>
      </c>
      <c r="C129" s="68" t="str">
        <f>IF(B122="~","~","Sub-total")</f>
        <v>~</v>
      </c>
      <c r="D129" s="68"/>
      <c r="E129" s="69">
        <f>SUM(E123:E128)</f>
        <v>0</v>
      </c>
      <c r="F129" s="69"/>
      <c r="G129" s="69">
        <f aca="true" t="shared" si="40" ref="G129:P129">SUM(G123:G128)</f>
        <v>0</v>
      </c>
      <c r="H129" s="69">
        <f t="shared" si="40"/>
        <v>0</v>
      </c>
      <c r="I129" s="69">
        <f t="shared" si="40"/>
        <v>0</v>
      </c>
      <c r="J129" s="69">
        <f t="shared" si="40"/>
        <v>0</v>
      </c>
      <c r="K129" s="69">
        <f t="shared" si="40"/>
        <v>0</v>
      </c>
      <c r="L129" s="69">
        <f t="shared" si="40"/>
        <v>0</v>
      </c>
      <c r="M129" s="69">
        <f t="shared" si="40"/>
        <v>0</v>
      </c>
      <c r="N129" s="69">
        <f t="shared" si="40"/>
        <v>0</v>
      </c>
      <c r="O129" s="69">
        <f t="shared" si="40"/>
        <v>0</v>
      </c>
      <c r="P129" s="69">
        <f t="shared" si="40"/>
        <v>0</v>
      </c>
    </row>
    <row r="130" spans="1:3" ht="12.75" hidden="1">
      <c r="A130" s="77"/>
      <c r="B130" s="60" t="str">
        <f>IF(OR((B122="~"),(C130="~")),"~","")</f>
        <v>~</v>
      </c>
      <c r="C130" s="57"/>
    </row>
    <row r="131" spans="1:3" ht="12.75" hidden="1">
      <c r="A131" s="77"/>
      <c r="B131" s="60" t="s">
        <v>203</v>
      </c>
      <c r="C131" s="57"/>
    </row>
    <row r="132" spans="1:16" ht="12.75" hidden="1">
      <c r="A132" s="77"/>
      <c r="B132" s="60" t="str">
        <f>IF(OR((B131="~"),(C132="~")),"~","")</f>
        <v>~</v>
      </c>
      <c r="C132" s="60" t="s">
        <v>203</v>
      </c>
      <c r="E132" s="61">
        <f aca="true" t="shared" si="41" ref="E132:E137">SUM(G132:P132)</f>
        <v>0</v>
      </c>
      <c r="F132" s="61"/>
      <c r="G132" s="61">
        <v>0</v>
      </c>
      <c r="H132" s="61">
        <v>0</v>
      </c>
      <c r="I132" s="61">
        <v>0</v>
      </c>
      <c r="J132" s="61">
        <v>0</v>
      </c>
      <c r="K132" s="61">
        <v>0</v>
      </c>
      <c r="L132" s="61">
        <v>0</v>
      </c>
      <c r="M132" s="61">
        <v>0</v>
      </c>
      <c r="N132" s="61">
        <v>0</v>
      </c>
      <c r="O132" s="61">
        <v>0</v>
      </c>
      <c r="P132" s="61">
        <v>0</v>
      </c>
    </row>
    <row r="133" spans="1:16" ht="12.75" hidden="1">
      <c r="A133" s="77"/>
      <c r="B133" s="60" t="str">
        <f>IF(OR((B131="~"),(C133="~")),"~","")</f>
        <v>~</v>
      </c>
      <c r="C133" s="60" t="s">
        <v>203</v>
      </c>
      <c r="E133" s="61">
        <f t="shared" si="41"/>
        <v>0</v>
      </c>
      <c r="F133" s="61"/>
      <c r="G133" s="61">
        <v>0</v>
      </c>
      <c r="H133" s="61">
        <v>0</v>
      </c>
      <c r="I133" s="61">
        <v>0</v>
      </c>
      <c r="J133" s="61">
        <v>0</v>
      </c>
      <c r="K133" s="61">
        <v>0</v>
      </c>
      <c r="L133" s="61">
        <v>0</v>
      </c>
      <c r="M133" s="61">
        <v>0</v>
      </c>
      <c r="N133" s="61">
        <v>0</v>
      </c>
      <c r="O133" s="61">
        <v>0</v>
      </c>
      <c r="P133" s="61">
        <v>0</v>
      </c>
    </row>
    <row r="134" spans="1:16" ht="12.75" hidden="1">
      <c r="A134" s="77"/>
      <c r="B134" s="60" t="str">
        <f>IF(OR((B131="~"),(C134="~")),"~","")</f>
        <v>~</v>
      </c>
      <c r="C134" s="60" t="s">
        <v>203</v>
      </c>
      <c r="E134" s="61">
        <f t="shared" si="41"/>
        <v>0</v>
      </c>
      <c r="F134" s="61"/>
      <c r="G134" s="61">
        <v>0</v>
      </c>
      <c r="H134" s="61">
        <v>0</v>
      </c>
      <c r="I134" s="61">
        <v>0</v>
      </c>
      <c r="J134" s="61">
        <v>0</v>
      </c>
      <c r="K134" s="61">
        <v>0</v>
      </c>
      <c r="L134" s="61">
        <v>0</v>
      </c>
      <c r="M134" s="61">
        <v>0</v>
      </c>
      <c r="N134" s="61">
        <v>0</v>
      </c>
      <c r="O134" s="61">
        <v>0</v>
      </c>
      <c r="P134" s="61">
        <v>0</v>
      </c>
    </row>
    <row r="135" spans="1:16" ht="12.75" hidden="1">
      <c r="A135" s="77"/>
      <c r="B135" s="60" t="str">
        <f>IF(OR((B131="~"),(C135="~")),"~","")</f>
        <v>~</v>
      </c>
      <c r="C135" s="60" t="s">
        <v>203</v>
      </c>
      <c r="E135" s="61">
        <f t="shared" si="41"/>
        <v>0</v>
      </c>
      <c r="F135" s="61"/>
      <c r="G135" s="61">
        <v>0</v>
      </c>
      <c r="H135" s="61">
        <v>0</v>
      </c>
      <c r="I135" s="61">
        <v>0</v>
      </c>
      <c r="J135" s="61">
        <v>0</v>
      </c>
      <c r="K135" s="61">
        <v>0</v>
      </c>
      <c r="L135" s="61">
        <v>0</v>
      </c>
      <c r="M135" s="61">
        <v>0</v>
      </c>
      <c r="N135" s="61">
        <v>0</v>
      </c>
      <c r="O135" s="61">
        <v>0</v>
      </c>
      <c r="P135" s="61">
        <v>0</v>
      </c>
    </row>
    <row r="136" spans="1:16" ht="12.75" hidden="1">
      <c r="A136" s="77"/>
      <c r="B136" s="60" t="str">
        <f>IF(OR((B131="~"),(C136="~")),"~","")</f>
        <v>~</v>
      </c>
      <c r="C136" s="60" t="s">
        <v>203</v>
      </c>
      <c r="E136" s="61">
        <f t="shared" si="41"/>
        <v>0</v>
      </c>
      <c r="F136" s="61"/>
      <c r="G136" s="61">
        <v>0</v>
      </c>
      <c r="H136" s="61">
        <v>0</v>
      </c>
      <c r="I136" s="61">
        <v>0</v>
      </c>
      <c r="J136" s="61">
        <v>0</v>
      </c>
      <c r="K136" s="61">
        <v>0</v>
      </c>
      <c r="L136" s="61">
        <v>0</v>
      </c>
      <c r="M136" s="61">
        <v>0</v>
      </c>
      <c r="N136" s="61">
        <v>0</v>
      </c>
      <c r="O136" s="61">
        <v>0</v>
      </c>
      <c r="P136" s="61">
        <v>0</v>
      </c>
    </row>
    <row r="137" spans="1:16" ht="12.75" hidden="1">
      <c r="A137" s="77"/>
      <c r="B137" s="60" t="str">
        <f>IF(OR((B131="~"),(C137="~")),"~","")</f>
        <v>~</v>
      </c>
      <c r="C137" s="60" t="s">
        <v>203</v>
      </c>
      <c r="E137" s="61">
        <f t="shared" si="41"/>
        <v>0</v>
      </c>
      <c r="F137" s="61"/>
      <c r="G137" s="61">
        <v>0</v>
      </c>
      <c r="H137" s="61">
        <v>0</v>
      </c>
      <c r="I137" s="61">
        <v>0</v>
      </c>
      <c r="J137" s="61">
        <v>0</v>
      </c>
      <c r="K137" s="61">
        <v>0</v>
      </c>
      <c r="L137" s="61">
        <v>0</v>
      </c>
      <c r="M137" s="61">
        <v>0</v>
      </c>
      <c r="N137" s="61">
        <v>0</v>
      </c>
      <c r="O137" s="61">
        <v>0</v>
      </c>
      <c r="P137" s="61">
        <v>0</v>
      </c>
    </row>
    <row r="138" spans="1:16" ht="12.75" hidden="1">
      <c r="A138" s="78"/>
      <c r="B138" s="68" t="str">
        <f>IF(OR((B131="~"),(C138="~")),"~","")</f>
        <v>~</v>
      </c>
      <c r="C138" s="68" t="str">
        <f>IF(B131="~","~","Sub-total")</f>
        <v>~</v>
      </c>
      <c r="D138" s="68"/>
      <c r="E138" s="69">
        <f>SUM(E132:E137)</f>
        <v>0</v>
      </c>
      <c r="F138" s="69"/>
      <c r="G138" s="69">
        <f aca="true" t="shared" si="42" ref="G138:P138">SUM(G132:G137)</f>
        <v>0</v>
      </c>
      <c r="H138" s="69">
        <f t="shared" si="42"/>
        <v>0</v>
      </c>
      <c r="I138" s="69">
        <f t="shared" si="42"/>
        <v>0</v>
      </c>
      <c r="J138" s="69">
        <f t="shared" si="42"/>
        <v>0</v>
      </c>
      <c r="K138" s="69">
        <f t="shared" si="42"/>
        <v>0</v>
      </c>
      <c r="L138" s="69">
        <f t="shared" si="42"/>
        <v>0</v>
      </c>
      <c r="M138" s="69">
        <f t="shared" si="42"/>
        <v>0</v>
      </c>
      <c r="N138" s="69">
        <f t="shared" si="42"/>
        <v>0</v>
      </c>
      <c r="O138" s="69">
        <f t="shared" si="42"/>
        <v>0</v>
      </c>
      <c r="P138" s="69">
        <f t="shared" si="42"/>
        <v>0</v>
      </c>
    </row>
    <row r="139" spans="1:3" ht="12.75" hidden="1">
      <c r="A139" s="77"/>
      <c r="B139" s="60" t="str">
        <f>IF(OR((B131="~"),(C139="~")),"~","")</f>
        <v>~</v>
      </c>
      <c r="C139" s="57"/>
    </row>
    <row r="140" spans="1:3" ht="12.75" hidden="1">
      <c r="A140" s="77"/>
      <c r="B140" s="60" t="s">
        <v>203</v>
      </c>
      <c r="C140" s="57"/>
    </row>
    <row r="141" spans="1:16" ht="12.75" hidden="1">
      <c r="A141" s="77"/>
      <c r="B141" s="60" t="str">
        <f>IF(OR((B140="~"),(C141="~")),"~","")</f>
        <v>~</v>
      </c>
      <c r="C141" s="60" t="s">
        <v>203</v>
      </c>
      <c r="E141" s="61">
        <f aca="true" t="shared" si="43" ref="E141:E146">SUM(G141:P141)</f>
        <v>0</v>
      </c>
      <c r="F141" s="61"/>
      <c r="G141" s="61">
        <v>0</v>
      </c>
      <c r="H141" s="61">
        <v>0</v>
      </c>
      <c r="I141" s="61">
        <v>0</v>
      </c>
      <c r="J141" s="61">
        <v>0</v>
      </c>
      <c r="K141" s="61">
        <v>0</v>
      </c>
      <c r="L141" s="61">
        <v>0</v>
      </c>
      <c r="M141" s="61">
        <v>0</v>
      </c>
      <c r="N141" s="61">
        <v>0</v>
      </c>
      <c r="O141" s="61">
        <v>0</v>
      </c>
      <c r="P141" s="61">
        <v>0</v>
      </c>
    </row>
    <row r="142" spans="1:16" ht="12.75" hidden="1">
      <c r="A142" s="77"/>
      <c r="B142" s="60" t="str">
        <f>IF(OR((B140="~"),(C142="~")),"~","")</f>
        <v>~</v>
      </c>
      <c r="C142" s="60" t="s">
        <v>203</v>
      </c>
      <c r="E142" s="61">
        <f t="shared" si="43"/>
        <v>0</v>
      </c>
      <c r="F142" s="61"/>
      <c r="G142" s="61">
        <v>0</v>
      </c>
      <c r="H142" s="61">
        <v>0</v>
      </c>
      <c r="I142" s="61">
        <v>0</v>
      </c>
      <c r="J142" s="61">
        <v>0</v>
      </c>
      <c r="K142" s="61">
        <v>0</v>
      </c>
      <c r="L142" s="61">
        <v>0</v>
      </c>
      <c r="M142" s="61">
        <v>0</v>
      </c>
      <c r="N142" s="61">
        <v>0</v>
      </c>
      <c r="O142" s="61">
        <v>0</v>
      </c>
      <c r="P142" s="61">
        <v>0</v>
      </c>
    </row>
    <row r="143" spans="1:16" ht="12.75" hidden="1">
      <c r="A143" s="77"/>
      <c r="B143" s="60" t="str">
        <f>IF(OR((B140="~"),(C143="~")),"~","")</f>
        <v>~</v>
      </c>
      <c r="C143" s="60" t="s">
        <v>203</v>
      </c>
      <c r="E143" s="61">
        <f t="shared" si="43"/>
        <v>0</v>
      </c>
      <c r="F143" s="61"/>
      <c r="G143" s="61">
        <v>0</v>
      </c>
      <c r="H143" s="61">
        <v>0</v>
      </c>
      <c r="I143" s="61">
        <v>0</v>
      </c>
      <c r="J143" s="61">
        <v>0</v>
      </c>
      <c r="K143" s="61">
        <v>0</v>
      </c>
      <c r="L143" s="61">
        <v>0</v>
      </c>
      <c r="M143" s="61">
        <v>0</v>
      </c>
      <c r="N143" s="61">
        <v>0</v>
      </c>
      <c r="O143" s="61">
        <v>0</v>
      </c>
      <c r="P143" s="61">
        <v>0</v>
      </c>
    </row>
    <row r="144" spans="1:16" ht="12.75" hidden="1">
      <c r="A144" s="77"/>
      <c r="B144" s="60" t="str">
        <f>IF(OR((B140="~"),(C144="~")),"~","")</f>
        <v>~</v>
      </c>
      <c r="C144" s="60" t="s">
        <v>203</v>
      </c>
      <c r="E144" s="61">
        <f t="shared" si="43"/>
        <v>0</v>
      </c>
      <c r="F144" s="61"/>
      <c r="G144" s="61">
        <v>0</v>
      </c>
      <c r="H144" s="61">
        <v>0</v>
      </c>
      <c r="I144" s="61">
        <v>0</v>
      </c>
      <c r="J144" s="61">
        <v>0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61">
        <v>0</v>
      </c>
    </row>
    <row r="145" spans="1:16" ht="12.75" hidden="1">
      <c r="A145" s="77"/>
      <c r="B145" s="60" t="str">
        <f>IF(OR((B140="~"),(C145="~")),"~","")</f>
        <v>~</v>
      </c>
      <c r="C145" s="60" t="s">
        <v>203</v>
      </c>
      <c r="E145" s="61">
        <f t="shared" si="43"/>
        <v>0</v>
      </c>
      <c r="F145" s="61"/>
      <c r="G145" s="61">
        <v>0</v>
      </c>
      <c r="H145" s="61">
        <v>0</v>
      </c>
      <c r="I145" s="61">
        <v>0</v>
      </c>
      <c r="J145" s="61">
        <v>0</v>
      </c>
      <c r="K145" s="61">
        <v>0</v>
      </c>
      <c r="L145" s="61">
        <v>0</v>
      </c>
      <c r="M145" s="61">
        <v>0</v>
      </c>
      <c r="N145" s="61">
        <v>0</v>
      </c>
      <c r="O145" s="61">
        <v>0</v>
      </c>
      <c r="P145" s="61">
        <v>0</v>
      </c>
    </row>
    <row r="146" spans="1:16" ht="12.75" hidden="1">
      <c r="A146" s="77"/>
      <c r="B146" s="60" t="str">
        <f>IF(OR((B140="~"),(C146="~")),"~","")</f>
        <v>~</v>
      </c>
      <c r="C146" s="60" t="s">
        <v>203</v>
      </c>
      <c r="E146" s="61">
        <f t="shared" si="43"/>
        <v>0</v>
      </c>
      <c r="F146" s="61"/>
      <c r="G146" s="61">
        <v>0</v>
      </c>
      <c r="H146" s="61">
        <v>0</v>
      </c>
      <c r="I146" s="61">
        <v>0</v>
      </c>
      <c r="J146" s="61">
        <v>0</v>
      </c>
      <c r="K146" s="61">
        <v>0</v>
      </c>
      <c r="L146" s="61">
        <v>0</v>
      </c>
      <c r="M146" s="61">
        <v>0</v>
      </c>
      <c r="N146" s="61">
        <v>0</v>
      </c>
      <c r="O146" s="61">
        <v>0</v>
      </c>
      <c r="P146" s="61">
        <v>0</v>
      </c>
    </row>
    <row r="147" spans="1:16" ht="12.75" hidden="1">
      <c r="A147" s="78"/>
      <c r="B147" s="68" t="str">
        <f>IF(OR((B140="~"),(C147="~")),"~","")</f>
        <v>~</v>
      </c>
      <c r="C147" s="68" t="str">
        <f>IF(B140="~","~","Sub-total")</f>
        <v>~</v>
      </c>
      <c r="D147" s="68"/>
      <c r="E147" s="69">
        <f>SUM(E141:E146)</f>
        <v>0</v>
      </c>
      <c r="F147" s="69"/>
      <c r="G147" s="69">
        <f aca="true" t="shared" si="44" ref="G147:P147">SUM(G141:G146)</f>
        <v>0</v>
      </c>
      <c r="H147" s="69">
        <f t="shared" si="44"/>
        <v>0</v>
      </c>
      <c r="I147" s="69">
        <f t="shared" si="44"/>
        <v>0</v>
      </c>
      <c r="J147" s="69">
        <f t="shared" si="44"/>
        <v>0</v>
      </c>
      <c r="K147" s="69">
        <f t="shared" si="44"/>
        <v>0</v>
      </c>
      <c r="L147" s="69">
        <f t="shared" si="44"/>
        <v>0</v>
      </c>
      <c r="M147" s="69">
        <f t="shared" si="44"/>
        <v>0</v>
      </c>
      <c r="N147" s="69">
        <f t="shared" si="44"/>
        <v>0</v>
      </c>
      <c r="O147" s="69">
        <f t="shared" si="44"/>
        <v>0</v>
      </c>
      <c r="P147" s="69">
        <f t="shared" si="44"/>
        <v>0</v>
      </c>
    </row>
    <row r="148" spans="1:3" ht="12.75" hidden="1">
      <c r="A148" s="77"/>
      <c r="B148" s="60" t="str">
        <f>IF(OR((B140="~"),(C148="~")),"~","")</f>
        <v>~</v>
      </c>
      <c r="C148" s="57"/>
    </row>
    <row r="149" spans="1:3" ht="12.75" hidden="1">
      <c r="A149" s="77"/>
      <c r="B149" s="60" t="s">
        <v>203</v>
      </c>
      <c r="C149" s="57"/>
    </row>
    <row r="150" spans="1:16" ht="12.75" hidden="1">
      <c r="A150" s="77"/>
      <c r="B150" s="60" t="str">
        <f>IF(OR((B149="~"),(C150="~")),"~","")</f>
        <v>~</v>
      </c>
      <c r="C150" s="60" t="s">
        <v>203</v>
      </c>
      <c r="E150" s="61">
        <f aca="true" t="shared" si="45" ref="E150:E155">SUM(G150:P150)</f>
        <v>0</v>
      </c>
      <c r="F150" s="61"/>
      <c r="G150" s="61">
        <v>0</v>
      </c>
      <c r="H150" s="61">
        <v>0</v>
      </c>
      <c r="I150" s="61">
        <v>0</v>
      </c>
      <c r="J150" s="61">
        <v>0</v>
      </c>
      <c r="K150" s="61">
        <v>0</v>
      </c>
      <c r="L150" s="61">
        <v>0</v>
      </c>
      <c r="M150" s="61">
        <v>0</v>
      </c>
      <c r="N150" s="61">
        <v>0</v>
      </c>
      <c r="O150" s="61">
        <v>0</v>
      </c>
      <c r="P150" s="61">
        <v>0</v>
      </c>
    </row>
    <row r="151" spans="1:16" ht="12.75" hidden="1">
      <c r="A151" s="77"/>
      <c r="B151" s="60" t="str">
        <f>IF(OR((B149="~"),(C151="~")),"~","")</f>
        <v>~</v>
      </c>
      <c r="C151" s="60" t="s">
        <v>203</v>
      </c>
      <c r="E151" s="61">
        <f t="shared" si="45"/>
        <v>0</v>
      </c>
      <c r="F151" s="61"/>
      <c r="G151" s="61">
        <v>0</v>
      </c>
      <c r="H151" s="61">
        <v>0</v>
      </c>
      <c r="I151" s="61">
        <v>0</v>
      </c>
      <c r="J151" s="61">
        <v>0</v>
      </c>
      <c r="K151" s="61">
        <v>0</v>
      </c>
      <c r="L151" s="61">
        <v>0</v>
      </c>
      <c r="M151" s="61">
        <v>0</v>
      </c>
      <c r="N151" s="61">
        <v>0</v>
      </c>
      <c r="O151" s="61">
        <v>0</v>
      </c>
      <c r="P151" s="61">
        <v>0</v>
      </c>
    </row>
    <row r="152" spans="1:16" ht="12.75" hidden="1">
      <c r="A152" s="77"/>
      <c r="B152" s="60" t="str">
        <f>IF(OR((B149="~"),(C152="~")),"~","")</f>
        <v>~</v>
      </c>
      <c r="C152" s="60" t="s">
        <v>203</v>
      </c>
      <c r="E152" s="61">
        <f t="shared" si="45"/>
        <v>0</v>
      </c>
      <c r="F152" s="61"/>
      <c r="G152" s="61">
        <v>0</v>
      </c>
      <c r="H152" s="61">
        <v>0</v>
      </c>
      <c r="I152" s="61">
        <v>0</v>
      </c>
      <c r="J152" s="61">
        <v>0</v>
      </c>
      <c r="K152" s="61">
        <v>0</v>
      </c>
      <c r="L152" s="61">
        <v>0</v>
      </c>
      <c r="M152" s="61">
        <v>0</v>
      </c>
      <c r="N152" s="61">
        <v>0</v>
      </c>
      <c r="O152" s="61">
        <v>0</v>
      </c>
      <c r="P152" s="61">
        <v>0</v>
      </c>
    </row>
    <row r="153" spans="1:16" ht="12.75" hidden="1">
      <c r="A153" s="77"/>
      <c r="B153" s="60" t="str">
        <f>IF(OR((B149="~"),(C153="~")),"~","")</f>
        <v>~</v>
      </c>
      <c r="C153" s="60" t="s">
        <v>203</v>
      </c>
      <c r="E153" s="61">
        <f t="shared" si="45"/>
        <v>0</v>
      </c>
      <c r="F153" s="61"/>
      <c r="G153" s="61">
        <v>0</v>
      </c>
      <c r="H153" s="61">
        <v>0</v>
      </c>
      <c r="I153" s="61">
        <v>0</v>
      </c>
      <c r="J153" s="61">
        <v>0</v>
      </c>
      <c r="K153" s="61">
        <v>0</v>
      </c>
      <c r="L153" s="61">
        <v>0</v>
      </c>
      <c r="M153" s="61">
        <v>0</v>
      </c>
      <c r="N153" s="61">
        <v>0</v>
      </c>
      <c r="O153" s="61">
        <v>0</v>
      </c>
      <c r="P153" s="61">
        <v>0</v>
      </c>
    </row>
    <row r="154" spans="1:16" ht="12.75" hidden="1">
      <c r="A154" s="77"/>
      <c r="B154" s="60" t="str">
        <f>IF(OR((B149="~"),(C154="~")),"~","")</f>
        <v>~</v>
      </c>
      <c r="C154" s="60" t="s">
        <v>203</v>
      </c>
      <c r="E154" s="61">
        <f t="shared" si="45"/>
        <v>0</v>
      </c>
      <c r="F154" s="61"/>
      <c r="G154" s="61">
        <v>0</v>
      </c>
      <c r="H154" s="61">
        <v>0</v>
      </c>
      <c r="I154" s="61">
        <v>0</v>
      </c>
      <c r="J154" s="61">
        <v>0</v>
      </c>
      <c r="K154" s="61">
        <v>0</v>
      </c>
      <c r="L154" s="61">
        <v>0</v>
      </c>
      <c r="M154" s="61">
        <v>0</v>
      </c>
      <c r="N154" s="61">
        <v>0</v>
      </c>
      <c r="O154" s="61">
        <v>0</v>
      </c>
      <c r="P154" s="61">
        <v>0</v>
      </c>
    </row>
    <row r="155" spans="1:16" ht="12.75" hidden="1">
      <c r="A155" s="77"/>
      <c r="B155" s="60" t="str">
        <f>IF(OR((B149="~"),(C155="~")),"~","")</f>
        <v>~</v>
      </c>
      <c r="C155" s="60" t="s">
        <v>203</v>
      </c>
      <c r="E155" s="61">
        <f t="shared" si="45"/>
        <v>0</v>
      </c>
      <c r="F155" s="61"/>
      <c r="G155" s="61">
        <v>0</v>
      </c>
      <c r="H155" s="61">
        <v>0</v>
      </c>
      <c r="I155" s="61">
        <v>0</v>
      </c>
      <c r="J155" s="61">
        <v>0</v>
      </c>
      <c r="K155" s="61">
        <v>0</v>
      </c>
      <c r="L155" s="61">
        <v>0</v>
      </c>
      <c r="M155" s="61">
        <v>0</v>
      </c>
      <c r="N155" s="61">
        <v>0</v>
      </c>
      <c r="O155" s="61">
        <v>0</v>
      </c>
      <c r="P155" s="61">
        <v>0</v>
      </c>
    </row>
    <row r="156" spans="1:16" ht="12.75" hidden="1">
      <c r="A156" s="78"/>
      <c r="B156" s="68" t="str">
        <f>IF(OR((B149="~"),(C156="~")),"~","")</f>
        <v>~</v>
      </c>
      <c r="C156" s="68" t="str">
        <f>IF(B149="~","~","Sub-total")</f>
        <v>~</v>
      </c>
      <c r="D156" s="68"/>
      <c r="E156" s="69">
        <f>SUM(E150:E155)</f>
        <v>0</v>
      </c>
      <c r="F156" s="69"/>
      <c r="G156" s="69">
        <f aca="true" t="shared" si="46" ref="G156:P156">SUM(G150:G155)</f>
        <v>0</v>
      </c>
      <c r="H156" s="69">
        <f t="shared" si="46"/>
        <v>0</v>
      </c>
      <c r="I156" s="69">
        <f t="shared" si="46"/>
        <v>0</v>
      </c>
      <c r="J156" s="69">
        <f t="shared" si="46"/>
        <v>0</v>
      </c>
      <c r="K156" s="69">
        <f t="shared" si="46"/>
        <v>0</v>
      </c>
      <c r="L156" s="69">
        <f t="shared" si="46"/>
        <v>0</v>
      </c>
      <c r="M156" s="69">
        <f t="shared" si="46"/>
        <v>0</v>
      </c>
      <c r="N156" s="69">
        <f t="shared" si="46"/>
        <v>0</v>
      </c>
      <c r="O156" s="69">
        <f t="shared" si="46"/>
        <v>0</v>
      </c>
      <c r="P156" s="69">
        <f t="shared" si="46"/>
        <v>0</v>
      </c>
    </row>
    <row r="157" spans="1:3" ht="12.75" hidden="1">
      <c r="A157" s="77"/>
      <c r="B157" s="60" t="str">
        <f>IF(OR((B149="~"),(C157="~")),"~","")</f>
        <v>~</v>
      </c>
      <c r="C157" s="57"/>
    </row>
    <row r="158" ht="12.75">
      <c r="A158" s="77">
        <f>+A93+1</f>
        <v>27</v>
      </c>
    </row>
    <row r="159" spans="1:3" ht="12.75">
      <c r="A159" s="77">
        <f>+A158+1</f>
        <v>28</v>
      </c>
      <c r="C159" s="57" t="s">
        <v>62</v>
      </c>
    </row>
    <row r="160" spans="1:16" ht="12.75">
      <c r="A160" s="77">
        <f>+A159+1</f>
        <v>29</v>
      </c>
      <c r="B160" s="60">
        <f>IF(OR((C159="~"),(C160="~")),"~","")</f>
      </c>
      <c r="C160" s="60" t="s">
        <v>200</v>
      </c>
      <c r="E160" s="61" t="e">
        <f aca="true" t="shared" si="47" ref="E160:E165">SUM(G160:P160)</f>
        <v>#REF!</v>
      </c>
      <c r="F160" s="61"/>
      <c r="G160" s="61">
        <v>1208381117.0018733</v>
      </c>
      <c r="H160" s="61">
        <v>219705940.10710096</v>
      </c>
      <c r="I160" s="61">
        <v>204040593.62221622</v>
      </c>
      <c r="J160" s="61">
        <v>109269126.06971556</v>
      </c>
      <c r="K160" s="61" t="e">
        <v>#REF!</v>
      </c>
      <c r="L160" s="61">
        <v>34057490.315400265</v>
      </c>
      <c r="M160" s="61">
        <v>17425253.26847731</v>
      </c>
      <c r="N160" s="61">
        <v>9900530.874210723</v>
      </c>
      <c r="O160" s="61">
        <v>9673093.793489607</v>
      </c>
      <c r="P160" s="61">
        <v>1892517.2130005956</v>
      </c>
    </row>
    <row r="161" spans="1:16" ht="12.75">
      <c r="A161" s="77">
        <f aca="true" t="shared" si="48" ref="A161:A168">+A160+1</f>
        <v>30</v>
      </c>
      <c r="B161" s="60">
        <f>IF(OR((C159="~"),(C161="~")),"~","")</f>
      </c>
      <c r="C161" s="60" t="s">
        <v>201</v>
      </c>
      <c r="E161" s="61" t="e">
        <f t="shared" si="47"/>
        <v>#REF!</v>
      </c>
      <c r="F161" s="61"/>
      <c r="G161" s="61">
        <v>1286670094.2982373</v>
      </c>
      <c r="H161" s="61">
        <v>311483537.14020723</v>
      </c>
      <c r="I161" s="61">
        <v>351424666.73236436</v>
      </c>
      <c r="J161" s="61">
        <v>238086580.7437136</v>
      </c>
      <c r="K161" s="61" t="e">
        <v>#REF!</v>
      </c>
      <c r="L161" s="61">
        <v>88481268.59714559</v>
      </c>
      <c r="M161" s="61">
        <v>65442376.39076844</v>
      </c>
      <c r="N161" s="61">
        <v>34500813.71068072</v>
      </c>
      <c r="O161" s="61">
        <v>10029481.908919347</v>
      </c>
      <c r="P161" s="61">
        <v>3431231.409292687</v>
      </c>
    </row>
    <row r="162" spans="1:16" ht="12.75">
      <c r="A162" s="77">
        <f t="shared" si="48"/>
        <v>31</v>
      </c>
      <c r="B162" s="60">
        <f>IF(OR((C159="~"),(C162="~")),"~","")</f>
      </c>
      <c r="C162" s="60" t="s">
        <v>202</v>
      </c>
      <c r="E162" s="61" t="e">
        <f t="shared" si="47"/>
        <v>#REF!</v>
      </c>
      <c r="F162" s="61"/>
      <c r="G162" s="61">
        <v>260731452.2702818</v>
      </c>
      <c r="H162" s="61">
        <v>47330834.19024693</v>
      </c>
      <c r="I162" s="61">
        <v>28822733.17265601</v>
      </c>
      <c r="J162" s="61">
        <v>6345162.366945645</v>
      </c>
      <c r="K162" s="61" t="e">
        <v>#REF!</v>
      </c>
      <c r="L162" s="61">
        <v>2623606.066655129</v>
      </c>
      <c r="M162" s="61">
        <v>555619.5132933956</v>
      </c>
      <c r="N162" s="61">
        <v>270302.03411893995</v>
      </c>
      <c r="O162" s="61">
        <v>29605124.417728834</v>
      </c>
      <c r="P162" s="61">
        <v>218108.90423111885</v>
      </c>
    </row>
    <row r="163" spans="1:16" ht="12.75">
      <c r="A163" s="77">
        <f t="shared" si="48"/>
        <v>32</v>
      </c>
      <c r="B163" s="60" t="str">
        <f>IF(OR((C159="~"),(C163="~")),"~","")</f>
        <v>~</v>
      </c>
      <c r="C163" s="60" t="s">
        <v>203</v>
      </c>
      <c r="E163" s="61" t="e">
        <f t="shared" si="47"/>
        <v>#REF!</v>
      </c>
      <c r="F163" s="61"/>
      <c r="G163" s="61">
        <v>0</v>
      </c>
      <c r="H163" s="61">
        <v>0</v>
      </c>
      <c r="I163" s="61">
        <v>0</v>
      </c>
      <c r="J163" s="61">
        <v>0</v>
      </c>
      <c r="K163" s="61" t="e">
        <v>#REF!</v>
      </c>
      <c r="L163" s="61">
        <v>0</v>
      </c>
      <c r="M163" s="61">
        <v>0</v>
      </c>
      <c r="N163" s="61">
        <v>0</v>
      </c>
      <c r="O163" s="61">
        <v>0</v>
      </c>
      <c r="P163" s="61">
        <v>0</v>
      </c>
    </row>
    <row r="164" spans="1:16" ht="12.75">
      <c r="A164" s="77">
        <f t="shared" si="48"/>
        <v>33</v>
      </c>
      <c r="B164" s="60" t="str">
        <f>IF(OR((C159="~"),(C164="~")),"~","")</f>
        <v>~</v>
      </c>
      <c r="C164" s="60" t="s">
        <v>203</v>
      </c>
      <c r="E164" s="61" t="e">
        <f t="shared" si="47"/>
        <v>#REF!</v>
      </c>
      <c r="F164" s="61"/>
      <c r="G164" s="61">
        <v>0</v>
      </c>
      <c r="H164" s="61">
        <v>0</v>
      </c>
      <c r="I164" s="61">
        <v>0</v>
      </c>
      <c r="J164" s="61">
        <v>0</v>
      </c>
      <c r="K164" s="61" t="e">
        <v>#REF!</v>
      </c>
      <c r="L164" s="61">
        <v>0</v>
      </c>
      <c r="M164" s="61">
        <v>0</v>
      </c>
      <c r="N164" s="61">
        <v>0</v>
      </c>
      <c r="O164" s="61">
        <v>0</v>
      </c>
      <c r="P164" s="61">
        <v>0</v>
      </c>
    </row>
    <row r="165" spans="1:16" ht="12.75">
      <c r="A165" s="77">
        <f t="shared" si="48"/>
        <v>34</v>
      </c>
      <c r="B165" s="60" t="str">
        <f>IF(OR((C159="~"),(C165="~")),"~","")</f>
        <v>~</v>
      </c>
      <c r="C165" s="60" t="s">
        <v>203</v>
      </c>
      <c r="E165" s="61" t="e">
        <f t="shared" si="47"/>
        <v>#REF!</v>
      </c>
      <c r="F165" s="61"/>
      <c r="G165" s="61">
        <v>0</v>
      </c>
      <c r="H165" s="61">
        <v>0</v>
      </c>
      <c r="I165" s="61">
        <v>0</v>
      </c>
      <c r="J165" s="61">
        <v>0</v>
      </c>
      <c r="K165" s="61" t="e">
        <v>#REF!</v>
      </c>
      <c r="L165" s="61">
        <v>0</v>
      </c>
      <c r="M165" s="61">
        <v>0</v>
      </c>
      <c r="N165" s="61">
        <v>0</v>
      </c>
      <c r="O165" s="61">
        <v>0</v>
      </c>
      <c r="P165" s="61">
        <v>0</v>
      </c>
    </row>
    <row r="166" spans="1:16" ht="12.75">
      <c r="A166" s="78">
        <f t="shared" si="48"/>
        <v>35</v>
      </c>
      <c r="B166" s="68"/>
      <c r="C166" s="68" t="str">
        <f>IF(C159="~","~","Sub-total")</f>
        <v>Sub-total</v>
      </c>
      <c r="D166" s="68"/>
      <c r="E166" s="69" t="e">
        <f>SUM(E160:E165)</f>
        <v>#REF!</v>
      </c>
      <c r="F166" s="69"/>
      <c r="G166" s="69">
        <f aca="true" t="shared" si="49" ref="G166:P166">SUM(G160:G165)</f>
        <v>2755782663.5703926</v>
      </c>
      <c r="H166" s="69">
        <f t="shared" si="49"/>
        <v>578520311.4375551</v>
      </c>
      <c r="I166" s="69">
        <f t="shared" si="49"/>
        <v>584287993.5272367</v>
      </c>
      <c r="J166" s="69">
        <f t="shared" si="49"/>
        <v>353700869.18037474</v>
      </c>
      <c r="K166" s="69" t="e">
        <f t="shared" si="49"/>
        <v>#REF!</v>
      </c>
      <c r="L166" s="69">
        <f t="shared" si="49"/>
        <v>125162364.97920099</v>
      </c>
      <c r="M166" s="69">
        <f t="shared" si="49"/>
        <v>83423249.17253914</v>
      </c>
      <c r="N166" s="69">
        <f t="shared" si="49"/>
        <v>44671646.61901039</v>
      </c>
      <c r="O166" s="69">
        <f t="shared" si="49"/>
        <v>49307700.12013779</v>
      </c>
      <c r="P166" s="69">
        <f t="shared" si="49"/>
        <v>5541857.526524401</v>
      </c>
    </row>
    <row r="167" spans="1:3" ht="12.75">
      <c r="A167" s="77">
        <f t="shared" si="48"/>
        <v>36</v>
      </c>
      <c r="B167" s="60">
        <f>IF(OR((C159="~"),(C167="~")),"~","")</f>
      </c>
      <c r="C167" s="57"/>
    </row>
    <row r="168" spans="1:16" ht="13.5" thickBot="1">
      <c r="A168" s="79">
        <f t="shared" si="48"/>
        <v>37</v>
      </c>
      <c r="B168" s="62"/>
      <c r="C168" s="62" t="s">
        <v>31</v>
      </c>
      <c r="D168" s="62"/>
      <c r="E168" s="63" t="e">
        <f>SUM(G168:P168)</f>
        <v>#REF!</v>
      </c>
      <c r="F168" s="63"/>
      <c r="G168" s="63">
        <f aca="true" t="shared" si="50" ref="G168:P168">SUM(G160:G165)</f>
        <v>2755782663.5703926</v>
      </c>
      <c r="H168" s="63">
        <f t="shared" si="50"/>
        <v>578520311.4375551</v>
      </c>
      <c r="I168" s="63">
        <f t="shared" si="50"/>
        <v>584287993.5272367</v>
      </c>
      <c r="J168" s="63">
        <f t="shared" si="50"/>
        <v>353700869.18037474</v>
      </c>
      <c r="K168" s="63" t="e">
        <f t="shared" si="50"/>
        <v>#REF!</v>
      </c>
      <c r="L168" s="63">
        <f t="shared" si="50"/>
        <v>125162364.97920099</v>
      </c>
      <c r="M168" s="63">
        <f t="shared" si="50"/>
        <v>83423249.17253914</v>
      </c>
      <c r="N168" s="63">
        <f t="shared" si="50"/>
        <v>44671646.61901039</v>
      </c>
      <c r="O168" s="63">
        <f t="shared" si="50"/>
        <v>49307700.12013779</v>
      </c>
      <c r="P168" s="63">
        <f t="shared" si="50"/>
        <v>5541857.526524401</v>
      </c>
    </row>
    <row r="169" ht="13.5" thickTop="1"/>
    <row r="170" spans="1:16" ht="12.75">
      <c r="A170" s="85" t="str">
        <f>A1</f>
        <v>Puget Sound Energy</v>
      </c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</row>
    <row r="171" spans="1:16" ht="12.75">
      <c r="A171" s="85" t="str">
        <f>A2</f>
        <v>ELECTRIC COST OF SERVICE SUMMARY</v>
      </c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</row>
    <row r="172" spans="1:16" ht="12.75">
      <c r="A172" s="85" t="s">
        <v>198</v>
      </c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</row>
    <row r="173" spans="1:16" ht="12.75">
      <c r="A173" s="85" t="s">
        <v>63</v>
      </c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</row>
    <row r="175" spans="1:16" s="80" customFormat="1" ht="38.25">
      <c r="A175" s="58" t="s">
        <v>2</v>
      </c>
      <c r="B175" s="58"/>
      <c r="C175" s="58"/>
      <c r="D175" s="58"/>
      <c r="E175" s="58" t="s">
        <v>61</v>
      </c>
      <c r="F175" s="58"/>
      <c r="G175" s="58" t="str">
        <f>+G6</f>
        <v>Residential
Sch 7</v>
      </c>
      <c r="H175" s="58" t="str">
        <f aca="true" t="shared" si="51" ref="H175:P175">+H6</f>
        <v>Sec Volt
Sch 24
(kW&lt; 50)</v>
      </c>
      <c r="I175" s="58" t="str">
        <f t="shared" si="51"/>
        <v>Sec Volt
Sch 25
(kW &gt; 50 &amp; &lt; 350)</v>
      </c>
      <c r="J175" s="58" t="str">
        <f t="shared" si="51"/>
        <v>Sec Volt
Sch 26
(kW &gt; 350)</v>
      </c>
      <c r="K175" s="58" t="str">
        <f t="shared" si="51"/>
        <v>Pri Volt
Sch 31/35/43</v>
      </c>
      <c r="L175" s="58" t="str">
        <f t="shared" si="51"/>
        <v>Campus
Sch 40</v>
      </c>
      <c r="M175" s="58" t="str">
        <f t="shared" si="51"/>
        <v>High Volt
Sch 46/49</v>
      </c>
      <c r="N175" s="58" t="str">
        <f t="shared" si="51"/>
        <v>Choice /
Retail Wheeling
Sch 448/449</v>
      </c>
      <c r="O175" s="58" t="str">
        <f t="shared" si="51"/>
        <v>Lighting
Sch 50-59</v>
      </c>
      <c r="P175" s="58" t="str">
        <f t="shared" si="51"/>
        <v>Firm Resale /
Special Contract</v>
      </c>
    </row>
    <row r="176" spans="3:16" s="81" customFormat="1" ht="12.75">
      <c r="C176" s="81" t="s">
        <v>15</v>
      </c>
      <c r="E176" s="81" t="s">
        <v>16</v>
      </c>
      <c r="G176" s="81" t="s">
        <v>17</v>
      </c>
      <c r="H176" s="81" t="s">
        <v>18</v>
      </c>
      <c r="I176" s="81" t="s">
        <v>19</v>
      </c>
      <c r="J176" s="81" t="s">
        <v>20</v>
      </c>
      <c r="K176" s="81" t="s">
        <v>21</v>
      </c>
      <c r="L176" s="81" t="s">
        <v>22</v>
      </c>
      <c r="M176" s="81" t="s">
        <v>23</v>
      </c>
      <c r="N176" s="81" t="s">
        <v>24</v>
      </c>
      <c r="O176" s="81" t="s">
        <v>25</v>
      </c>
      <c r="P176" s="81" t="s">
        <v>26</v>
      </c>
    </row>
    <row r="178" spans="1:3" ht="12.75">
      <c r="A178" s="77">
        <v>1</v>
      </c>
      <c r="C178" s="57" t="s">
        <v>199</v>
      </c>
    </row>
    <row r="179" spans="1:16" ht="12.75">
      <c r="A179" s="77">
        <f aca="true" t="shared" si="52" ref="A179:A203">+A178+1</f>
        <v>2</v>
      </c>
      <c r="B179" s="60">
        <f>IF(OR((C178="~"),(C179="~")),"~","")</f>
      </c>
      <c r="C179" s="60" t="s">
        <v>200</v>
      </c>
      <c r="E179" s="61">
        <v>276524476.58073807</v>
      </c>
      <c r="F179" s="61"/>
      <c r="G179" s="61">
        <v>173016827.33412468</v>
      </c>
      <c r="H179" s="61">
        <v>29994090.29352413</v>
      </c>
      <c r="I179" s="61">
        <v>30455318.946827095</v>
      </c>
      <c r="J179" s="61">
        <v>19227210.431500856</v>
      </c>
      <c r="K179" s="61" t="e">
        <v>#REF!</v>
      </c>
      <c r="L179" s="61">
        <v>6551901.078688642</v>
      </c>
      <c r="M179" s="61">
        <v>4705841.6976397745</v>
      </c>
      <c r="N179" s="61">
        <v>443789.37021547323</v>
      </c>
      <c r="O179" s="61">
        <v>740388.4672688636</v>
      </c>
      <c r="P179" s="61">
        <v>157103.72357615974</v>
      </c>
    </row>
    <row r="180" spans="1:16" ht="12.75">
      <c r="A180" s="77">
        <f t="shared" si="52"/>
        <v>3</v>
      </c>
      <c r="B180" s="60">
        <f>IF(OR((C178="~"),(C180="~")),"~","")</f>
      </c>
      <c r="C180" s="60" t="s">
        <v>201</v>
      </c>
      <c r="E180" s="61">
        <v>1176773607.1145754</v>
      </c>
      <c r="F180" s="61"/>
      <c r="G180" s="61">
        <v>600616744.5064533</v>
      </c>
      <c r="H180" s="61">
        <v>145400308.03043002</v>
      </c>
      <c r="I180" s="61">
        <v>164044800.76703614</v>
      </c>
      <c r="J180" s="61">
        <v>111138657.58646937</v>
      </c>
      <c r="K180" s="61" t="e">
        <v>#REF!</v>
      </c>
      <c r="L180" s="61">
        <v>41302997.34960698</v>
      </c>
      <c r="M180" s="61">
        <v>30548457.786319405</v>
      </c>
      <c r="N180" s="61">
        <v>1759.2958637649117</v>
      </c>
      <c r="O180" s="61">
        <v>4681755.486441913</v>
      </c>
      <c r="P180" s="61">
        <v>391908.5135086578</v>
      </c>
    </row>
    <row r="181" spans="1:16" ht="12.75">
      <c r="A181" s="77">
        <f t="shared" si="52"/>
        <v>4</v>
      </c>
      <c r="B181" s="60">
        <f>IF(OR((C178="~"),(C181="~")),"~","")</f>
      </c>
      <c r="C181" s="60" t="s">
        <v>202</v>
      </c>
      <c r="E181" s="61">
        <v>0</v>
      </c>
      <c r="F181" s="61"/>
      <c r="G181" s="61">
        <v>0</v>
      </c>
      <c r="H181" s="61">
        <v>0</v>
      </c>
      <c r="I181" s="61">
        <v>0</v>
      </c>
      <c r="J181" s="61">
        <v>0</v>
      </c>
      <c r="K181" s="61" t="e">
        <v>#REF!</v>
      </c>
      <c r="L181" s="61">
        <v>0</v>
      </c>
      <c r="M181" s="61">
        <v>0</v>
      </c>
      <c r="N181" s="61">
        <v>0</v>
      </c>
      <c r="O181" s="61">
        <v>0</v>
      </c>
      <c r="P181" s="61">
        <v>0</v>
      </c>
    </row>
    <row r="182" spans="1:16" ht="12.75">
      <c r="A182" s="77">
        <f t="shared" si="52"/>
        <v>5</v>
      </c>
      <c r="B182" s="60" t="str">
        <f>IF(OR((C178="~"),(C182="~")),"~","")</f>
        <v>~</v>
      </c>
      <c r="C182" s="60" t="s">
        <v>203</v>
      </c>
      <c r="E182" s="61">
        <v>0</v>
      </c>
      <c r="F182" s="61"/>
      <c r="G182" s="61">
        <v>0</v>
      </c>
      <c r="H182" s="61">
        <v>0</v>
      </c>
      <c r="I182" s="61">
        <v>0</v>
      </c>
      <c r="J182" s="61">
        <v>0</v>
      </c>
      <c r="K182" s="61" t="e">
        <v>#REF!</v>
      </c>
      <c r="L182" s="61">
        <v>0</v>
      </c>
      <c r="M182" s="61">
        <v>0</v>
      </c>
      <c r="N182" s="61">
        <v>0</v>
      </c>
      <c r="O182" s="61">
        <v>0</v>
      </c>
      <c r="P182" s="61">
        <v>0</v>
      </c>
    </row>
    <row r="183" spans="1:16" ht="12.75">
      <c r="A183" s="77">
        <f t="shared" si="52"/>
        <v>6</v>
      </c>
      <c r="B183" s="60" t="str">
        <f>IF(OR((C178="~"),(C183="~")),"~","")</f>
        <v>~</v>
      </c>
      <c r="C183" s="60" t="s">
        <v>203</v>
      </c>
      <c r="E183" s="61">
        <v>0</v>
      </c>
      <c r="F183" s="61"/>
      <c r="G183" s="61">
        <v>0</v>
      </c>
      <c r="H183" s="61">
        <v>0</v>
      </c>
      <c r="I183" s="61">
        <v>0</v>
      </c>
      <c r="J183" s="61">
        <v>0</v>
      </c>
      <c r="K183" s="61" t="e">
        <v>#REF!</v>
      </c>
      <c r="L183" s="61">
        <v>0</v>
      </c>
      <c r="M183" s="61">
        <v>0</v>
      </c>
      <c r="N183" s="61">
        <v>0</v>
      </c>
      <c r="O183" s="61">
        <v>0</v>
      </c>
      <c r="P183" s="61">
        <v>0</v>
      </c>
    </row>
    <row r="184" spans="1:16" ht="12.75">
      <c r="A184" s="77">
        <f t="shared" si="52"/>
        <v>7</v>
      </c>
      <c r="B184" s="60" t="str">
        <f>IF(OR((C178="~"),(C184="~")),"~","")</f>
        <v>~</v>
      </c>
      <c r="C184" s="60" t="s">
        <v>203</v>
      </c>
      <c r="E184" s="61">
        <v>0</v>
      </c>
      <c r="F184" s="61"/>
      <c r="G184" s="61">
        <v>0</v>
      </c>
      <c r="H184" s="61">
        <v>0</v>
      </c>
      <c r="I184" s="61">
        <v>0</v>
      </c>
      <c r="J184" s="61">
        <v>0</v>
      </c>
      <c r="K184" s="61" t="e">
        <v>#REF!</v>
      </c>
      <c r="L184" s="61">
        <v>0</v>
      </c>
      <c r="M184" s="61">
        <v>0</v>
      </c>
      <c r="N184" s="61">
        <v>0</v>
      </c>
      <c r="O184" s="61">
        <v>0</v>
      </c>
      <c r="P184" s="61">
        <v>0</v>
      </c>
    </row>
    <row r="185" spans="1:16" ht="12.75">
      <c r="A185" s="78">
        <f t="shared" si="52"/>
        <v>8</v>
      </c>
      <c r="B185" s="68">
        <f>IF(OR((C178="~"),(C185="~")),"~","")</f>
      </c>
      <c r="C185" s="68" t="str">
        <f>IF(C178="~","~","Sub-total")</f>
        <v>Sub-total</v>
      </c>
      <c r="D185" s="68"/>
      <c r="E185" s="69">
        <f>SUM(E179:E184)</f>
        <v>1453298083.6953135</v>
      </c>
      <c r="F185" s="69"/>
      <c r="G185" s="69">
        <f aca="true" t="shared" si="53" ref="G185:P185">SUM(G179:G184)</f>
        <v>773633571.840578</v>
      </c>
      <c r="H185" s="69">
        <f t="shared" si="53"/>
        <v>175394398.32395416</v>
      </c>
      <c r="I185" s="69">
        <f t="shared" si="53"/>
        <v>194500119.71386322</v>
      </c>
      <c r="J185" s="69">
        <f t="shared" si="53"/>
        <v>130365868.01797022</v>
      </c>
      <c r="K185" s="69" t="e">
        <f t="shared" si="53"/>
        <v>#REF!</v>
      </c>
      <c r="L185" s="69">
        <f t="shared" si="53"/>
        <v>47854898.42829563</v>
      </c>
      <c r="M185" s="69">
        <f t="shared" si="53"/>
        <v>35254299.48395918</v>
      </c>
      <c r="N185" s="69">
        <f t="shared" si="53"/>
        <v>445548.6660792381</v>
      </c>
      <c r="O185" s="69">
        <f t="shared" si="53"/>
        <v>5422143.953710777</v>
      </c>
      <c r="P185" s="69">
        <f t="shared" si="53"/>
        <v>549012.2370848176</v>
      </c>
    </row>
    <row r="186" spans="1:2" ht="12.75">
      <c r="A186" s="77">
        <f t="shared" si="52"/>
        <v>9</v>
      </c>
      <c r="B186" s="60">
        <f>IF(OR((C178="~"),(C186="~")),"~","")</f>
      </c>
    </row>
    <row r="187" spans="1:3" ht="12.75">
      <c r="A187" s="77">
        <f t="shared" si="52"/>
        <v>10</v>
      </c>
      <c r="C187" s="57" t="s">
        <v>204</v>
      </c>
    </row>
    <row r="188" spans="1:16" ht="12.75">
      <c r="A188" s="77">
        <f t="shared" si="52"/>
        <v>11</v>
      </c>
      <c r="B188" s="60">
        <f>IF(OR((C187="~"),(C188="~")),"~","")</f>
      </c>
      <c r="C188" s="60" t="s">
        <v>200</v>
      </c>
      <c r="E188" s="61">
        <v>14105472.243806295</v>
      </c>
      <c r="F188" s="61"/>
      <c r="G188" s="61">
        <v>8630248.808330946</v>
      </c>
      <c r="H188" s="61">
        <v>1496134.6014787448</v>
      </c>
      <c r="I188" s="61">
        <v>1519141.1384547637</v>
      </c>
      <c r="J188" s="61">
        <v>959072.0883670982</v>
      </c>
      <c r="K188" s="61" t="e">
        <v>#REF!</v>
      </c>
      <c r="L188" s="61">
        <v>326815.2430483416</v>
      </c>
      <c r="M188" s="61">
        <v>234731.99300331637</v>
      </c>
      <c r="N188" s="61">
        <v>313787.6926717178</v>
      </c>
      <c r="O188" s="61">
        <v>36931.30191902911</v>
      </c>
      <c r="P188" s="61">
        <v>28345.954132375526</v>
      </c>
    </row>
    <row r="189" spans="1:16" ht="12.75">
      <c r="A189" s="77">
        <f t="shared" si="52"/>
        <v>12</v>
      </c>
      <c r="B189" s="60">
        <f>IF(OR((C187="~"),(C189="~")),"~","")</f>
      </c>
      <c r="C189" s="60" t="s">
        <v>201</v>
      </c>
      <c r="E189" s="61">
        <v>60133855.3551742</v>
      </c>
      <c r="F189" s="61"/>
      <c r="G189" s="61">
        <v>29635793.714307725</v>
      </c>
      <c r="H189" s="61">
        <v>7174381.290897106</v>
      </c>
      <c r="I189" s="61">
        <v>8094342.88987652</v>
      </c>
      <c r="J189" s="61">
        <v>5483833.676039479</v>
      </c>
      <c r="K189" s="61" t="e">
        <v>#REF!</v>
      </c>
      <c r="L189" s="61">
        <v>2037983.6566850815</v>
      </c>
      <c r="M189" s="61">
        <v>1507330.259314594</v>
      </c>
      <c r="N189" s="61">
        <v>1924672.1436306152</v>
      </c>
      <c r="O189" s="61">
        <v>231008.44438000876</v>
      </c>
      <c r="P189" s="61">
        <v>163926.34887171295</v>
      </c>
    </row>
    <row r="190" spans="1:16" ht="12.75">
      <c r="A190" s="77">
        <f t="shared" si="52"/>
        <v>13</v>
      </c>
      <c r="B190" s="60">
        <f>IF(OR((C187="~"),(C190="~")),"~","")</f>
      </c>
      <c r="C190" s="60" t="s">
        <v>202</v>
      </c>
      <c r="E190" s="61">
        <v>0</v>
      </c>
      <c r="F190" s="61"/>
      <c r="G190" s="61">
        <v>0</v>
      </c>
      <c r="H190" s="61">
        <v>0</v>
      </c>
      <c r="I190" s="61">
        <v>0</v>
      </c>
      <c r="J190" s="61">
        <v>0</v>
      </c>
      <c r="K190" s="61" t="e">
        <v>#REF!</v>
      </c>
      <c r="L190" s="61">
        <v>0</v>
      </c>
      <c r="M190" s="61">
        <v>0</v>
      </c>
      <c r="N190" s="61">
        <v>0</v>
      </c>
      <c r="O190" s="61">
        <v>0</v>
      </c>
      <c r="P190" s="61">
        <v>0</v>
      </c>
    </row>
    <row r="191" spans="1:16" ht="12.75">
      <c r="A191" s="77">
        <f t="shared" si="52"/>
        <v>14</v>
      </c>
      <c r="B191" s="60" t="str">
        <f>IF(OR((C187="~"),(C191="~")),"~","")</f>
        <v>~</v>
      </c>
      <c r="C191" s="60" t="s">
        <v>203</v>
      </c>
      <c r="E191" s="61">
        <v>0</v>
      </c>
      <c r="F191" s="61"/>
      <c r="G191" s="61">
        <v>0</v>
      </c>
      <c r="H191" s="61">
        <v>0</v>
      </c>
      <c r="I191" s="61">
        <v>0</v>
      </c>
      <c r="J191" s="61">
        <v>0</v>
      </c>
      <c r="K191" s="61" t="e">
        <v>#REF!</v>
      </c>
      <c r="L191" s="61">
        <v>0</v>
      </c>
      <c r="M191" s="61">
        <v>0</v>
      </c>
      <c r="N191" s="61">
        <v>0</v>
      </c>
      <c r="O191" s="61">
        <v>0</v>
      </c>
      <c r="P191" s="61">
        <v>0</v>
      </c>
    </row>
    <row r="192" spans="1:16" ht="12.75">
      <c r="A192" s="77">
        <f t="shared" si="52"/>
        <v>15</v>
      </c>
      <c r="B192" s="60" t="str">
        <f>IF(OR((C187="~"),(C192="~")),"~","")</f>
        <v>~</v>
      </c>
      <c r="C192" s="60" t="s">
        <v>203</v>
      </c>
      <c r="E192" s="61">
        <v>0</v>
      </c>
      <c r="F192" s="61"/>
      <c r="G192" s="61">
        <v>0</v>
      </c>
      <c r="H192" s="61">
        <v>0</v>
      </c>
      <c r="I192" s="61">
        <v>0</v>
      </c>
      <c r="J192" s="61">
        <v>0</v>
      </c>
      <c r="K192" s="61" t="e">
        <v>#REF!</v>
      </c>
      <c r="L192" s="61">
        <v>0</v>
      </c>
      <c r="M192" s="61">
        <v>0</v>
      </c>
      <c r="N192" s="61">
        <v>0</v>
      </c>
      <c r="O192" s="61">
        <v>0</v>
      </c>
      <c r="P192" s="61">
        <v>0</v>
      </c>
    </row>
    <row r="193" spans="1:16" ht="12.75">
      <c r="A193" s="77">
        <f t="shared" si="52"/>
        <v>16</v>
      </c>
      <c r="B193" s="60" t="str">
        <f>IF(OR((C187="~"),(C193="~")),"~","")</f>
        <v>~</v>
      </c>
      <c r="C193" s="60" t="s">
        <v>203</v>
      </c>
      <c r="E193" s="61">
        <v>0</v>
      </c>
      <c r="F193" s="61"/>
      <c r="G193" s="61">
        <v>0</v>
      </c>
      <c r="H193" s="61">
        <v>0</v>
      </c>
      <c r="I193" s="61">
        <v>0</v>
      </c>
      <c r="J193" s="61">
        <v>0</v>
      </c>
      <c r="K193" s="61" t="e">
        <v>#REF!</v>
      </c>
      <c r="L193" s="61">
        <v>0</v>
      </c>
      <c r="M193" s="61">
        <v>0</v>
      </c>
      <c r="N193" s="61">
        <v>0</v>
      </c>
      <c r="O193" s="61">
        <v>0</v>
      </c>
      <c r="P193" s="61">
        <v>0</v>
      </c>
    </row>
    <row r="194" spans="1:16" ht="12.75">
      <c r="A194" s="78">
        <f t="shared" si="52"/>
        <v>17</v>
      </c>
      <c r="B194" s="68">
        <f>IF(OR((C187="~"),(C194="~")),"~","")</f>
      </c>
      <c r="C194" s="68" t="str">
        <f>IF(C187="~","~","Sub-total")</f>
        <v>Sub-total</v>
      </c>
      <c r="D194" s="68"/>
      <c r="E194" s="69">
        <f>SUM(E188:E193)</f>
        <v>74239327.59898049</v>
      </c>
      <c r="F194" s="69"/>
      <c r="G194" s="69">
        <f aca="true" t="shared" si="54" ref="G194:P194">SUM(G188:G193)</f>
        <v>38266042.52263867</v>
      </c>
      <c r="H194" s="69">
        <f t="shared" si="54"/>
        <v>8670515.892375851</v>
      </c>
      <c r="I194" s="69">
        <f t="shared" si="54"/>
        <v>9613484.028331283</v>
      </c>
      <c r="J194" s="69">
        <f t="shared" si="54"/>
        <v>6442905.764406577</v>
      </c>
      <c r="K194" s="69" t="e">
        <f t="shared" si="54"/>
        <v>#REF!</v>
      </c>
      <c r="L194" s="69">
        <f t="shared" si="54"/>
        <v>2364798.8997334233</v>
      </c>
      <c r="M194" s="69">
        <f t="shared" si="54"/>
        <v>1742062.2523179105</v>
      </c>
      <c r="N194" s="69">
        <f t="shared" si="54"/>
        <v>2238459.836302333</v>
      </c>
      <c r="O194" s="69">
        <f t="shared" si="54"/>
        <v>267939.7462990379</v>
      </c>
      <c r="P194" s="69">
        <f t="shared" si="54"/>
        <v>192272.30300408846</v>
      </c>
    </row>
    <row r="195" spans="1:2" ht="12.75">
      <c r="A195" s="77">
        <f t="shared" si="52"/>
        <v>18</v>
      </c>
      <c r="B195" s="60">
        <f>IF(OR((C187="~"),(C195="~")),"~","")</f>
      </c>
    </row>
    <row r="196" spans="1:3" ht="12.75">
      <c r="A196" s="77">
        <f t="shared" si="52"/>
        <v>19</v>
      </c>
      <c r="C196" s="57" t="s">
        <v>205</v>
      </c>
    </row>
    <row r="197" spans="1:16" ht="12.75">
      <c r="A197" s="77">
        <f t="shared" si="52"/>
        <v>20</v>
      </c>
      <c r="B197" s="60">
        <f>IF(OR((C196="~"),(C197="~")),"~","")</f>
      </c>
      <c r="C197" s="60" t="s">
        <v>200</v>
      </c>
      <c r="E197" s="61">
        <v>319606471.65167964</v>
      </c>
      <c r="F197" s="61"/>
      <c r="G197" s="61">
        <v>205031289.9994561</v>
      </c>
      <c r="H197" s="61">
        <v>37531284.39444988</v>
      </c>
      <c r="I197" s="61">
        <v>33305130.806593616</v>
      </c>
      <c r="J197" s="61">
        <v>16282821.650123022</v>
      </c>
      <c r="K197" s="61" t="e">
        <v>#REF!</v>
      </c>
      <c r="L197" s="61">
        <v>4767331.845518315</v>
      </c>
      <c r="M197" s="61">
        <v>1810557.7929162337</v>
      </c>
      <c r="N197" s="61">
        <v>2020610.3370617006</v>
      </c>
      <c r="O197" s="61">
        <v>1873685.0789085508</v>
      </c>
      <c r="P197" s="61">
        <v>476748.4098475386</v>
      </c>
    </row>
    <row r="198" spans="1:16" ht="12.75">
      <c r="A198" s="77">
        <f t="shared" si="52"/>
        <v>21</v>
      </c>
      <c r="B198" s="60">
        <f>IF(OR((C196="~"),(C198="~")),"~","")</f>
      </c>
      <c r="C198" s="60" t="s">
        <v>201</v>
      </c>
      <c r="E198" s="61">
        <v>78114581.64633045</v>
      </c>
      <c r="F198" s="61"/>
      <c r="G198" s="61">
        <v>36477045.21238869</v>
      </c>
      <c r="H198" s="61">
        <v>8830545.698954038</v>
      </c>
      <c r="I198" s="61">
        <v>9962875.109906593</v>
      </c>
      <c r="J198" s="61">
        <v>6749744.949180768</v>
      </c>
      <c r="K198" s="61" t="e">
        <v>#REF!</v>
      </c>
      <c r="L198" s="61">
        <v>2508440.391495939</v>
      </c>
      <c r="M198" s="61">
        <v>1855288.7278492243</v>
      </c>
      <c r="N198" s="61">
        <v>6181705.322175828</v>
      </c>
      <c r="O198" s="61">
        <v>284335.4070866326</v>
      </c>
      <c r="P198" s="61">
        <v>488207.7805824036</v>
      </c>
    </row>
    <row r="199" spans="1:16" ht="12.75">
      <c r="A199" s="77">
        <f t="shared" si="52"/>
        <v>22</v>
      </c>
      <c r="B199" s="60">
        <f>IF(OR((C196="~"),(C199="~")),"~","")</f>
      </c>
      <c r="C199" s="60" t="s">
        <v>202</v>
      </c>
      <c r="E199" s="61">
        <v>171562184.8636642</v>
      </c>
      <c r="F199" s="61"/>
      <c r="G199" s="61">
        <v>123182505.01053146</v>
      </c>
      <c r="H199" s="61">
        <v>21539910.959660616</v>
      </c>
      <c r="I199" s="61">
        <v>8106847.66080173</v>
      </c>
      <c r="J199" s="61">
        <v>1803712.4778100457</v>
      </c>
      <c r="K199" s="61" t="e">
        <v>#REF!</v>
      </c>
      <c r="L199" s="61">
        <v>1379538.0306962202</v>
      </c>
      <c r="M199" s="61">
        <v>493097.9744284932</v>
      </c>
      <c r="N199" s="61">
        <v>218842.86527201178</v>
      </c>
      <c r="O199" s="61">
        <v>11010967.183526617</v>
      </c>
      <c r="P199" s="61">
        <v>104531.24605095544</v>
      </c>
    </row>
    <row r="200" spans="1:16" ht="12.75">
      <c r="A200" s="77">
        <f t="shared" si="52"/>
        <v>23</v>
      </c>
      <c r="B200" s="60" t="str">
        <f>IF(OR((C196="~"),(C200="~")),"~","")</f>
        <v>~</v>
      </c>
      <c r="C200" s="60" t="s">
        <v>203</v>
      </c>
      <c r="E200" s="61">
        <v>0</v>
      </c>
      <c r="F200" s="61"/>
      <c r="G200" s="61">
        <v>0</v>
      </c>
      <c r="H200" s="61">
        <v>0</v>
      </c>
      <c r="I200" s="61">
        <v>0</v>
      </c>
      <c r="J200" s="61">
        <v>0</v>
      </c>
      <c r="K200" s="61" t="e">
        <v>#REF!</v>
      </c>
      <c r="L200" s="61">
        <v>0</v>
      </c>
      <c r="M200" s="61">
        <v>0</v>
      </c>
      <c r="N200" s="61">
        <v>0</v>
      </c>
      <c r="O200" s="61">
        <v>0</v>
      </c>
      <c r="P200" s="61">
        <v>0</v>
      </c>
    </row>
    <row r="201" spans="1:16" ht="12.75">
      <c r="A201" s="77">
        <f t="shared" si="52"/>
        <v>24</v>
      </c>
      <c r="B201" s="60" t="str">
        <f>IF(OR((C196="~"),(C201="~")),"~","")</f>
        <v>~</v>
      </c>
      <c r="C201" s="60" t="s">
        <v>203</v>
      </c>
      <c r="E201" s="61">
        <v>0</v>
      </c>
      <c r="F201" s="61"/>
      <c r="G201" s="61">
        <v>0</v>
      </c>
      <c r="H201" s="61">
        <v>0</v>
      </c>
      <c r="I201" s="61">
        <v>0</v>
      </c>
      <c r="J201" s="61">
        <v>0</v>
      </c>
      <c r="K201" s="61" t="e">
        <v>#REF!</v>
      </c>
      <c r="L201" s="61">
        <v>0</v>
      </c>
      <c r="M201" s="61">
        <v>0</v>
      </c>
      <c r="N201" s="61">
        <v>0</v>
      </c>
      <c r="O201" s="61">
        <v>0</v>
      </c>
      <c r="P201" s="61">
        <v>0</v>
      </c>
    </row>
    <row r="202" spans="1:16" ht="12.75">
      <c r="A202" s="77">
        <f t="shared" si="52"/>
        <v>25</v>
      </c>
      <c r="B202" s="60" t="str">
        <f>IF(OR((C196="~"),(C202="~")),"~","")</f>
        <v>~</v>
      </c>
      <c r="C202" s="60" t="s">
        <v>203</v>
      </c>
      <c r="E202" s="61">
        <v>0</v>
      </c>
      <c r="F202" s="61"/>
      <c r="G202" s="61">
        <v>0</v>
      </c>
      <c r="H202" s="61">
        <v>0</v>
      </c>
      <c r="I202" s="61">
        <v>0</v>
      </c>
      <c r="J202" s="61">
        <v>0</v>
      </c>
      <c r="K202" s="61" t="e">
        <v>#REF!</v>
      </c>
      <c r="L202" s="61">
        <v>0</v>
      </c>
      <c r="M202" s="61">
        <v>0</v>
      </c>
      <c r="N202" s="61">
        <v>0</v>
      </c>
      <c r="O202" s="61">
        <v>0</v>
      </c>
      <c r="P202" s="61">
        <v>0</v>
      </c>
    </row>
    <row r="203" spans="1:16" ht="12.75">
      <c r="A203" s="78">
        <f t="shared" si="52"/>
        <v>26</v>
      </c>
      <c r="B203" s="68">
        <f>IF(OR((C196="~"),(C203="~")),"~","")</f>
      </c>
      <c r="C203" s="68" t="str">
        <f>IF(C196="~","~","Sub-total")</f>
        <v>Sub-total</v>
      </c>
      <c r="D203" s="68"/>
      <c r="E203" s="69">
        <f>SUM(E197:E202)</f>
        <v>569283238.1616743</v>
      </c>
      <c r="F203" s="69"/>
      <c r="G203" s="69">
        <f aca="true" t="shared" si="55" ref="G203:P203">SUM(G197:G202)</f>
        <v>364690840.2223762</v>
      </c>
      <c r="H203" s="69">
        <f t="shared" si="55"/>
        <v>67901741.05306454</v>
      </c>
      <c r="I203" s="69">
        <f t="shared" si="55"/>
        <v>51374853.57730194</v>
      </c>
      <c r="J203" s="69">
        <f t="shared" si="55"/>
        <v>24836279.077113837</v>
      </c>
      <c r="K203" s="69" t="e">
        <f t="shared" si="55"/>
        <v>#REF!</v>
      </c>
      <c r="L203" s="69">
        <f t="shared" si="55"/>
        <v>8655310.267710475</v>
      </c>
      <c r="M203" s="69">
        <f t="shared" si="55"/>
        <v>4158944.4951939513</v>
      </c>
      <c r="N203" s="69">
        <f t="shared" si="55"/>
        <v>8421158.52450954</v>
      </c>
      <c r="O203" s="69">
        <f t="shared" si="55"/>
        <v>13168987.6695218</v>
      </c>
      <c r="P203" s="69">
        <f t="shared" si="55"/>
        <v>1069487.4364808977</v>
      </c>
    </row>
    <row r="204" spans="1:2" ht="12.75" hidden="1">
      <c r="A204" s="77"/>
      <c r="B204" s="60">
        <f>IF(OR((C196="~"),(C204="~")),"~","")</f>
      </c>
    </row>
    <row r="205" spans="1:3" ht="12.75" hidden="1">
      <c r="A205" s="77"/>
      <c r="B205" s="60" t="s">
        <v>203</v>
      </c>
      <c r="C205" s="57"/>
    </row>
    <row r="206" spans="1:16" ht="12.75" hidden="1">
      <c r="A206" s="77"/>
      <c r="B206" s="60" t="str">
        <f>IF(OR((B205="~"),(C206="~")),"~","")</f>
        <v>~</v>
      </c>
      <c r="C206" s="60" t="s">
        <v>203</v>
      </c>
      <c r="E206" s="61">
        <v>0</v>
      </c>
      <c r="F206" s="61"/>
      <c r="G206" s="61">
        <v>0</v>
      </c>
      <c r="H206" s="61">
        <v>0</v>
      </c>
      <c r="I206" s="61">
        <v>0</v>
      </c>
      <c r="J206" s="61">
        <v>0</v>
      </c>
      <c r="K206" s="61">
        <v>0</v>
      </c>
      <c r="L206" s="61">
        <v>0</v>
      </c>
      <c r="M206" s="61">
        <v>0</v>
      </c>
      <c r="N206" s="61">
        <v>0</v>
      </c>
      <c r="O206" s="61">
        <v>0</v>
      </c>
      <c r="P206" s="61">
        <v>0</v>
      </c>
    </row>
    <row r="207" spans="1:16" ht="12.75" hidden="1">
      <c r="A207" s="77"/>
      <c r="B207" s="60" t="str">
        <f>IF(OR((B205="~"),(C207="~")),"~","")</f>
        <v>~</v>
      </c>
      <c r="C207" s="60" t="s">
        <v>203</v>
      </c>
      <c r="E207" s="61">
        <v>0</v>
      </c>
      <c r="F207" s="61"/>
      <c r="G207" s="61">
        <v>0</v>
      </c>
      <c r="H207" s="61">
        <v>0</v>
      </c>
      <c r="I207" s="61">
        <v>0</v>
      </c>
      <c r="J207" s="61">
        <v>0</v>
      </c>
      <c r="K207" s="61">
        <v>0</v>
      </c>
      <c r="L207" s="61">
        <v>0</v>
      </c>
      <c r="M207" s="61">
        <v>0</v>
      </c>
      <c r="N207" s="61">
        <v>0</v>
      </c>
      <c r="O207" s="61">
        <v>0</v>
      </c>
      <c r="P207" s="61">
        <v>0</v>
      </c>
    </row>
    <row r="208" spans="1:16" ht="12.75" hidden="1">
      <c r="A208" s="77"/>
      <c r="B208" s="60" t="str">
        <f>IF(OR((B205="~"),(C208="~")),"~","")</f>
        <v>~</v>
      </c>
      <c r="C208" s="60" t="s">
        <v>203</v>
      </c>
      <c r="E208" s="61">
        <v>0</v>
      </c>
      <c r="F208" s="61"/>
      <c r="G208" s="61">
        <v>0</v>
      </c>
      <c r="H208" s="61">
        <v>0</v>
      </c>
      <c r="I208" s="61">
        <v>0</v>
      </c>
      <c r="J208" s="61">
        <v>0</v>
      </c>
      <c r="K208" s="61">
        <v>0</v>
      </c>
      <c r="L208" s="61">
        <v>0</v>
      </c>
      <c r="M208" s="61">
        <v>0</v>
      </c>
      <c r="N208" s="61">
        <v>0</v>
      </c>
      <c r="O208" s="61">
        <v>0</v>
      </c>
      <c r="P208" s="61">
        <v>0</v>
      </c>
    </row>
    <row r="209" spans="1:16" ht="12.75" hidden="1">
      <c r="A209" s="77"/>
      <c r="B209" s="60" t="str">
        <f>IF(OR((B205="~"),(C209="~")),"~","")</f>
        <v>~</v>
      </c>
      <c r="C209" s="60" t="s">
        <v>203</v>
      </c>
      <c r="E209" s="61">
        <v>0</v>
      </c>
      <c r="F209" s="61"/>
      <c r="G209" s="61">
        <v>0</v>
      </c>
      <c r="H209" s="61">
        <v>0</v>
      </c>
      <c r="I209" s="61">
        <v>0</v>
      </c>
      <c r="J209" s="61">
        <v>0</v>
      </c>
      <c r="K209" s="61">
        <v>0</v>
      </c>
      <c r="L209" s="61">
        <v>0</v>
      </c>
      <c r="M209" s="61">
        <v>0</v>
      </c>
      <c r="N209" s="61">
        <v>0</v>
      </c>
      <c r="O209" s="61">
        <v>0</v>
      </c>
      <c r="P209" s="61">
        <v>0</v>
      </c>
    </row>
    <row r="210" spans="1:16" ht="12.75" hidden="1">
      <c r="A210" s="77"/>
      <c r="B210" s="60" t="str">
        <f>IF(OR((B205="~"),(C210="~")),"~","")</f>
        <v>~</v>
      </c>
      <c r="C210" s="60" t="s">
        <v>203</v>
      </c>
      <c r="E210" s="61">
        <v>0</v>
      </c>
      <c r="F210" s="61"/>
      <c r="G210" s="61">
        <v>0</v>
      </c>
      <c r="H210" s="61">
        <v>0</v>
      </c>
      <c r="I210" s="61">
        <v>0</v>
      </c>
      <c r="J210" s="61">
        <v>0</v>
      </c>
      <c r="K210" s="61">
        <v>0</v>
      </c>
      <c r="L210" s="61">
        <v>0</v>
      </c>
      <c r="M210" s="61">
        <v>0</v>
      </c>
      <c r="N210" s="61">
        <v>0</v>
      </c>
      <c r="O210" s="61">
        <v>0</v>
      </c>
      <c r="P210" s="61">
        <v>0</v>
      </c>
    </row>
    <row r="211" spans="1:16" ht="12.75" hidden="1">
      <c r="A211" s="77"/>
      <c r="B211" s="60" t="str">
        <f>IF(OR((B205="~"),(C211="~")),"~","")</f>
        <v>~</v>
      </c>
      <c r="C211" s="60" t="s">
        <v>203</v>
      </c>
      <c r="E211" s="61">
        <v>0</v>
      </c>
      <c r="F211" s="61"/>
      <c r="G211" s="61">
        <v>0</v>
      </c>
      <c r="H211" s="61">
        <v>0</v>
      </c>
      <c r="I211" s="61">
        <v>0</v>
      </c>
      <c r="J211" s="61">
        <v>0</v>
      </c>
      <c r="K211" s="61">
        <v>0</v>
      </c>
      <c r="L211" s="61">
        <v>0</v>
      </c>
      <c r="M211" s="61">
        <v>0</v>
      </c>
      <c r="N211" s="61">
        <v>0</v>
      </c>
      <c r="O211" s="61">
        <v>0</v>
      </c>
      <c r="P211" s="61">
        <v>0</v>
      </c>
    </row>
    <row r="212" spans="1:16" ht="12.75" hidden="1">
      <c r="A212" s="78"/>
      <c r="B212" s="68" t="str">
        <f>IF(OR((B205="~"),(C212="~")),"~","")</f>
        <v>~</v>
      </c>
      <c r="C212" s="68" t="str">
        <f>IF(B205="~","~","Sub-total")</f>
        <v>~</v>
      </c>
      <c r="D212" s="68"/>
      <c r="E212" s="69">
        <f>SUM(E206:E211)</f>
        <v>0</v>
      </c>
      <c r="F212" s="69"/>
      <c r="G212" s="69">
        <f aca="true" t="shared" si="56" ref="G212:P212">SUM(G206:G211)</f>
        <v>0</v>
      </c>
      <c r="H212" s="69">
        <f t="shared" si="56"/>
        <v>0</v>
      </c>
      <c r="I212" s="69">
        <f t="shared" si="56"/>
        <v>0</v>
      </c>
      <c r="J212" s="69">
        <f t="shared" si="56"/>
        <v>0</v>
      </c>
      <c r="K212" s="69">
        <f t="shared" si="56"/>
        <v>0</v>
      </c>
      <c r="L212" s="69">
        <f t="shared" si="56"/>
        <v>0</v>
      </c>
      <c r="M212" s="69">
        <f t="shared" si="56"/>
        <v>0</v>
      </c>
      <c r="N212" s="69">
        <f t="shared" si="56"/>
        <v>0</v>
      </c>
      <c r="O212" s="69">
        <f t="shared" si="56"/>
        <v>0</v>
      </c>
      <c r="P212" s="69">
        <f t="shared" si="56"/>
        <v>0</v>
      </c>
    </row>
    <row r="213" spans="1:2" ht="12.75" hidden="1">
      <c r="A213" s="77"/>
      <c r="B213" s="60" t="str">
        <f>IF(OR((B205="~"),(C213="~")),"~","")</f>
        <v>~</v>
      </c>
    </row>
    <row r="214" spans="1:3" ht="12.75" hidden="1">
      <c r="A214" s="77"/>
      <c r="B214" s="60" t="s">
        <v>203</v>
      </c>
      <c r="C214" s="57"/>
    </row>
    <row r="215" spans="1:16" ht="12.75" hidden="1">
      <c r="A215" s="77"/>
      <c r="B215" s="60" t="str">
        <f>IF(OR((B214="~"),(C215="~")),"~","")</f>
        <v>~</v>
      </c>
      <c r="C215" s="60" t="s">
        <v>203</v>
      </c>
      <c r="E215" s="61">
        <v>0</v>
      </c>
      <c r="F215" s="61"/>
      <c r="G215" s="61">
        <v>0</v>
      </c>
      <c r="H215" s="61">
        <v>0</v>
      </c>
      <c r="I215" s="61">
        <v>0</v>
      </c>
      <c r="J215" s="61">
        <v>0</v>
      </c>
      <c r="K215" s="61">
        <v>0</v>
      </c>
      <c r="L215" s="61">
        <v>0</v>
      </c>
      <c r="M215" s="61">
        <v>0</v>
      </c>
      <c r="N215" s="61">
        <v>0</v>
      </c>
      <c r="O215" s="61">
        <v>0</v>
      </c>
      <c r="P215" s="61">
        <v>0</v>
      </c>
    </row>
    <row r="216" spans="1:16" ht="12.75" hidden="1">
      <c r="A216" s="77"/>
      <c r="B216" s="60" t="str">
        <f>IF(OR((B214="~"),(C216="~")),"~","")</f>
        <v>~</v>
      </c>
      <c r="C216" s="60" t="s">
        <v>203</v>
      </c>
      <c r="E216" s="61">
        <v>0</v>
      </c>
      <c r="F216" s="61"/>
      <c r="G216" s="61">
        <v>0</v>
      </c>
      <c r="H216" s="61">
        <v>0</v>
      </c>
      <c r="I216" s="61">
        <v>0</v>
      </c>
      <c r="J216" s="61">
        <v>0</v>
      </c>
      <c r="K216" s="61">
        <v>0</v>
      </c>
      <c r="L216" s="61">
        <v>0</v>
      </c>
      <c r="M216" s="61">
        <v>0</v>
      </c>
      <c r="N216" s="61">
        <v>0</v>
      </c>
      <c r="O216" s="61">
        <v>0</v>
      </c>
      <c r="P216" s="61">
        <v>0</v>
      </c>
    </row>
    <row r="217" spans="1:16" ht="12.75" hidden="1">
      <c r="A217" s="77"/>
      <c r="B217" s="60" t="str">
        <f>IF(OR((B214="~"),(C217="~")),"~","")</f>
        <v>~</v>
      </c>
      <c r="C217" s="60" t="s">
        <v>203</v>
      </c>
      <c r="E217" s="61">
        <v>0</v>
      </c>
      <c r="F217" s="61"/>
      <c r="G217" s="61">
        <v>0</v>
      </c>
      <c r="H217" s="61">
        <v>0</v>
      </c>
      <c r="I217" s="61">
        <v>0</v>
      </c>
      <c r="J217" s="61">
        <v>0</v>
      </c>
      <c r="K217" s="61">
        <v>0</v>
      </c>
      <c r="L217" s="61">
        <v>0</v>
      </c>
      <c r="M217" s="61">
        <v>0</v>
      </c>
      <c r="N217" s="61">
        <v>0</v>
      </c>
      <c r="O217" s="61">
        <v>0</v>
      </c>
      <c r="P217" s="61">
        <v>0</v>
      </c>
    </row>
    <row r="218" spans="1:16" ht="12.75" hidden="1">
      <c r="A218" s="77"/>
      <c r="B218" s="60" t="str">
        <f>IF(OR((B214="~"),(C218="~")),"~","")</f>
        <v>~</v>
      </c>
      <c r="C218" s="60" t="s">
        <v>203</v>
      </c>
      <c r="E218" s="61">
        <v>0</v>
      </c>
      <c r="F218" s="61"/>
      <c r="G218" s="61">
        <v>0</v>
      </c>
      <c r="H218" s="61">
        <v>0</v>
      </c>
      <c r="I218" s="61">
        <v>0</v>
      </c>
      <c r="J218" s="61">
        <v>0</v>
      </c>
      <c r="K218" s="61">
        <v>0</v>
      </c>
      <c r="L218" s="61">
        <v>0</v>
      </c>
      <c r="M218" s="61">
        <v>0</v>
      </c>
      <c r="N218" s="61">
        <v>0</v>
      </c>
      <c r="O218" s="61">
        <v>0</v>
      </c>
      <c r="P218" s="61">
        <v>0</v>
      </c>
    </row>
    <row r="219" spans="1:16" ht="12.75" hidden="1">
      <c r="A219" s="77"/>
      <c r="B219" s="60" t="str">
        <f>IF(OR((B214="~"),(C219="~")),"~","")</f>
        <v>~</v>
      </c>
      <c r="C219" s="60" t="s">
        <v>203</v>
      </c>
      <c r="E219" s="61">
        <v>0</v>
      </c>
      <c r="F219" s="61"/>
      <c r="G219" s="61">
        <v>0</v>
      </c>
      <c r="H219" s="61">
        <v>0</v>
      </c>
      <c r="I219" s="61">
        <v>0</v>
      </c>
      <c r="J219" s="61">
        <v>0</v>
      </c>
      <c r="K219" s="61">
        <v>0</v>
      </c>
      <c r="L219" s="61">
        <v>0</v>
      </c>
      <c r="M219" s="61">
        <v>0</v>
      </c>
      <c r="N219" s="61">
        <v>0</v>
      </c>
      <c r="O219" s="61">
        <v>0</v>
      </c>
      <c r="P219" s="61">
        <v>0</v>
      </c>
    </row>
    <row r="220" spans="1:16" ht="12.75" hidden="1">
      <c r="A220" s="77"/>
      <c r="B220" s="60" t="str">
        <f>IF(OR((B214="~"),(C220="~")),"~","")</f>
        <v>~</v>
      </c>
      <c r="C220" s="60" t="s">
        <v>203</v>
      </c>
      <c r="E220" s="61">
        <v>0</v>
      </c>
      <c r="F220" s="61"/>
      <c r="G220" s="61">
        <v>0</v>
      </c>
      <c r="H220" s="61">
        <v>0</v>
      </c>
      <c r="I220" s="61">
        <v>0</v>
      </c>
      <c r="J220" s="61">
        <v>0</v>
      </c>
      <c r="K220" s="61">
        <v>0</v>
      </c>
      <c r="L220" s="61">
        <v>0</v>
      </c>
      <c r="M220" s="61">
        <v>0</v>
      </c>
      <c r="N220" s="61">
        <v>0</v>
      </c>
      <c r="O220" s="61">
        <v>0</v>
      </c>
      <c r="P220" s="61">
        <v>0</v>
      </c>
    </row>
    <row r="221" spans="1:16" ht="12.75" hidden="1">
      <c r="A221" s="78"/>
      <c r="B221" s="68" t="str">
        <f>IF(OR((B214="~"),(C221="~")),"~","")</f>
        <v>~</v>
      </c>
      <c r="C221" s="68" t="str">
        <f>IF(B214="~","~","Sub-total")</f>
        <v>~</v>
      </c>
      <c r="D221" s="68"/>
      <c r="E221" s="69">
        <f>SUM(E215:E220)</f>
        <v>0</v>
      </c>
      <c r="F221" s="69"/>
      <c r="G221" s="69">
        <f aca="true" t="shared" si="57" ref="G221:P221">SUM(G215:G220)</f>
        <v>0</v>
      </c>
      <c r="H221" s="69">
        <f t="shared" si="57"/>
        <v>0</v>
      </c>
      <c r="I221" s="69">
        <f t="shared" si="57"/>
        <v>0</v>
      </c>
      <c r="J221" s="69">
        <f t="shared" si="57"/>
        <v>0</v>
      </c>
      <c r="K221" s="69">
        <f t="shared" si="57"/>
        <v>0</v>
      </c>
      <c r="L221" s="69">
        <f t="shared" si="57"/>
        <v>0</v>
      </c>
      <c r="M221" s="69">
        <f t="shared" si="57"/>
        <v>0</v>
      </c>
      <c r="N221" s="69">
        <f t="shared" si="57"/>
        <v>0</v>
      </c>
      <c r="O221" s="69">
        <f t="shared" si="57"/>
        <v>0</v>
      </c>
      <c r="P221" s="69">
        <f t="shared" si="57"/>
        <v>0</v>
      </c>
    </row>
    <row r="222" spans="1:2" ht="12.75" hidden="1">
      <c r="A222" s="77"/>
      <c r="B222" s="60" t="str">
        <f>IF(OR((B214="~"),(C222="~")),"~","")</f>
        <v>~</v>
      </c>
    </row>
    <row r="223" spans="1:3" ht="12.75" hidden="1">
      <c r="A223" s="77"/>
      <c r="B223" s="60" t="s">
        <v>203</v>
      </c>
      <c r="C223" s="57"/>
    </row>
    <row r="224" spans="1:16" ht="12.75" hidden="1">
      <c r="A224" s="77"/>
      <c r="B224" s="60" t="str">
        <f>IF(OR((B223="~"),(C224="~")),"~","")</f>
        <v>~</v>
      </c>
      <c r="C224" s="60" t="s">
        <v>203</v>
      </c>
      <c r="E224" s="61">
        <v>0</v>
      </c>
      <c r="F224" s="61"/>
      <c r="G224" s="61">
        <v>0</v>
      </c>
      <c r="H224" s="61">
        <v>0</v>
      </c>
      <c r="I224" s="61">
        <v>0</v>
      </c>
      <c r="J224" s="61">
        <v>0</v>
      </c>
      <c r="K224" s="61">
        <v>0</v>
      </c>
      <c r="L224" s="61">
        <v>0</v>
      </c>
      <c r="M224" s="61">
        <v>0</v>
      </c>
      <c r="N224" s="61">
        <v>0</v>
      </c>
      <c r="O224" s="61">
        <v>0</v>
      </c>
      <c r="P224" s="61">
        <v>0</v>
      </c>
    </row>
    <row r="225" spans="1:16" ht="12.75" hidden="1">
      <c r="A225" s="77"/>
      <c r="B225" s="60" t="str">
        <f>IF(OR((B223="~"),(C225="~")),"~","")</f>
        <v>~</v>
      </c>
      <c r="C225" s="60" t="s">
        <v>203</v>
      </c>
      <c r="E225" s="61">
        <v>0</v>
      </c>
      <c r="F225" s="61"/>
      <c r="G225" s="61">
        <v>0</v>
      </c>
      <c r="H225" s="61">
        <v>0</v>
      </c>
      <c r="I225" s="61">
        <v>0</v>
      </c>
      <c r="J225" s="61">
        <v>0</v>
      </c>
      <c r="K225" s="61">
        <v>0</v>
      </c>
      <c r="L225" s="61">
        <v>0</v>
      </c>
      <c r="M225" s="61">
        <v>0</v>
      </c>
      <c r="N225" s="61">
        <v>0</v>
      </c>
      <c r="O225" s="61">
        <v>0</v>
      </c>
      <c r="P225" s="61">
        <v>0</v>
      </c>
    </row>
    <row r="226" spans="1:16" ht="12.75" hidden="1">
      <c r="A226" s="77"/>
      <c r="B226" s="60" t="str">
        <f>IF(OR((B223="~"),(C226="~")),"~","")</f>
        <v>~</v>
      </c>
      <c r="C226" s="60" t="s">
        <v>203</v>
      </c>
      <c r="E226" s="61">
        <v>0</v>
      </c>
      <c r="F226" s="61"/>
      <c r="G226" s="61">
        <v>0</v>
      </c>
      <c r="H226" s="61">
        <v>0</v>
      </c>
      <c r="I226" s="61">
        <v>0</v>
      </c>
      <c r="J226" s="61">
        <v>0</v>
      </c>
      <c r="K226" s="61">
        <v>0</v>
      </c>
      <c r="L226" s="61">
        <v>0</v>
      </c>
      <c r="M226" s="61">
        <v>0</v>
      </c>
      <c r="N226" s="61">
        <v>0</v>
      </c>
      <c r="O226" s="61">
        <v>0</v>
      </c>
      <c r="P226" s="61">
        <v>0</v>
      </c>
    </row>
    <row r="227" spans="1:16" ht="12.75" hidden="1">
      <c r="A227" s="77"/>
      <c r="B227" s="60" t="str">
        <f>IF(OR((B223="~"),(C227="~")),"~","")</f>
        <v>~</v>
      </c>
      <c r="C227" s="60" t="s">
        <v>203</v>
      </c>
      <c r="E227" s="61">
        <v>0</v>
      </c>
      <c r="F227" s="61"/>
      <c r="G227" s="61">
        <v>0</v>
      </c>
      <c r="H227" s="61">
        <v>0</v>
      </c>
      <c r="I227" s="61">
        <v>0</v>
      </c>
      <c r="J227" s="61">
        <v>0</v>
      </c>
      <c r="K227" s="61">
        <v>0</v>
      </c>
      <c r="L227" s="61">
        <v>0</v>
      </c>
      <c r="M227" s="61">
        <v>0</v>
      </c>
      <c r="N227" s="61">
        <v>0</v>
      </c>
      <c r="O227" s="61">
        <v>0</v>
      </c>
      <c r="P227" s="61">
        <v>0</v>
      </c>
    </row>
    <row r="228" spans="1:16" ht="12.75" hidden="1">
      <c r="A228" s="77"/>
      <c r="B228" s="60" t="str">
        <f>IF(OR((B223="~"),(C228="~")),"~","")</f>
        <v>~</v>
      </c>
      <c r="C228" s="60" t="s">
        <v>203</v>
      </c>
      <c r="E228" s="61">
        <v>0</v>
      </c>
      <c r="F228" s="61"/>
      <c r="G228" s="61">
        <v>0</v>
      </c>
      <c r="H228" s="61">
        <v>0</v>
      </c>
      <c r="I228" s="61">
        <v>0</v>
      </c>
      <c r="J228" s="61">
        <v>0</v>
      </c>
      <c r="K228" s="61">
        <v>0</v>
      </c>
      <c r="L228" s="61">
        <v>0</v>
      </c>
      <c r="M228" s="61">
        <v>0</v>
      </c>
      <c r="N228" s="61">
        <v>0</v>
      </c>
      <c r="O228" s="61">
        <v>0</v>
      </c>
      <c r="P228" s="61">
        <v>0</v>
      </c>
    </row>
    <row r="229" spans="1:16" ht="12.75" hidden="1">
      <c r="A229" s="77"/>
      <c r="B229" s="60" t="str">
        <f>IF(OR((B223="~"),(C229="~")),"~","")</f>
        <v>~</v>
      </c>
      <c r="C229" s="60" t="s">
        <v>203</v>
      </c>
      <c r="E229" s="61">
        <v>0</v>
      </c>
      <c r="F229" s="61"/>
      <c r="G229" s="61">
        <v>0</v>
      </c>
      <c r="H229" s="61">
        <v>0</v>
      </c>
      <c r="I229" s="61">
        <v>0</v>
      </c>
      <c r="J229" s="61">
        <v>0</v>
      </c>
      <c r="K229" s="61">
        <v>0</v>
      </c>
      <c r="L229" s="61">
        <v>0</v>
      </c>
      <c r="M229" s="61">
        <v>0</v>
      </c>
      <c r="N229" s="61">
        <v>0</v>
      </c>
      <c r="O229" s="61">
        <v>0</v>
      </c>
      <c r="P229" s="61">
        <v>0</v>
      </c>
    </row>
    <row r="230" spans="1:16" ht="12.75" hidden="1">
      <c r="A230" s="78"/>
      <c r="B230" s="68" t="str">
        <f>IF(OR((B223="~"),(C230="~")),"~","")</f>
        <v>~</v>
      </c>
      <c r="C230" s="68" t="str">
        <f>IF(B223="~","~","Sub-total")</f>
        <v>~</v>
      </c>
      <c r="D230" s="68"/>
      <c r="E230" s="69">
        <f>SUM(E224:E229)</f>
        <v>0</v>
      </c>
      <c r="F230" s="69"/>
      <c r="G230" s="69">
        <f aca="true" t="shared" si="58" ref="G230:P230">SUM(G224:G229)</f>
        <v>0</v>
      </c>
      <c r="H230" s="69">
        <f t="shared" si="58"/>
        <v>0</v>
      </c>
      <c r="I230" s="69">
        <f t="shared" si="58"/>
        <v>0</v>
      </c>
      <c r="J230" s="69">
        <f t="shared" si="58"/>
        <v>0</v>
      </c>
      <c r="K230" s="69">
        <f t="shared" si="58"/>
        <v>0</v>
      </c>
      <c r="L230" s="69">
        <f t="shared" si="58"/>
        <v>0</v>
      </c>
      <c r="M230" s="69">
        <f t="shared" si="58"/>
        <v>0</v>
      </c>
      <c r="N230" s="69">
        <f t="shared" si="58"/>
        <v>0</v>
      </c>
      <c r="O230" s="69">
        <f t="shared" si="58"/>
        <v>0</v>
      </c>
      <c r="P230" s="69">
        <f t="shared" si="58"/>
        <v>0</v>
      </c>
    </row>
    <row r="231" spans="1:2" ht="12.75" hidden="1">
      <c r="A231" s="77"/>
      <c r="B231" s="60" t="str">
        <f>IF(OR((B223="~"),(C231="~")),"~","")</f>
        <v>~</v>
      </c>
    </row>
    <row r="232" spans="1:3" ht="12.75" hidden="1">
      <c r="A232" s="77"/>
      <c r="B232" s="60" t="s">
        <v>203</v>
      </c>
      <c r="C232" s="57"/>
    </row>
    <row r="233" spans="1:16" ht="12.75" hidden="1">
      <c r="A233" s="77"/>
      <c r="B233" s="60" t="str">
        <f>IF(OR((B232="~"),(C233="~")),"~","")</f>
        <v>~</v>
      </c>
      <c r="C233" s="60" t="s">
        <v>203</v>
      </c>
      <c r="E233" s="61">
        <v>0</v>
      </c>
      <c r="F233" s="61"/>
      <c r="G233" s="61">
        <v>0</v>
      </c>
      <c r="H233" s="61">
        <v>0</v>
      </c>
      <c r="I233" s="61">
        <v>0</v>
      </c>
      <c r="J233" s="61">
        <v>0</v>
      </c>
      <c r="K233" s="61">
        <v>0</v>
      </c>
      <c r="L233" s="61">
        <v>0</v>
      </c>
      <c r="M233" s="61">
        <v>0</v>
      </c>
      <c r="N233" s="61">
        <v>0</v>
      </c>
      <c r="O233" s="61">
        <v>0</v>
      </c>
      <c r="P233" s="61">
        <v>0</v>
      </c>
    </row>
    <row r="234" spans="1:16" ht="12.75" hidden="1">
      <c r="A234" s="77"/>
      <c r="B234" s="60" t="str">
        <f>IF(OR((B232="~"),(C234="~")),"~","")</f>
        <v>~</v>
      </c>
      <c r="C234" s="60" t="s">
        <v>203</v>
      </c>
      <c r="E234" s="61">
        <v>0</v>
      </c>
      <c r="F234" s="61"/>
      <c r="G234" s="61">
        <v>0</v>
      </c>
      <c r="H234" s="61">
        <v>0</v>
      </c>
      <c r="I234" s="61">
        <v>0</v>
      </c>
      <c r="J234" s="61">
        <v>0</v>
      </c>
      <c r="K234" s="61">
        <v>0</v>
      </c>
      <c r="L234" s="61">
        <v>0</v>
      </c>
      <c r="M234" s="61">
        <v>0</v>
      </c>
      <c r="N234" s="61">
        <v>0</v>
      </c>
      <c r="O234" s="61">
        <v>0</v>
      </c>
      <c r="P234" s="61">
        <v>0</v>
      </c>
    </row>
    <row r="235" spans="1:16" ht="12.75" hidden="1">
      <c r="A235" s="77"/>
      <c r="B235" s="60" t="str">
        <f>IF(OR((B232="~"),(C235="~")),"~","")</f>
        <v>~</v>
      </c>
      <c r="C235" s="60" t="s">
        <v>203</v>
      </c>
      <c r="E235" s="61">
        <v>0</v>
      </c>
      <c r="F235" s="61"/>
      <c r="G235" s="61">
        <v>0</v>
      </c>
      <c r="H235" s="61">
        <v>0</v>
      </c>
      <c r="I235" s="61">
        <v>0</v>
      </c>
      <c r="J235" s="61">
        <v>0</v>
      </c>
      <c r="K235" s="61">
        <v>0</v>
      </c>
      <c r="L235" s="61">
        <v>0</v>
      </c>
      <c r="M235" s="61">
        <v>0</v>
      </c>
      <c r="N235" s="61">
        <v>0</v>
      </c>
      <c r="O235" s="61">
        <v>0</v>
      </c>
      <c r="P235" s="61">
        <v>0</v>
      </c>
    </row>
    <row r="236" spans="1:16" ht="12.75" hidden="1">
      <c r="A236" s="77"/>
      <c r="B236" s="60" t="str">
        <f>IF(OR((B232="~"),(C236="~")),"~","")</f>
        <v>~</v>
      </c>
      <c r="C236" s="60" t="s">
        <v>203</v>
      </c>
      <c r="E236" s="61">
        <v>0</v>
      </c>
      <c r="F236" s="61"/>
      <c r="G236" s="61">
        <v>0</v>
      </c>
      <c r="H236" s="61">
        <v>0</v>
      </c>
      <c r="I236" s="61">
        <v>0</v>
      </c>
      <c r="J236" s="61">
        <v>0</v>
      </c>
      <c r="K236" s="61">
        <v>0</v>
      </c>
      <c r="L236" s="61">
        <v>0</v>
      </c>
      <c r="M236" s="61">
        <v>0</v>
      </c>
      <c r="N236" s="61">
        <v>0</v>
      </c>
      <c r="O236" s="61">
        <v>0</v>
      </c>
      <c r="P236" s="61">
        <v>0</v>
      </c>
    </row>
    <row r="237" spans="1:16" ht="12.75" hidden="1">
      <c r="A237" s="77"/>
      <c r="B237" s="60" t="str">
        <f>IF(OR((B232="~"),(C237="~")),"~","")</f>
        <v>~</v>
      </c>
      <c r="C237" s="60" t="s">
        <v>203</v>
      </c>
      <c r="E237" s="61">
        <v>0</v>
      </c>
      <c r="F237" s="61"/>
      <c r="G237" s="61">
        <v>0</v>
      </c>
      <c r="H237" s="61">
        <v>0</v>
      </c>
      <c r="I237" s="61">
        <v>0</v>
      </c>
      <c r="J237" s="61">
        <v>0</v>
      </c>
      <c r="K237" s="61">
        <v>0</v>
      </c>
      <c r="L237" s="61">
        <v>0</v>
      </c>
      <c r="M237" s="61">
        <v>0</v>
      </c>
      <c r="N237" s="61">
        <v>0</v>
      </c>
      <c r="O237" s="61">
        <v>0</v>
      </c>
      <c r="P237" s="61">
        <v>0</v>
      </c>
    </row>
    <row r="238" spans="1:16" ht="12.75" hidden="1">
      <c r="A238" s="77"/>
      <c r="B238" s="60" t="str">
        <f>IF(OR((B232="~"),(C238="~")),"~","")</f>
        <v>~</v>
      </c>
      <c r="C238" s="60" t="s">
        <v>203</v>
      </c>
      <c r="E238" s="61">
        <v>0</v>
      </c>
      <c r="F238" s="61"/>
      <c r="G238" s="61">
        <v>0</v>
      </c>
      <c r="H238" s="61">
        <v>0</v>
      </c>
      <c r="I238" s="61">
        <v>0</v>
      </c>
      <c r="J238" s="61">
        <v>0</v>
      </c>
      <c r="K238" s="61">
        <v>0</v>
      </c>
      <c r="L238" s="61">
        <v>0</v>
      </c>
      <c r="M238" s="61">
        <v>0</v>
      </c>
      <c r="N238" s="61">
        <v>0</v>
      </c>
      <c r="O238" s="61">
        <v>0</v>
      </c>
      <c r="P238" s="61">
        <v>0</v>
      </c>
    </row>
    <row r="239" spans="1:16" ht="12.75" hidden="1">
      <c r="A239" s="78"/>
      <c r="B239" s="68" t="str">
        <f>IF(OR((B232="~"),(C239="~")),"~","")</f>
        <v>~</v>
      </c>
      <c r="C239" s="68" t="str">
        <f>IF(B232="~","~","Sub-total")</f>
        <v>~</v>
      </c>
      <c r="D239" s="68"/>
      <c r="E239" s="69">
        <f>SUM(E233:E238)</f>
        <v>0</v>
      </c>
      <c r="F239" s="69"/>
      <c r="G239" s="69">
        <f aca="true" t="shared" si="59" ref="G239:P239">SUM(G233:G238)</f>
        <v>0</v>
      </c>
      <c r="H239" s="69">
        <f t="shared" si="59"/>
        <v>0</v>
      </c>
      <c r="I239" s="69">
        <f t="shared" si="59"/>
        <v>0</v>
      </c>
      <c r="J239" s="69">
        <f t="shared" si="59"/>
        <v>0</v>
      </c>
      <c r="K239" s="69">
        <f t="shared" si="59"/>
        <v>0</v>
      </c>
      <c r="L239" s="69">
        <f t="shared" si="59"/>
        <v>0</v>
      </c>
      <c r="M239" s="69">
        <f t="shared" si="59"/>
        <v>0</v>
      </c>
      <c r="N239" s="69">
        <f t="shared" si="59"/>
        <v>0</v>
      </c>
      <c r="O239" s="69">
        <f t="shared" si="59"/>
        <v>0</v>
      </c>
      <c r="P239" s="69">
        <f t="shared" si="59"/>
        <v>0</v>
      </c>
    </row>
    <row r="240" spans="1:2" ht="12.75" hidden="1">
      <c r="A240" s="77"/>
      <c r="B240" s="60" t="str">
        <f>IF(OR((B232="~"),(C240="~")),"~","")</f>
        <v>~</v>
      </c>
    </row>
    <row r="241" spans="1:3" ht="12.75" hidden="1">
      <c r="A241" s="77"/>
      <c r="B241" s="60" t="s">
        <v>203</v>
      </c>
      <c r="C241" s="57"/>
    </row>
    <row r="242" spans="1:16" ht="12.75" hidden="1">
      <c r="A242" s="77"/>
      <c r="B242" s="60" t="str">
        <f>IF(OR((B241="~"),(C242="~")),"~","")</f>
        <v>~</v>
      </c>
      <c r="C242" s="60" t="s">
        <v>203</v>
      </c>
      <c r="E242" s="61">
        <v>0</v>
      </c>
      <c r="F242" s="61"/>
      <c r="G242" s="61">
        <v>0</v>
      </c>
      <c r="H242" s="61">
        <v>0</v>
      </c>
      <c r="I242" s="61">
        <v>0</v>
      </c>
      <c r="J242" s="61">
        <v>0</v>
      </c>
      <c r="K242" s="61">
        <v>0</v>
      </c>
      <c r="L242" s="61">
        <v>0</v>
      </c>
      <c r="M242" s="61">
        <v>0</v>
      </c>
      <c r="N242" s="61">
        <v>0</v>
      </c>
      <c r="O242" s="61">
        <v>0</v>
      </c>
      <c r="P242" s="61">
        <v>0</v>
      </c>
    </row>
    <row r="243" spans="1:16" ht="12.75" hidden="1">
      <c r="A243" s="77"/>
      <c r="B243" s="60" t="str">
        <f>IF(OR((B241="~"),(C243="~")),"~","")</f>
        <v>~</v>
      </c>
      <c r="C243" s="60" t="s">
        <v>203</v>
      </c>
      <c r="E243" s="61">
        <v>0</v>
      </c>
      <c r="F243" s="61"/>
      <c r="G243" s="61">
        <v>0</v>
      </c>
      <c r="H243" s="61">
        <v>0</v>
      </c>
      <c r="I243" s="61">
        <v>0</v>
      </c>
      <c r="J243" s="61">
        <v>0</v>
      </c>
      <c r="K243" s="61">
        <v>0</v>
      </c>
      <c r="L243" s="61">
        <v>0</v>
      </c>
      <c r="M243" s="61">
        <v>0</v>
      </c>
      <c r="N243" s="61">
        <v>0</v>
      </c>
      <c r="O243" s="61">
        <v>0</v>
      </c>
      <c r="P243" s="61">
        <v>0</v>
      </c>
    </row>
    <row r="244" spans="1:16" ht="12.75" hidden="1">
      <c r="A244" s="77"/>
      <c r="B244" s="60" t="str">
        <f>IF(OR((B241="~"),(C244="~")),"~","")</f>
        <v>~</v>
      </c>
      <c r="C244" s="60" t="s">
        <v>203</v>
      </c>
      <c r="E244" s="61">
        <v>0</v>
      </c>
      <c r="F244" s="61"/>
      <c r="G244" s="61">
        <v>0</v>
      </c>
      <c r="H244" s="61">
        <v>0</v>
      </c>
      <c r="I244" s="61">
        <v>0</v>
      </c>
      <c r="J244" s="61">
        <v>0</v>
      </c>
      <c r="K244" s="61">
        <v>0</v>
      </c>
      <c r="L244" s="61">
        <v>0</v>
      </c>
      <c r="M244" s="61">
        <v>0</v>
      </c>
      <c r="N244" s="61">
        <v>0</v>
      </c>
      <c r="O244" s="61">
        <v>0</v>
      </c>
      <c r="P244" s="61">
        <v>0</v>
      </c>
    </row>
    <row r="245" spans="1:16" ht="12.75" hidden="1">
      <c r="A245" s="77"/>
      <c r="B245" s="60" t="str">
        <f>IF(OR((B241="~"),(C245="~")),"~","")</f>
        <v>~</v>
      </c>
      <c r="C245" s="60" t="s">
        <v>203</v>
      </c>
      <c r="E245" s="61">
        <v>0</v>
      </c>
      <c r="F245" s="61"/>
      <c r="G245" s="61">
        <v>0</v>
      </c>
      <c r="H245" s="61">
        <v>0</v>
      </c>
      <c r="I245" s="61">
        <v>0</v>
      </c>
      <c r="J245" s="61">
        <v>0</v>
      </c>
      <c r="K245" s="61">
        <v>0</v>
      </c>
      <c r="L245" s="61">
        <v>0</v>
      </c>
      <c r="M245" s="61">
        <v>0</v>
      </c>
      <c r="N245" s="61">
        <v>0</v>
      </c>
      <c r="O245" s="61">
        <v>0</v>
      </c>
      <c r="P245" s="61">
        <v>0</v>
      </c>
    </row>
    <row r="246" spans="1:16" ht="12.75" hidden="1">
      <c r="A246" s="77"/>
      <c r="B246" s="60" t="str">
        <f>IF(OR((B241="~"),(C246="~")),"~","")</f>
        <v>~</v>
      </c>
      <c r="C246" s="60" t="s">
        <v>203</v>
      </c>
      <c r="E246" s="61">
        <v>0</v>
      </c>
      <c r="F246" s="61"/>
      <c r="G246" s="61">
        <v>0</v>
      </c>
      <c r="H246" s="61">
        <v>0</v>
      </c>
      <c r="I246" s="61">
        <v>0</v>
      </c>
      <c r="J246" s="61">
        <v>0</v>
      </c>
      <c r="K246" s="61">
        <v>0</v>
      </c>
      <c r="L246" s="61">
        <v>0</v>
      </c>
      <c r="M246" s="61">
        <v>0</v>
      </c>
      <c r="N246" s="61">
        <v>0</v>
      </c>
      <c r="O246" s="61">
        <v>0</v>
      </c>
      <c r="P246" s="61">
        <v>0</v>
      </c>
    </row>
    <row r="247" spans="1:16" ht="12.75" hidden="1">
      <c r="A247" s="77"/>
      <c r="B247" s="60" t="str">
        <f>IF(OR((B241="~"),(C247="~")),"~","")</f>
        <v>~</v>
      </c>
      <c r="C247" s="60" t="s">
        <v>203</v>
      </c>
      <c r="E247" s="61">
        <v>0</v>
      </c>
      <c r="F247" s="61"/>
      <c r="G247" s="61">
        <v>0</v>
      </c>
      <c r="H247" s="61">
        <v>0</v>
      </c>
      <c r="I247" s="61">
        <v>0</v>
      </c>
      <c r="J247" s="61">
        <v>0</v>
      </c>
      <c r="K247" s="61">
        <v>0</v>
      </c>
      <c r="L247" s="61">
        <v>0</v>
      </c>
      <c r="M247" s="61">
        <v>0</v>
      </c>
      <c r="N247" s="61">
        <v>0</v>
      </c>
      <c r="O247" s="61">
        <v>0</v>
      </c>
      <c r="P247" s="61">
        <v>0</v>
      </c>
    </row>
    <row r="248" spans="1:16" ht="12.75" hidden="1">
      <c r="A248" s="78"/>
      <c r="B248" s="68" t="str">
        <f>IF(OR((B241="~"),(C248="~")),"~","")</f>
        <v>~</v>
      </c>
      <c r="C248" s="68" t="str">
        <f>IF(B241="~","~","Sub-total")</f>
        <v>~</v>
      </c>
      <c r="D248" s="68"/>
      <c r="E248" s="69">
        <f>SUM(E242:E247)</f>
        <v>0</v>
      </c>
      <c r="F248" s="69"/>
      <c r="G248" s="69">
        <f aca="true" t="shared" si="60" ref="G248:P248">SUM(G242:G247)</f>
        <v>0</v>
      </c>
      <c r="H248" s="69">
        <f t="shared" si="60"/>
        <v>0</v>
      </c>
      <c r="I248" s="69">
        <f t="shared" si="60"/>
        <v>0</v>
      </c>
      <c r="J248" s="69">
        <f t="shared" si="60"/>
        <v>0</v>
      </c>
      <c r="K248" s="69">
        <f t="shared" si="60"/>
        <v>0</v>
      </c>
      <c r="L248" s="69">
        <f t="shared" si="60"/>
        <v>0</v>
      </c>
      <c r="M248" s="69">
        <f t="shared" si="60"/>
        <v>0</v>
      </c>
      <c r="N248" s="69">
        <f t="shared" si="60"/>
        <v>0</v>
      </c>
      <c r="O248" s="69">
        <f t="shared" si="60"/>
        <v>0</v>
      </c>
      <c r="P248" s="69">
        <f t="shared" si="60"/>
        <v>0</v>
      </c>
    </row>
    <row r="249" spans="1:2" ht="12.75" hidden="1">
      <c r="A249" s="77"/>
      <c r="B249" s="60" t="str">
        <f>IF(OR((B241="~"),(C249="~")),"~","")</f>
        <v>~</v>
      </c>
    </row>
    <row r="250" spans="1:3" ht="12.75" hidden="1">
      <c r="A250" s="77"/>
      <c r="B250" s="60" t="s">
        <v>203</v>
      </c>
      <c r="C250" s="57"/>
    </row>
    <row r="251" spans="1:16" ht="12.75" hidden="1">
      <c r="A251" s="77"/>
      <c r="B251" s="60" t="str">
        <f>IF(OR((B250="~"),(C251="~")),"~","")</f>
        <v>~</v>
      </c>
      <c r="C251" s="60" t="s">
        <v>203</v>
      </c>
      <c r="E251" s="61">
        <v>0</v>
      </c>
      <c r="F251" s="61"/>
      <c r="G251" s="61">
        <v>0</v>
      </c>
      <c r="H251" s="61">
        <v>0</v>
      </c>
      <c r="I251" s="61">
        <v>0</v>
      </c>
      <c r="J251" s="61">
        <v>0</v>
      </c>
      <c r="K251" s="61">
        <v>0</v>
      </c>
      <c r="L251" s="61">
        <v>0</v>
      </c>
      <c r="M251" s="61">
        <v>0</v>
      </c>
      <c r="N251" s="61">
        <v>0</v>
      </c>
      <c r="O251" s="61">
        <v>0</v>
      </c>
      <c r="P251" s="61">
        <v>0</v>
      </c>
    </row>
    <row r="252" spans="1:16" ht="12.75" hidden="1">
      <c r="A252" s="77"/>
      <c r="B252" s="60" t="str">
        <f>IF(OR((B250="~"),(C252="~")),"~","")</f>
        <v>~</v>
      </c>
      <c r="C252" s="60" t="s">
        <v>203</v>
      </c>
      <c r="E252" s="61">
        <v>0</v>
      </c>
      <c r="F252" s="61"/>
      <c r="G252" s="61">
        <v>0</v>
      </c>
      <c r="H252" s="61">
        <v>0</v>
      </c>
      <c r="I252" s="61">
        <v>0</v>
      </c>
      <c r="J252" s="61">
        <v>0</v>
      </c>
      <c r="K252" s="61">
        <v>0</v>
      </c>
      <c r="L252" s="61">
        <v>0</v>
      </c>
      <c r="M252" s="61">
        <v>0</v>
      </c>
      <c r="N252" s="61">
        <v>0</v>
      </c>
      <c r="O252" s="61">
        <v>0</v>
      </c>
      <c r="P252" s="61">
        <v>0</v>
      </c>
    </row>
    <row r="253" spans="1:16" ht="12.75" hidden="1">
      <c r="A253" s="77"/>
      <c r="B253" s="60" t="str">
        <f>IF(OR((B250="~"),(C253="~")),"~","")</f>
        <v>~</v>
      </c>
      <c r="C253" s="60" t="s">
        <v>203</v>
      </c>
      <c r="E253" s="61">
        <v>0</v>
      </c>
      <c r="F253" s="61"/>
      <c r="G253" s="61">
        <v>0</v>
      </c>
      <c r="H253" s="61">
        <v>0</v>
      </c>
      <c r="I253" s="61">
        <v>0</v>
      </c>
      <c r="J253" s="61">
        <v>0</v>
      </c>
      <c r="K253" s="61">
        <v>0</v>
      </c>
      <c r="L253" s="61">
        <v>0</v>
      </c>
      <c r="M253" s="61">
        <v>0</v>
      </c>
      <c r="N253" s="61">
        <v>0</v>
      </c>
      <c r="O253" s="61">
        <v>0</v>
      </c>
      <c r="P253" s="61">
        <v>0</v>
      </c>
    </row>
    <row r="254" spans="1:16" ht="12.75" hidden="1">
      <c r="A254" s="77"/>
      <c r="B254" s="60" t="str">
        <f>IF(OR((B250="~"),(C254="~")),"~","")</f>
        <v>~</v>
      </c>
      <c r="C254" s="60" t="s">
        <v>203</v>
      </c>
      <c r="E254" s="61">
        <v>0</v>
      </c>
      <c r="F254" s="61"/>
      <c r="G254" s="61">
        <v>0</v>
      </c>
      <c r="H254" s="61">
        <v>0</v>
      </c>
      <c r="I254" s="61">
        <v>0</v>
      </c>
      <c r="J254" s="61">
        <v>0</v>
      </c>
      <c r="K254" s="61">
        <v>0</v>
      </c>
      <c r="L254" s="61">
        <v>0</v>
      </c>
      <c r="M254" s="61">
        <v>0</v>
      </c>
      <c r="N254" s="61">
        <v>0</v>
      </c>
      <c r="O254" s="61">
        <v>0</v>
      </c>
      <c r="P254" s="61">
        <v>0</v>
      </c>
    </row>
    <row r="255" spans="1:16" ht="12.75" hidden="1">
      <c r="A255" s="77"/>
      <c r="B255" s="60" t="str">
        <f>IF(OR((B250="~"),(C255="~")),"~","")</f>
        <v>~</v>
      </c>
      <c r="C255" s="60" t="s">
        <v>203</v>
      </c>
      <c r="E255" s="61">
        <v>0</v>
      </c>
      <c r="F255" s="61"/>
      <c r="G255" s="61">
        <v>0</v>
      </c>
      <c r="H255" s="61">
        <v>0</v>
      </c>
      <c r="I255" s="61">
        <v>0</v>
      </c>
      <c r="J255" s="61">
        <v>0</v>
      </c>
      <c r="K255" s="61">
        <v>0</v>
      </c>
      <c r="L255" s="61">
        <v>0</v>
      </c>
      <c r="M255" s="61">
        <v>0</v>
      </c>
      <c r="N255" s="61">
        <v>0</v>
      </c>
      <c r="O255" s="61">
        <v>0</v>
      </c>
      <c r="P255" s="61">
        <v>0</v>
      </c>
    </row>
    <row r="256" spans="1:16" ht="12.75" hidden="1">
      <c r="A256" s="77"/>
      <c r="B256" s="60" t="str">
        <f>IF(OR((B250="~"),(C256="~")),"~","")</f>
        <v>~</v>
      </c>
      <c r="C256" s="60" t="s">
        <v>203</v>
      </c>
      <c r="E256" s="61">
        <v>0</v>
      </c>
      <c r="F256" s="61"/>
      <c r="G256" s="61">
        <v>0</v>
      </c>
      <c r="H256" s="61">
        <v>0</v>
      </c>
      <c r="I256" s="61">
        <v>0</v>
      </c>
      <c r="J256" s="61">
        <v>0</v>
      </c>
      <c r="K256" s="61">
        <v>0</v>
      </c>
      <c r="L256" s="61">
        <v>0</v>
      </c>
      <c r="M256" s="61">
        <v>0</v>
      </c>
      <c r="N256" s="61">
        <v>0</v>
      </c>
      <c r="O256" s="61">
        <v>0</v>
      </c>
      <c r="P256" s="61">
        <v>0</v>
      </c>
    </row>
    <row r="257" spans="1:16" ht="12.75" hidden="1">
      <c r="A257" s="78"/>
      <c r="B257" s="68" t="str">
        <f>IF(OR((B250="~"),(C257="~")),"~","")</f>
        <v>~</v>
      </c>
      <c r="C257" s="68" t="str">
        <f>IF(B250="~","~","Sub-total")</f>
        <v>~</v>
      </c>
      <c r="D257" s="68"/>
      <c r="E257" s="69">
        <f>SUM(E251:E256)</f>
        <v>0</v>
      </c>
      <c r="F257" s="69"/>
      <c r="G257" s="69">
        <f aca="true" t="shared" si="61" ref="G257:P257">SUM(G251:G256)</f>
        <v>0</v>
      </c>
      <c r="H257" s="69">
        <f t="shared" si="61"/>
        <v>0</v>
      </c>
      <c r="I257" s="69">
        <f t="shared" si="61"/>
        <v>0</v>
      </c>
      <c r="J257" s="69">
        <f t="shared" si="61"/>
        <v>0</v>
      </c>
      <c r="K257" s="69">
        <f t="shared" si="61"/>
        <v>0</v>
      </c>
      <c r="L257" s="69">
        <f t="shared" si="61"/>
        <v>0</v>
      </c>
      <c r="M257" s="69">
        <f t="shared" si="61"/>
        <v>0</v>
      </c>
      <c r="N257" s="69">
        <f t="shared" si="61"/>
        <v>0</v>
      </c>
      <c r="O257" s="69">
        <f t="shared" si="61"/>
        <v>0</v>
      </c>
      <c r="P257" s="69">
        <f t="shared" si="61"/>
        <v>0</v>
      </c>
    </row>
    <row r="258" spans="1:2" ht="12.75" hidden="1">
      <c r="A258" s="77"/>
      <c r="B258" s="60" t="str">
        <f>IF(OR((B250="~"),(C258="~")),"~","")</f>
        <v>~</v>
      </c>
    </row>
    <row r="259" spans="1:3" ht="12.75" hidden="1">
      <c r="A259" s="77"/>
      <c r="B259" s="60" t="s">
        <v>203</v>
      </c>
      <c r="C259" s="57"/>
    </row>
    <row r="260" spans="1:16" ht="12.75" hidden="1">
      <c r="A260" s="77"/>
      <c r="B260" s="60" t="str">
        <f>IF(OR((B259="~"),(C260="~")),"~","")</f>
        <v>~</v>
      </c>
      <c r="C260" s="60" t="s">
        <v>203</v>
      </c>
      <c r="E260" s="61">
        <v>0</v>
      </c>
      <c r="F260" s="61"/>
      <c r="G260" s="61">
        <v>0</v>
      </c>
      <c r="H260" s="61">
        <v>0</v>
      </c>
      <c r="I260" s="61">
        <v>0</v>
      </c>
      <c r="J260" s="61">
        <v>0</v>
      </c>
      <c r="K260" s="61">
        <v>0</v>
      </c>
      <c r="L260" s="61">
        <v>0</v>
      </c>
      <c r="M260" s="61">
        <v>0</v>
      </c>
      <c r="N260" s="61">
        <v>0</v>
      </c>
      <c r="O260" s="61">
        <v>0</v>
      </c>
      <c r="P260" s="61">
        <v>0</v>
      </c>
    </row>
    <row r="261" spans="1:16" ht="12.75" hidden="1">
      <c r="A261" s="77"/>
      <c r="B261" s="60" t="str">
        <f>IF(OR((B259="~"),(C261="~")),"~","")</f>
        <v>~</v>
      </c>
      <c r="C261" s="60" t="s">
        <v>203</v>
      </c>
      <c r="E261" s="61">
        <v>0</v>
      </c>
      <c r="F261" s="61"/>
      <c r="G261" s="61">
        <v>0</v>
      </c>
      <c r="H261" s="61">
        <v>0</v>
      </c>
      <c r="I261" s="61">
        <v>0</v>
      </c>
      <c r="J261" s="61">
        <v>0</v>
      </c>
      <c r="K261" s="61">
        <v>0</v>
      </c>
      <c r="L261" s="61">
        <v>0</v>
      </c>
      <c r="M261" s="61">
        <v>0</v>
      </c>
      <c r="N261" s="61">
        <v>0</v>
      </c>
      <c r="O261" s="61">
        <v>0</v>
      </c>
      <c r="P261" s="61">
        <v>0</v>
      </c>
    </row>
    <row r="262" spans="1:16" ht="12.75" hidden="1">
      <c r="A262" s="77"/>
      <c r="B262" s="60" t="str">
        <f>IF(OR((B259="~"),(C262="~")),"~","")</f>
        <v>~</v>
      </c>
      <c r="C262" s="60" t="s">
        <v>203</v>
      </c>
      <c r="E262" s="61">
        <v>0</v>
      </c>
      <c r="F262" s="61"/>
      <c r="G262" s="61">
        <v>0</v>
      </c>
      <c r="H262" s="61">
        <v>0</v>
      </c>
      <c r="I262" s="61">
        <v>0</v>
      </c>
      <c r="J262" s="61">
        <v>0</v>
      </c>
      <c r="K262" s="61">
        <v>0</v>
      </c>
      <c r="L262" s="61">
        <v>0</v>
      </c>
      <c r="M262" s="61">
        <v>0</v>
      </c>
      <c r="N262" s="61">
        <v>0</v>
      </c>
      <c r="O262" s="61">
        <v>0</v>
      </c>
      <c r="P262" s="61">
        <v>0</v>
      </c>
    </row>
    <row r="263" spans="1:16" ht="12.75" hidden="1">
      <c r="A263" s="77"/>
      <c r="B263" s="60" t="str">
        <f>IF(OR((B259="~"),(C263="~")),"~","")</f>
        <v>~</v>
      </c>
      <c r="C263" s="60" t="s">
        <v>203</v>
      </c>
      <c r="E263" s="61">
        <v>0</v>
      </c>
      <c r="F263" s="61"/>
      <c r="G263" s="61">
        <v>0</v>
      </c>
      <c r="H263" s="61">
        <v>0</v>
      </c>
      <c r="I263" s="61">
        <v>0</v>
      </c>
      <c r="J263" s="61">
        <v>0</v>
      </c>
      <c r="K263" s="61">
        <v>0</v>
      </c>
      <c r="L263" s="61">
        <v>0</v>
      </c>
      <c r="M263" s="61">
        <v>0</v>
      </c>
      <c r="N263" s="61">
        <v>0</v>
      </c>
      <c r="O263" s="61">
        <v>0</v>
      </c>
      <c r="P263" s="61">
        <v>0</v>
      </c>
    </row>
    <row r="264" spans="1:16" ht="12.75" hidden="1">
      <c r="A264" s="77"/>
      <c r="B264" s="60" t="str">
        <f>IF(OR((B259="~"),(C264="~")),"~","")</f>
        <v>~</v>
      </c>
      <c r="C264" s="60" t="s">
        <v>203</v>
      </c>
      <c r="E264" s="61">
        <v>0</v>
      </c>
      <c r="F264" s="61"/>
      <c r="G264" s="61">
        <v>0</v>
      </c>
      <c r="H264" s="61">
        <v>0</v>
      </c>
      <c r="I264" s="61">
        <v>0</v>
      </c>
      <c r="J264" s="61">
        <v>0</v>
      </c>
      <c r="K264" s="61">
        <v>0</v>
      </c>
      <c r="L264" s="61">
        <v>0</v>
      </c>
      <c r="M264" s="61">
        <v>0</v>
      </c>
      <c r="N264" s="61">
        <v>0</v>
      </c>
      <c r="O264" s="61">
        <v>0</v>
      </c>
      <c r="P264" s="61">
        <v>0</v>
      </c>
    </row>
    <row r="265" spans="1:16" ht="12.75" hidden="1">
      <c r="A265" s="77"/>
      <c r="B265" s="60" t="str">
        <f>IF(OR((B259="~"),(C265="~")),"~","")</f>
        <v>~</v>
      </c>
      <c r="C265" s="60" t="s">
        <v>203</v>
      </c>
      <c r="E265" s="61">
        <v>0</v>
      </c>
      <c r="F265" s="61"/>
      <c r="G265" s="61">
        <v>0</v>
      </c>
      <c r="H265" s="61">
        <v>0</v>
      </c>
      <c r="I265" s="61">
        <v>0</v>
      </c>
      <c r="J265" s="61">
        <v>0</v>
      </c>
      <c r="K265" s="61">
        <v>0</v>
      </c>
      <c r="L265" s="61">
        <v>0</v>
      </c>
      <c r="M265" s="61">
        <v>0</v>
      </c>
      <c r="N265" s="61">
        <v>0</v>
      </c>
      <c r="O265" s="61">
        <v>0</v>
      </c>
      <c r="P265" s="61">
        <v>0</v>
      </c>
    </row>
    <row r="266" spans="1:16" ht="12.75" hidden="1">
      <c r="A266" s="78"/>
      <c r="B266" s="68" t="str">
        <f>IF(OR((B259="~"),(C266="~")),"~","")</f>
        <v>~</v>
      </c>
      <c r="C266" s="68" t="str">
        <f>IF(B259="~","~","Sub-total")</f>
        <v>~</v>
      </c>
      <c r="D266" s="68"/>
      <c r="E266" s="69">
        <f>SUM(E260:E265)</f>
        <v>0</v>
      </c>
      <c r="F266" s="69"/>
      <c r="G266" s="69">
        <f aca="true" t="shared" si="62" ref="G266:P266">SUM(G260:G265)</f>
        <v>0</v>
      </c>
      <c r="H266" s="69">
        <f t="shared" si="62"/>
        <v>0</v>
      </c>
      <c r="I266" s="69">
        <f t="shared" si="62"/>
        <v>0</v>
      </c>
      <c r="J266" s="69">
        <f t="shared" si="62"/>
        <v>0</v>
      </c>
      <c r="K266" s="69">
        <f t="shared" si="62"/>
        <v>0</v>
      </c>
      <c r="L266" s="69">
        <f t="shared" si="62"/>
        <v>0</v>
      </c>
      <c r="M266" s="69">
        <f t="shared" si="62"/>
        <v>0</v>
      </c>
      <c r="N266" s="69">
        <f t="shared" si="62"/>
        <v>0</v>
      </c>
      <c r="O266" s="69">
        <f t="shared" si="62"/>
        <v>0</v>
      </c>
      <c r="P266" s="69">
        <f t="shared" si="62"/>
        <v>0</v>
      </c>
    </row>
    <row r="267" spans="1:2" ht="12.75" hidden="1">
      <c r="A267" s="77"/>
      <c r="B267" s="60" t="str">
        <f>IF(OR((B259="~"),(C267="~")),"~","")</f>
        <v>~</v>
      </c>
    </row>
    <row r="268" ht="12.75">
      <c r="A268" s="77">
        <f>+A203+1</f>
        <v>27</v>
      </c>
    </row>
    <row r="269" spans="1:3" ht="12.75">
      <c r="A269" s="77">
        <f>+A268+1</f>
        <v>28</v>
      </c>
      <c r="C269" s="57" t="s">
        <v>62</v>
      </c>
    </row>
    <row r="270" spans="1:16" ht="12.75">
      <c r="A270" s="77">
        <f aca="true" t="shared" si="63" ref="A270:A276">+A269+1</f>
        <v>29</v>
      </c>
      <c r="B270" s="60">
        <f>IF(OR((C269="~"),(C270="~")),"~","")</f>
      </c>
      <c r="C270" s="60" t="s">
        <v>200</v>
      </c>
      <c r="E270" s="61">
        <v>610236420.476224</v>
      </c>
      <c r="F270" s="61"/>
      <c r="G270" s="61">
        <v>386678366.1419117</v>
      </c>
      <c r="H270" s="61">
        <v>69021509.28945276</v>
      </c>
      <c r="I270" s="61">
        <v>65279590.891875476</v>
      </c>
      <c r="J270" s="61">
        <v>36469104.16999098</v>
      </c>
      <c r="K270" s="61" t="e">
        <v>#REF!</v>
      </c>
      <c r="L270" s="61">
        <v>11646048.1672553</v>
      </c>
      <c r="M270" s="61">
        <v>6751131.483559324</v>
      </c>
      <c r="N270" s="61">
        <v>2778187.3999488913</v>
      </c>
      <c r="O270" s="61">
        <v>2651004.8480964433</v>
      </c>
      <c r="P270" s="61">
        <v>662198.0875560738</v>
      </c>
    </row>
    <row r="271" spans="1:16" ht="12.75">
      <c r="A271" s="77">
        <f t="shared" si="63"/>
        <v>30</v>
      </c>
      <c r="B271" s="60">
        <f>IF(OR((C269="~"),(C271="~")),"~","")</f>
      </c>
      <c r="C271" s="60" t="s">
        <v>201</v>
      </c>
      <c r="E271" s="61">
        <v>1315022044.1160805</v>
      </c>
      <c r="F271" s="61"/>
      <c r="G271" s="61">
        <v>666729583.4331497</v>
      </c>
      <c r="H271" s="61">
        <v>161405235.02028117</v>
      </c>
      <c r="I271" s="61">
        <v>182102018.76681924</v>
      </c>
      <c r="J271" s="61">
        <v>123372236.21168964</v>
      </c>
      <c r="K271" s="61" t="e">
        <v>#REF!</v>
      </c>
      <c r="L271" s="61">
        <v>45849421.397787996</v>
      </c>
      <c r="M271" s="61">
        <v>33911076.773483224</v>
      </c>
      <c r="N271" s="61">
        <v>8108136.761670208</v>
      </c>
      <c r="O271" s="61">
        <v>5197099.337908554</v>
      </c>
      <c r="P271" s="61">
        <v>1044042.6429627743</v>
      </c>
    </row>
    <row r="272" spans="1:16" ht="12.75">
      <c r="A272" s="77">
        <f t="shared" si="63"/>
        <v>31</v>
      </c>
      <c r="B272" s="60">
        <f>IF(OR((C269="~"),(C272="~")),"~","")</f>
      </c>
      <c r="C272" s="60" t="s">
        <v>202</v>
      </c>
      <c r="E272" s="61">
        <v>171562184.8636642</v>
      </c>
      <c r="F272" s="61"/>
      <c r="G272" s="61">
        <v>123182505.01053146</v>
      </c>
      <c r="H272" s="61">
        <v>21539910.959660616</v>
      </c>
      <c r="I272" s="61">
        <v>8106847.66080173</v>
      </c>
      <c r="J272" s="61">
        <v>1803712.4778100457</v>
      </c>
      <c r="K272" s="61" t="e">
        <v>#REF!</v>
      </c>
      <c r="L272" s="61">
        <v>1379538.0306962202</v>
      </c>
      <c r="M272" s="61">
        <v>493097.9744284932</v>
      </c>
      <c r="N272" s="61">
        <v>218842.86527201178</v>
      </c>
      <c r="O272" s="61">
        <v>11010967.183526617</v>
      </c>
      <c r="P272" s="61">
        <v>104531.24605095544</v>
      </c>
    </row>
    <row r="273" spans="1:16" ht="12.75">
      <c r="A273" s="77">
        <f t="shared" si="63"/>
        <v>32</v>
      </c>
      <c r="B273" s="60" t="str">
        <f>IF(OR((C269="~"),(C273="~")),"~","")</f>
        <v>~</v>
      </c>
      <c r="C273" s="60" t="s">
        <v>203</v>
      </c>
      <c r="E273" s="61">
        <v>0</v>
      </c>
      <c r="F273" s="61"/>
      <c r="G273" s="61">
        <v>0</v>
      </c>
      <c r="H273" s="61">
        <v>0</v>
      </c>
      <c r="I273" s="61">
        <v>0</v>
      </c>
      <c r="J273" s="61">
        <v>0</v>
      </c>
      <c r="K273" s="61" t="e">
        <v>#REF!</v>
      </c>
      <c r="L273" s="61">
        <v>0</v>
      </c>
      <c r="M273" s="61">
        <v>0</v>
      </c>
      <c r="N273" s="61">
        <v>0</v>
      </c>
      <c r="O273" s="61">
        <v>0</v>
      </c>
      <c r="P273" s="61">
        <v>0</v>
      </c>
    </row>
    <row r="274" spans="1:16" ht="12.75">
      <c r="A274" s="77">
        <f t="shared" si="63"/>
        <v>33</v>
      </c>
      <c r="B274" s="60" t="str">
        <f>IF(OR((C269="~"),(C274="~")),"~","")</f>
        <v>~</v>
      </c>
      <c r="C274" s="60" t="s">
        <v>203</v>
      </c>
      <c r="E274" s="61">
        <v>0</v>
      </c>
      <c r="F274" s="61"/>
      <c r="G274" s="61">
        <v>0</v>
      </c>
      <c r="H274" s="61">
        <v>0</v>
      </c>
      <c r="I274" s="61">
        <v>0</v>
      </c>
      <c r="J274" s="61">
        <v>0</v>
      </c>
      <c r="K274" s="61" t="e">
        <v>#REF!</v>
      </c>
      <c r="L274" s="61">
        <v>0</v>
      </c>
      <c r="M274" s="61">
        <v>0</v>
      </c>
      <c r="N274" s="61">
        <v>0</v>
      </c>
      <c r="O274" s="61">
        <v>0</v>
      </c>
      <c r="P274" s="61">
        <v>0</v>
      </c>
    </row>
    <row r="275" spans="1:16" ht="12.75">
      <c r="A275" s="77">
        <f t="shared" si="63"/>
        <v>34</v>
      </c>
      <c r="B275" s="60" t="str">
        <f>IF(OR((C269="~"),(C275="~")),"~","")</f>
        <v>~</v>
      </c>
      <c r="C275" s="60" t="s">
        <v>203</v>
      </c>
      <c r="E275" s="61">
        <v>0</v>
      </c>
      <c r="F275" s="61"/>
      <c r="G275" s="61">
        <v>0</v>
      </c>
      <c r="H275" s="61">
        <v>0</v>
      </c>
      <c r="I275" s="61">
        <v>0</v>
      </c>
      <c r="J275" s="61">
        <v>0</v>
      </c>
      <c r="K275" s="61" t="e">
        <v>#REF!</v>
      </c>
      <c r="L275" s="61">
        <v>0</v>
      </c>
      <c r="M275" s="61">
        <v>0</v>
      </c>
      <c r="N275" s="61">
        <v>0</v>
      </c>
      <c r="O275" s="61">
        <v>0</v>
      </c>
      <c r="P275" s="61">
        <v>0</v>
      </c>
    </row>
    <row r="276" spans="1:16" ht="13.5" thickBot="1">
      <c r="A276" s="79">
        <f t="shared" si="63"/>
        <v>35</v>
      </c>
      <c r="B276" s="62"/>
      <c r="C276" s="62" t="s">
        <v>64</v>
      </c>
      <c r="D276" s="62"/>
      <c r="E276" s="63" t="e">
        <f>SUM(G276:P276)</f>
        <v>#REF!</v>
      </c>
      <c r="F276" s="63"/>
      <c r="G276" s="63">
        <f aca="true" t="shared" si="64" ref="G276:P276">SUM(G270:G275)</f>
        <v>1176590454.5855927</v>
      </c>
      <c r="H276" s="63">
        <f t="shared" si="64"/>
        <v>251966655.26939455</v>
      </c>
      <c r="I276" s="63">
        <f t="shared" si="64"/>
        <v>255488457.31949645</v>
      </c>
      <c r="J276" s="63">
        <f t="shared" si="64"/>
        <v>161645052.85949066</v>
      </c>
      <c r="K276" s="63" t="e">
        <f t="shared" si="64"/>
        <v>#REF!</v>
      </c>
      <c r="L276" s="63">
        <f t="shared" si="64"/>
        <v>58875007.59573951</v>
      </c>
      <c r="M276" s="63">
        <f t="shared" si="64"/>
        <v>41155306.23147104</v>
      </c>
      <c r="N276" s="63">
        <f t="shared" si="64"/>
        <v>11105167.02689111</v>
      </c>
      <c r="O276" s="63">
        <f t="shared" si="64"/>
        <v>18859071.369531613</v>
      </c>
      <c r="P276" s="63">
        <f t="shared" si="64"/>
        <v>1810771.9765698037</v>
      </c>
    </row>
    <row r="277" ht="13.5" thickTop="1"/>
    <row r="278" spans="1:16" ht="12.75">
      <c r="A278" s="85" t="str">
        <f>+A1</f>
        <v>Puget Sound Energy</v>
      </c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</row>
    <row r="279" spans="1:16" ht="12.75">
      <c r="A279" s="85" t="str">
        <f>A2</f>
        <v>ELECTRIC COST OF SERVICE SUMMARY</v>
      </c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</row>
    <row r="280" spans="1:16" ht="12.75">
      <c r="A280" s="85" t="s">
        <v>198</v>
      </c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</row>
    <row r="281" spans="1:16" ht="12.75">
      <c r="A281" s="85" t="s">
        <v>65</v>
      </c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</row>
    <row r="283" spans="1:16" s="80" customFormat="1" ht="38.25">
      <c r="A283" s="58" t="s">
        <v>2</v>
      </c>
      <c r="B283" s="58"/>
      <c r="C283" s="58"/>
      <c r="D283" s="58"/>
      <c r="E283" s="58" t="s">
        <v>61</v>
      </c>
      <c r="F283" s="58"/>
      <c r="G283" s="58" t="str">
        <f>+G6</f>
        <v>Residential
Sch 7</v>
      </c>
      <c r="H283" s="58" t="str">
        <f aca="true" t="shared" si="65" ref="H283:P283">+H6</f>
        <v>Sec Volt
Sch 24
(kW&lt; 50)</v>
      </c>
      <c r="I283" s="58" t="str">
        <f t="shared" si="65"/>
        <v>Sec Volt
Sch 25
(kW &gt; 50 &amp; &lt; 350)</v>
      </c>
      <c r="J283" s="58" t="str">
        <f t="shared" si="65"/>
        <v>Sec Volt
Sch 26
(kW &gt; 350)</v>
      </c>
      <c r="K283" s="58" t="str">
        <f t="shared" si="65"/>
        <v>Pri Volt
Sch 31/35/43</v>
      </c>
      <c r="L283" s="58" t="str">
        <f t="shared" si="65"/>
        <v>Campus
Sch 40</v>
      </c>
      <c r="M283" s="58" t="str">
        <f t="shared" si="65"/>
        <v>High Volt
Sch 46/49</v>
      </c>
      <c r="N283" s="58" t="str">
        <f t="shared" si="65"/>
        <v>Choice /
Retail Wheeling
Sch 448/449</v>
      </c>
      <c r="O283" s="58" t="str">
        <f t="shared" si="65"/>
        <v>Lighting
Sch 50-59</v>
      </c>
      <c r="P283" s="58" t="str">
        <f t="shared" si="65"/>
        <v>Firm Resale /
Special Contract</v>
      </c>
    </row>
    <row r="284" spans="3:16" s="80" customFormat="1" ht="12.75">
      <c r="C284" s="80" t="s">
        <v>15</v>
      </c>
      <c r="E284" s="80" t="s">
        <v>16</v>
      </c>
      <c r="G284" s="80" t="s">
        <v>17</v>
      </c>
      <c r="H284" s="80" t="s">
        <v>18</v>
      </c>
      <c r="I284" s="80" t="s">
        <v>19</v>
      </c>
      <c r="J284" s="80" t="s">
        <v>20</v>
      </c>
      <c r="K284" s="80" t="s">
        <v>21</v>
      </c>
      <c r="L284" s="80" t="s">
        <v>22</v>
      </c>
      <c r="M284" s="80" t="s">
        <v>23</v>
      </c>
      <c r="N284" s="80" t="s">
        <v>24</v>
      </c>
      <c r="O284" s="80" t="s">
        <v>25</v>
      </c>
      <c r="P284" s="80" t="s">
        <v>26</v>
      </c>
    </row>
    <row r="286" spans="1:3" ht="12.75">
      <c r="A286" s="77">
        <v>1</v>
      </c>
      <c r="C286" s="57" t="s">
        <v>199</v>
      </c>
    </row>
    <row r="287" spans="1:16" ht="12.75">
      <c r="A287" s="77">
        <f aca="true" t="shared" si="66" ref="A287:A311">+A286+1</f>
        <v>2</v>
      </c>
      <c r="B287" s="60">
        <f>IF(OR((C286="~"),(C287="~")),"~","")</f>
      </c>
      <c r="C287" s="60" t="s">
        <v>200</v>
      </c>
      <c r="E287" s="82" t="e">
        <f aca="true" t="shared" si="67" ref="E287:E293">ROUND(IF($C287=0,0,E179/E$386),6)</f>
        <v>#REF!</v>
      </c>
      <c r="F287" s="82"/>
      <c r="G287" s="82">
        <f aca="true" t="shared" si="68" ref="G287:P293">ROUND(IF($C287=0,0,G179/G$386),6)</f>
        <v>0.014838</v>
      </c>
      <c r="H287" s="82">
        <f t="shared" si="68"/>
        <v>0.010625</v>
      </c>
      <c r="I287" s="82">
        <f t="shared" si="68"/>
        <v>0.009563</v>
      </c>
      <c r="J287" s="82">
        <f t="shared" si="68"/>
        <v>0.008911</v>
      </c>
      <c r="K287" s="82" t="e">
        <f t="shared" si="68"/>
        <v>#REF!</v>
      </c>
      <c r="L287" s="82">
        <f t="shared" si="68"/>
        <v>0.008171</v>
      </c>
      <c r="M287" s="82">
        <f t="shared" si="68"/>
        <v>0.007935</v>
      </c>
      <c r="N287" s="82">
        <f t="shared" si="68"/>
        <v>0.000219</v>
      </c>
      <c r="O287" s="82">
        <f t="shared" si="68"/>
        <v>0.008146</v>
      </c>
      <c r="P287" s="82">
        <f t="shared" si="68"/>
        <v>0.000985</v>
      </c>
    </row>
    <row r="288" spans="1:16" ht="12.75">
      <c r="A288" s="77">
        <f t="shared" si="66"/>
        <v>3</v>
      </c>
      <c r="B288" s="60">
        <f>IF(OR((C286="~"),(C288="~")),"~","")</f>
      </c>
      <c r="C288" s="60" t="s">
        <v>201</v>
      </c>
      <c r="E288" s="82" t="e">
        <f t="shared" si="67"/>
        <v>#REF!</v>
      </c>
      <c r="F288" s="82"/>
      <c r="G288" s="82">
        <f t="shared" si="68"/>
        <v>0.051508</v>
      </c>
      <c r="H288" s="82">
        <f t="shared" si="68"/>
        <v>0.051508</v>
      </c>
      <c r="I288" s="82">
        <f t="shared" si="68"/>
        <v>0.051508</v>
      </c>
      <c r="J288" s="82">
        <f t="shared" si="68"/>
        <v>0.051508</v>
      </c>
      <c r="K288" s="82" t="e">
        <f t="shared" si="68"/>
        <v>#REF!</v>
      </c>
      <c r="L288" s="82">
        <f t="shared" si="68"/>
        <v>0.051508</v>
      </c>
      <c r="M288" s="82">
        <f t="shared" si="68"/>
        <v>0.051508</v>
      </c>
      <c r="N288" s="82">
        <f t="shared" si="68"/>
        <v>1E-06</v>
      </c>
      <c r="O288" s="82">
        <f t="shared" si="68"/>
        <v>0.051508</v>
      </c>
      <c r="P288" s="82">
        <f t="shared" si="68"/>
        <v>0.002456</v>
      </c>
    </row>
    <row r="289" spans="1:16" ht="12.75">
      <c r="A289" s="77">
        <f t="shared" si="66"/>
        <v>4</v>
      </c>
      <c r="B289" s="60">
        <f>IF(OR((C286="~"),(C289="~")),"~","")</f>
      </c>
      <c r="C289" s="60" t="s">
        <v>202</v>
      </c>
      <c r="E289" s="82" t="e">
        <f t="shared" si="67"/>
        <v>#REF!</v>
      </c>
      <c r="F289" s="82"/>
      <c r="G289" s="82">
        <f t="shared" si="68"/>
        <v>0</v>
      </c>
      <c r="H289" s="82">
        <f t="shared" si="68"/>
        <v>0</v>
      </c>
      <c r="I289" s="82">
        <f t="shared" si="68"/>
        <v>0</v>
      </c>
      <c r="J289" s="82">
        <f t="shared" si="68"/>
        <v>0</v>
      </c>
      <c r="K289" s="82" t="e">
        <f t="shared" si="68"/>
        <v>#REF!</v>
      </c>
      <c r="L289" s="82">
        <f t="shared" si="68"/>
        <v>0</v>
      </c>
      <c r="M289" s="82">
        <f t="shared" si="68"/>
        <v>0</v>
      </c>
      <c r="N289" s="82">
        <f t="shared" si="68"/>
        <v>0</v>
      </c>
      <c r="O289" s="82">
        <f t="shared" si="68"/>
        <v>0</v>
      </c>
      <c r="P289" s="82">
        <f t="shared" si="68"/>
        <v>0</v>
      </c>
    </row>
    <row r="290" spans="1:16" ht="12.75">
      <c r="A290" s="77">
        <f t="shared" si="66"/>
        <v>5</v>
      </c>
      <c r="B290" s="60" t="str">
        <f>IF(OR((C286="~"),(C290="~")),"~","")</f>
        <v>~</v>
      </c>
      <c r="C290" s="60" t="s">
        <v>203</v>
      </c>
      <c r="E290" s="82" t="e">
        <f t="shared" si="67"/>
        <v>#REF!</v>
      </c>
      <c r="F290" s="82"/>
      <c r="G290" s="82">
        <f t="shared" si="68"/>
        <v>0</v>
      </c>
      <c r="H290" s="82">
        <f t="shared" si="68"/>
        <v>0</v>
      </c>
      <c r="I290" s="82">
        <f t="shared" si="68"/>
        <v>0</v>
      </c>
      <c r="J290" s="82">
        <f t="shared" si="68"/>
        <v>0</v>
      </c>
      <c r="K290" s="82" t="e">
        <f t="shared" si="68"/>
        <v>#REF!</v>
      </c>
      <c r="L290" s="82">
        <f t="shared" si="68"/>
        <v>0</v>
      </c>
      <c r="M290" s="82">
        <f t="shared" si="68"/>
        <v>0</v>
      </c>
      <c r="N290" s="82">
        <f t="shared" si="68"/>
        <v>0</v>
      </c>
      <c r="O290" s="82">
        <f t="shared" si="68"/>
        <v>0</v>
      </c>
      <c r="P290" s="82">
        <f t="shared" si="68"/>
        <v>0</v>
      </c>
    </row>
    <row r="291" spans="1:16" ht="12.75">
      <c r="A291" s="77">
        <f t="shared" si="66"/>
        <v>6</v>
      </c>
      <c r="B291" s="60" t="str">
        <f>IF(OR((C286="~"),(C291="~")),"~","")</f>
        <v>~</v>
      </c>
      <c r="C291" s="60" t="s">
        <v>203</v>
      </c>
      <c r="E291" s="82" t="e">
        <f t="shared" si="67"/>
        <v>#REF!</v>
      </c>
      <c r="F291" s="82"/>
      <c r="G291" s="82">
        <f t="shared" si="68"/>
        <v>0</v>
      </c>
      <c r="H291" s="82">
        <f t="shared" si="68"/>
        <v>0</v>
      </c>
      <c r="I291" s="82">
        <f t="shared" si="68"/>
        <v>0</v>
      </c>
      <c r="J291" s="82">
        <f t="shared" si="68"/>
        <v>0</v>
      </c>
      <c r="K291" s="82" t="e">
        <f t="shared" si="68"/>
        <v>#REF!</v>
      </c>
      <c r="L291" s="82">
        <f t="shared" si="68"/>
        <v>0</v>
      </c>
      <c r="M291" s="82">
        <f t="shared" si="68"/>
        <v>0</v>
      </c>
      <c r="N291" s="82">
        <f t="shared" si="68"/>
        <v>0</v>
      </c>
      <c r="O291" s="82">
        <f t="shared" si="68"/>
        <v>0</v>
      </c>
      <c r="P291" s="82">
        <f t="shared" si="68"/>
        <v>0</v>
      </c>
    </row>
    <row r="292" spans="1:16" ht="12.75">
      <c r="A292" s="77">
        <f t="shared" si="66"/>
        <v>7</v>
      </c>
      <c r="B292" s="60" t="str">
        <f>IF(OR((C286="~"),(C292="~")),"~","")</f>
        <v>~</v>
      </c>
      <c r="C292" s="60" t="s">
        <v>203</v>
      </c>
      <c r="E292" s="82" t="e">
        <f t="shared" si="67"/>
        <v>#REF!</v>
      </c>
      <c r="F292" s="82"/>
      <c r="G292" s="82">
        <f t="shared" si="68"/>
        <v>0</v>
      </c>
      <c r="H292" s="82">
        <f t="shared" si="68"/>
        <v>0</v>
      </c>
      <c r="I292" s="82">
        <f t="shared" si="68"/>
        <v>0</v>
      </c>
      <c r="J292" s="82">
        <f t="shared" si="68"/>
        <v>0</v>
      </c>
      <c r="K292" s="82" t="e">
        <f t="shared" si="68"/>
        <v>#REF!</v>
      </c>
      <c r="L292" s="82">
        <f t="shared" si="68"/>
        <v>0</v>
      </c>
      <c r="M292" s="82">
        <f t="shared" si="68"/>
        <v>0</v>
      </c>
      <c r="N292" s="82">
        <f t="shared" si="68"/>
        <v>0</v>
      </c>
      <c r="O292" s="82">
        <f t="shared" si="68"/>
        <v>0</v>
      </c>
      <c r="P292" s="82">
        <f t="shared" si="68"/>
        <v>0</v>
      </c>
    </row>
    <row r="293" spans="1:16" ht="12.75">
      <c r="A293" s="78">
        <f t="shared" si="66"/>
        <v>8</v>
      </c>
      <c r="B293" s="68">
        <f>IF(OR((C286="~"),(C293="~")),"~","")</f>
      </c>
      <c r="C293" s="68" t="s">
        <v>66</v>
      </c>
      <c r="D293" s="68"/>
      <c r="E293" s="83" t="e">
        <f t="shared" si="67"/>
        <v>#REF!</v>
      </c>
      <c r="F293" s="83"/>
      <c r="G293" s="83">
        <f t="shared" si="68"/>
        <v>0.066346</v>
      </c>
      <c r="H293" s="83">
        <f t="shared" si="68"/>
        <v>0.062134</v>
      </c>
      <c r="I293" s="83">
        <f t="shared" si="68"/>
        <v>0.061071</v>
      </c>
      <c r="J293" s="83">
        <f t="shared" si="68"/>
        <v>0.060419</v>
      </c>
      <c r="K293" s="83" t="e">
        <f t="shared" si="68"/>
        <v>#REF!</v>
      </c>
      <c r="L293" s="83">
        <f t="shared" si="68"/>
        <v>0.059679</v>
      </c>
      <c r="M293" s="83">
        <f t="shared" si="68"/>
        <v>0.059443</v>
      </c>
      <c r="N293" s="83">
        <f t="shared" si="68"/>
        <v>0.00022</v>
      </c>
      <c r="O293" s="83">
        <f t="shared" si="68"/>
        <v>0.059654</v>
      </c>
      <c r="P293" s="83">
        <f t="shared" si="68"/>
        <v>0.003441</v>
      </c>
    </row>
    <row r="294" spans="1:2" ht="12.75">
      <c r="A294" s="77">
        <f t="shared" si="66"/>
        <v>9</v>
      </c>
      <c r="B294" s="60">
        <f>IF(OR((C286="~"),(C294="~")),"~","")</f>
      </c>
    </row>
    <row r="295" spans="1:3" ht="12.75">
      <c r="A295" s="77">
        <f t="shared" si="66"/>
        <v>10</v>
      </c>
      <c r="C295" s="57" t="s">
        <v>204</v>
      </c>
    </row>
    <row r="296" spans="1:16" ht="12.75">
      <c r="A296" s="77">
        <f t="shared" si="66"/>
        <v>11</v>
      </c>
      <c r="B296" s="60">
        <f>IF(OR((C295="~"),(C296="~")),"~","")</f>
      </c>
      <c r="C296" s="60" t="s">
        <v>200</v>
      </c>
      <c r="E296" s="82" t="e">
        <f aca="true" t="shared" si="69" ref="E296:E302">ROUND(IF($C296=0,0,E188/E$386),6)</f>
        <v>#REF!</v>
      </c>
      <c r="F296" s="82"/>
      <c r="G296" s="82">
        <f aca="true" t="shared" si="70" ref="G296:P302">ROUND(IF($C296=0,0,G188/G$386),6)</f>
        <v>0.00074</v>
      </c>
      <c r="H296" s="82">
        <f t="shared" si="70"/>
        <v>0.00053</v>
      </c>
      <c r="I296" s="82">
        <f t="shared" si="70"/>
        <v>0.000477</v>
      </c>
      <c r="J296" s="82">
        <f t="shared" si="70"/>
        <v>0.000444</v>
      </c>
      <c r="K296" s="82" t="e">
        <f t="shared" si="70"/>
        <v>#REF!</v>
      </c>
      <c r="L296" s="82">
        <f t="shared" si="70"/>
        <v>0.000408</v>
      </c>
      <c r="M296" s="82">
        <f t="shared" si="70"/>
        <v>0.000396</v>
      </c>
      <c r="N296" s="82">
        <f t="shared" si="70"/>
        <v>0.000155</v>
      </c>
      <c r="O296" s="82">
        <f t="shared" si="70"/>
        <v>0.000406</v>
      </c>
      <c r="P296" s="82">
        <f t="shared" si="70"/>
        <v>0.000178</v>
      </c>
    </row>
    <row r="297" spans="1:16" ht="12.75">
      <c r="A297" s="77">
        <f t="shared" si="66"/>
        <v>12</v>
      </c>
      <c r="B297" s="60">
        <f>IF(OR((C295="~"),(C297="~")),"~","")</f>
      </c>
      <c r="C297" s="60" t="s">
        <v>201</v>
      </c>
      <c r="E297" s="82" t="e">
        <f t="shared" si="69"/>
        <v>#REF!</v>
      </c>
      <c r="F297" s="82"/>
      <c r="G297" s="82">
        <f t="shared" si="70"/>
        <v>0.002542</v>
      </c>
      <c r="H297" s="82">
        <f t="shared" si="70"/>
        <v>0.002542</v>
      </c>
      <c r="I297" s="82">
        <f t="shared" si="70"/>
        <v>0.002542</v>
      </c>
      <c r="J297" s="82">
        <f t="shared" si="70"/>
        <v>0.002542</v>
      </c>
      <c r="K297" s="82" t="e">
        <f t="shared" si="70"/>
        <v>#REF!</v>
      </c>
      <c r="L297" s="82">
        <f t="shared" si="70"/>
        <v>0.002542</v>
      </c>
      <c r="M297" s="82">
        <f t="shared" si="70"/>
        <v>0.002542</v>
      </c>
      <c r="N297" s="82">
        <f t="shared" si="70"/>
        <v>0.000952</v>
      </c>
      <c r="O297" s="82">
        <f t="shared" si="70"/>
        <v>0.002542</v>
      </c>
      <c r="P297" s="82">
        <f t="shared" si="70"/>
        <v>0.001027</v>
      </c>
    </row>
    <row r="298" spans="1:16" ht="12.75">
      <c r="A298" s="77">
        <f t="shared" si="66"/>
        <v>13</v>
      </c>
      <c r="B298" s="60">
        <f>IF(OR((C295="~"),(C298="~")),"~","")</f>
      </c>
      <c r="C298" s="60" t="s">
        <v>202</v>
      </c>
      <c r="E298" s="82" t="e">
        <f t="shared" si="69"/>
        <v>#REF!</v>
      </c>
      <c r="F298" s="82"/>
      <c r="G298" s="82">
        <f t="shared" si="70"/>
        <v>0</v>
      </c>
      <c r="H298" s="82">
        <f t="shared" si="70"/>
        <v>0</v>
      </c>
      <c r="I298" s="82">
        <f t="shared" si="70"/>
        <v>0</v>
      </c>
      <c r="J298" s="82">
        <f t="shared" si="70"/>
        <v>0</v>
      </c>
      <c r="K298" s="82" t="e">
        <f t="shared" si="70"/>
        <v>#REF!</v>
      </c>
      <c r="L298" s="82">
        <f t="shared" si="70"/>
        <v>0</v>
      </c>
      <c r="M298" s="82">
        <f t="shared" si="70"/>
        <v>0</v>
      </c>
      <c r="N298" s="82">
        <f t="shared" si="70"/>
        <v>0</v>
      </c>
      <c r="O298" s="82">
        <f t="shared" si="70"/>
        <v>0</v>
      </c>
      <c r="P298" s="82">
        <f t="shared" si="70"/>
        <v>0</v>
      </c>
    </row>
    <row r="299" spans="1:16" ht="12.75">
      <c r="A299" s="77">
        <f t="shared" si="66"/>
        <v>14</v>
      </c>
      <c r="B299" s="60" t="str">
        <f>IF(OR((C295="~"),(C299="~")),"~","")</f>
        <v>~</v>
      </c>
      <c r="C299" s="60" t="s">
        <v>203</v>
      </c>
      <c r="E299" s="82" t="e">
        <f t="shared" si="69"/>
        <v>#REF!</v>
      </c>
      <c r="F299" s="82"/>
      <c r="G299" s="82">
        <f t="shared" si="70"/>
        <v>0</v>
      </c>
      <c r="H299" s="82">
        <f t="shared" si="70"/>
        <v>0</v>
      </c>
      <c r="I299" s="82">
        <f t="shared" si="70"/>
        <v>0</v>
      </c>
      <c r="J299" s="82">
        <f t="shared" si="70"/>
        <v>0</v>
      </c>
      <c r="K299" s="82" t="e">
        <f t="shared" si="70"/>
        <v>#REF!</v>
      </c>
      <c r="L299" s="82">
        <f t="shared" si="70"/>
        <v>0</v>
      </c>
      <c r="M299" s="82">
        <f t="shared" si="70"/>
        <v>0</v>
      </c>
      <c r="N299" s="82">
        <f t="shared" si="70"/>
        <v>0</v>
      </c>
      <c r="O299" s="82">
        <f t="shared" si="70"/>
        <v>0</v>
      </c>
      <c r="P299" s="82">
        <f t="shared" si="70"/>
        <v>0</v>
      </c>
    </row>
    <row r="300" spans="1:16" ht="12.75">
      <c r="A300" s="77">
        <f t="shared" si="66"/>
        <v>15</v>
      </c>
      <c r="B300" s="60" t="str">
        <f>IF(OR((C295="~"),(C300="~")),"~","")</f>
        <v>~</v>
      </c>
      <c r="C300" s="60" t="s">
        <v>203</v>
      </c>
      <c r="E300" s="82" t="e">
        <f t="shared" si="69"/>
        <v>#REF!</v>
      </c>
      <c r="F300" s="82"/>
      <c r="G300" s="82">
        <f t="shared" si="70"/>
        <v>0</v>
      </c>
      <c r="H300" s="82">
        <f t="shared" si="70"/>
        <v>0</v>
      </c>
      <c r="I300" s="82">
        <f t="shared" si="70"/>
        <v>0</v>
      </c>
      <c r="J300" s="82">
        <f t="shared" si="70"/>
        <v>0</v>
      </c>
      <c r="K300" s="82" t="e">
        <f t="shared" si="70"/>
        <v>#REF!</v>
      </c>
      <c r="L300" s="82">
        <f t="shared" si="70"/>
        <v>0</v>
      </c>
      <c r="M300" s="82">
        <f t="shared" si="70"/>
        <v>0</v>
      </c>
      <c r="N300" s="82">
        <f t="shared" si="70"/>
        <v>0</v>
      </c>
      <c r="O300" s="82">
        <f t="shared" si="70"/>
        <v>0</v>
      </c>
      <c r="P300" s="82">
        <f t="shared" si="70"/>
        <v>0</v>
      </c>
    </row>
    <row r="301" spans="1:16" ht="12.75">
      <c r="A301" s="77">
        <f t="shared" si="66"/>
        <v>16</v>
      </c>
      <c r="B301" s="60" t="str">
        <f>IF(OR((C295="~"),(C301="~")),"~","")</f>
        <v>~</v>
      </c>
      <c r="C301" s="60" t="s">
        <v>203</v>
      </c>
      <c r="E301" s="82" t="e">
        <f t="shared" si="69"/>
        <v>#REF!</v>
      </c>
      <c r="F301" s="82"/>
      <c r="G301" s="82">
        <f t="shared" si="70"/>
        <v>0</v>
      </c>
      <c r="H301" s="82">
        <f t="shared" si="70"/>
        <v>0</v>
      </c>
      <c r="I301" s="82">
        <f t="shared" si="70"/>
        <v>0</v>
      </c>
      <c r="J301" s="82">
        <f t="shared" si="70"/>
        <v>0</v>
      </c>
      <c r="K301" s="82" t="e">
        <f t="shared" si="70"/>
        <v>#REF!</v>
      </c>
      <c r="L301" s="82">
        <f t="shared" si="70"/>
        <v>0</v>
      </c>
      <c r="M301" s="82">
        <f t="shared" si="70"/>
        <v>0</v>
      </c>
      <c r="N301" s="82">
        <f t="shared" si="70"/>
        <v>0</v>
      </c>
      <c r="O301" s="82">
        <f t="shared" si="70"/>
        <v>0</v>
      </c>
      <c r="P301" s="82">
        <f t="shared" si="70"/>
        <v>0</v>
      </c>
    </row>
    <row r="302" spans="1:16" ht="12.75">
      <c r="A302" s="78">
        <f t="shared" si="66"/>
        <v>17</v>
      </c>
      <c r="B302" s="68">
        <f>IF(OR((C295="~"),(C302="~")),"~","")</f>
      </c>
      <c r="C302" s="68" t="s">
        <v>66</v>
      </c>
      <c r="D302" s="68"/>
      <c r="E302" s="83" t="e">
        <f t="shared" si="69"/>
        <v>#REF!</v>
      </c>
      <c r="F302" s="83"/>
      <c r="G302" s="83">
        <f t="shared" si="70"/>
        <v>0.003282</v>
      </c>
      <c r="H302" s="83">
        <f t="shared" si="70"/>
        <v>0.003072</v>
      </c>
      <c r="I302" s="83">
        <f t="shared" si="70"/>
        <v>0.003019</v>
      </c>
      <c r="J302" s="83">
        <f t="shared" si="70"/>
        <v>0.002986</v>
      </c>
      <c r="K302" s="83" t="e">
        <f t="shared" si="70"/>
        <v>#REF!</v>
      </c>
      <c r="L302" s="83">
        <f t="shared" si="70"/>
        <v>0.002949</v>
      </c>
      <c r="M302" s="83">
        <f t="shared" si="70"/>
        <v>0.002937</v>
      </c>
      <c r="N302" s="83">
        <f t="shared" si="70"/>
        <v>0.001107</v>
      </c>
      <c r="O302" s="83">
        <f t="shared" si="70"/>
        <v>0.002948</v>
      </c>
      <c r="P302" s="83">
        <f t="shared" si="70"/>
        <v>0.001205</v>
      </c>
    </row>
    <row r="303" spans="1:2" ht="12.75">
      <c r="A303" s="77">
        <f t="shared" si="66"/>
        <v>18</v>
      </c>
      <c r="B303" s="60">
        <f>IF(OR((C295="~"),(C303="~")),"~","")</f>
      </c>
    </row>
    <row r="304" spans="1:3" ht="12.75">
      <c r="A304" s="77">
        <f t="shared" si="66"/>
        <v>19</v>
      </c>
      <c r="C304" s="57" t="s">
        <v>205</v>
      </c>
    </row>
    <row r="305" spans="1:16" ht="12.75">
      <c r="A305" s="77">
        <f t="shared" si="66"/>
        <v>20</v>
      </c>
      <c r="B305" s="60">
        <f>IF(OR((C304="~"),(C305="~")),"~","")</f>
      </c>
      <c r="C305" s="60" t="s">
        <v>200</v>
      </c>
      <c r="E305" s="82" t="e">
        <f aca="true" t="shared" si="71" ref="E305:E311">ROUND(IF($C305=0,0,E197/E$386),6)</f>
        <v>#REF!</v>
      </c>
      <c r="F305" s="82"/>
      <c r="G305" s="82">
        <f aca="true" t="shared" si="72" ref="G305:P311">ROUND(IF($C305=0,0,G197/G$386),6)</f>
        <v>0.017583</v>
      </c>
      <c r="H305" s="82">
        <f t="shared" si="72"/>
        <v>0.013295</v>
      </c>
      <c r="I305" s="82">
        <f t="shared" si="72"/>
        <v>0.010457</v>
      </c>
      <c r="J305" s="82">
        <f t="shared" si="72"/>
        <v>0.007546</v>
      </c>
      <c r="K305" s="82" t="e">
        <f t="shared" si="72"/>
        <v>#REF!</v>
      </c>
      <c r="L305" s="82">
        <f t="shared" si="72"/>
        <v>0.005945</v>
      </c>
      <c r="M305" s="82">
        <f t="shared" si="72"/>
        <v>0.003053</v>
      </c>
      <c r="N305" s="82">
        <f t="shared" si="72"/>
        <v>0.000999</v>
      </c>
      <c r="O305" s="82">
        <f t="shared" si="72"/>
        <v>0.020614</v>
      </c>
      <c r="P305" s="82">
        <f t="shared" si="72"/>
        <v>0.002988</v>
      </c>
    </row>
    <row r="306" spans="1:16" ht="12.75">
      <c r="A306" s="77">
        <f t="shared" si="66"/>
        <v>21</v>
      </c>
      <c r="B306" s="60">
        <f>IF(OR((C304="~"),(C306="~")),"~","")</f>
      </c>
      <c r="C306" s="60" t="s">
        <v>201</v>
      </c>
      <c r="E306" s="82" t="e">
        <f t="shared" si="71"/>
        <v>#REF!</v>
      </c>
      <c r="F306" s="82"/>
      <c r="G306" s="82">
        <f t="shared" si="72"/>
        <v>0.003128</v>
      </c>
      <c r="H306" s="82">
        <f t="shared" si="72"/>
        <v>0.003128</v>
      </c>
      <c r="I306" s="82">
        <f t="shared" si="72"/>
        <v>0.003128</v>
      </c>
      <c r="J306" s="82">
        <f t="shared" si="72"/>
        <v>0.003128</v>
      </c>
      <c r="K306" s="82" t="e">
        <f t="shared" si="72"/>
        <v>#REF!</v>
      </c>
      <c r="L306" s="82">
        <f t="shared" si="72"/>
        <v>0.003128</v>
      </c>
      <c r="M306" s="82">
        <f t="shared" si="72"/>
        <v>0.003128</v>
      </c>
      <c r="N306" s="82">
        <f t="shared" si="72"/>
        <v>0.003056</v>
      </c>
      <c r="O306" s="82">
        <f t="shared" si="72"/>
        <v>0.003128</v>
      </c>
      <c r="P306" s="82">
        <f t="shared" si="72"/>
        <v>0.00306</v>
      </c>
    </row>
    <row r="307" spans="1:16" ht="12.75">
      <c r="A307" s="77">
        <f t="shared" si="66"/>
        <v>22</v>
      </c>
      <c r="B307" s="60">
        <f>IF(OR((C304="~"),(C307="~")),"~","")</f>
      </c>
      <c r="C307" s="60" t="s">
        <v>202</v>
      </c>
      <c r="E307" s="82" t="e">
        <f t="shared" si="71"/>
        <v>#REF!</v>
      </c>
      <c r="F307" s="82"/>
      <c r="G307" s="82">
        <f t="shared" si="72"/>
        <v>0.010564</v>
      </c>
      <c r="H307" s="82">
        <f t="shared" si="72"/>
        <v>0.007631</v>
      </c>
      <c r="I307" s="82">
        <f t="shared" si="72"/>
        <v>0.002545</v>
      </c>
      <c r="J307" s="82">
        <f t="shared" si="72"/>
        <v>0.000836</v>
      </c>
      <c r="K307" s="82" t="e">
        <f t="shared" si="72"/>
        <v>#REF!</v>
      </c>
      <c r="L307" s="82">
        <f t="shared" si="72"/>
        <v>0.00172</v>
      </c>
      <c r="M307" s="82">
        <f t="shared" si="72"/>
        <v>0.000831</v>
      </c>
      <c r="N307" s="82">
        <f t="shared" si="72"/>
        <v>0.000108</v>
      </c>
      <c r="O307" s="82">
        <f t="shared" si="72"/>
        <v>0.121141</v>
      </c>
      <c r="P307" s="82">
        <f t="shared" si="72"/>
        <v>0.000655</v>
      </c>
    </row>
    <row r="308" spans="1:16" ht="12.75">
      <c r="A308" s="77">
        <f t="shared" si="66"/>
        <v>23</v>
      </c>
      <c r="B308" s="60" t="str">
        <f>IF(OR((C304="~"),(C308="~")),"~","")</f>
        <v>~</v>
      </c>
      <c r="C308" s="60" t="s">
        <v>203</v>
      </c>
      <c r="E308" s="82" t="e">
        <f t="shared" si="71"/>
        <v>#REF!</v>
      </c>
      <c r="F308" s="82"/>
      <c r="G308" s="82">
        <f t="shared" si="72"/>
        <v>0</v>
      </c>
      <c r="H308" s="82">
        <f t="shared" si="72"/>
        <v>0</v>
      </c>
      <c r="I308" s="82">
        <f t="shared" si="72"/>
        <v>0</v>
      </c>
      <c r="J308" s="82">
        <f t="shared" si="72"/>
        <v>0</v>
      </c>
      <c r="K308" s="82" t="e">
        <f t="shared" si="72"/>
        <v>#REF!</v>
      </c>
      <c r="L308" s="82">
        <f t="shared" si="72"/>
        <v>0</v>
      </c>
      <c r="M308" s="82">
        <f t="shared" si="72"/>
        <v>0</v>
      </c>
      <c r="N308" s="82">
        <f t="shared" si="72"/>
        <v>0</v>
      </c>
      <c r="O308" s="82">
        <f t="shared" si="72"/>
        <v>0</v>
      </c>
      <c r="P308" s="82">
        <f t="shared" si="72"/>
        <v>0</v>
      </c>
    </row>
    <row r="309" spans="1:16" ht="12.75">
      <c r="A309" s="77">
        <f t="shared" si="66"/>
        <v>24</v>
      </c>
      <c r="B309" s="60" t="str">
        <f>IF(OR((C304="~"),(C309="~")),"~","")</f>
        <v>~</v>
      </c>
      <c r="C309" s="60" t="s">
        <v>203</v>
      </c>
      <c r="E309" s="82" t="e">
        <f t="shared" si="71"/>
        <v>#REF!</v>
      </c>
      <c r="F309" s="82"/>
      <c r="G309" s="82">
        <f t="shared" si="72"/>
        <v>0</v>
      </c>
      <c r="H309" s="82">
        <f t="shared" si="72"/>
        <v>0</v>
      </c>
      <c r="I309" s="82">
        <f t="shared" si="72"/>
        <v>0</v>
      </c>
      <c r="J309" s="82">
        <f t="shared" si="72"/>
        <v>0</v>
      </c>
      <c r="K309" s="82" t="e">
        <f t="shared" si="72"/>
        <v>#REF!</v>
      </c>
      <c r="L309" s="82">
        <f t="shared" si="72"/>
        <v>0</v>
      </c>
      <c r="M309" s="82">
        <f t="shared" si="72"/>
        <v>0</v>
      </c>
      <c r="N309" s="82">
        <f t="shared" si="72"/>
        <v>0</v>
      </c>
      <c r="O309" s="82">
        <f t="shared" si="72"/>
        <v>0</v>
      </c>
      <c r="P309" s="82">
        <f t="shared" si="72"/>
        <v>0</v>
      </c>
    </row>
    <row r="310" spans="1:16" ht="12.75">
      <c r="A310" s="77">
        <f t="shared" si="66"/>
        <v>25</v>
      </c>
      <c r="B310" s="60" t="str">
        <f>IF(OR((C304="~"),(C310="~")),"~","")</f>
        <v>~</v>
      </c>
      <c r="C310" s="60" t="s">
        <v>203</v>
      </c>
      <c r="E310" s="82" t="e">
        <f t="shared" si="71"/>
        <v>#REF!</v>
      </c>
      <c r="F310" s="82"/>
      <c r="G310" s="82">
        <f t="shared" si="72"/>
        <v>0</v>
      </c>
      <c r="H310" s="82">
        <f t="shared" si="72"/>
        <v>0</v>
      </c>
      <c r="I310" s="82">
        <f t="shared" si="72"/>
        <v>0</v>
      </c>
      <c r="J310" s="82">
        <f t="shared" si="72"/>
        <v>0</v>
      </c>
      <c r="K310" s="82" t="e">
        <f t="shared" si="72"/>
        <v>#REF!</v>
      </c>
      <c r="L310" s="82">
        <f t="shared" si="72"/>
        <v>0</v>
      </c>
      <c r="M310" s="82">
        <f t="shared" si="72"/>
        <v>0</v>
      </c>
      <c r="N310" s="82">
        <f t="shared" si="72"/>
        <v>0</v>
      </c>
      <c r="O310" s="82">
        <f t="shared" si="72"/>
        <v>0</v>
      </c>
      <c r="P310" s="82">
        <f t="shared" si="72"/>
        <v>0</v>
      </c>
    </row>
    <row r="311" spans="1:16" ht="12.75">
      <c r="A311" s="78">
        <f t="shared" si="66"/>
        <v>26</v>
      </c>
      <c r="B311" s="68">
        <f>IF(OR((C304="~"),(C311="~")),"~","")</f>
      </c>
      <c r="C311" s="68" t="s">
        <v>66</v>
      </c>
      <c r="D311" s="68"/>
      <c r="E311" s="83" t="e">
        <f t="shared" si="71"/>
        <v>#REF!</v>
      </c>
      <c r="F311" s="83"/>
      <c r="G311" s="83">
        <f t="shared" si="72"/>
        <v>0.031275</v>
      </c>
      <c r="H311" s="83">
        <f t="shared" si="72"/>
        <v>0.024054</v>
      </c>
      <c r="I311" s="83">
        <f t="shared" si="72"/>
        <v>0.016131</v>
      </c>
      <c r="J311" s="83">
        <f t="shared" si="72"/>
        <v>0.011511</v>
      </c>
      <c r="K311" s="83" t="e">
        <f t="shared" si="72"/>
        <v>#REF!</v>
      </c>
      <c r="L311" s="83">
        <f t="shared" si="72"/>
        <v>0.010794</v>
      </c>
      <c r="M311" s="83">
        <f t="shared" si="72"/>
        <v>0.007012</v>
      </c>
      <c r="N311" s="83">
        <f t="shared" si="72"/>
        <v>0.004163</v>
      </c>
      <c r="O311" s="83">
        <f t="shared" si="72"/>
        <v>0.144884</v>
      </c>
      <c r="P311" s="83">
        <f t="shared" si="72"/>
        <v>0.006702</v>
      </c>
    </row>
    <row r="312" spans="1:3" ht="12.75" hidden="1">
      <c r="A312" s="77"/>
      <c r="B312" s="60">
        <f>IF(OR((C304="~"),(C312="~")),"~","")</f>
      </c>
      <c r="C312" s="57"/>
    </row>
    <row r="313" spans="1:16" ht="12.75" hidden="1">
      <c r="A313" s="77"/>
      <c r="B313" s="60" t="s">
        <v>203</v>
      </c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</row>
    <row r="314" spans="1:16" ht="12.75" hidden="1">
      <c r="A314" s="77"/>
      <c r="B314" s="60" t="str">
        <f>IF(OR((B313="~"),(C314="~")),"~","")</f>
        <v>~</v>
      </c>
      <c r="C314" s="60" t="s">
        <v>203</v>
      </c>
      <c r="E314" s="82" t="e">
        <f aca="true" t="shared" si="73" ref="E314:E319">ROUND(IF($C314=0,0,E206/E$386),6)</f>
        <v>#REF!</v>
      </c>
      <c r="F314" s="82"/>
      <c r="G314" s="82">
        <f aca="true" t="shared" si="74" ref="G314:P319">ROUND(IF($C314=0,0,G206/G$386),6)</f>
        <v>0</v>
      </c>
      <c r="H314" s="82">
        <f t="shared" si="74"/>
        <v>0</v>
      </c>
      <c r="I314" s="82">
        <f t="shared" si="74"/>
        <v>0</v>
      </c>
      <c r="J314" s="82">
        <f t="shared" si="74"/>
        <v>0</v>
      </c>
      <c r="K314" s="82" t="e">
        <f t="shared" si="74"/>
        <v>#REF!</v>
      </c>
      <c r="L314" s="82">
        <f t="shared" si="74"/>
        <v>0</v>
      </c>
      <c r="M314" s="82">
        <f t="shared" si="74"/>
        <v>0</v>
      </c>
      <c r="N314" s="82">
        <f t="shared" si="74"/>
        <v>0</v>
      </c>
      <c r="O314" s="82">
        <f t="shared" si="74"/>
        <v>0</v>
      </c>
      <c r="P314" s="82">
        <f t="shared" si="74"/>
        <v>0</v>
      </c>
    </row>
    <row r="315" spans="1:16" ht="12.75" hidden="1">
      <c r="A315" s="77"/>
      <c r="B315" s="60" t="str">
        <f>IF(OR((B313="~"),(C315="~")),"~","")</f>
        <v>~</v>
      </c>
      <c r="C315" s="60" t="s">
        <v>203</v>
      </c>
      <c r="E315" s="82" t="e">
        <f t="shared" si="73"/>
        <v>#REF!</v>
      </c>
      <c r="F315" s="82"/>
      <c r="G315" s="82">
        <f t="shared" si="74"/>
        <v>0</v>
      </c>
      <c r="H315" s="82">
        <f t="shared" si="74"/>
        <v>0</v>
      </c>
      <c r="I315" s="82">
        <f t="shared" si="74"/>
        <v>0</v>
      </c>
      <c r="J315" s="82">
        <f t="shared" si="74"/>
        <v>0</v>
      </c>
      <c r="K315" s="82" t="e">
        <f t="shared" si="74"/>
        <v>#REF!</v>
      </c>
      <c r="L315" s="82">
        <f t="shared" si="74"/>
        <v>0</v>
      </c>
      <c r="M315" s="82">
        <f t="shared" si="74"/>
        <v>0</v>
      </c>
      <c r="N315" s="82">
        <f t="shared" si="74"/>
        <v>0</v>
      </c>
      <c r="O315" s="82">
        <f t="shared" si="74"/>
        <v>0</v>
      </c>
      <c r="P315" s="82">
        <f t="shared" si="74"/>
        <v>0</v>
      </c>
    </row>
    <row r="316" spans="1:16" ht="12.75" hidden="1">
      <c r="A316" s="77"/>
      <c r="B316" s="60" t="str">
        <f>IF(OR((B313="~"),(C316="~")),"~","")</f>
        <v>~</v>
      </c>
      <c r="C316" s="60" t="s">
        <v>203</v>
      </c>
      <c r="E316" s="82" t="e">
        <f t="shared" si="73"/>
        <v>#REF!</v>
      </c>
      <c r="F316" s="82"/>
      <c r="G316" s="82">
        <f t="shared" si="74"/>
        <v>0</v>
      </c>
      <c r="H316" s="82">
        <f t="shared" si="74"/>
        <v>0</v>
      </c>
      <c r="I316" s="82">
        <f t="shared" si="74"/>
        <v>0</v>
      </c>
      <c r="J316" s="82">
        <f t="shared" si="74"/>
        <v>0</v>
      </c>
      <c r="K316" s="82" t="e">
        <f t="shared" si="74"/>
        <v>#REF!</v>
      </c>
      <c r="L316" s="82">
        <f t="shared" si="74"/>
        <v>0</v>
      </c>
      <c r="M316" s="82">
        <f t="shared" si="74"/>
        <v>0</v>
      </c>
      <c r="N316" s="82">
        <f t="shared" si="74"/>
        <v>0</v>
      </c>
      <c r="O316" s="82">
        <f t="shared" si="74"/>
        <v>0</v>
      </c>
      <c r="P316" s="82">
        <f t="shared" si="74"/>
        <v>0</v>
      </c>
    </row>
    <row r="317" spans="1:16" ht="12.75" hidden="1">
      <c r="A317" s="77"/>
      <c r="B317" s="60" t="str">
        <f>IF(OR((B313="~"),(C317="~")),"~","")</f>
        <v>~</v>
      </c>
      <c r="C317" s="60" t="s">
        <v>203</v>
      </c>
      <c r="E317" s="82" t="e">
        <f t="shared" si="73"/>
        <v>#REF!</v>
      </c>
      <c r="F317" s="82"/>
      <c r="G317" s="82">
        <f t="shared" si="74"/>
        <v>0</v>
      </c>
      <c r="H317" s="82">
        <f t="shared" si="74"/>
        <v>0</v>
      </c>
      <c r="I317" s="82">
        <f t="shared" si="74"/>
        <v>0</v>
      </c>
      <c r="J317" s="82">
        <f t="shared" si="74"/>
        <v>0</v>
      </c>
      <c r="K317" s="82" t="e">
        <f t="shared" si="74"/>
        <v>#REF!</v>
      </c>
      <c r="L317" s="82">
        <f t="shared" si="74"/>
        <v>0</v>
      </c>
      <c r="M317" s="82">
        <f t="shared" si="74"/>
        <v>0</v>
      </c>
      <c r="N317" s="82">
        <f t="shared" si="74"/>
        <v>0</v>
      </c>
      <c r="O317" s="82">
        <f t="shared" si="74"/>
        <v>0</v>
      </c>
      <c r="P317" s="82">
        <f t="shared" si="74"/>
        <v>0</v>
      </c>
    </row>
    <row r="318" spans="1:16" ht="12.75" hidden="1">
      <c r="A318" s="77"/>
      <c r="B318" s="60" t="str">
        <f>IF(OR((B313="~"),(C318="~")),"~","")</f>
        <v>~</v>
      </c>
      <c r="C318" s="60" t="s">
        <v>203</v>
      </c>
      <c r="E318" s="82" t="e">
        <f t="shared" si="73"/>
        <v>#REF!</v>
      </c>
      <c r="F318" s="82"/>
      <c r="G318" s="82">
        <f t="shared" si="74"/>
        <v>0</v>
      </c>
      <c r="H318" s="82">
        <f t="shared" si="74"/>
        <v>0</v>
      </c>
      <c r="I318" s="82">
        <f t="shared" si="74"/>
        <v>0</v>
      </c>
      <c r="J318" s="82">
        <f t="shared" si="74"/>
        <v>0</v>
      </c>
      <c r="K318" s="82" t="e">
        <f t="shared" si="74"/>
        <v>#REF!</v>
      </c>
      <c r="L318" s="82">
        <f t="shared" si="74"/>
        <v>0</v>
      </c>
      <c r="M318" s="82">
        <f t="shared" si="74"/>
        <v>0</v>
      </c>
      <c r="N318" s="82">
        <f t="shared" si="74"/>
        <v>0</v>
      </c>
      <c r="O318" s="82">
        <f t="shared" si="74"/>
        <v>0</v>
      </c>
      <c r="P318" s="82">
        <f t="shared" si="74"/>
        <v>0</v>
      </c>
    </row>
    <row r="319" spans="1:16" ht="12.75" hidden="1">
      <c r="A319" s="78"/>
      <c r="B319" s="68" t="str">
        <f>IF(OR((B313="~"),(C319="~")),"~","")</f>
        <v>~</v>
      </c>
      <c r="C319" s="68" t="s">
        <v>203</v>
      </c>
      <c r="D319" s="68"/>
      <c r="E319" s="83" t="e">
        <f t="shared" si="73"/>
        <v>#REF!</v>
      </c>
      <c r="F319" s="83"/>
      <c r="G319" s="83">
        <f t="shared" si="74"/>
        <v>0</v>
      </c>
      <c r="H319" s="83">
        <f t="shared" si="74"/>
        <v>0</v>
      </c>
      <c r="I319" s="83">
        <f t="shared" si="74"/>
        <v>0</v>
      </c>
      <c r="J319" s="83">
        <f t="shared" si="74"/>
        <v>0</v>
      </c>
      <c r="K319" s="83" t="e">
        <f t="shared" si="74"/>
        <v>#REF!</v>
      </c>
      <c r="L319" s="83">
        <f t="shared" si="74"/>
        <v>0</v>
      </c>
      <c r="M319" s="83">
        <f t="shared" si="74"/>
        <v>0</v>
      </c>
      <c r="N319" s="83">
        <f t="shared" si="74"/>
        <v>0</v>
      </c>
      <c r="O319" s="83">
        <f t="shared" si="74"/>
        <v>0</v>
      </c>
      <c r="P319" s="83">
        <f t="shared" si="74"/>
        <v>0</v>
      </c>
    </row>
    <row r="320" spans="1:3" ht="12.75" hidden="1">
      <c r="A320" s="77"/>
      <c r="B320" s="60" t="str">
        <f>IF(OR((B313="~"),(C320="~")),"~","")</f>
        <v>~</v>
      </c>
      <c r="C320" s="60" t="str">
        <f>IF(B313="~","~","")</f>
        <v>~</v>
      </c>
    </row>
    <row r="321" spans="1:3" ht="12.75" hidden="1">
      <c r="A321" s="77"/>
      <c r="B321" s="60" t="str">
        <f>IF(OR((B313="~"),(C321="~")),"~","")</f>
        <v>~</v>
      </c>
      <c r="C321" s="57"/>
    </row>
    <row r="322" spans="1:16" ht="12.75" hidden="1">
      <c r="A322" s="77"/>
      <c r="B322" s="60" t="s">
        <v>203</v>
      </c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</row>
    <row r="323" spans="1:16" ht="12.75" hidden="1">
      <c r="A323" s="77"/>
      <c r="B323" s="60" t="str">
        <f>IF(OR((B322="~"),(C323="~")),"~","")</f>
        <v>~</v>
      </c>
      <c r="C323" s="60" t="s">
        <v>203</v>
      </c>
      <c r="E323" s="82" t="e">
        <f aca="true" t="shared" si="75" ref="E323:E328">ROUND(IF($C323=0,0,E215/E$386),6)</f>
        <v>#REF!</v>
      </c>
      <c r="F323" s="82"/>
      <c r="G323" s="82">
        <f aca="true" t="shared" si="76" ref="G323:P328">ROUND(IF($C323=0,0,G215/G$386),6)</f>
        <v>0</v>
      </c>
      <c r="H323" s="82">
        <f t="shared" si="76"/>
        <v>0</v>
      </c>
      <c r="I323" s="82">
        <f t="shared" si="76"/>
        <v>0</v>
      </c>
      <c r="J323" s="82">
        <f t="shared" si="76"/>
        <v>0</v>
      </c>
      <c r="K323" s="82" t="e">
        <f t="shared" si="76"/>
        <v>#REF!</v>
      </c>
      <c r="L323" s="82">
        <f t="shared" si="76"/>
        <v>0</v>
      </c>
      <c r="M323" s="82">
        <f t="shared" si="76"/>
        <v>0</v>
      </c>
      <c r="N323" s="82">
        <f t="shared" si="76"/>
        <v>0</v>
      </c>
      <c r="O323" s="82">
        <f t="shared" si="76"/>
        <v>0</v>
      </c>
      <c r="P323" s="82">
        <f t="shared" si="76"/>
        <v>0</v>
      </c>
    </row>
    <row r="324" spans="1:16" ht="12.75" hidden="1">
      <c r="A324" s="77"/>
      <c r="B324" s="60" t="str">
        <f>IF(OR((B322="~"),(C324="~")),"~","")</f>
        <v>~</v>
      </c>
      <c r="C324" s="60" t="s">
        <v>203</v>
      </c>
      <c r="E324" s="82" t="e">
        <f t="shared" si="75"/>
        <v>#REF!</v>
      </c>
      <c r="F324" s="82"/>
      <c r="G324" s="82">
        <f t="shared" si="76"/>
        <v>0</v>
      </c>
      <c r="H324" s="82">
        <f t="shared" si="76"/>
        <v>0</v>
      </c>
      <c r="I324" s="82">
        <f t="shared" si="76"/>
        <v>0</v>
      </c>
      <c r="J324" s="82">
        <f t="shared" si="76"/>
        <v>0</v>
      </c>
      <c r="K324" s="82" t="e">
        <f t="shared" si="76"/>
        <v>#REF!</v>
      </c>
      <c r="L324" s="82">
        <f t="shared" si="76"/>
        <v>0</v>
      </c>
      <c r="M324" s="82">
        <f t="shared" si="76"/>
        <v>0</v>
      </c>
      <c r="N324" s="82">
        <f t="shared" si="76"/>
        <v>0</v>
      </c>
      <c r="O324" s="82">
        <f t="shared" si="76"/>
        <v>0</v>
      </c>
      <c r="P324" s="82">
        <f t="shared" si="76"/>
        <v>0</v>
      </c>
    </row>
    <row r="325" spans="1:16" ht="12.75" hidden="1">
      <c r="A325" s="77"/>
      <c r="B325" s="60" t="str">
        <f>IF(OR((B322="~"),(C325="~")),"~","")</f>
        <v>~</v>
      </c>
      <c r="C325" s="60" t="s">
        <v>203</v>
      </c>
      <c r="E325" s="82" t="e">
        <f t="shared" si="75"/>
        <v>#REF!</v>
      </c>
      <c r="F325" s="82"/>
      <c r="G325" s="82">
        <f t="shared" si="76"/>
        <v>0</v>
      </c>
      <c r="H325" s="82">
        <f t="shared" si="76"/>
        <v>0</v>
      </c>
      <c r="I325" s="82">
        <f t="shared" si="76"/>
        <v>0</v>
      </c>
      <c r="J325" s="82">
        <f t="shared" si="76"/>
        <v>0</v>
      </c>
      <c r="K325" s="82" t="e">
        <f t="shared" si="76"/>
        <v>#REF!</v>
      </c>
      <c r="L325" s="82">
        <f t="shared" si="76"/>
        <v>0</v>
      </c>
      <c r="M325" s="82">
        <f t="shared" si="76"/>
        <v>0</v>
      </c>
      <c r="N325" s="82">
        <f t="shared" si="76"/>
        <v>0</v>
      </c>
      <c r="O325" s="82">
        <f t="shared" si="76"/>
        <v>0</v>
      </c>
      <c r="P325" s="82">
        <f t="shared" si="76"/>
        <v>0</v>
      </c>
    </row>
    <row r="326" spans="1:16" ht="12.75" hidden="1">
      <c r="A326" s="77"/>
      <c r="B326" s="60" t="str">
        <f>IF(OR((B322="~"),(C326="~")),"~","")</f>
        <v>~</v>
      </c>
      <c r="C326" s="60" t="s">
        <v>203</v>
      </c>
      <c r="E326" s="82" t="e">
        <f t="shared" si="75"/>
        <v>#REF!</v>
      </c>
      <c r="F326" s="82"/>
      <c r="G326" s="82">
        <f t="shared" si="76"/>
        <v>0</v>
      </c>
      <c r="H326" s="82">
        <f t="shared" si="76"/>
        <v>0</v>
      </c>
      <c r="I326" s="82">
        <f t="shared" si="76"/>
        <v>0</v>
      </c>
      <c r="J326" s="82">
        <f t="shared" si="76"/>
        <v>0</v>
      </c>
      <c r="K326" s="82" t="e">
        <f t="shared" si="76"/>
        <v>#REF!</v>
      </c>
      <c r="L326" s="82">
        <f t="shared" si="76"/>
        <v>0</v>
      </c>
      <c r="M326" s="82">
        <f t="shared" si="76"/>
        <v>0</v>
      </c>
      <c r="N326" s="82">
        <f t="shared" si="76"/>
        <v>0</v>
      </c>
      <c r="O326" s="82">
        <f t="shared" si="76"/>
        <v>0</v>
      </c>
      <c r="P326" s="82">
        <f t="shared" si="76"/>
        <v>0</v>
      </c>
    </row>
    <row r="327" spans="1:16" ht="12.75" hidden="1">
      <c r="A327" s="77"/>
      <c r="B327" s="60" t="str">
        <f>IF(OR((B322="~"),(C327="~")),"~","")</f>
        <v>~</v>
      </c>
      <c r="C327" s="60" t="s">
        <v>203</v>
      </c>
      <c r="E327" s="82" t="e">
        <f t="shared" si="75"/>
        <v>#REF!</v>
      </c>
      <c r="F327" s="82"/>
      <c r="G327" s="82">
        <f t="shared" si="76"/>
        <v>0</v>
      </c>
      <c r="H327" s="82">
        <f t="shared" si="76"/>
        <v>0</v>
      </c>
      <c r="I327" s="82">
        <f t="shared" si="76"/>
        <v>0</v>
      </c>
      <c r="J327" s="82">
        <f t="shared" si="76"/>
        <v>0</v>
      </c>
      <c r="K327" s="82" t="e">
        <f t="shared" si="76"/>
        <v>#REF!</v>
      </c>
      <c r="L327" s="82">
        <f t="shared" si="76"/>
        <v>0</v>
      </c>
      <c r="M327" s="82">
        <f t="shared" si="76"/>
        <v>0</v>
      </c>
      <c r="N327" s="82">
        <f t="shared" si="76"/>
        <v>0</v>
      </c>
      <c r="O327" s="82">
        <f t="shared" si="76"/>
        <v>0</v>
      </c>
      <c r="P327" s="82">
        <f t="shared" si="76"/>
        <v>0</v>
      </c>
    </row>
    <row r="328" spans="1:16" ht="12.75" hidden="1">
      <c r="A328" s="78"/>
      <c r="B328" s="68" t="str">
        <f>IF(OR((B322="~"),(C328="~")),"~","")</f>
        <v>~</v>
      </c>
      <c r="C328" s="68" t="s">
        <v>203</v>
      </c>
      <c r="D328" s="68"/>
      <c r="E328" s="83" t="e">
        <f t="shared" si="75"/>
        <v>#REF!</v>
      </c>
      <c r="F328" s="83"/>
      <c r="G328" s="83">
        <f t="shared" si="76"/>
        <v>0</v>
      </c>
      <c r="H328" s="83">
        <f t="shared" si="76"/>
        <v>0</v>
      </c>
      <c r="I328" s="83">
        <f t="shared" si="76"/>
        <v>0</v>
      </c>
      <c r="J328" s="83">
        <f t="shared" si="76"/>
        <v>0</v>
      </c>
      <c r="K328" s="83" t="e">
        <f t="shared" si="76"/>
        <v>#REF!</v>
      </c>
      <c r="L328" s="83">
        <f t="shared" si="76"/>
        <v>0</v>
      </c>
      <c r="M328" s="83">
        <f t="shared" si="76"/>
        <v>0</v>
      </c>
      <c r="N328" s="83">
        <f t="shared" si="76"/>
        <v>0</v>
      </c>
      <c r="O328" s="83">
        <f t="shared" si="76"/>
        <v>0</v>
      </c>
      <c r="P328" s="83">
        <f t="shared" si="76"/>
        <v>0</v>
      </c>
    </row>
    <row r="329" spans="1:3" ht="12.75" hidden="1">
      <c r="A329" s="77"/>
      <c r="B329" s="60" t="str">
        <f>IF(OR((B322="~"),(C329="~")),"~","")</f>
        <v>~</v>
      </c>
      <c r="C329" s="60" t="str">
        <f>IF(B322="~","~","Sub-total")</f>
        <v>~</v>
      </c>
    </row>
    <row r="330" spans="1:3" ht="12.75" hidden="1">
      <c r="A330" s="77"/>
      <c r="B330" s="60" t="str">
        <f>IF(OR((B322="~"),(C330="~")),"~","")</f>
        <v>~</v>
      </c>
      <c r="C330" s="57"/>
    </row>
    <row r="331" spans="1:16" ht="12.75" hidden="1">
      <c r="A331" s="77"/>
      <c r="B331" s="60" t="s">
        <v>203</v>
      </c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</row>
    <row r="332" spans="1:16" ht="12.75" hidden="1">
      <c r="A332" s="77"/>
      <c r="B332" s="60" t="str">
        <f>IF(OR((B331="~"),(C332="~")),"~","")</f>
        <v>~</v>
      </c>
      <c r="C332" s="60" t="s">
        <v>203</v>
      </c>
      <c r="E332" s="82" t="e">
        <f aca="true" t="shared" si="77" ref="E332:E337">ROUND(IF($C332=0,0,E224/E$386),6)</f>
        <v>#REF!</v>
      </c>
      <c r="F332" s="82"/>
      <c r="G332" s="82">
        <f aca="true" t="shared" si="78" ref="G332:P337">ROUND(IF($C332=0,0,G224/G$386),6)</f>
        <v>0</v>
      </c>
      <c r="H332" s="82">
        <f t="shared" si="78"/>
        <v>0</v>
      </c>
      <c r="I332" s="82">
        <f t="shared" si="78"/>
        <v>0</v>
      </c>
      <c r="J332" s="82">
        <f t="shared" si="78"/>
        <v>0</v>
      </c>
      <c r="K332" s="82" t="e">
        <f t="shared" si="78"/>
        <v>#REF!</v>
      </c>
      <c r="L332" s="82">
        <f t="shared" si="78"/>
        <v>0</v>
      </c>
      <c r="M332" s="82">
        <f t="shared" si="78"/>
        <v>0</v>
      </c>
      <c r="N332" s="82">
        <f t="shared" si="78"/>
        <v>0</v>
      </c>
      <c r="O332" s="82">
        <f t="shared" si="78"/>
        <v>0</v>
      </c>
      <c r="P332" s="82">
        <f t="shared" si="78"/>
        <v>0</v>
      </c>
    </row>
    <row r="333" spans="1:16" ht="12.75" hidden="1">
      <c r="A333" s="77"/>
      <c r="B333" s="60" t="str">
        <f>IF(OR((B331="~"),(C333="~")),"~","")</f>
        <v>~</v>
      </c>
      <c r="C333" s="60" t="s">
        <v>203</v>
      </c>
      <c r="E333" s="82" t="e">
        <f t="shared" si="77"/>
        <v>#REF!</v>
      </c>
      <c r="F333" s="82"/>
      <c r="G333" s="82">
        <f t="shared" si="78"/>
        <v>0</v>
      </c>
      <c r="H333" s="82">
        <f t="shared" si="78"/>
        <v>0</v>
      </c>
      <c r="I333" s="82">
        <f t="shared" si="78"/>
        <v>0</v>
      </c>
      <c r="J333" s="82">
        <f t="shared" si="78"/>
        <v>0</v>
      </c>
      <c r="K333" s="82" t="e">
        <f t="shared" si="78"/>
        <v>#REF!</v>
      </c>
      <c r="L333" s="82">
        <f t="shared" si="78"/>
        <v>0</v>
      </c>
      <c r="M333" s="82">
        <f t="shared" si="78"/>
        <v>0</v>
      </c>
      <c r="N333" s="82">
        <f t="shared" si="78"/>
        <v>0</v>
      </c>
      <c r="O333" s="82">
        <f t="shared" si="78"/>
        <v>0</v>
      </c>
      <c r="P333" s="82">
        <f t="shared" si="78"/>
        <v>0</v>
      </c>
    </row>
    <row r="334" spans="1:16" ht="12.75" hidden="1">
      <c r="A334" s="77"/>
      <c r="B334" s="60" t="str">
        <f>IF(OR((B331="~"),(C334="~")),"~","")</f>
        <v>~</v>
      </c>
      <c r="C334" s="60" t="s">
        <v>203</v>
      </c>
      <c r="E334" s="82" t="e">
        <f t="shared" si="77"/>
        <v>#REF!</v>
      </c>
      <c r="F334" s="82"/>
      <c r="G334" s="82">
        <f t="shared" si="78"/>
        <v>0</v>
      </c>
      <c r="H334" s="82">
        <f t="shared" si="78"/>
        <v>0</v>
      </c>
      <c r="I334" s="82">
        <f t="shared" si="78"/>
        <v>0</v>
      </c>
      <c r="J334" s="82">
        <f t="shared" si="78"/>
        <v>0</v>
      </c>
      <c r="K334" s="82" t="e">
        <f t="shared" si="78"/>
        <v>#REF!</v>
      </c>
      <c r="L334" s="82">
        <f t="shared" si="78"/>
        <v>0</v>
      </c>
      <c r="M334" s="82">
        <f t="shared" si="78"/>
        <v>0</v>
      </c>
      <c r="N334" s="82">
        <f t="shared" si="78"/>
        <v>0</v>
      </c>
      <c r="O334" s="82">
        <f t="shared" si="78"/>
        <v>0</v>
      </c>
      <c r="P334" s="82">
        <f t="shared" si="78"/>
        <v>0</v>
      </c>
    </row>
    <row r="335" spans="1:16" ht="12.75" hidden="1">
      <c r="A335" s="77"/>
      <c r="B335" s="60" t="str">
        <f>IF(OR((B331="~"),(C335="~")),"~","")</f>
        <v>~</v>
      </c>
      <c r="C335" s="60" t="s">
        <v>203</v>
      </c>
      <c r="E335" s="82" t="e">
        <f t="shared" si="77"/>
        <v>#REF!</v>
      </c>
      <c r="F335" s="82"/>
      <c r="G335" s="82">
        <f t="shared" si="78"/>
        <v>0</v>
      </c>
      <c r="H335" s="82">
        <f t="shared" si="78"/>
        <v>0</v>
      </c>
      <c r="I335" s="82">
        <f t="shared" si="78"/>
        <v>0</v>
      </c>
      <c r="J335" s="82">
        <f t="shared" si="78"/>
        <v>0</v>
      </c>
      <c r="K335" s="82" t="e">
        <f t="shared" si="78"/>
        <v>#REF!</v>
      </c>
      <c r="L335" s="82">
        <f t="shared" si="78"/>
        <v>0</v>
      </c>
      <c r="M335" s="82">
        <f t="shared" si="78"/>
        <v>0</v>
      </c>
      <c r="N335" s="82">
        <f t="shared" si="78"/>
        <v>0</v>
      </c>
      <c r="O335" s="82">
        <f t="shared" si="78"/>
        <v>0</v>
      </c>
      <c r="P335" s="82">
        <f t="shared" si="78"/>
        <v>0</v>
      </c>
    </row>
    <row r="336" spans="1:16" ht="12.75" hidden="1">
      <c r="A336" s="77"/>
      <c r="B336" s="60" t="str">
        <f>IF(OR((B331="~"),(C336="~")),"~","")</f>
        <v>~</v>
      </c>
      <c r="C336" s="60" t="s">
        <v>203</v>
      </c>
      <c r="E336" s="82" t="e">
        <f t="shared" si="77"/>
        <v>#REF!</v>
      </c>
      <c r="F336" s="82"/>
      <c r="G336" s="82">
        <f t="shared" si="78"/>
        <v>0</v>
      </c>
      <c r="H336" s="82">
        <f t="shared" si="78"/>
        <v>0</v>
      </c>
      <c r="I336" s="82">
        <f t="shared" si="78"/>
        <v>0</v>
      </c>
      <c r="J336" s="82">
        <f t="shared" si="78"/>
        <v>0</v>
      </c>
      <c r="K336" s="82" t="e">
        <f t="shared" si="78"/>
        <v>#REF!</v>
      </c>
      <c r="L336" s="82">
        <f t="shared" si="78"/>
        <v>0</v>
      </c>
      <c r="M336" s="82">
        <f t="shared" si="78"/>
        <v>0</v>
      </c>
      <c r="N336" s="82">
        <f t="shared" si="78"/>
        <v>0</v>
      </c>
      <c r="O336" s="82">
        <f t="shared" si="78"/>
        <v>0</v>
      </c>
      <c r="P336" s="82">
        <f t="shared" si="78"/>
        <v>0</v>
      </c>
    </row>
    <row r="337" spans="1:16" ht="12.75" hidden="1">
      <c r="A337" s="78"/>
      <c r="B337" s="68" t="str">
        <f>IF(OR((B331="~"),(C337="~")),"~","")</f>
        <v>~</v>
      </c>
      <c r="C337" s="68" t="s">
        <v>203</v>
      </c>
      <c r="D337" s="68"/>
      <c r="E337" s="83" t="e">
        <f t="shared" si="77"/>
        <v>#REF!</v>
      </c>
      <c r="F337" s="83"/>
      <c r="G337" s="83">
        <f t="shared" si="78"/>
        <v>0</v>
      </c>
      <c r="H337" s="83">
        <f t="shared" si="78"/>
        <v>0</v>
      </c>
      <c r="I337" s="83">
        <f t="shared" si="78"/>
        <v>0</v>
      </c>
      <c r="J337" s="83">
        <f t="shared" si="78"/>
        <v>0</v>
      </c>
      <c r="K337" s="83" t="e">
        <f t="shared" si="78"/>
        <v>#REF!</v>
      </c>
      <c r="L337" s="83">
        <f t="shared" si="78"/>
        <v>0</v>
      </c>
      <c r="M337" s="83">
        <f t="shared" si="78"/>
        <v>0</v>
      </c>
      <c r="N337" s="83">
        <f t="shared" si="78"/>
        <v>0</v>
      </c>
      <c r="O337" s="83">
        <f t="shared" si="78"/>
        <v>0</v>
      </c>
      <c r="P337" s="83">
        <f t="shared" si="78"/>
        <v>0</v>
      </c>
    </row>
    <row r="338" spans="1:3" ht="12.75" hidden="1">
      <c r="A338" s="77"/>
      <c r="B338" s="60" t="str">
        <f>IF(OR((B331="~"),(C338="~")),"~","")</f>
        <v>~</v>
      </c>
      <c r="C338" s="60" t="str">
        <f>IF(B331="~","~","Sub-total")</f>
        <v>~</v>
      </c>
    </row>
    <row r="339" spans="1:3" ht="12.75" hidden="1">
      <c r="A339" s="77"/>
      <c r="B339" s="60" t="str">
        <f>IF(OR((B331="~"),(C339="~")),"~","")</f>
        <v>~</v>
      </c>
      <c r="C339" s="57"/>
    </row>
    <row r="340" spans="1:16" ht="12.75" hidden="1">
      <c r="A340" s="77"/>
      <c r="B340" s="60" t="s">
        <v>203</v>
      </c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</row>
    <row r="341" spans="1:16" ht="12.75" hidden="1">
      <c r="A341" s="77"/>
      <c r="B341" s="60" t="str">
        <f>IF(OR((B340="~"),(C341="~")),"~","")</f>
        <v>~</v>
      </c>
      <c r="C341" s="60" t="s">
        <v>203</v>
      </c>
      <c r="E341" s="82" t="e">
        <f aca="true" t="shared" si="79" ref="E341:E346">ROUND(IF($C341=0,0,E233/E$386),6)</f>
        <v>#REF!</v>
      </c>
      <c r="F341" s="82"/>
      <c r="G341" s="82">
        <f aca="true" t="shared" si="80" ref="G341:P346">ROUND(IF($C341=0,0,G233/G$386),6)</f>
        <v>0</v>
      </c>
      <c r="H341" s="82">
        <f t="shared" si="80"/>
        <v>0</v>
      </c>
      <c r="I341" s="82">
        <f t="shared" si="80"/>
        <v>0</v>
      </c>
      <c r="J341" s="82">
        <f t="shared" si="80"/>
        <v>0</v>
      </c>
      <c r="K341" s="82" t="e">
        <f t="shared" si="80"/>
        <v>#REF!</v>
      </c>
      <c r="L341" s="82">
        <f t="shared" si="80"/>
        <v>0</v>
      </c>
      <c r="M341" s="82">
        <f t="shared" si="80"/>
        <v>0</v>
      </c>
      <c r="N341" s="82">
        <f t="shared" si="80"/>
        <v>0</v>
      </c>
      <c r="O341" s="82">
        <f t="shared" si="80"/>
        <v>0</v>
      </c>
      <c r="P341" s="82">
        <f t="shared" si="80"/>
        <v>0</v>
      </c>
    </row>
    <row r="342" spans="1:16" ht="12.75" hidden="1">
      <c r="A342" s="77"/>
      <c r="B342" s="60" t="str">
        <f>IF(OR((B340="~"),(C342="~")),"~","")</f>
        <v>~</v>
      </c>
      <c r="C342" s="60" t="s">
        <v>203</v>
      </c>
      <c r="E342" s="82" t="e">
        <f t="shared" si="79"/>
        <v>#REF!</v>
      </c>
      <c r="F342" s="82"/>
      <c r="G342" s="82">
        <f t="shared" si="80"/>
        <v>0</v>
      </c>
      <c r="H342" s="82">
        <f t="shared" si="80"/>
        <v>0</v>
      </c>
      <c r="I342" s="82">
        <f t="shared" si="80"/>
        <v>0</v>
      </c>
      <c r="J342" s="82">
        <f t="shared" si="80"/>
        <v>0</v>
      </c>
      <c r="K342" s="82" t="e">
        <f t="shared" si="80"/>
        <v>#REF!</v>
      </c>
      <c r="L342" s="82">
        <f t="shared" si="80"/>
        <v>0</v>
      </c>
      <c r="M342" s="82">
        <f t="shared" si="80"/>
        <v>0</v>
      </c>
      <c r="N342" s="82">
        <f t="shared" si="80"/>
        <v>0</v>
      </c>
      <c r="O342" s="82">
        <f t="shared" si="80"/>
        <v>0</v>
      </c>
      <c r="P342" s="82">
        <f t="shared" si="80"/>
        <v>0</v>
      </c>
    </row>
    <row r="343" spans="1:16" ht="12.75" hidden="1">
      <c r="A343" s="77"/>
      <c r="B343" s="60" t="str">
        <f>IF(OR((B340="~"),(C343="~")),"~","")</f>
        <v>~</v>
      </c>
      <c r="C343" s="60" t="s">
        <v>203</v>
      </c>
      <c r="E343" s="82" t="e">
        <f t="shared" si="79"/>
        <v>#REF!</v>
      </c>
      <c r="F343" s="82"/>
      <c r="G343" s="82">
        <f t="shared" si="80"/>
        <v>0</v>
      </c>
      <c r="H343" s="82">
        <f t="shared" si="80"/>
        <v>0</v>
      </c>
      <c r="I343" s="82">
        <f t="shared" si="80"/>
        <v>0</v>
      </c>
      <c r="J343" s="82">
        <f t="shared" si="80"/>
        <v>0</v>
      </c>
      <c r="K343" s="82" t="e">
        <f t="shared" si="80"/>
        <v>#REF!</v>
      </c>
      <c r="L343" s="82">
        <f t="shared" si="80"/>
        <v>0</v>
      </c>
      <c r="M343" s="82">
        <f t="shared" si="80"/>
        <v>0</v>
      </c>
      <c r="N343" s="82">
        <f t="shared" si="80"/>
        <v>0</v>
      </c>
      <c r="O343" s="82">
        <f t="shared" si="80"/>
        <v>0</v>
      </c>
      <c r="P343" s="82">
        <f t="shared" si="80"/>
        <v>0</v>
      </c>
    </row>
    <row r="344" spans="1:16" ht="12.75" hidden="1">
      <c r="A344" s="77"/>
      <c r="B344" s="60" t="str">
        <f>IF(OR((B340="~"),(C344="~")),"~","")</f>
        <v>~</v>
      </c>
      <c r="C344" s="60" t="s">
        <v>203</v>
      </c>
      <c r="E344" s="82" t="e">
        <f t="shared" si="79"/>
        <v>#REF!</v>
      </c>
      <c r="F344" s="82"/>
      <c r="G344" s="82">
        <f t="shared" si="80"/>
        <v>0</v>
      </c>
      <c r="H344" s="82">
        <f t="shared" si="80"/>
        <v>0</v>
      </c>
      <c r="I344" s="82">
        <f t="shared" si="80"/>
        <v>0</v>
      </c>
      <c r="J344" s="82">
        <f t="shared" si="80"/>
        <v>0</v>
      </c>
      <c r="K344" s="82" t="e">
        <f t="shared" si="80"/>
        <v>#REF!</v>
      </c>
      <c r="L344" s="82">
        <f t="shared" si="80"/>
        <v>0</v>
      </c>
      <c r="M344" s="82">
        <f t="shared" si="80"/>
        <v>0</v>
      </c>
      <c r="N344" s="82">
        <f t="shared" si="80"/>
        <v>0</v>
      </c>
      <c r="O344" s="82">
        <f t="shared" si="80"/>
        <v>0</v>
      </c>
      <c r="P344" s="82">
        <f t="shared" si="80"/>
        <v>0</v>
      </c>
    </row>
    <row r="345" spans="1:16" ht="12.75" hidden="1">
      <c r="A345" s="77"/>
      <c r="B345" s="60" t="str">
        <f>IF(OR((B340="~"),(C345="~")),"~","")</f>
        <v>~</v>
      </c>
      <c r="C345" s="60" t="s">
        <v>203</v>
      </c>
      <c r="E345" s="82" t="e">
        <f t="shared" si="79"/>
        <v>#REF!</v>
      </c>
      <c r="F345" s="82"/>
      <c r="G345" s="82">
        <f t="shared" si="80"/>
        <v>0</v>
      </c>
      <c r="H345" s="82">
        <f t="shared" si="80"/>
        <v>0</v>
      </c>
      <c r="I345" s="82">
        <f t="shared" si="80"/>
        <v>0</v>
      </c>
      <c r="J345" s="82">
        <f t="shared" si="80"/>
        <v>0</v>
      </c>
      <c r="K345" s="82" t="e">
        <f t="shared" si="80"/>
        <v>#REF!</v>
      </c>
      <c r="L345" s="82">
        <f t="shared" si="80"/>
        <v>0</v>
      </c>
      <c r="M345" s="82">
        <f t="shared" si="80"/>
        <v>0</v>
      </c>
      <c r="N345" s="82">
        <f t="shared" si="80"/>
        <v>0</v>
      </c>
      <c r="O345" s="82">
        <f t="shared" si="80"/>
        <v>0</v>
      </c>
      <c r="P345" s="82">
        <f t="shared" si="80"/>
        <v>0</v>
      </c>
    </row>
    <row r="346" spans="1:16" ht="12.75" hidden="1">
      <c r="A346" s="78"/>
      <c r="B346" s="68" t="str">
        <f>IF(OR((B340="~"),(C346="~")),"~","")</f>
        <v>~</v>
      </c>
      <c r="C346" s="68" t="s">
        <v>203</v>
      </c>
      <c r="D346" s="68"/>
      <c r="E346" s="83" t="e">
        <f t="shared" si="79"/>
        <v>#REF!</v>
      </c>
      <c r="F346" s="83"/>
      <c r="G346" s="83">
        <f t="shared" si="80"/>
        <v>0</v>
      </c>
      <c r="H346" s="83">
        <f t="shared" si="80"/>
        <v>0</v>
      </c>
      <c r="I346" s="83">
        <f t="shared" si="80"/>
        <v>0</v>
      </c>
      <c r="J346" s="83">
        <f t="shared" si="80"/>
        <v>0</v>
      </c>
      <c r="K346" s="83" t="e">
        <f t="shared" si="80"/>
        <v>#REF!</v>
      </c>
      <c r="L346" s="83">
        <f t="shared" si="80"/>
        <v>0</v>
      </c>
      <c r="M346" s="83">
        <f t="shared" si="80"/>
        <v>0</v>
      </c>
      <c r="N346" s="83">
        <f t="shared" si="80"/>
        <v>0</v>
      </c>
      <c r="O346" s="83">
        <f t="shared" si="80"/>
        <v>0</v>
      </c>
      <c r="P346" s="83">
        <f t="shared" si="80"/>
        <v>0</v>
      </c>
    </row>
    <row r="347" spans="1:3" ht="12.75" hidden="1">
      <c r="A347" s="77"/>
      <c r="B347" s="60" t="str">
        <f>IF(OR((B340="~"),(C347="~")),"~","")</f>
        <v>~</v>
      </c>
      <c r="C347" s="60" t="str">
        <f>IF(B340="~","~","Sub-total")</f>
        <v>~</v>
      </c>
    </row>
    <row r="348" spans="1:3" ht="12.75" hidden="1">
      <c r="A348" s="77"/>
      <c r="B348" s="60" t="str">
        <f>IF(OR((B340="~"),(C348="~")),"~","")</f>
        <v>~</v>
      </c>
      <c r="C348" s="57"/>
    </row>
    <row r="349" spans="1:16" ht="12.75" hidden="1">
      <c r="A349" s="77"/>
      <c r="B349" s="60" t="s">
        <v>203</v>
      </c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</row>
    <row r="350" spans="1:16" ht="12.75" hidden="1">
      <c r="A350" s="77"/>
      <c r="B350" s="60" t="str">
        <f>IF(OR((B349="~"),(C350="~")),"~","")</f>
        <v>~</v>
      </c>
      <c r="C350" s="60" t="s">
        <v>203</v>
      </c>
      <c r="E350" s="82" t="e">
        <f aca="true" t="shared" si="81" ref="E350:E355">ROUND(IF($C350=0,0,E242/E$386),6)</f>
        <v>#REF!</v>
      </c>
      <c r="F350" s="82"/>
      <c r="G350" s="82">
        <f aca="true" t="shared" si="82" ref="G350:P355">ROUND(IF($C350=0,0,G242/G$386),6)</f>
        <v>0</v>
      </c>
      <c r="H350" s="82">
        <f t="shared" si="82"/>
        <v>0</v>
      </c>
      <c r="I350" s="82">
        <f t="shared" si="82"/>
        <v>0</v>
      </c>
      <c r="J350" s="82">
        <f t="shared" si="82"/>
        <v>0</v>
      </c>
      <c r="K350" s="82" t="e">
        <f t="shared" si="82"/>
        <v>#REF!</v>
      </c>
      <c r="L350" s="82">
        <f t="shared" si="82"/>
        <v>0</v>
      </c>
      <c r="M350" s="82">
        <f t="shared" si="82"/>
        <v>0</v>
      </c>
      <c r="N350" s="82">
        <f t="shared" si="82"/>
        <v>0</v>
      </c>
      <c r="O350" s="82">
        <f t="shared" si="82"/>
        <v>0</v>
      </c>
      <c r="P350" s="82">
        <f t="shared" si="82"/>
        <v>0</v>
      </c>
    </row>
    <row r="351" spans="1:16" ht="12.75" hidden="1">
      <c r="A351" s="77"/>
      <c r="B351" s="60" t="str">
        <f>IF(OR((B349="~"),(C351="~")),"~","")</f>
        <v>~</v>
      </c>
      <c r="C351" s="60" t="s">
        <v>203</v>
      </c>
      <c r="E351" s="82" t="e">
        <f t="shared" si="81"/>
        <v>#REF!</v>
      </c>
      <c r="F351" s="82"/>
      <c r="G351" s="82">
        <f t="shared" si="82"/>
        <v>0</v>
      </c>
      <c r="H351" s="82">
        <f t="shared" si="82"/>
        <v>0</v>
      </c>
      <c r="I351" s="82">
        <f t="shared" si="82"/>
        <v>0</v>
      </c>
      <c r="J351" s="82">
        <f t="shared" si="82"/>
        <v>0</v>
      </c>
      <c r="K351" s="82" t="e">
        <f t="shared" si="82"/>
        <v>#REF!</v>
      </c>
      <c r="L351" s="82">
        <f t="shared" si="82"/>
        <v>0</v>
      </c>
      <c r="M351" s="82">
        <f t="shared" si="82"/>
        <v>0</v>
      </c>
      <c r="N351" s="82">
        <f t="shared" si="82"/>
        <v>0</v>
      </c>
      <c r="O351" s="82">
        <f t="shared" si="82"/>
        <v>0</v>
      </c>
      <c r="P351" s="82">
        <f t="shared" si="82"/>
        <v>0</v>
      </c>
    </row>
    <row r="352" spans="1:16" ht="12.75" hidden="1">
      <c r="A352" s="77"/>
      <c r="B352" s="60" t="str">
        <f>IF(OR((B349="~"),(C352="~")),"~","")</f>
        <v>~</v>
      </c>
      <c r="C352" s="60" t="s">
        <v>203</v>
      </c>
      <c r="E352" s="82" t="e">
        <f t="shared" si="81"/>
        <v>#REF!</v>
      </c>
      <c r="F352" s="82"/>
      <c r="G352" s="82">
        <f t="shared" si="82"/>
        <v>0</v>
      </c>
      <c r="H352" s="82">
        <f t="shared" si="82"/>
        <v>0</v>
      </c>
      <c r="I352" s="82">
        <f t="shared" si="82"/>
        <v>0</v>
      </c>
      <c r="J352" s="82">
        <f t="shared" si="82"/>
        <v>0</v>
      </c>
      <c r="K352" s="82" t="e">
        <f t="shared" si="82"/>
        <v>#REF!</v>
      </c>
      <c r="L352" s="82">
        <f t="shared" si="82"/>
        <v>0</v>
      </c>
      <c r="M352" s="82">
        <f t="shared" si="82"/>
        <v>0</v>
      </c>
      <c r="N352" s="82">
        <f t="shared" si="82"/>
        <v>0</v>
      </c>
      <c r="O352" s="82">
        <f t="shared" si="82"/>
        <v>0</v>
      </c>
      <c r="P352" s="82">
        <f t="shared" si="82"/>
        <v>0</v>
      </c>
    </row>
    <row r="353" spans="1:16" ht="12.75" hidden="1">
      <c r="A353" s="77"/>
      <c r="B353" s="60" t="str">
        <f>IF(OR((B349="~"),(C353="~")),"~","")</f>
        <v>~</v>
      </c>
      <c r="C353" s="60" t="s">
        <v>203</v>
      </c>
      <c r="E353" s="82" t="e">
        <f t="shared" si="81"/>
        <v>#REF!</v>
      </c>
      <c r="F353" s="82"/>
      <c r="G353" s="82">
        <f t="shared" si="82"/>
        <v>0</v>
      </c>
      <c r="H353" s="82">
        <f t="shared" si="82"/>
        <v>0</v>
      </c>
      <c r="I353" s="82">
        <f t="shared" si="82"/>
        <v>0</v>
      </c>
      <c r="J353" s="82">
        <f t="shared" si="82"/>
        <v>0</v>
      </c>
      <c r="K353" s="82" t="e">
        <f t="shared" si="82"/>
        <v>#REF!</v>
      </c>
      <c r="L353" s="82">
        <f t="shared" si="82"/>
        <v>0</v>
      </c>
      <c r="M353" s="82">
        <f t="shared" si="82"/>
        <v>0</v>
      </c>
      <c r="N353" s="82">
        <f t="shared" si="82"/>
        <v>0</v>
      </c>
      <c r="O353" s="82">
        <f t="shared" si="82"/>
        <v>0</v>
      </c>
      <c r="P353" s="82">
        <f t="shared" si="82"/>
        <v>0</v>
      </c>
    </row>
    <row r="354" spans="1:16" ht="12.75" hidden="1">
      <c r="A354" s="77"/>
      <c r="B354" s="60" t="str">
        <f>IF(OR((B349="~"),(C354="~")),"~","")</f>
        <v>~</v>
      </c>
      <c r="C354" s="60" t="s">
        <v>203</v>
      </c>
      <c r="E354" s="82" t="e">
        <f t="shared" si="81"/>
        <v>#REF!</v>
      </c>
      <c r="F354" s="82"/>
      <c r="G354" s="82">
        <f t="shared" si="82"/>
        <v>0</v>
      </c>
      <c r="H354" s="82">
        <f t="shared" si="82"/>
        <v>0</v>
      </c>
      <c r="I354" s="82">
        <f t="shared" si="82"/>
        <v>0</v>
      </c>
      <c r="J354" s="82">
        <f t="shared" si="82"/>
        <v>0</v>
      </c>
      <c r="K354" s="82" t="e">
        <f t="shared" si="82"/>
        <v>#REF!</v>
      </c>
      <c r="L354" s="82">
        <f t="shared" si="82"/>
        <v>0</v>
      </c>
      <c r="M354" s="82">
        <f t="shared" si="82"/>
        <v>0</v>
      </c>
      <c r="N354" s="82">
        <f t="shared" si="82"/>
        <v>0</v>
      </c>
      <c r="O354" s="82">
        <f t="shared" si="82"/>
        <v>0</v>
      </c>
      <c r="P354" s="82">
        <f t="shared" si="82"/>
        <v>0</v>
      </c>
    </row>
    <row r="355" spans="1:16" ht="12.75" hidden="1">
      <c r="A355" s="78"/>
      <c r="B355" s="68" t="str">
        <f>IF(OR((B349="~"),(C355="~")),"~","")</f>
        <v>~</v>
      </c>
      <c r="C355" s="68" t="s">
        <v>203</v>
      </c>
      <c r="D355" s="68"/>
      <c r="E355" s="83" t="e">
        <f t="shared" si="81"/>
        <v>#REF!</v>
      </c>
      <c r="F355" s="83"/>
      <c r="G355" s="83">
        <f t="shared" si="82"/>
        <v>0</v>
      </c>
      <c r="H355" s="83">
        <f t="shared" si="82"/>
        <v>0</v>
      </c>
      <c r="I355" s="83">
        <f t="shared" si="82"/>
        <v>0</v>
      </c>
      <c r="J355" s="83">
        <f t="shared" si="82"/>
        <v>0</v>
      </c>
      <c r="K355" s="83" t="e">
        <f t="shared" si="82"/>
        <v>#REF!</v>
      </c>
      <c r="L355" s="83">
        <f t="shared" si="82"/>
        <v>0</v>
      </c>
      <c r="M355" s="83">
        <f t="shared" si="82"/>
        <v>0</v>
      </c>
      <c r="N355" s="83">
        <f t="shared" si="82"/>
        <v>0</v>
      </c>
      <c r="O355" s="83">
        <f t="shared" si="82"/>
        <v>0</v>
      </c>
      <c r="P355" s="83">
        <f t="shared" si="82"/>
        <v>0</v>
      </c>
    </row>
    <row r="356" spans="1:3" ht="12.75" hidden="1">
      <c r="A356" s="77"/>
      <c r="B356" s="60" t="str">
        <f>IF(OR((B349="~"),(C356="~")),"~","")</f>
        <v>~</v>
      </c>
      <c r="C356" s="60" t="str">
        <f>IF(B349="~","~","Sub-total")</f>
        <v>~</v>
      </c>
    </row>
    <row r="357" spans="1:3" ht="12.75" hidden="1">
      <c r="A357" s="77"/>
      <c r="B357" s="60" t="str">
        <f>IF(OR((B349="~"),(C357="~")),"~","")</f>
        <v>~</v>
      </c>
      <c r="C357" s="57"/>
    </row>
    <row r="358" spans="1:16" ht="12.75" hidden="1">
      <c r="A358" s="77"/>
      <c r="B358" s="60" t="s">
        <v>203</v>
      </c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</row>
    <row r="359" spans="1:16" ht="12.75" hidden="1">
      <c r="A359" s="77"/>
      <c r="B359" s="60" t="str">
        <f>IF(OR((B358="~"),(C359="~")),"~","")</f>
        <v>~</v>
      </c>
      <c r="C359" s="60" t="s">
        <v>203</v>
      </c>
      <c r="E359" s="82" t="e">
        <f aca="true" t="shared" si="83" ref="E359:E364">ROUND(IF($C359=0,0,E251/E$386),6)</f>
        <v>#REF!</v>
      </c>
      <c r="F359" s="82"/>
      <c r="G359" s="82">
        <f aca="true" t="shared" si="84" ref="G359:P364">ROUND(IF($C359=0,0,G251/G$386),6)</f>
        <v>0</v>
      </c>
      <c r="H359" s="82">
        <f t="shared" si="84"/>
        <v>0</v>
      </c>
      <c r="I359" s="82">
        <f t="shared" si="84"/>
        <v>0</v>
      </c>
      <c r="J359" s="82">
        <f t="shared" si="84"/>
        <v>0</v>
      </c>
      <c r="K359" s="82" t="e">
        <f t="shared" si="84"/>
        <v>#REF!</v>
      </c>
      <c r="L359" s="82">
        <f t="shared" si="84"/>
        <v>0</v>
      </c>
      <c r="M359" s="82">
        <f t="shared" si="84"/>
        <v>0</v>
      </c>
      <c r="N359" s="82">
        <f t="shared" si="84"/>
        <v>0</v>
      </c>
      <c r="O359" s="82">
        <f t="shared" si="84"/>
        <v>0</v>
      </c>
      <c r="P359" s="82">
        <f t="shared" si="84"/>
        <v>0</v>
      </c>
    </row>
    <row r="360" spans="1:16" ht="12.75" hidden="1">
      <c r="A360" s="77"/>
      <c r="B360" s="60" t="str">
        <f>IF(OR((B358="~"),(C360="~")),"~","")</f>
        <v>~</v>
      </c>
      <c r="C360" s="60" t="s">
        <v>203</v>
      </c>
      <c r="E360" s="82" t="e">
        <f t="shared" si="83"/>
        <v>#REF!</v>
      </c>
      <c r="F360" s="82"/>
      <c r="G360" s="82">
        <f t="shared" si="84"/>
        <v>0</v>
      </c>
      <c r="H360" s="82">
        <f t="shared" si="84"/>
        <v>0</v>
      </c>
      <c r="I360" s="82">
        <f t="shared" si="84"/>
        <v>0</v>
      </c>
      <c r="J360" s="82">
        <f t="shared" si="84"/>
        <v>0</v>
      </c>
      <c r="K360" s="82" t="e">
        <f t="shared" si="84"/>
        <v>#REF!</v>
      </c>
      <c r="L360" s="82">
        <f t="shared" si="84"/>
        <v>0</v>
      </c>
      <c r="M360" s="82">
        <f t="shared" si="84"/>
        <v>0</v>
      </c>
      <c r="N360" s="82">
        <f t="shared" si="84"/>
        <v>0</v>
      </c>
      <c r="O360" s="82">
        <f t="shared" si="84"/>
        <v>0</v>
      </c>
      <c r="P360" s="82">
        <f t="shared" si="84"/>
        <v>0</v>
      </c>
    </row>
    <row r="361" spans="1:16" ht="12.75" hidden="1">
      <c r="A361" s="77"/>
      <c r="B361" s="60" t="str">
        <f>IF(OR((B358="~"),(C361="~")),"~","")</f>
        <v>~</v>
      </c>
      <c r="C361" s="60" t="s">
        <v>203</v>
      </c>
      <c r="E361" s="82" t="e">
        <f t="shared" si="83"/>
        <v>#REF!</v>
      </c>
      <c r="F361" s="82"/>
      <c r="G361" s="82">
        <f t="shared" si="84"/>
        <v>0</v>
      </c>
      <c r="H361" s="82">
        <f t="shared" si="84"/>
        <v>0</v>
      </c>
      <c r="I361" s="82">
        <f t="shared" si="84"/>
        <v>0</v>
      </c>
      <c r="J361" s="82">
        <f t="shared" si="84"/>
        <v>0</v>
      </c>
      <c r="K361" s="82" t="e">
        <f t="shared" si="84"/>
        <v>#REF!</v>
      </c>
      <c r="L361" s="82">
        <f t="shared" si="84"/>
        <v>0</v>
      </c>
      <c r="M361" s="82">
        <f t="shared" si="84"/>
        <v>0</v>
      </c>
      <c r="N361" s="82">
        <f t="shared" si="84"/>
        <v>0</v>
      </c>
      <c r="O361" s="82">
        <f t="shared" si="84"/>
        <v>0</v>
      </c>
      <c r="P361" s="82">
        <f t="shared" si="84"/>
        <v>0</v>
      </c>
    </row>
    <row r="362" spans="1:16" ht="12.75" hidden="1">
      <c r="A362" s="77"/>
      <c r="B362" s="60" t="str">
        <f>IF(OR((B358="~"),(C362="~")),"~","")</f>
        <v>~</v>
      </c>
      <c r="C362" s="60" t="s">
        <v>203</v>
      </c>
      <c r="E362" s="82" t="e">
        <f t="shared" si="83"/>
        <v>#REF!</v>
      </c>
      <c r="F362" s="82"/>
      <c r="G362" s="82">
        <f t="shared" si="84"/>
        <v>0</v>
      </c>
      <c r="H362" s="82">
        <f t="shared" si="84"/>
        <v>0</v>
      </c>
      <c r="I362" s="82">
        <f t="shared" si="84"/>
        <v>0</v>
      </c>
      <c r="J362" s="82">
        <f t="shared" si="84"/>
        <v>0</v>
      </c>
      <c r="K362" s="82" t="e">
        <f t="shared" si="84"/>
        <v>#REF!</v>
      </c>
      <c r="L362" s="82">
        <f t="shared" si="84"/>
        <v>0</v>
      </c>
      <c r="M362" s="82">
        <f t="shared" si="84"/>
        <v>0</v>
      </c>
      <c r="N362" s="82">
        <f t="shared" si="84"/>
        <v>0</v>
      </c>
      <c r="O362" s="82">
        <f t="shared" si="84"/>
        <v>0</v>
      </c>
      <c r="P362" s="82">
        <f t="shared" si="84"/>
        <v>0</v>
      </c>
    </row>
    <row r="363" spans="1:16" ht="12.75" hidden="1">
      <c r="A363" s="77"/>
      <c r="B363" s="60" t="str">
        <f>IF(OR((B358="~"),(C363="~")),"~","")</f>
        <v>~</v>
      </c>
      <c r="C363" s="60" t="s">
        <v>203</v>
      </c>
      <c r="E363" s="82" t="e">
        <f t="shared" si="83"/>
        <v>#REF!</v>
      </c>
      <c r="F363" s="82"/>
      <c r="G363" s="82">
        <f t="shared" si="84"/>
        <v>0</v>
      </c>
      <c r="H363" s="82">
        <f t="shared" si="84"/>
        <v>0</v>
      </c>
      <c r="I363" s="82">
        <f t="shared" si="84"/>
        <v>0</v>
      </c>
      <c r="J363" s="82">
        <f t="shared" si="84"/>
        <v>0</v>
      </c>
      <c r="K363" s="82" t="e">
        <f t="shared" si="84"/>
        <v>#REF!</v>
      </c>
      <c r="L363" s="82">
        <f t="shared" si="84"/>
        <v>0</v>
      </c>
      <c r="M363" s="82">
        <f t="shared" si="84"/>
        <v>0</v>
      </c>
      <c r="N363" s="82">
        <f t="shared" si="84"/>
        <v>0</v>
      </c>
      <c r="O363" s="82">
        <f t="shared" si="84"/>
        <v>0</v>
      </c>
      <c r="P363" s="82">
        <f t="shared" si="84"/>
        <v>0</v>
      </c>
    </row>
    <row r="364" spans="1:16" ht="12.75" hidden="1">
      <c r="A364" s="78"/>
      <c r="B364" s="68" t="str">
        <f>IF(OR((B358="~"),(C364="~")),"~","")</f>
        <v>~</v>
      </c>
      <c r="C364" s="68" t="s">
        <v>203</v>
      </c>
      <c r="D364" s="68"/>
      <c r="E364" s="83" t="e">
        <f t="shared" si="83"/>
        <v>#REF!</v>
      </c>
      <c r="F364" s="83"/>
      <c r="G364" s="83">
        <f t="shared" si="84"/>
        <v>0</v>
      </c>
      <c r="H364" s="83">
        <f t="shared" si="84"/>
        <v>0</v>
      </c>
      <c r="I364" s="83">
        <f t="shared" si="84"/>
        <v>0</v>
      </c>
      <c r="J364" s="83">
        <f t="shared" si="84"/>
        <v>0</v>
      </c>
      <c r="K364" s="83" t="e">
        <f t="shared" si="84"/>
        <v>#REF!</v>
      </c>
      <c r="L364" s="83">
        <f t="shared" si="84"/>
        <v>0</v>
      </c>
      <c r="M364" s="83">
        <f t="shared" si="84"/>
        <v>0</v>
      </c>
      <c r="N364" s="83">
        <f t="shared" si="84"/>
        <v>0</v>
      </c>
      <c r="O364" s="83">
        <f t="shared" si="84"/>
        <v>0</v>
      </c>
      <c r="P364" s="83">
        <f t="shared" si="84"/>
        <v>0</v>
      </c>
    </row>
    <row r="365" spans="1:3" ht="12.75" hidden="1">
      <c r="A365" s="77"/>
      <c r="B365" s="60" t="str">
        <f>IF(OR((B358="~"),(C365="~")),"~","")</f>
        <v>~</v>
      </c>
      <c r="C365" s="60" t="str">
        <f>IF(B358="~","~","Sub-total")</f>
        <v>~</v>
      </c>
    </row>
    <row r="366" spans="1:3" ht="12.75" hidden="1">
      <c r="A366" s="77"/>
      <c r="B366" s="60" t="str">
        <f>IF(OR((B358="~"),(C366="~")),"~","")</f>
        <v>~</v>
      </c>
      <c r="C366" s="57"/>
    </row>
    <row r="367" spans="1:16" ht="12.75" hidden="1">
      <c r="A367" s="77"/>
      <c r="B367" s="60" t="s">
        <v>203</v>
      </c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</row>
    <row r="368" spans="1:16" ht="12.75" hidden="1">
      <c r="A368" s="77"/>
      <c r="B368" s="60" t="str">
        <f>IF(OR((B367="~"),(C368="~")),"~","")</f>
        <v>~</v>
      </c>
      <c r="C368" s="60" t="s">
        <v>203</v>
      </c>
      <c r="E368" s="82" t="e">
        <f aca="true" t="shared" si="85" ref="E368:E373">ROUND(IF($C368=0,0,E260/E$386),6)</f>
        <v>#REF!</v>
      </c>
      <c r="F368" s="82"/>
      <c r="G368" s="82">
        <f aca="true" t="shared" si="86" ref="G368:P373">ROUND(IF($C368=0,0,G260/G$386),6)</f>
        <v>0</v>
      </c>
      <c r="H368" s="82">
        <f t="shared" si="86"/>
        <v>0</v>
      </c>
      <c r="I368" s="82">
        <f t="shared" si="86"/>
        <v>0</v>
      </c>
      <c r="J368" s="82">
        <f t="shared" si="86"/>
        <v>0</v>
      </c>
      <c r="K368" s="82" t="e">
        <f t="shared" si="86"/>
        <v>#REF!</v>
      </c>
      <c r="L368" s="82">
        <f t="shared" si="86"/>
        <v>0</v>
      </c>
      <c r="M368" s="82">
        <f t="shared" si="86"/>
        <v>0</v>
      </c>
      <c r="N368" s="82">
        <f t="shared" si="86"/>
        <v>0</v>
      </c>
      <c r="O368" s="82">
        <f t="shared" si="86"/>
        <v>0</v>
      </c>
      <c r="P368" s="82">
        <f t="shared" si="86"/>
        <v>0</v>
      </c>
    </row>
    <row r="369" spans="1:16" ht="12.75" hidden="1">
      <c r="A369" s="77"/>
      <c r="B369" s="60" t="str">
        <f>IF(OR((B367="~"),(C369="~")),"~","")</f>
        <v>~</v>
      </c>
      <c r="C369" s="60" t="s">
        <v>203</v>
      </c>
      <c r="E369" s="82" t="e">
        <f t="shared" si="85"/>
        <v>#REF!</v>
      </c>
      <c r="F369" s="82"/>
      <c r="G369" s="82">
        <f t="shared" si="86"/>
        <v>0</v>
      </c>
      <c r="H369" s="82">
        <f t="shared" si="86"/>
        <v>0</v>
      </c>
      <c r="I369" s="82">
        <f t="shared" si="86"/>
        <v>0</v>
      </c>
      <c r="J369" s="82">
        <f t="shared" si="86"/>
        <v>0</v>
      </c>
      <c r="K369" s="82" t="e">
        <f t="shared" si="86"/>
        <v>#REF!</v>
      </c>
      <c r="L369" s="82">
        <f t="shared" si="86"/>
        <v>0</v>
      </c>
      <c r="M369" s="82">
        <f t="shared" si="86"/>
        <v>0</v>
      </c>
      <c r="N369" s="82">
        <f t="shared" si="86"/>
        <v>0</v>
      </c>
      <c r="O369" s="82">
        <f t="shared" si="86"/>
        <v>0</v>
      </c>
      <c r="P369" s="82">
        <f t="shared" si="86"/>
        <v>0</v>
      </c>
    </row>
    <row r="370" spans="1:16" ht="12.75" hidden="1">
      <c r="A370" s="77"/>
      <c r="B370" s="60" t="str">
        <f>IF(OR((B367="~"),(C370="~")),"~","")</f>
        <v>~</v>
      </c>
      <c r="C370" s="60" t="s">
        <v>203</v>
      </c>
      <c r="E370" s="82" t="e">
        <f t="shared" si="85"/>
        <v>#REF!</v>
      </c>
      <c r="F370" s="82"/>
      <c r="G370" s="82">
        <f t="shared" si="86"/>
        <v>0</v>
      </c>
      <c r="H370" s="82">
        <f t="shared" si="86"/>
        <v>0</v>
      </c>
      <c r="I370" s="82">
        <f t="shared" si="86"/>
        <v>0</v>
      </c>
      <c r="J370" s="82">
        <f t="shared" si="86"/>
        <v>0</v>
      </c>
      <c r="K370" s="82" t="e">
        <f t="shared" si="86"/>
        <v>#REF!</v>
      </c>
      <c r="L370" s="82">
        <f t="shared" si="86"/>
        <v>0</v>
      </c>
      <c r="M370" s="82">
        <f t="shared" si="86"/>
        <v>0</v>
      </c>
      <c r="N370" s="82">
        <f t="shared" si="86"/>
        <v>0</v>
      </c>
      <c r="O370" s="82">
        <f t="shared" si="86"/>
        <v>0</v>
      </c>
      <c r="P370" s="82">
        <f t="shared" si="86"/>
        <v>0</v>
      </c>
    </row>
    <row r="371" spans="1:16" ht="12.75" hidden="1">
      <c r="A371" s="77"/>
      <c r="B371" s="60" t="str">
        <f>IF(OR((B367="~"),(C371="~")),"~","")</f>
        <v>~</v>
      </c>
      <c r="C371" s="60" t="s">
        <v>203</v>
      </c>
      <c r="E371" s="82" t="e">
        <f t="shared" si="85"/>
        <v>#REF!</v>
      </c>
      <c r="F371" s="82"/>
      <c r="G371" s="82">
        <f t="shared" si="86"/>
        <v>0</v>
      </c>
      <c r="H371" s="82">
        <f t="shared" si="86"/>
        <v>0</v>
      </c>
      <c r="I371" s="82">
        <f t="shared" si="86"/>
        <v>0</v>
      </c>
      <c r="J371" s="82">
        <f t="shared" si="86"/>
        <v>0</v>
      </c>
      <c r="K371" s="82" t="e">
        <f t="shared" si="86"/>
        <v>#REF!</v>
      </c>
      <c r="L371" s="82">
        <f t="shared" si="86"/>
        <v>0</v>
      </c>
      <c r="M371" s="82">
        <f t="shared" si="86"/>
        <v>0</v>
      </c>
      <c r="N371" s="82">
        <f t="shared" si="86"/>
        <v>0</v>
      </c>
      <c r="O371" s="82">
        <f t="shared" si="86"/>
        <v>0</v>
      </c>
      <c r="P371" s="82">
        <f t="shared" si="86"/>
        <v>0</v>
      </c>
    </row>
    <row r="372" spans="1:16" ht="12.75" hidden="1">
      <c r="A372" s="77"/>
      <c r="B372" s="60" t="str">
        <f>IF(OR((B367="~"),(C372="~")),"~","")</f>
        <v>~</v>
      </c>
      <c r="C372" s="60" t="s">
        <v>203</v>
      </c>
      <c r="E372" s="82" t="e">
        <f t="shared" si="85"/>
        <v>#REF!</v>
      </c>
      <c r="F372" s="82"/>
      <c r="G372" s="82">
        <f t="shared" si="86"/>
        <v>0</v>
      </c>
      <c r="H372" s="82">
        <f t="shared" si="86"/>
        <v>0</v>
      </c>
      <c r="I372" s="82">
        <f t="shared" si="86"/>
        <v>0</v>
      </c>
      <c r="J372" s="82">
        <f t="shared" si="86"/>
        <v>0</v>
      </c>
      <c r="K372" s="82" t="e">
        <f t="shared" si="86"/>
        <v>#REF!</v>
      </c>
      <c r="L372" s="82">
        <f t="shared" si="86"/>
        <v>0</v>
      </c>
      <c r="M372" s="82">
        <f t="shared" si="86"/>
        <v>0</v>
      </c>
      <c r="N372" s="82">
        <f t="shared" si="86"/>
        <v>0</v>
      </c>
      <c r="O372" s="82">
        <f t="shared" si="86"/>
        <v>0</v>
      </c>
      <c r="P372" s="82">
        <f t="shared" si="86"/>
        <v>0</v>
      </c>
    </row>
    <row r="373" spans="1:16" ht="12.75" hidden="1">
      <c r="A373" s="78"/>
      <c r="B373" s="68" t="str">
        <f>IF(OR((B367="~"),(C373="~")),"~","")</f>
        <v>~</v>
      </c>
      <c r="C373" s="68" t="s">
        <v>203</v>
      </c>
      <c r="D373" s="68"/>
      <c r="E373" s="83" t="e">
        <f t="shared" si="85"/>
        <v>#REF!</v>
      </c>
      <c r="F373" s="83"/>
      <c r="G373" s="83">
        <f t="shared" si="86"/>
        <v>0</v>
      </c>
      <c r="H373" s="83">
        <f t="shared" si="86"/>
        <v>0</v>
      </c>
      <c r="I373" s="83">
        <f t="shared" si="86"/>
        <v>0</v>
      </c>
      <c r="J373" s="83">
        <f t="shared" si="86"/>
        <v>0</v>
      </c>
      <c r="K373" s="83" t="e">
        <f t="shared" si="86"/>
        <v>#REF!</v>
      </c>
      <c r="L373" s="83">
        <f t="shared" si="86"/>
        <v>0</v>
      </c>
      <c r="M373" s="83">
        <f t="shared" si="86"/>
        <v>0</v>
      </c>
      <c r="N373" s="83">
        <f t="shared" si="86"/>
        <v>0</v>
      </c>
      <c r="O373" s="83">
        <f t="shared" si="86"/>
        <v>0</v>
      </c>
      <c r="P373" s="83">
        <f t="shared" si="86"/>
        <v>0</v>
      </c>
    </row>
    <row r="374" spans="1:3" ht="12.75" hidden="1">
      <c r="A374" s="77"/>
      <c r="B374" s="60" t="str">
        <f>IF(OR((B367="~"),(C374="~")),"~","")</f>
        <v>~</v>
      </c>
      <c r="C374" s="60" t="str">
        <f>IF(B367="~","~","Sub-total")</f>
        <v>~</v>
      </c>
    </row>
    <row r="375" spans="1:2" ht="12.75" hidden="1">
      <c r="A375" s="77"/>
      <c r="B375" s="60" t="str">
        <f>IF(OR((B367="~"),(C375="~")),"~","")</f>
        <v>~</v>
      </c>
    </row>
    <row r="376" ht="12.75">
      <c r="A376" s="77">
        <f>+A311+1</f>
        <v>27</v>
      </c>
    </row>
    <row r="377" spans="1:3" ht="12.75">
      <c r="A377" s="77">
        <f>+A376+1</f>
        <v>28</v>
      </c>
      <c r="C377" s="57" t="s">
        <v>62</v>
      </c>
    </row>
    <row r="378" spans="1:16" ht="12.75">
      <c r="A378" s="77">
        <f aca="true" t="shared" si="87" ref="A378:A386">+A377+1</f>
        <v>29</v>
      </c>
      <c r="B378" s="60">
        <f>IF(OR((C377="~"),(C378="~")),"~","")</f>
      </c>
      <c r="C378" s="60" t="s">
        <v>200</v>
      </c>
      <c r="E378" s="82" t="e">
        <f aca="true" t="shared" si="88" ref="E378:E384">ROUND(IF($C378=0,0,E270/E$386),6)</f>
        <v>#REF!</v>
      </c>
      <c r="F378" s="82"/>
      <c r="G378" s="82">
        <f aca="true" t="shared" si="89" ref="G378:P384">ROUND(IF($C378=0,0,G270/G$386),6)</f>
        <v>0.033161</v>
      </c>
      <c r="H378" s="82">
        <f t="shared" si="89"/>
        <v>0.024451</v>
      </c>
      <c r="I378" s="82">
        <f t="shared" si="89"/>
        <v>0.020497</v>
      </c>
      <c r="J378" s="82">
        <f t="shared" si="89"/>
        <v>0.016902</v>
      </c>
      <c r="K378" s="82" t="e">
        <f t="shared" si="89"/>
        <v>#REF!</v>
      </c>
      <c r="L378" s="82">
        <f t="shared" si="89"/>
        <v>0.014524</v>
      </c>
      <c r="M378" s="82">
        <f t="shared" si="89"/>
        <v>0.011383</v>
      </c>
      <c r="N378" s="82">
        <f t="shared" si="89"/>
        <v>0.001373</v>
      </c>
      <c r="O378" s="82">
        <f t="shared" si="89"/>
        <v>0.029166</v>
      </c>
      <c r="P378" s="82">
        <f t="shared" si="89"/>
        <v>0.00415</v>
      </c>
    </row>
    <row r="379" spans="1:16" ht="12.75">
      <c r="A379" s="77">
        <f t="shared" si="87"/>
        <v>30</v>
      </c>
      <c r="B379" s="60">
        <f>IF(OR((C377="~"),(C379="~")),"~","")</f>
      </c>
      <c r="C379" s="60" t="s">
        <v>201</v>
      </c>
      <c r="E379" s="82" t="e">
        <f t="shared" si="88"/>
        <v>#REF!</v>
      </c>
      <c r="F379" s="82"/>
      <c r="G379" s="82">
        <f t="shared" si="89"/>
        <v>0.057178</v>
      </c>
      <c r="H379" s="82">
        <f t="shared" si="89"/>
        <v>0.057178</v>
      </c>
      <c r="I379" s="82">
        <f t="shared" si="89"/>
        <v>0.057178</v>
      </c>
      <c r="J379" s="82">
        <f t="shared" si="89"/>
        <v>0.057178</v>
      </c>
      <c r="K379" s="82" t="e">
        <f t="shared" si="89"/>
        <v>#REF!</v>
      </c>
      <c r="L379" s="82">
        <f t="shared" si="89"/>
        <v>0.057178</v>
      </c>
      <c r="M379" s="82">
        <f t="shared" si="89"/>
        <v>0.057178</v>
      </c>
      <c r="N379" s="82">
        <f t="shared" si="89"/>
        <v>0.004008</v>
      </c>
      <c r="O379" s="82">
        <f t="shared" si="89"/>
        <v>0.057178</v>
      </c>
      <c r="P379" s="82">
        <f t="shared" si="89"/>
        <v>0.006543</v>
      </c>
    </row>
    <row r="380" spans="1:16" ht="12.75">
      <c r="A380" s="77">
        <f t="shared" si="87"/>
        <v>31</v>
      </c>
      <c r="B380" s="60">
        <f>IF(OR((C377="~"),(C380="~")),"~","")</f>
      </c>
      <c r="C380" s="60" t="s">
        <v>202</v>
      </c>
      <c r="E380" s="82" t="e">
        <f t="shared" si="88"/>
        <v>#REF!</v>
      </c>
      <c r="F380" s="82"/>
      <c r="G380" s="82">
        <f t="shared" si="89"/>
        <v>0.010564</v>
      </c>
      <c r="H380" s="82">
        <f t="shared" si="89"/>
        <v>0.007631</v>
      </c>
      <c r="I380" s="82">
        <f t="shared" si="89"/>
        <v>0.002545</v>
      </c>
      <c r="J380" s="82">
        <f t="shared" si="89"/>
        <v>0.000836</v>
      </c>
      <c r="K380" s="82" t="e">
        <f t="shared" si="89"/>
        <v>#REF!</v>
      </c>
      <c r="L380" s="82">
        <f t="shared" si="89"/>
        <v>0.00172</v>
      </c>
      <c r="M380" s="82">
        <f t="shared" si="89"/>
        <v>0.000831</v>
      </c>
      <c r="N380" s="82">
        <f t="shared" si="89"/>
        <v>0.000108</v>
      </c>
      <c r="O380" s="82">
        <f t="shared" si="89"/>
        <v>0.121141</v>
      </c>
      <c r="P380" s="82">
        <f t="shared" si="89"/>
        <v>0.000655</v>
      </c>
    </row>
    <row r="381" spans="1:16" ht="12.75">
      <c r="A381" s="77">
        <f t="shared" si="87"/>
        <v>32</v>
      </c>
      <c r="B381" s="60" t="str">
        <f>IF(OR((C377="~"),(C381="~")),"~","")</f>
        <v>~</v>
      </c>
      <c r="C381" s="60" t="s">
        <v>203</v>
      </c>
      <c r="E381" s="82" t="e">
        <f t="shared" si="88"/>
        <v>#REF!</v>
      </c>
      <c r="F381" s="82"/>
      <c r="G381" s="82">
        <f t="shared" si="89"/>
        <v>0</v>
      </c>
      <c r="H381" s="82">
        <f t="shared" si="89"/>
        <v>0</v>
      </c>
      <c r="I381" s="82">
        <f t="shared" si="89"/>
        <v>0</v>
      </c>
      <c r="J381" s="82">
        <f t="shared" si="89"/>
        <v>0</v>
      </c>
      <c r="K381" s="82" t="e">
        <f t="shared" si="89"/>
        <v>#REF!</v>
      </c>
      <c r="L381" s="82">
        <f t="shared" si="89"/>
        <v>0</v>
      </c>
      <c r="M381" s="82">
        <f t="shared" si="89"/>
        <v>0</v>
      </c>
      <c r="N381" s="82">
        <f t="shared" si="89"/>
        <v>0</v>
      </c>
      <c r="O381" s="82">
        <f t="shared" si="89"/>
        <v>0</v>
      </c>
      <c r="P381" s="82">
        <f t="shared" si="89"/>
        <v>0</v>
      </c>
    </row>
    <row r="382" spans="1:16" ht="12.75">
      <c r="A382" s="77">
        <f t="shared" si="87"/>
        <v>33</v>
      </c>
      <c r="B382" s="60" t="str">
        <f>IF(OR((C377="~"),(C382="~")),"~","")</f>
        <v>~</v>
      </c>
      <c r="C382" s="60" t="s">
        <v>203</v>
      </c>
      <c r="E382" s="82" t="e">
        <f t="shared" si="88"/>
        <v>#REF!</v>
      </c>
      <c r="F382" s="82"/>
      <c r="G382" s="82">
        <f t="shared" si="89"/>
        <v>0</v>
      </c>
      <c r="H382" s="82">
        <f t="shared" si="89"/>
        <v>0</v>
      </c>
      <c r="I382" s="82">
        <f t="shared" si="89"/>
        <v>0</v>
      </c>
      <c r="J382" s="82">
        <f t="shared" si="89"/>
        <v>0</v>
      </c>
      <c r="K382" s="82" t="e">
        <f t="shared" si="89"/>
        <v>#REF!</v>
      </c>
      <c r="L382" s="82">
        <f t="shared" si="89"/>
        <v>0</v>
      </c>
      <c r="M382" s="82">
        <f t="shared" si="89"/>
        <v>0</v>
      </c>
      <c r="N382" s="82">
        <f t="shared" si="89"/>
        <v>0</v>
      </c>
      <c r="O382" s="82">
        <f t="shared" si="89"/>
        <v>0</v>
      </c>
      <c r="P382" s="82">
        <f t="shared" si="89"/>
        <v>0</v>
      </c>
    </row>
    <row r="383" spans="1:16" ht="12.75">
      <c r="A383" s="77">
        <f t="shared" si="87"/>
        <v>34</v>
      </c>
      <c r="B383" s="60" t="str">
        <f>IF(OR((C377="~"),(C383="~")),"~","")</f>
        <v>~</v>
      </c>
      <c r="C383" s="60" t="s">
        <v>203</v>
      </c>
      <c r="E383" s="82" t="e">
        <f t="shared" si="88"/>
        <v>#REF!</v>
      </c>
      <c r="F383" s="82"/>
      <c r="G383" s="82">
        <f t="shared" si="89"/>
        <v>0</v>
      </c>
      <c r="H383" s="82">
        <f t="shared" si="89"/>
        <v>0</v>
      </c>
      <c r="I383" s="82">
        <f t="shared" si="89"/>
        <v>0</v>
      </c>
      <c r="J383" s="82">
        <f t="shared" si="89"/>
        <v>0</v>
      </c>
      <c r="K383" s="82" t="e">
        <f t="shared" si="89"/>
        <v>#REF!</v>
      </c>
      <c r="L383" s="82">
        <f t="shared" si="89"/>
        <v>0</v>
      </c>
      <c r="M383" s="82">
        <f t="shared" si="89"/>
        <v>0</v>
      </c>
      <c r="N383" s="82">
        <f t="shared" si="89"/>
        <v>0</v>
      </c>
      <c r="O383" s="82">
        <f t="shared" si="89"/>
        <v>0</v>
      </c>
      <c r="P383" s="82">
        <f t="shared" si="89"/>
        <v>0</v>
      </c>
    </row>
    <row r="384" spans="1:16" ht="12.75">
      <c r="A384" s="78">
        <f t="shared" si="87"/>
        <v>35</v>
      </c>
      <c r="B384" s="68"/>
      <c r="C384" s="68" t="s">
        <v>66</v>
      </c>
      <c r="D384" s="68"/>
      <c r="E384" s="83" t="e">
        <f t="shared" si="88"/>
        <v>#REF!</v>
      </c>
      <c r="F384" s="83"/>
      <c r="G384" s="83">
        <f t="shared" si="89"/>
        <v>0.100903</v>
      </c>
      <c r="H384" s="83">
        <f t="shared" si="89"/>
        <v>0.089259</v>
      </c>
      <c r="I384" s="83">
        <f t="shared" si="89"/>
        <v>0.08022</v>
      </c>
      <c r="J384" s="83">
        <f t="shared" si="89"/>
        <v>0.074916</v>
      </c>
      <c r="K384" s="83" t="e">
        <f t="shared" si="89"/>
        <v>#REF!</v>
      </c>
      <c r="L384" s="83">
        <f t="shared" si="89"/>
        <v>0.073422</v>
      </c>
      <c r="M384" s="83">
        <f t="shared" si="89"/>
        <v>0.069392</v>
      </c>
      <c r="N384" s="83">
        <f t="shared" si="89"/>
        <v>0.00549</v>
      </c>
      <c r="O384" s="83">
        <f t="shared" si="89"/>
        <v>0.207485</v>
      </c>
      <c r="P384" s="83">
        <f t="shared" si="89"/>
        <v>0.011348</v>
      </c>
    </row>
    <row r="385" spans="1:2" ht="12.75">
      <c r="A385" s="77">
        <f t="shared" si="87"/>
        <v>36</v>
      </c>
      <c r="B385" s="60">
        <f>IF(OR((C377="~"),(C385="~")),"~","")</f>
      </c>
    </row>
    <row r="386" spans="1:16" ht="12.75">
      <c r="A386" s="78">
        <f t="shared" si="87"/>
        <v>37</v>
      </c>
      <c r="B386" s="68"/>
      <c r="C386" s="68" t="s">
        <v>67</v>
      </c>
      <c r="D386" s="68"/>
      <c r="E386" s="84" t="e">
        <v>#REF!</v>
      </c>
      <c r="F386" s="84"/>
      <c r="G386" s="84">
        <v>11660620432</v>
      </c>
      <c r="H386" s="84">
        <v>2822861364</v>
      </c>
      <c r="I386" s="84">
        <v>3184833212</v>
      </c>
      <c r="J386" s="84">
        <v>2157691595</v>
      </c>
      <c r="K386" s="84" t="e">
        <v>#REF!</v>
      </c>
      <c r="L386" s="84">
        <v>801873373</v>
      </c>
      <c r="M386" s="84">
        <v>593080320</v>
      </c>
      <c r="N386" s="84">
        <v>2022739342</v>
      </c>
      <c r="O386" s="84">
        <v>90893526</v>
      </c>
      <c r="P386" s="84">
        <v>159568835</v>
      </c>
    </row>
    <row r="391" ht="12.75">
      <c r="C391" s="57" t="s">
        <v>68</v>
      </c>
    </row>
    <row r="392" spans="3:5" ht="12.75">
      <c r="C392" s="60" t="s">
        <v>69</v>
      </c>
      <c r="E392" s="61">
        <v>281391</v>
      </c>
    </row>
    <row r="393" spans="3:5" ht="12.75">
      <c r="C393" s="60" t="s">
        <v>70</v>
      </c>
      <c r="E393" s="61">
        <v>126639</v>
      </c>
    </row>
    <row r="394" spans="3:5" ht="12.75">
      <c r="C394" s="60" t="s">
        <v>71</v>
      </c>
      <c r="E394" s="61">
        <v>2441468</v>
      </c>
    </row>
    <row r="395" spans="3:5" ht="12.75">
      <c r="C395" s="60" t="s">
        <v>72</v>
      </c>
      <c r="E395" s="61">
        <v>21164436</v>
      </c>
    </row>
    <row r="396" spans="3:5" ht="13.5" thickBot="1">
      <c r="C396" s="62" t="s">
        <v>73</v>
      </c>
      <c r="D396" s="62"/>
      <c r="E396" s="63">
        <f>SUM(E392:E395)</f>
        <v>24013934</v>
      </c>
    </row>
    <row r="397" ht="13.5" thickTop="1"/>
    <row r="398" ht="12.75">
      <c r="C398" s="60" t="s">
        <v>74</v>
      </c>
    </row>
    <row r="399" spans="3:16" ht="12.75">
      <c r="C399" s="60" t="s">
        <v>326</v>
      </c>
      <c r="E399" s="61">
        <f>SUM(G399:P399)</f>
        <v>8650360</v>
      </c>
      <c r="F399" s="61"/>
      <c r="G399" s="61">
        <v>7586885.843241857</v>
      </c>
      <c r="H399" s="61">
        <v>661708.5052845111</v>
      </c>
      <c r="I399" s="61">
        <v>283527.3370639143</v>
      </c>
      <c r="J399" s="61">
        <v>61252.69093626673</v>
      </c>
      <c r="K399" s="61">
        <v>37700.16387440169</v>
      </c>
      <c r="L399" s="61">
        <v>0</v>
      </c>
      <c r="M399" s="61">
        <v>6649.737359770561</v>
      </c>
      <c r="N399" s="61">
        <v>0</v>
      </c>
      <c r="O399" s="61">
        <v>12635.72223927752</v>
      </c>
      <c r="P399" s="61">
        <v>0</v>
      </c>
    </row>
    <row r="400" spans="3:16" ht="12.75">
      <c r="C400" s="60" t="s">
        <v>351</v>
      </c>
      <c r="E400" s="61">
        <f>SUM(G400:P400)</f>
        <v>5866357.000000003</v>
      </c>
      <c r="F400" s="61"/>
      <c r="G400" s="61">
        <v>3140481.881235252</v>
      </c>
      <c r="H400" s="61">
        <v>708986.2732376053</v>
      </c>
      <c r="I400" s="61">
        <v>768930.7492084325</v>
      </c>
      <c r="J400" s="61">
        <v>506732.5760800584</v>
      </c>
      <c r="K400" s="61">
        <v>360758.4907482281</v>
      </c>
      <c r="L400" s="61">
        <v>184460.16554883518</v>
      </c>
      <c r="M400" s="61">
        <v>134642.384140792</v>
      </c>
      <c r="N400" s="61">
        <v>13728.247481391334</v>
      </c>
      <c r="O400" s="61">
        <v>44110.23580345291</v>
      </c>
      <c r="P400" s="61">
        <v>3525.996515953313</v>
      </c>
    </row>
    <row r="401" spans="3:16" ht="12.75">
      <c r="C401" s="60" t="s">
        <v>393</v>
      </c>
      <c r="E401" s="61">
        <f>SUM(G401:P401)</f>
        <v>77070765.00000004</v>
      </c>
      <c r="F401" s="61"/>
      <c r="G401" s="61">
        <v>43177721.85173469</v>
      </c>
      <c r="H401" s="61">
        <v>9265108.862462295</v>
      </c>
      <c r="I401" s="61">
        <v>9411581.603969894</v>
      </c>
      <c r="J401" s="61">
        <v>5976537.54049256</v>
      </c>
      <c r="K401" s="61">
        <v>4396283.040070306</v>
      </c>
      <c r="L401" s="61">
        <v>2180607.8052655435</v>
      </c>
      <c r="M401" s="61">
        <v>1530046.894435672</v>
      </c>
      <c r="N401" s="61">
        <v>384485.55540449516</v>
      </c>
      <c r="O401" s="61">
        <v>683777.9075857648</v>
      </c>
      <c r="P401" s="61">
        <v>64613.93857880443</v>
      </c>
    </row>
    <row r="402" spans="3:16" ht="12.75">
      <c r="C402" s="60" t="s">
        <v>401</v>
      </c>
      <c r="E402" s="61">
        <f>SUM(G402:P402)</f>
        <v>-59428577</v>
      </c>
      <c r="F402" s="61"/>
      <c r="G402" s="61">
        <v>-33744871.02212747</v>
      </c>
      <c r="H402" s="61">
        <v>-7084046.775970528</v>
      </c>
      <c r="I402" s="61">
        <v>-7154672.696797235</v>
      </c>
      <c r="J402" s="61">
        <v>-4331107.227244972</v>
      </c>
      <c r="K402" s="61">
        <v>-3341076.369279443</v>
      </c>
      <c r="L402" s="61">
        <v>-1532627.3435422152</v>
      </c>
      <c r="M402" s="61">
        <v>-1021527.1402886622</v>
      </c>
      <c r="N402" s="61">
        <v>-547009.375387943</v>
      </c>
      <c r="O402" s="61">
        <v>-603778.3759028598</v>
      </c>
      <c r="P402" s="61">
        <v>-67860.67345865477</v>
      </c>
    </row>
    <row r="403" spans="5:16" ht="12.75"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</row>
    <row r="404" spans="3:16" ht="12.75">
      <c r="C404" s="60" t="str">
        <f>+C399</f>
        <v>CAE - Uncollect Accts </v>
      </c>
      <c r="E404" s="61">
        <f>SUM(G404:P404)</f>
        <v>281391</v>
      </c>
      <c r="F404" s="61"/>
      <c r="G404" s="61">
        <f>+G399/$E399*$E392</f>
        <v>246796.82629574602</v>
      </c>
      <c r="H404" s="61">
        <f aca="true" t="shared" si="90" ref="H404:P404">+H399/$E399*$E392</f>
        <v>21524.97907723076</v>
      </c>
      <c r="I404" s="61">
        <f t="shared" si="90"/>
        <v>9222.973483618242</v>
      </c>
      <c r="J404" s="61">
        <f t="shared" si="90"/>
        <v>1992.5131387881004</v>
      </c>
      <c r="K404" s="61">
        <f t="shared" si="90"/>
        <v>1226.3636210263812</v>
      </c>
      <c r="L404" s="61">
        <f t="shared" si="90"/>
        <v>0</v>
      </c>
      <c r="M404" s="61">
        <f t="shared" si="90"/>
        <v>216.31195064751037</v>
      </c>
      <c r="N404" s="61">
        <f t="shared" si="90"/>
        <v>0</v>
      </c>
      <c r="O404" s="61">
        <f t="shared" si="90"/>
        <v>411.03243294296897</v>
      </c>
      <c r="P404" s="61">
        <f t="shared" si="90"/>
        <v>0</v>
      </c>
    </row>
    <row r="405" spans="3:16" ht="12.75">
      <c r="C405" s="60" t="str">
        <f>+C400</f>
        <v>A&amp;G Exp - Reg Comm Exp </v>
      </c>
      <c r="E405" s="61">
        <f>SUM(G405:P405)</f>
        <v>126638.99999999996</v>
      </c>
      <c r="F405" s="61"/>
      <c r="G405" s="61">
        <f aca="true" t="shared" si="91" ref="G405:P407">+G400/$E400*$E393</f>
        <v>67794.62705010126</v>
      </c>
      <c r="H405" s="61">
        <f t="shared" si="91"/>
        <v>15305.12252434297</v>
      </c>
      <c r="I405" s="61">
        <f t="shared" si="91"/>
        <v>16599.16386762801</v>
      </c>
      <c r="J405" s="61">
        <f t="shared" si="91"/>
        <v>10939.00468420222</v>
      </c>
      <c r="K405" s="61">
        <f t="shared" si="91"/>
        <v>7787.813545930607</v>
      </c>
      <c r="L405" s="61">
        <f t="shared" si="91"/>
        <v>3982.002954293257</v>
      </c>
      <c r="M405" s="61">
        <f t="shared" si="91"/>
        <v>2906.5699351753997</v>
      </c>
      <c r="N405" s="61">
        <f t="shared" si="91"/>
        <v>296.3562450761037</v>
      </c>
      <c r="O405" s="61">
        <f t="shared" si="91"/>
        <v>952.2223335391062</v>
      </c>
      <c r="P405" s="61">
        <f t="shared" si="91"/>
        <v>76.11685971102874</v>
      </c>
    </row>
    <row r="406" spans="3:16" ht="12.75">
      <c r="C406" s="60" t="str">
        <f>+C401</f>
        <v>Other Taxes - Wash Excise - Allocated</v>
      </c>
      <c r="E406" s="61">
        <f>SUM(G406:P406)</f>
        <v>2441467.999999999</v>
      </c>
      <c r="F406" s="61"/>
      <c r="G406" s="61">
        <f t="shared" si="91"/>
        <v>1367795.2491312488</v>
      </c>
      <c r="H406" s="61">
        <f t="shared" si="91"/>
        <v>293502.5596828847</v>
      </c>
      <c r="I406" s="61">
        <f t="shared" si="91"/>
        <v>298142.5617804774</v>
      </c>
      <c r="J406" s="61">
        <f t="shared" si="91"/>
        <v>189326.33088449662</v>
      </c>
      <c r="K406" s="61">
        <f t="shared" si="91"/>
        <v>139266.6124603066</v>
      </c>
      <c r="L406" s="61">
        <f t="shared" si="91"/>
        <v>69077.86859396106</v>
      </c>
      <c r="M406" s="61">
        <f t="shared" si="91"/>
        <v>48469.22865322628</v>
      </c>
      <c r="N406" s="61">
        <f t="shared" si="91"/>
        <v>12179.834726985018</v>
      </c>
      <c r="O406" s="61">
        <f t="shared" si="91"/>
        <v>21660.896715863673</v>
      </c>
      <c r="P406" s="61">
        <f t="shared" si="91"/>
        <v>2046.8573705492142</v>
      </c>
    </row>
    <row r="407" spans="3:16" ht="12.75">
      <c r="C407" s="60" t="str">
        <f>+C402</f>
        <v>Current Federal Income Tax @ Rate</v>
      </c>
      <c r="E407" s="61">
        <f>SUM(G407:P407)</f>
        <v>21164435.999999993</v>
      </c>
      <c r="F407" s="61"/>
      <c r="G407" s="61">
        <f>+G402/$E402*$E395</f>
        <v>12017638.636645658</v>
      </c>
      <c r="H407" s="61">
        <f t="shared" si="91"/>
        <v>2522857.893956212</v>
      </c>
      <c r="I407" s="61">
        <f t="shared" si="91"/>
        <v>2548010.0658023916</v>
      </c>
      <c r="J407" s="61">
        <f t="shared" si="91"/>
        <v>1542447.192032945</v>
      </c>
      <c r="K407" s="61">
        <f t="shared" si="91"/>
        <v>1189865.2223950631</v>
      </c>
      <c r="L407" s="61">
        <f t="shared" si="91"/>
        <v>545818.105727977</v>
      </c>
      <c r="M407" s="61">
        <f t="shared" si="91"/>
        <v>363798.8132023153</v>
      </c>
      <c r="N407" s="61">
        <f t="shared" si="91"/>
        <v>194807.70870212986</v>
      </c>
      <c r="O407" s="61">
        <f t="shared" si="91"/>
        <v>215024.9836030908</v>
      </c>
      <c r="P407" s="61">
        <f t="shared" si="91"/>
        <v>24167.377932212603</v>
      </c>
    </row>
    <row r="408" spans="3:16" ht="13.5" thickBot="1">
      <c r="C408" s="62" t="s">
        <v>73</v>
      </c>
      <c r="D408" s="74"/>
      <c r="E408" s="74">
        <f>SUM(E404:E407)</f>
        <v>24013933.999999993</v>
      </c>
      <c r="F408" s="74">
        <f aca="true" t="shared" si="92" ref="F408:P408">SUM(F404:F407)</f>
        <v>0</v>
      </c>
      <c r="G408" s="74">
        <f t="shared" si="92"/>
        <v>13700025.339122754</v>
      </c>
      <c r="H408" s="74">
        <f t="shared" si="92"/>
        <v>2853190.55524067</v>
      </c>
      <c r="I408" s="74">
        <f t="shared" si="92"/>
        <v>2871974.764934115</v>
      </c>
      <c r="J408" s="74">
        <f t="shared" si="92"/>
        <v>1744705.040740432</v>
      </c>
      <c r="K408" s="74">
        <f t="shared" si="92"/>
        <v>1338146.0120223267</v>
      </c>
      <c r="L408" s="74">
        <f t="shared" si="92"/>
        <v>618877.9772762313</v>
      </c>
      <c r="M408" s="74">
        <f t="shared" si="92"/>
        <v>415390.9237413645</v>
      </c>
      <c r="N408" s="74">
        <f t="shared" si="92"/>
        <v>207283.899674191</v>
      </c>
      <c r="O408" s="74">
        <f t="shared" si="92"/>
        <v>238049.13508543654</v>
      </c>
      <c r="P408" s="74">
        <f t="shared" si="92"/>
        <v>26290.352162472846</v>
      </c>
    </row>
    <row r="409" spans="5:16" ht="13.5" thickTop="1"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</row>
    <row r="410" spans="3:16" ht="13.5" thickBot="1">
      <c r="C410" s="62" t="s">
        <v>55</v>
      </c>
      <c r="D410" s="62"/>
      <c r="E410" s="63">
        <f>SUM(G410:P410)</f>
        <v>63319369</v>
      </c>
      <c r="F410" s="63"/>
      <c r="G410" s="63">
        <v>35995000</v>
      </c>
      <c r="H410" s="63">
        <v>8164921</v>
      </c>
      <c r="I410" s="63">
        <v>6443582</v>
      </c>
      <c r="J410" s="63">
        <v>5290984</v>
      </c>
      <c r="K410" s="63">
        <v>3880725</v>
      </c>
      <c r="L410" s="63">
        <v>1012158</v>
      </c>
      <c r="M410" s="63">
        <v>1210718</v>
      </c>
      <c r="N410" s="63">
        <v>233701</v>
      </c>
      <c r="O410" s="63">
        <v>564042</v>
      </c>
      <c r="P410" s="63">
        <v>523538</v>
      </c>
    </row>
    <row r="411" ht="13.5" thickTop="1"/>
  </sheetData>
  <sheetProtection/>
  <mergeCells count="16">
    <mergeCell ref="A278:P278"/>
    <mergeCell ref="A279:P279"/>
    <mergeCell ref="A280:P280"/>
    <mergeCell ref="A281:P281"/>
    <mergeCell ref="A62:P62"/>
    <mergeCell ref="A63:P63"/>
    <mergeCell ref="A170:P170"/>
    <mergeCell ref="A171:P171"/>
    <mergeCell ref="A172:P172"/>
    <mergeCell ref="A173:P173"/>
    <mergeCell ref="A61:P61"/>
    <mergeCell ref="A1:P1"/>
    <mergeCell ref="A2:P2"/>
    <mergeCell ref="A3:P3"/>
    <mergeCell ref="C31:H31"/>
    <mergeCell ref="A60:P60"/>
  </mergeCells>
  <printOptions horizontalCentered="1"/>
  <pageMargins left="0.25" right="0.25" top="0.58" bottom="0.72" header="0.22" footer="0.46"/>
  <pageSetup fitToHeight="7" horizontalDpi="300" verticalDpi="300" orientation="landscape" pageOrder="overThenDown" scale="55" r:id="rId1"/>
  <headerFooter alignWithMargins="0">
    <oddHeader>&amp;RDocket No. UE-111048
ECOS Model
Page &amp;P of &amp;N
Compliance Filing, Advice No. 2012-10</oddHeader>
    <oddFooter>&amp;RCOS Reports
&amp;A
Page 1-4 of 18</oddFooter>
  </headerFooter>
  <rowBreaks count="3" manualBreakCount="3">
    <brk id="59" max="255" man="1"/>
    <brk id="169" max="255" man="1"/>
    <brk id="27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31"/>
  <sheetViews>
    <sheetView showGridLines="0" zoomScalePageLayoutView="0" workbookViewId="0" topLeftCell="A1">
      <selection activeCell="E287" sqref="E287"/>
    </sheetView>
  </sheetViews>
  <sheetFormatPr defaultColWidth="9.140625" defaultRowHeight="12.75"/>
  <cols>
    <col min="1" max="1" width="6.00390625" style="3" customWidth="1"/>
    <col min="2" max="2" width="33.28125" style="3" customWidth="1"/>
    <col min="3" max="3" width="17.7109375" style="3" bestFit="1" customWidth="1"/>
    <col min="4" max="16384" width="9.140625" style="3" customWidth="1"/>
  </cols>
  <sheetData>
    <row r="1" ht="12.75">
      <c r="A1" s="1" t="str">
        <f>+'Sch 40 Feeder '!A1</f>
        <v>ELECTRIC ACCOUNT ALLOCATION</v>
      </c>
    </row>
    <row r="2" ht="12.75">
      <c r="A2" s="1" t="str">
        <f>+'Sch 40 Feeder '!A2</f>
        <v>Adjusted Test Year Twelve Months ended December 2010 @ Proforma Rev Requirement</v>
      </c>
    </row>
    <row r="3" ht="12.75">
      <c r="A3" s="1" t="s">
        <v>165</v>
      </c>
    </row>
    <row r="4" spans="2:3" ht="12.75">
      <c r="B4"/>
      <c r="C4"/>
    </row>
    <row r="5" spans="2:3" ht="12.75">
      <c r="B5" s="45"/>
      <c r="C5" s="45"/>
    </row>
    <row r="6" spans="1:3" s="1" customFormat="1" ht="12.75">
      <c r="A6" s="9" t="s">
        <v>142</v>
      </c>
      <c r="B6" s="9" t="s">
        <v>93</v>
      </c>
      <c r="C6" s="9" t="s">
        <v>166</v>
      </c>
    </row>
    <row r="7" spans="2:3" s="1" customFormat="1" ht="12.75">
      <c r="B7" s="1" t="s">
        <v>15</v>
      </c>
      <c r="C7" s="1" t="s">
        <v>16</v>
      </c>
    </row>
    <row r="8" spans="1:3" s="46" customFormat="1" ht="12.75">
      <c r="A8" s="11">
        <v>1</v>
      </c>
      <c r="B8" s="46" t="s">
        <v>167</v>
      </c>
      <c r="C8" s="47">
        <f>+'Expense Summary'!E80</f>
        <v>94742457</v>
      </c>
    </row>
    <row r="9" spans="1:3" s="46" customFormat="1" ht="12.75">
      <c r="A9" s="11">
        <f aca="true" t="shared" si="0" ref="A9:A30">+A8+1</f>
        <v>2</v>
      </c>
      <c r="B9" s="3" t="s">
        <v>168</v>
      </c>
      <c r="C9" s="47">
        <f>+'Expense Summary'!E94</f>
        <v>5128705</v>
      </c>
    </row>
    <row r="10" spans="1:3" s="46" customFormat="1" ht="12.75">
      <c r="A10" s="23">
        <f t="shared" si="0"/>
        <v>3</v>
      </c>
      <c r="B10" s="24" t="s">
        <v>169</v>
      </c>
      <c r="C10" s="25">
        <f>SUM(C8:C9)</f>
        <v>99871162</v>
      </c>
    </row>
    <row r="11" spans="1:3" ht="12.75">
      <c r="A11" s="11">
        <f t="shared" si="0"/>
        <v>4</v>
      </c>
      <c r="C11" s="47"/>
    </row>
    <row r="12" spans="1:3" ht="12.75">
      <c r="A12" s="11">
        <f t="shared" si="0"/>
        <v>5</v>
      </c>
      <c r="B12" s="46" t="s">
        <v>170</v>
      </c>
      <c r="C12" s="47">
        <f>+'Ratebase Summary'!E71</f>
        <v>7629582517.484163</v>
      </c>
    </row>
    <row r="13" spans="1:3" ht="12.75">
      <c r="A13" s="11">
        <f t="shared" si="0"/>
        <v>6</v>
      </c>
      <c r="B13" s="46" t="s">
        <v>171</v>
      </c>
      <c r="C13" s="47">
        <f>+'Ratebase Summary'!E12</f>
        <v>189553487</v>
      </c>
    </row>
    <row r="14" spans="1:3" ht="12.75">
      <c r="A14" s="23">
        <f t="shared" si="0"/>
        <v>7</v>
      </c>
      <c r="B14" s="24" t="s">
        <v>172</v>
      </c>
      <c r="C14" s="25">
        <f>SUM(C12:C13)</f>
        <v>7819136004.484163</v>
      </c>
    </row>
    <row r="15" spans="1:3" ht="12.75">
      <c r="A15" s="11">
        <f t="shared" si="0"/>
        <v>8</v>
      </c>
      <c r="C15" s="4"/>
    </row>
    <row r="16" spans="1:3" ht="12.75">
      <c r="A16" s="12">
        <f t="shared" si="0"/>
        <v>9</v>
      </c>
      <c r="B16" s="9" t="s">
        <v>173</v>
      </c>
      <c r="C16" s="48">
        <f>+C10/C14</f>
        <v>0.01277265952948322</v>
      </c>
    </row>
    <row r="17" spans="1:3" ht="12.75">
      <c r="A17" s="11">
        <f t="shared" si="0"/>
        <v>10</v>
      </c>
      <c r="C17" s="4"/>
    </row>
    <row r="18" spans="1:3" ht="12.75">
      <c r="A18" s="11">
        <f t="shared" si="0"/>
        <v>11</v>
      </c>
      <c r="B18" s="3" t="s">
        <v>174</v>
      </c>
      <c r="C18" s="4">
        <f>+'Expense Summary'!E48</f>
        <v>23022284</v>
      </c>
    </row>
    <row r="19" spans="1:3" ht="12.75">
      <c r="A19" s="11">
        <f t="shared" si="0"/>
        <v>12</v>
      </c>
      <c r="B19" s="3" t="s">
        <v>175</v>
      </c>
      <c r="C19" s="4">
        <f>+'Expense Summary'!E91</f>
        <v>58534638</v>
      </c>
    </row>
    <row r="20" spans="1:3" ht="12.75">
      <c r="A20" s="23">
        <f t="shared" si="0"/>
        <v>13</v>
      </c>
      <c r="B20" s="24" t="s">
        <v>176</v>
      </c>
      <c r="C20" s="25">
        <f>SUM(C18:C19)</f>
        <v>81556922</v>
      </c>
    </row>
    <row r="21" spans="1:3" ht="12.75">
      <c r="A21" s="11">
        <f t="shared" si="0"/>
        <v>14</v>
      </c>
      <c r="C21" s="4"/>
    </row>
    <row r="22" spans="1:3" ht="12.75">
      <c r="A22" s="23">
        <f t="shared" si="0"/>
        <v>15</v>
      </c>
      <c r="B22" s="24" t="s">
        <v>177</v>
      </c>
      <c r="C22" s="25">
        <f>+'Ratebase Summary'!E55</f>
        <v>3456399344.4841638</v>
      </c>
    </row>
    <row r="23" spans="1:3" ht="12.75">
      <c r="A23" s="11">
        <f t="shared" si="0"/>
        <v>16</v>
      </c>
      <c r="C23" s="39"/>
    </row>
    <row r="24" spans="1:3" ht="12.75">
      <c r="A24" s="12">
        <f t="shared" si="0"/>
        <v>17</v>
      </c>
      <c r="B24" s="9" t="s">
        <v>178</v>
      </c>
      <c r="C24" s="48">
        <f>+C20/C22</f>
        <v>0.023595919878341382</v>
      </c>
    </row>
    <row r="25" spans="1:3" ht="12.75">
      <c r="A25" s="11">
        <f t="shared" si="0"/>
        <v>18</v>
      </c>
      <c r="C25" s="4"/>
    </row>
    <row r="26" spans="1:3" ht="12.75">
      <c r="A26" s="12">
        <f t="shared" si="0"/>
        <v>19</v>
      </c>
      <c r="B26" s="9" t="s">
        <v>179</v>
      </c>
      <c r="C26" s="48">
        <f>+C24+C16</f>
        <v>0.036368579407824606</v>
      </c>
    </row>
    <row r="27" spans="1:3" ht="12.75">
      <c r="A27" s="11">
        <f t="shared" si="0"/>
        <v>20</v>
      </c>
      <c r="C27" s="4"/>
    </row>
    <row r="28" spans="1:3" ht="12.75">
      <c r="A28" s="11">
        <f t="shared" si="0"/>
        <v>21</v>
      </c>
      <c r="B28" s="3" t="s">
        <v>180</v>
      </c>
      <c r="C28" s="49">
        <v>0.954998</v>
      </c>
    </row>
    <row r="29" spans="1:3" ht="12.75">
      <c r="A29" s="11">
        <f t="shared" si="0"/>
        <v>22</v>
      </c>
      <c r="C29" s="39"/>
    </row>
    <row r="30" spans="1:3" ht="13.5" thickBot="1">
      <c r="A30" s="13">
        <f t="shared" si="0"/>
        <v>23</v>
      </c>
      <c r="B30" s="5" t="s">
        <v>181</v>
      </c>
      <c r="C30" s="50">
        <f>ROUND(+C26/C28,6)</f>
        <v>0.038082</v>
      </c>
    </row>
    <row r="31" ht="13.5" thickTop="1">
      <c r="C31" s="4"/>
    </row>
  </sheetData>
  <sheetProtection/>
  <printOptions horizontalCentered="1"/>
  <pageMargins left="0.25" right="0.25" top="1.109375" bottom="0.72" header="0.5" footer="0.46"/>
  <pageSetup fitToHeight="4" horizontalDpi="600" verticalDpi="600" orientation="landscape" pageOrder="overThenDown" scale="75" r:id="rId1"/>
  <headerFooter alignWithMargins="0">
    <oddHeader>&amp;CPuget Sound Energy
ELECTRIC COST OF SERVICE
Schedule 40 Substation O+M Overhead
Adjusted Test Year Twelve Months ended December 2010 @ Proforma Rev Requirement&amp;RDocket No. UE-111048
ECOS Model
Page &amp;P of &amp;N
Compliance Filing, Advice No. 2012-10</oddHeader>
    <oddFooter>&amp;RCOS Reports
&amp;A
Page 17 of 18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5"/>
  <sheetViews>
    <sheetView showGridLines="0" zoomScalePageLayoutView="0" workbookViewId="0" topLeftCell="A1">
      <selection activeCell="C14" sqref="C14"/>
    </sheetView>
  </sheetViews>
  <sheetFormatPr defaultColWidth="9.140625" defaultRowHeight="12.75"/>
  <cols>
    <col min="1" max="1" width="5.57421875" style="3" bestFit="1" customWidth="1"/>
    <col min="2" max="2" width="33.8515625" style="3" bestFit="1" customWidth="1"/>
    <col min="3" max="3" width="18.00390625" style="3" bestFit="1" customWidth="1"/>
    <col min="4" max="16384" width="9.140625" style="3" customWidth="1"/>
  </cols>
  <sheetData>
    <row r="1" ht="12.75">
      <c r="A1" s="1" t="str">
        <f>+'Sch 40 Substation O&amp;M'!A1</f>
        <v>ELECTRIC ACCOUNT ALLOCATION</v>
      </c>
    </row>
    <row r="2" ht="12.75">
      <c r="A2" s="1" t="str">
        <f>+'Sch 40 Substation O&amp;M'!A2</f>
        <v>Adjusted Test Year Twelve Months ended December 2010 @ Proforma Rev Requirement</v>
      </c>
    </row>
    <row r="3" ht="12.75">
      <c r="A3" s="51" t="s">
        <v>182</v>
      </c>
    </row>
    <row r="6" spans="1:3" s="1" customFormat="1" ht="12.75">
      <c r="A6" s="9" t="s">
        <v>142</v>
      </c>
      <c r="B6" s="9" t="s">
        <v>93</v>
      </c>
      <c r="C6" s="9" t="s">
        <v>183</v>
      </c>
    </row>
    <row r="7" spans="2:3" s="1" customFormat="1" ht="12.75">
      <c r="B7" s="1" t="s">
        <v>15</v>
      </c>
      <c r="C7" s="1" t="s">
        <v>16</v>
      </c>
    </row>
    <row r="8" s="1" customFormat="1" ht="12.75"/>
    <row r="9" spans="1:2" ht="12.75">
      <c r="A9" s="3">
        <v>1</v>
      </c>
      <c r="B9" s="1" t="s">
        <v>184</v>
      </c>
    </row>
    <row r="10" spans="1:3" ht="12.75">
      <c r="A10" s="3">
        <f aca="true" t="shared" si="0" ref="A10:A25">+A9+1</f>
        <v>2</v>
      </c>
      <c r="B10" s="52" t="s">
        <v>185</v>
      </c>
      <c r="C10" s="4">
        <f>SUM('Expense Summary'!E13,'Expense Summary'!E20,'Expense Summary'!E31)</f>
        <v>867398515</v>
      </c>
    </row>
    <row r="11" spans="1:3" ht="12.75">
      <c r="A11" s="3">
        <f t="shared" si="0"/>
        <v>3</v>
      </c>
      <c r="B11" s="52" t="s">
        <v>186</v>
      </c>
      <c r="C11" s="4">
        <f>SUM('Expense Summary'!E24,'Expense Summary'!E35)</f>
        <v>102337720</v>
      </c>
    </row>
    <row r="12" spans="1:3" ht="12.75">
      <c r="A12" s="3">
        <f t="shared" si="0"/>
        <v>4</v>
      </c>
      <c r="B12" s="52" t="s">
        <v>187</v>
      </c>
      <c r="C12" s="4">
        <f>+'Expense Summary'!E48+'Expense Summary'!E91</f>
        <v>81556922</v>
      </c>
    </row>
    <row r="13" spans="1:3" ht="12.75">
      <c r="A13" s="3">
        <f t="shared" si="0"/>
        <v>5</v>
      </c>
      <c r="B13" s="52" t="s">
        <v>188</v>
      </c>
      <c r="C13" s="4">
        <f>+'Expense Summary'!E56</f>
        <v>47476893</v>
      </c>
    </row>
    <row r="14" spans="1:3" ht="12.75">
      <c r="A14" s="3">
        <f t="shared" si="0"/>
        <v>6</v>
      </c>
      <c r="B14" s="52" t="s">
        <v>189</v>
      </c>
      <c r="C14" s="4">
        <f>SUM('Expense Summary'!E67)</f>
        <v>1699341</v>
      </c>
    </row>
    <row r="15" spans="1:3" ht="12.75">
      <c r="A15" s="3">
        <f t="shared" si="0"/>
        <v>7</v>
      </c>
      <c r="B15" s="52" t="s">
        <v>190</v>
      </c>
      <c r="C15" s="4"/>
    </row>
    <row r="16" spans="1:3" ht="12.75">
      <c r="A16" s="3">
        <f t="shared" si="0"/>
        <v>8</v>
      </c>
      <c r="B16" s="53" t="s">
        <v>191</v>
      </c>
      <c r="C16" s="4">
        <f>-'Expense Summary'!E13</f>
        <v>-268008058</v>
      </c>
    </row>
    <row r="17" spans="1:3" ht="12.75">
      <c r="A17" s="3">
        <f t="shared" si="0"/>
        <v>9</v>
      </c>
      <c r="B17" s="53" t="s">
        <v>192</v>
      </c>
      <c r="C17" s="4">
        <f>-'Expense Summary'!E16</f>
        <v>-467203380</v>
      </c>
    </row>
    <row r="18" spans="1:3" ht="12.75">
      <c r="A18" s="3">
        <f t="shared" si="0"/>
        <v>10</v>
      </c>
      <c r="B18" s="53" t="s">
        <v>193</v>
      </c>
      <c r="C18" s="4">
        <f>-SUM('Expense Summary'!E17:E19)</f>
        <v>-7845144</v>
      </c>
    </row>
    <row r="19" spans="1:3" ht="12.75">
      <c r="A19" s="3">
        <f t="shared" si="0"/>
        <v>11</v>
      </c>
      <c r="B19" s="53" t="s">
        <v>194</v>
      </c>
      <c r="C19" s="4">
        <f>-'Expense Summary'!E23</f>
        <v>-90390612</v>
      </c>
    </row>
    <row r="20" spans="1:3" ht="12.75">
      <c r="A20" s="3">
        <f t="shared" si="0"/>
        <v>12</v>
      </c>
      <c r="B20" s="53" t="s">
        <v>195</v>
      </c>
      <c r="C20" s="4">
        <f>-'Expense Summary'!E60</f>
        <v>-2589</v>
      </c>
    </row>
    <row r="21" spans="1:3" ht="12.75">
      <c r="A21" s="9">
        <f t="shared" si="0"/>
        <v>13</v>
      </c>
      <c r="B21" s="9" t="s">
        <v>196</v>
      </c>
      <c r="C21" s="10">
        <f>SUM(C9:C20)</f>
        <v>267019608</v>
      </c>
    </row>
    <row r="22" spans="1:3" ht="12.75">
      <c r="A22" s="3">
        <f t="shared" si="0"/>
        <v>14</v>
      </c>
      <c r="C22" s="4"/>
    </row>
    <row r="23" spans="1:3" ht="12.75">
      <c r="A23" s="54">
        <f t="shared" si="0"/>
        <v>15</v>
      </c>
      <c r="B23" s="54" t="s">
        <v>169</v>
      </c>
      <c r="C23" s="55">
        <f>+'Expense Summary'!E80+'Expense Summary'!E94</f>
        <v>99871162</v>
      </c>
    </row>
    <row r="24" spans="1:3" ht="12.75">
      <c r="A24" s="3">
        <f t="shared" si="0"/>
        <v>16</v>
      </c>
      <c r="C24" s="4"/>
    </row>
    <row r="25" spans="1:3" ht="13.5" thickBot="1">
      <c r="A25" s="5">
        <f t="shared" si="0"/>
        <v>17</v>
      </c>
      <c r="B25" s="5" t="s">
        <v>197</v>
      </c>
      <c r="C25" s="56">
        <f>ROUND(+C23/C21,2)</f>
        <v>0.37</v>
      </c>
    </row>
    <row r="26" ht="13.5" thickTop="1"/>
  </sheetData>
  <sheetProtection/>
  <printOptions horizontalCentered="1"/>
  <pageMargins left="0.25" right="0.25" top="1.1875" bottom="0.72" header="0.45" footer="0.46"/>
  <pageSetup fitToHeight="4" horizontalDpi="600" verticalDpi="600" orientation="landscape" pageOrder="overThenDown" scale="75" r:id="rId1"/>
  <headerFooter alignWithMargins="0">
    <oddHeader>&amp;C
Puget Sound Energy
ELECTRIC COST OF SERVICE
Schedule 40 Substation A+G Overhead
Adjusted Test Year Twelve Months ended December 2010 @ Proforma Rev Requirement&amp;RDocket No. UE-111048
ECOS Model
Page &amp;P of &amp;N
Compliance Filing, Advice No. 2012-10</oddHeader>
    <oddFooter>&amp;RCOS Reports
&amp;A
Page 18 of 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PageLayoutView="0" workbookViewId="0" topLeftCell="A1">
      <selection activeCell="E287" sqref="E287"/>
    </sheetView>
  </sheetViews>
  <sheetFormatPr defaultColWidth="9.140625" defaultRowHeight="12.75"/>
  <cols>
    <col min="1" max="1" width="5.00390625" style="3" bestFit="1" customWidth="1"/>
    <col min="2" max="2" width="33.140625" style="3" bestFit="1" customWidth="1"/>
    <col min="3" max="3" width="18.28125" style="3" bestFit="1" customWidth="1"/>
    <col min="4" max="4" width="17.7109375" style="3" bestFit="1" customWidth="1"/>
    <col min="5" max="5" width="16.57421875" style="3" bestFit="1" customWidth="1"/>
    <col min="6" max="6" width="16.7109375" style="3" bestFit="1" customWidth="1"/>
    <col min="7" max="7" width="16.57421875" style="3" bestFit="1" customWidth="1"/>
    <col min="8" max="9" width="16.00390625" style="3" bestFit="1" customWidth="1"/>
    <col min="10" max="10" width="12.8515625" style="3" customWidth="1"/>
    <col min="11" max="11" width="15.8515625" style="3" bestFit="1" customWidth="1"/>
    <col min="12" max="12" width="15.00390625" style="3" bestFit="1" customWidth="1"/>
    <col min="13" max="13" width="13.7109375" style="3" customWidth="1"/>
    <col min="14" max="16384" width="9.140625" style="3" customWidth="1"/>
  </cols>
  <sheetData>
    <row r="1" spans="1:13" ht="12.7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2.75">
      <c r="A2" s="87" t="s">
        <v>75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2.75">
      <c r="A3" s="87" t="s">
        <v>198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6" spans="1:13" s="14" customFormat="1" ht="38.25">
      <c r="A6" s="2" t="s">
        <v>2</v>
      </c>
      <c r="B6" s="2" t="s">
        <v>3</v>
      </c>
      <c r="C6" s="2" t="s">
        <v>4</v>
      </c>
      <c r="D6" s="2" t="str">
        <f>+#REF!</f>
        <v>Residential
Sch 7</v>
      </c>
      <c r="E6" s="2" t="str">
        <f>+#REF!</f>
        <v>Sec Volt
Sch 24
(kW&lt; 50)</v>
      </c>
      <c r="F6" s="2" t="str">
        <f>+#REF!</f>
        <v>Sec Volt
Sch 25
(kW &gt; 50 &amp; &lt; 350)</v>
      </c>
      <c r="G6" s="2" t="str">
        <f>+#REF!</f>
        <v>Sec Volt
Sch 26
(kW &gt; 350)</v>
      </c>
      <c r="H6" s="2" t="str">
        <f>+#REF!</f>
        <v>Pri Volt
Sch 31/35/43</v>
      </c>
      <c r="I6" s="2" t="str">
        <f>+#REF!</f>
        <v>Campus
Sch 40</v>
      </c>
      <c r="J6" s="2" t="str">
        <f>+#REF!</f>
        <v>High Volt
Sch 46/49</v>
      </c>
      <c r="K6" s="2" t="str">
        <f>+#REF!</f>
        <v>Choice /
Retail Wheeling
Sch 448/449</v>
      </c>
      <c r="L6" s="2" t="str">
        <f>+#REF!</f>
        <v>Lighting
Sch 50-59</v>
      </c>
      <c r="M6" s="2" t="str">
        <f>+#REF!</f>
        <v>Firm Resale /
Special Contract</v>
      </c>
    </row>
    <row r="7" spans="2:13" s="14" customFormat="1" ht="12.75">
      <c r="B7" s="14" t="s">
        <v>15</v>
      </c>
      <c r="C7" s="14" t="s">
        <v>16</v>
      </c>
      <c r="D7" s="14" t="s">
        <v>17</v>
      </c>
      <c r="E7" s="14" t="s">
        <v>18</v>
      </c>
      <c r="F7" s="14" t="s">
        <v>19</v>
      </c>
      <c r="G7" s="14" t="s">
        <v>76</v>
      </c>
      <c r="H7" s="14" t="s">
        <v>20</v>
      </c>
      <c r="I7" s="14" t="s">
        <v>21</v>
      </c>
      <c r="J7" s="14" t="s">
        <v>77</v>
      </c>
      <c r="K7" s="14" t="s">
        <v>78</v>
      </c>
      <c r="L7" s="14" t="s">
        <v>22</v>
      </c>
      <c r="M7" s="14" t="s">
        <v>23</v>
      </c>
    </row>
    <row r="9" spans="1:2" ht="12.75">
      <c r="A9" s="11">
        <v>1</v>
      </c>
      <c r="B9" s="1" t="s">
        <v>79</v>
      </c>
    </row>
    <row r="10" spans="1:13" ht="12.75">
      <c r="A10" s="11">
        <f>+A9+1</f>
        <v>2</v>
      </c>
      <c r="B10" s="3" t="s">
        <v>36</v>
      </c>
      <c r="C10" s="4">
        <v>855192659.4682412</v>
      </c>
      <c r="D10" s="4">
        <v>435261322.61219144</v>
      </c>
      <c r="E10" s="4">
        <v>105370239.7750335</v>
      </c>
      <c r="F10" s="4">
        <v>118881728.82723619</v>
      </c>
      <c r="G10" s="4">
        <v>80541142.97825804</v>
      </c>
      <c r="H10" s="4">
        <v>56994176.549166724</v>
      </c>
      <c r="I10" s="4">
        <v>29931894.870847397</v>
      </c>
      <c r="J10" s="4">
        <v>22138180.897308</v>
      </c>
      <c r="K10" s="4">
        <v>2229719.454712215</v>
      </c>
      <c r="L10" s="4">
        <v>3392824.299046321</v>
      </c>
      <c r="M10" s="4">
        <v>451429.20444129896</v>
      </c>
    </row>
    <row r="11" spans="1:13" ht="12.75">
      <c r="A11" s="11">
        <f aca="true" t="shared" si="0" ref="A11:A26">+A10+1</f>
        <v>3</v>
      </c>
      <c r="B11" s="3" t="s">
        <v>37</v>
      </c>
      <c r="C11" s="4">
        <v>130822762.98239549</v>
      </c>
      <c r="D11" s="4">
        <v>65771537.34326763</v>
      </c>
      <c r="E11" s="4">
        <v>15922302.994073939</v>
      </c>
      <c r="F11" s="4">
        <v>17963999.236291837</v>
      </c>
      <c r="G11" s="4">
        <v>12170423.87610385</v>
      </c>
      <c r="H11" s="4">
        <v>8612285.118179968</v>
      </c>
      <c r="I11" s="4">
        <v>4522953.54302992</v>
      </c>
      <c r="J11" s="4">
        <v>3345259.76914477</v>
      </c>
      <c r="K11" s="4">
        <v>1821566.3779519587</v>
      </c>
      <c r="L11" s="4">
        <v>512683.43519392813</v>
      </c>
      <c r="M11" s="4">
        <v>179751.2891576954</v>
      </c>
    </row>
    <row r="12" spans="1:13" ht="12.75">
      <c r="A12" s="11">
        <f t="shared" si="0"/>
        <v>4</v>
      </c>
      <c r="B12" s="3" t="s">
        <v>38</v>
      </c>
      <c r="C12" s="4">
        <v>72009401.73674703</v>
      </c>
      <c r="D12" s="4">
        <v>36429018.33931516</v>
      </c>
      <c r="E12" s="4">
        <v>8818919.113111235</v>
      </c>
      <c r="F12" s="4">
        <v>9949757.662055079</v>
      </c>
      <c r="G12" s="4">
        <v>6740858.013792621</v>
      </c>
      <c r="H12" s="4">
        <v>4770104.291103411</v>
      </c>
      <c r="I12" s="4">
        <v>2505137.6966753076</v>
      </c>
      <c r="J12" s="4">
        <v>1852845.9939126251</v>
      </c>
      <c r="K12" s="4">
        <v>590662.4836930658</v>
      </c>
      <c r="L12" s="4">
        <v>283961.04177203693</v>
      </c>
      <c r="M12" s="4">
        <v>68137.10131648331</v>
      </c>
    </row>
    <row r="13" spans="1:13" ht="12.75">
      <c r="A13" s="11">
        <f t="shared" si="0"/>
        <v>5</v>
      </c>
      <c r="B13" s="3" t="s">
        <v>39</v>
      </c>
      <c r="C13" s="4">
        <v>57470898.377666965</v>
      </c>
      <c r="D13" s="4">
        <v>28907437.783112947</v>
      </c>
      <c r="E13" s="4">
        <v>6998057.241126339</v>
      </c>
      <c r="F13" s="4">
        <v>7895409.036111721</v>
      </c>
      <c r="G13" s="4">
        <v>5349058.045525466</v>
      </c>
      <c r="H13" s="4">
        <v>3785210.2334916824</v>
      </c>
      <c r="I13" s="4">
        <v>1987896.3366580168</v>
      </c>
      <c r="J13" s="4">
        <v>1470284.7546378926</v>
      </c>
      <c r="K13" s="4">
        <v>775124.9758798713</v>
      </c>
      <c r="L13" s="4">
        <v>225330.97300055902</v>
      </c>
      <c r="M13" s="4">
        <v>77088.99812246702</v>
      </c>
    </row>
    <row r="14" spans="1:13" ht="13.5" thickBot="1">
      <c r="A14" s="13">
        <f t="shared" si="0"/>
        <v>6</v>
      </c>
      <c r="B14" s="5" t="s">
        <v>80</v>
      </c>
      <c r="C14" s="6">
        <f>SUM(C10:C13)</f>
        <v>1115495722.5650508</v>
      </c>
      <c r="D14" s="6">
        <f aca="true" t="shared" si="1" ref="D14:M14">SUM(D10:D13)</f>
        <v>566369316.0778872</v>
      </c>
      <c r="E14" s="6">
        <f t="shared" si="1"/>
        <v>137109519.12334502</v>
      </c>
      <c r="F14" s="6">
        <f t="shared" si="1"/>
        <v>154690894.76169482</v>
      </c>
      <c r="G14" s="6">
        <f t="shared" si="1"/>
        <v>104801482.91367997</v>
      </c>
      <c r="H14" s="6">
        <f t="shared" si="1"/>
        <v>74161776.1919418</v>
      </c>
      <c r="I14" s="6">
        <f t="shared" si="1"/>
        <v>38947882.44721064</v>
      </c>
      <c r="J14" s="6">
        <f t="shared" si="1"/>
        <v>28806571.41500329</v>
      </c>
      <c r="K14" s="6">
        <f t="shared" si="1"/>
        <v>5417073.29223711</v>
      </c>
      <c r="L14" s="6">
        <f t="shared" si="1"/>
        <v>4414799.749012845</v>
      </c>
      <c r="M14" s="6">
        <f t="shared" si="1"/>
        <v>776406.5930379448</v>
      </c>
    </row>
    <row r="15" spans="1:13" ht="13.5" thickTop="1">
      <c r="A15" s="11">
        <f t="shared" si="0"/>
        <v>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11">
        <f t="shared" si="0"/>
        <v>8</v>
      </c>
      <c r="B16" s="3" t="s">
        <v>81</v>
      </c>
      <c r="C16" s="4">
        <v>199526321.5510297</v>
      </c>
      <c r="D16" s="4">
        <v>100360267.35526249</v>
      </c>
      <c r="E16" s="4">
        <v>24295715.89693616</v>
      </c>
      <c r="F16" s="4">
        <v>27411124.00512442</v>
      </c>
      <c r="G16" s="4">
        <v>18570753.298009656</v>
      </c>
      <c r="H16" s="4">
        <v>13141417.57838603</v>
      </c>
      <c r="I16" s="4">
        <v>6901538.950577355</v>
      </c>
      <c r="J16" s="4">
        <v>5104505.3584799385</v>
      </c>
      <c r="K16" s="4">
        <v>2691063.4694330976</v>
      </c>
      <c r="L16" s="4">
        <v>782299.5888957091</v>
      </c>
      <c r="M16" s="4">
        <v>267636.0499248296</v>
      </c>
    </row>
    <row r="17" spans="1:13" ht="12.75">
      <c r="A17" s="11">
        <f t="shared" si="0"/>
        <v>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3.5" thickBot="1">
      <c r="A18" s="13">
        <f t="shared" si="0"/>
        <v>10</v>
      </c>
      <c r="B18" s="5" t="s">
        <v>82</v>
      </c>
      <c r="C18" s="6">
        <f>+C16+C14</f>
        <v>1315022044.1160805</v>
      </c>
      <c r="D18" s="6">
        <f aca="true" t="shared" si="2" ref="D18:M18">+D16+D14</f>
        <v>666729583.4331497</v>
      </c>
      <c r="E18" s="6">
        <f t="shared" si="2"/>
        <v>161405235.02028117</v>
      </c>
      <c r="F18" s="6">
        <f t="shared" si="2"/>
        <v>182102018.76681924</v>
      </c>
      <c r="G18" s="6">
        <f t="shared" si="2"/>
        <v>123372236.21168962</v>
      </c>
      <c r="H18" s="6">
        <f t="shared" si="2"/>
        <v>87303193.77032782</v>
      </c>
      <c r="I18" s="6">
        <f t="shared" si="2"/>
        <v>45849421.397787996</v>
      </c>
      <c r="J18" s="6">
        <f t="shared" si="2"/>
        <v>33911076.773483224</v>
      </c>
      <c r="K18" s="6">
        <f t="shared" si="2"/>
        <v>8108136.761670208</v>
      </c>
      <c r="L18" s="6">
        <f t="shared" si="2"/>
        <v>5197099.337908554</v>
      </c>
      <c r="M18" s="6">
        <f t="shared" si="2"/>
        <v>1044042.6429627744</v>
      </c>
    </row>
    <row r="19" spans="1:13" ht="13.5" thickTop="1">
      <c r="A19" s="11">
        <f t="shared" si="0"/>
        <v>11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2.75">
      <c r="A20" s="11">
        <f t="shared" si="0"/>
        <v>12</v>
      </c>
      <c r="B20" s="3" t="s">
        <v>27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2.75">
      <c r="A21" s="11">
        <f t="shared" si="0"/>
        <v>13</v>
      </c>
      <c r="B21" s="3" t="s">
        <v>28</v>
      </c>
      <c r="C21" s="4">
        <v>3682157955.686166</v>
      </c>
      <c r="D21" s="4">
        <v>1850013434.5984278</v>
      </c>
      <c r="E21" s="4">
        <v>447860512.9000946</v>
      </c>
      <c r="F21" s="4">
        <v>505289085.04611063</v>
      </c>
      <c r="G21" s="4">
        <v>342328134.4031755</v>
      </c>
      <c r="H21" s="4">
        <v>242245260.10499188</v>
      </c>
      <c r="I21" s="4">
        <v>127221061.82495078</v>
      </c>
      <c r="J21" s="4">
        <v>94095041.18536381</v>
      </c>
      <c r="K21" s="4">
        <v>53461568.24726651</v>
      </c>
      <c r="L21" s="4">
        <v>14420694.438913327</v>
      </c>
      <c r="M21" s="4">
        <v>5223162.936870778</v>
      </c>
    </row>
    <row r="22" spans="1:13" ht="12.75">
      <c r="A22" s="11">
        <f t="shared" si="0"/>
        <v>14</v>
      </c>
      <c r="B22" s="3" t="s">
        <v>29</v>
      </c>
      <c r="C22" s="4">
        <v>-1278318036.1642532</v>
      </c>
      <c r="D22" s="4">
        <v>-643765106.8891267</v>
      </c>
      <c r="E22" s="4">
        <v>-155845879.58472413</v>
      </c>
      <c r="F22" s="4">
        <v>-175829794.4010481</v>
      </c>
      <c r="G22" s="4">
        <v>-119122869.00935507</v>
      </c>
      <c r="H22" s="4">
        <v>-84296169.34037313</v>
      </c>
      <c r="I22" s="4">
        <v>-44270208.49287255</v>
      </c>
      <c r="J22" s="4">
        <v>-32743061.814349048</v>
      </c>
      <c r="K22" s="4">
        <v>-15818530.055235738</v>
      </c>
      <c r="L22" s="4">
        <v>-5018093.232872981</v>
      </c>
      <c r="M22" s="4">
        <v>-1608323.3442955725</v>
      </c>
    </row>
    <row r="23" spans="1:13" ht="12.75">
      <c r="A23" s="11">
        <f t="shared" si="0"/>
        <v>15</v>
      </c>
      <c r="B23" s="3" t="s">
        <v>83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</row>
    <row r="24" spans="1:13" ht="12.75">
      <c r="A24" s="11">
        <f t="shared" si="0"/>
        <v>16</v>
      </c>
      <c r="B24" s="3" t="s">
        <v>84</v>
      </c>
      <c r="C24" s="4">
        <v>98247937.14693053</v>
      </c>
      <c r="D24" s="4">
        <v>49362359.20100084</v>
      </c>
      <c r="E24" s="4">
        <v>11949887.009613896</v>
      </c>
      <c r="F24" s="4">
        <v>13482205.507229328</v>
      </c>
      <c r="G24" s="4">
        <v>9134054.931166498</v>
      </c>
      <c r="H24" s="4">
        <v>6463627.409623703</v>
      </c>
      <c r="I24" s="4">
        <v>3394533.052728401</v>
      </c>
      <c r="J24" s="4">
        <v>2510659.1850415976</v>
      </c>
      <c r="K24" s="4">
        <v>1426470.254710999</v>
      </c>
      <c r="L24" s="4">
        <v>384775.3132538899</v>
      </c>
      <c r="M24" s="4">
        <v>139365.28256138583</v>
      </c>
    </row>
    <row r="25" spans="1:13" ht="12.75">
      <c r="A25" s="11">
        <f t="shared" si="0"/>
        <v>17</v>
      </c>
      <c r="B25" s="3" t="s">
        <v>85</v>
      </c>
      <c r="C25" s="4">
        <v>55941906.805896536</v>
      </c>
      <c r="D25" s="4">
        <v>31059407.38793526</v>
      </c>
      <c r="E25" s="4">
        <v>7519016.815222806</v>
      </c>
      <c r="F25" s="4">
        <v>8483170.580072474</v>
      </c>
      <c r="G25" s="4">
        <v>5747260.418726647</v>
      </c>
      <c r="H25" s="4">
        <v>4066994.3691681754</v>
      </c>
      <c r="I25" s="4">
        <v>2135882.2123389374</v>
      </c>
      <c r="J25" s="4">
        <v>1579737.8347120704</v>
      </c>
      <c r="K25" s="4">
        <v>-4568694.736061039</v>
      </c>
      <c r="L25" s="4">
        <v>242105.38962511072</v>
      </c>
      <c r="M25" s="4">
        <v>-322973.46584390436</v>
      </c>
    </row>
    <row r="26" spans="1:13" ht="13.5" thickBot="1">
      <c r="A26" s="13">
        <f t="shared" si="0"/>
        <v>18</v>
      </c>
      <c r="B26" s="5" t="s">
        <v>31</v>
      </c>
      <c r="C26" s="6">
        <f>SUM(C21:C25)</f>
        <v>2558029763.47474</v>
      </c>
      <c r="D26" s="6">
        <f aca="true" t="shared" si="3" ref="D26:M26">SUM(D21:D25)</f>
        <v>1286670094.298237</v>
      </c>
      <c r="E26" s="6">
        <f t="shared" si="3"/>
        <v>311483537.1402072</v>
      </c>
      <c r="F26" s="6">
        <f t="shared" si="3"/>
        <v>351424666.73236436</v>
      </c>
      <c r="G26" s="6">
        <f t="shared" si="3"/>
        <v>238086580.74371356</v>
      </c>
      <c r="H26" s="6">
        <f t="shared" si="3"/>
        <v>168479712.54341063</v>
      </c>
      <c r="I26" s="6">
        <f t="shared" si="3"/>
        <v>88481268.59714557</v>
      </c>
      <c r="J26" s="6">
        <f t="shared" si="3"/>
        <v>65442376.39076844</v>
      </c>
      <c r="K26" s="6">
        <f t="shared" si="3"/>
        <v>34500813.71068074</v>
      </c>
      <c r="L26" s="6">
        <f t="shared" si="3"/>
        <v>10029481.908919347</v>
      </c>
      <c r="M26" s="6">
        <f t="shared" si="3"/>
        <v>3431231.409292687</v>
      </c>
    </row>
    <row r="27" ht="13.5" thickTop="1"/>
  </sheetData>
  <sheetProtection/>
  <mergeCells count="3">
    <mergeCell ref="A1:M1"/>
    <mergeCell ref="A2:M2"/>
    <mergeCell ref="A3:M3"/>
  </mergeCells>
  <printOptions horizontalCentered="1"/>
  <pageMargins left="0.25" right="0.25" top="0.58" bottom="0.72" header="0.22" footer="0.46"/>
  <pageSetup horizontalDpi="600" verticalDpi="600" orientation="landscape" pageOrder="overThenDown" scale="55" r:id="rId1"/>
  <headerFooter alignWithMargins="0">
    <oddHeader>&amp;RDocket No. UE-111048
ECOS Model
Page &amp;P of &amp;N
Compliance Filing, Advice No. 2012-10</oddHeader>
    <oddFooter>&amp;RCOS Reports
&amp;A
Page 5 of 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PageLayoutView="0" workbookViewId="0" topLeftCell="A1">
      <selection activeCell="E287" sqref="E287"/>
    </sheetView>
  </sheetViews>
  <sheetFormatPr defaultColWidth="10.00390625" defaultRowHeight="12.75"/>
  <cols>
    <col min="1" max="1" width="8.57421875" style="3" bestFit="1" customWidth="1"/>
    <col min="2" max="2" width="33.140625" style="3" bestFit="1" customWidth="1"/>
    <col min="3" max="3" width="15.57421875" style="3" bestFit="1" customWidth="1"/>
    <col min="4" max="4" width="15.00390625" style="3" bestFit="1" customWidth="1"/>
    <col min="5" max="5" width="14.00390625" style="3" bestFit="1" customWidth="1"/>
    <col min="6" max="6" width="16.57421875" style="3" bestFit="1" customWidth="1"/>
    <col min="7" max="8" width="13.421875" style="3" bestFit="1" customWidth="1"/>
    <col min="9" max="9" width="12.8515625" style="3" bestFit="1" customWidth="1"/>
    <col min="10" max="10" width="12.28125" style="3" bestFit="1" customWidth="1"/>
    <col min="11" max="11" width="15.7109375" style="3" bestFit="1" customWidth="1"/>
    <col min="12" max="12" width="12.28125" style="3" bestFit="1" customWidth="1"/>
    <col min="13" max="13" width="16.140625" style="3" bestFit="1" customWidth="1"/>
    <col min="14" max="14" width="10.00390625" style="3" customWidth="1"/>
    <col min="15" max="15" width="13.421875" style="3" bestFit="1" customWidth="1"/>
    <col min="16" max="16" width="11.7109375" style="3" bestFit="1" customWidth="1"/>
    <col min="17" max="17" width="12.28125" style="3" bestFit="1" customWidth="1"/>
    <col min="18" max="16384" width="10.00390625" style="3" customWidth="1"/>
  </cols>
  <sheetData>
    <row r="1" spans="1:13" ht="12.7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2.75">
      <c r="A2" s="87" t="s">
        <v>86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2.75">
      <c r="A3" s="87" t="s">
        <v>198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6" spans="1:17" s="14" customFormat="1" ht="38.25">
      <c r="A6" s="2" t="s">
        <v>2</v>
      </c>
      <c r="B6" s="2" t="s">
        <v>3</v>
      </c>
      <c r="C6" s="2" t="s">
        <v>4</v>
      </c>
      <c r="D6" s="2" t="str">
        <f>+#REF!</f>
        <v>Residential
Sch 7</v>
      </c>
      <c r="E6" s="2" t="str">
        <f>+#REF!</f>
        <v>Sec Volt
Sch 24
(kW&lt; 50)</v>
      </c>
      <c r="F6" s="2" t="str">
        <f>+#REF!</f>
        <v>Sec Volt
Sch 25
(kW &gt; 50 &amp; &lt; 350)</v>
      </c>
      <c r="G6" s="2" t="str">
        <f>+#REF!</f>
        <v>Sec Volt
Sch 26
(kW &gt; 350)</v>
      </c>
      <c r="H6" s="2" t="str">
        <f>+#REF!</f>
        <v>Pri Volt
Sch 31/35/43</v>
      </c>
      <c r="I6" s="2" t="str">
        <f>+#REF!</f>
        <v>Campus
Sch 40</v>
      </c>
      <c r="J6" s="2" t="str">
        <f>+#REF!</f>
        <v>High Volt
Sch 46/49</v>
      </c>
      <c r="K6" s="2" t="str">
        <f>+#REF!</f>
        <v>Choice /
Retail Wheeling
Sch 448/449</v>
      </c>
      <c r="L6" s="2" t="str">
        <f>+#REF!</f>
        <v>Lighting
Sch 50-59</v>
      </c>
      <c r="M6" s="2" t="str">
        <f>+#REF!</f>
        <v>Firm Resale /
Special Contract</v>
      </c>
      <c r="O6" s="2" t="s">
        <v>87</v>
      </c>
      <c r="P6" s="2" t="s">
        <v>88</v>
      </c>
      <c r="Q6" s="2" t="s">
        <v>89</v>
      </c>
    </row>
    <row r="7" spans="2:13" s="14" customFormat="1" ht="12.75">
      <c r="B7" s="14" t="s">
        <v>15</v>
      </c>
      <c r="C7" s="14" t="s">
        <v>16</v>
      </c>
      <c r="D7" s="14" t="s">
        <v>17</v>
      </c>
      <c r="E7" s="14" t="s">
        <v>18</v>
      </c>
      <c r="F7" s="14" t="s">
        <v>19</v>
      </c>
      <c r="G7" s="14" t="s">
        <v>76</v>
      </c>
      <c r="H7" s="14" t="s">
        <v>20</v>
      </c>
      <c r="I7" s="14" t="s">
        <v>21</v>
      </c>
      <c r="J7" s="14" t="s">
        <v>77</v>
      </c>
      <c r="K7" s="14" t="s">
        <v>78</v>
      </c>
      <c r="L7" s="14" t="s">
        <v>22</v>
      </c>
      <c r="M7" s="14" t="s">
        <v>23</v>
      </c>
    </row>
    <row r="9" spans="1:2" ht="12.75">
      <c r="A9" s="11">
        <v>1</v>
      </c>
      <c r="B9" s="1" t="s">
        <v>79</v>
      </c>
    </row>
    <row r="10" spans="1:17" ht="12.75">
      <c r="A10" s="11">
        <f>+A9+1</f>
        <v>2</v>
      </c>
      <c r="B10" s="3" t="s">
        <v>36</v>
      </c>
      <c r="C10" s="4">
        <v>268946311.8172574</v>
      </c>
      <c r="D10" s="4">
        <v>170307705.4894207</v>
      </c>
      <c r="E10" s="4">
        <v>29772452.565170977</v>
      </c>
      <c r="F10" s="4">
        <v>28889948.982539866</v>
      </c>
      <c r="G10" s="4">
        <v>17035192.59430233</v>
      </c>
      <c r="H10" s="4">
        <v>11642425.470888466</v>
      </c>
      <c r="I10" s="4">
        <v>5503524.709900208</v>
      </c>
      <c r="J10" s="4">
        <v>3639343.83708283</v>
      </c>
      <c r="K10" s="4">
        <v>961100.5297994546</v>
      </c>
      <c r="L10" s="4">
        <v>928465.919355229</v>
      </c>
      <c r="M10" s="4">
        <v>266151.7187973426</v>
      </c>
      <c r="O10" s="4">
        <v>10812384.996193025</v>
      </c>
      <c r="P10" s="4">
        <v>50873.3906185703</v>
      </c>
      <c r="Q10" s="4">
        <v>779167.0840768707</v>
      </c>
    </row>
    <row r="11" spans="1:17" ht="12.75">
      <c r="A11" s="11">
        <f aca="true" t="shared" si="0" ref="A11:A26">+A10+1</f>
        <v>3</v>
      </c>
      <c r="B11" s="3" t="s">
        <v>37</v>
      </c>
      <c r="C11" s="4">
        <v>109916270.04163778</v>
      </c>
      <c r="D11" s="4">
        <v>69791270.12169549</v>
      </c>
      <c r="E11" s="4">
        <v>12654688.455633584</v>
      </c>
      <c r="F11" s="4">
        <v>11659077.224901987</v>
      </c>
      <c r="G11" s="4">
        <v>6145280.267247299</v>
      </c>
      <c r="H11" s="4">
        <v>5383813.282723252</v>
      </c>
      <c r="I11" s="4">
        <v>1979537.2656157447</v>
      </c>
      <c r="J11" s="4">
        <v>958724.0133665041</v>
      </c>
      <c r="K11" s="4">
        <v>621462.6150615994</v>
      </c>
      <c r="L11" s="4">
        <v>565747.9360270005</v>
      </c>
      <c r="M11" s="4">
        <v>156668.85936533712</v>
      </c>
      <c r="O11" s="4">
        <v>4424604.679145737</v>
      </c>
      <c r="P11" s="4">
        <v>43751.607142639536</v>
      </c>
      <c r="Q11" s="4">
        <v>915456.9964348755</v>
      </c>
    </row>
    <row r="12" spans="1:17" ht="12.75">
      <c r="A12" s="11">
        <f t="shared" si="0"/>
        <v>4</v>
      </c>
      <c r="B12" s="3" t="s">
        <v>38</v>
      </c>
      <c r="C12" s="4">
        <v>39700291.88081848</v>
      </c>
      <c r="D12" s="4">
        <v>25177133.16926533</v>
      </c>
      <c r="E12" s="4">
        <v>4521202.187637802</v>
      </c>
      <c r="F12" s="4">
        <v>4231246.786630617</v>
      </c>
      <c r="G12" s="4">
        <v>2310705.240134102</v>
      </c>
      <c r="H12" s="4">
        <v>1881107.4297301196</v>
      </c>
      <c r="I12" s="4">
        <v>741337.0562277115</v>
      </c>
      <c r="J12" s="4">
        <v>402403.1402199417</v>
      </c>
      <c r="K12" s="4">
        <v>200948.9988335293</v>
      </c>
      <c r="L12" s="4">
        <v>184965.62596808243</v>
      </c>
      <c r="M12" s="4">
        <v>49242.24617124634</v>
      </c>
      <c r="O12" s="4">
        <v>1600216.498682375</v>
      </c>
      <c r="P12" s="4">
        <v>13304.674922756152</v>
      </c>
      <c r="Q12" s="4">
        <v>267586.2561249883</v>
      </c>
    </row>
    <row r="13" spans="1:17" ht="12.75">
      <c r="A13" s="11">
        <f t="shared" si="0"/>
        <v>5</v>
      </c>
      <c r="B13" s="3" t="s">
        <v>39</v>
      </c>
      <c r="C13" s="4">
        <v>42862918.630937904</v>
      </c>
      <c r="D13" s="4">
        <v>27148530.235384066</v>
      </c>
      <c r="E13" s="4">
        <v>4936102.752656524</v>
      </c>
      <c r="F13" s="4">
        <v>4584151.59527014</v>
      </c>
      <c r="G13" s="4">
        <v>2454934.2348694345</v>
      </c>
      <c r="H13" s="4">
        <v>2100267.364370586</v>
      </c>
      <c r="I13" s="4">
        <v>765164.8909104152</v>
      </c>
      <c r="J13" s="4">
        <v>391490.7379488188</v>
      </c>
      <c r="K13" s="4">
        <v>222433.8480658719</v>
      </c>
      <c r="L13" s="4">
        <v>217324.0508539422</v>
      </c>
      <c r="M13" s="4">
        <v>42518.920608101325</v>
      </c>
      <c r="O13" s="4">
        <v>1744826.967439327</v>
      </c>
      <c r="P13" s="4">
        <v>15894.96107474306</v>
      </c>
      <c r="Q13" s="4">
        <v>339545.4358565161</v>
      </c>
    </row>
    <row r="14" spans="1:17" ht="13.5" thickBot="1">
      <c r="A14" s="13">
        <f t="shared" si="0"/>
        <v>6</v>
      </c>
      <c r="B14" s="5" t="s">
        <v>80</v>
      </c>
      <c r="C14" s="6">
        <f>SUM(C10:C13)</f>
        <v>461425792.3706516</v>
      </c>
      <c r="D14" s="6">
        <f>SUM(D10:D13)</f>
        <v>292424639.0157656</v>
      </c>
      <c r="E14" s="6">
        <f aca="true" t="shared" si="1" ref="E14:O14">SUM(E10:E13)</f>
        <v>51884445.96109889</v>
      </c>
      <c r="F14" s="6">
        <f t="shared" si="1"/>
        <v>49364424.58934261</v>
      </c>
      <c r="G14" s="6">
        <f t="shared" si="1"/>
        <v>27946112.336553168</v>
      </c>
      <c r="H14" s="6">
        <f t="shared" si="1"/>
        <v>21007613.547712423</v>
      </c>
      <c r="I14" s="6">
        <f t="shared" si="1"/>
        <v>8989563.92265408</v>
      </c>
      <c r="J14" s="6">
        <f t="shared" si="1"/>
        <v>5391961.728618095</v>
      </c>
      <c r="K14" s="6">
        <f t="shared" si="1"/>
        <v>2005945.9917604553</v>
      </c>
      <c r="L14" s="6">
        <f t="shared" si="1"/>
        <v>1896503.5322042543</v>
      </c>
      <c r="M14" s="6">
        <f t="shared" si="1"/>
        <v>514581.7449420274</v>
      </c>
      <c r="O14" s="6">
        <f t="shared" si="1"/>
        <v>18582033.141460463</v>
      </c>
      <c r="P14" s="6">
        <f>SUM(P10:P13)</f>
        <v>123824.63375870905</v>
      </c>
      <c r="Q14" s="6">
        <f>SUM(Q10:Q13)</f>
        <v>2301755.7724932507</v>
      </c>
    </row>
    <row r="15" spans="1:17" ht="13.5" thickTop="1">
      <c r="A15" s="11">
        <f t="shared" si="0"/>
        <v>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O15" s="4"/>
      <c r="P15" s="4"/>
      <c r="Q15" s="4"/>
    </row>
    <row r="16" spans="1:17" ht="12.75">
      <c r="A16" s="11">
        <f t="shared" si="0"/>
        <v>8</v>
      </c>
      <c r="B16" s="3" t="s">
        <v>81</v>
      </c>
      <c r="C16" s="4">
        <v>148810628.10557237</v>
      </c>
      <c r="D16" s="4">
        <v>94253727.12614611</v>
      </c>
      <c r="E16" s="4">
        <v>17137063.328353874</v>
      </c>
      <c r="F16" s="4">
        <v>15915166.302532868</v>
      </c>
      <c r="G16" s="4">
        <v>8522991.833437812</v>
      </c>
      <c r="H16" s="4">
        <v>7291666.448864569</v>
      </c>
      <c r="I16" s="4">
        <v>2656484.2446012213</v>
      </c>
      <c r="J16" s="4">
        <v>1359169.7549412304</v>
      </c>
      <c r="K16" s="4">
        <v>772241.4081884361</v>
      </c>
      <c r="L16" s="4">
        <v>754501.3158921894</v>
      </c>
      <c r="M16" s="4">
        <v>147616.34261404639</v>
      </c>
      <c r="O16" s="4">
        <v>6057655.550613303</v>
      </c>
      <c r="P16" s="4">
        <v>55183.809614375336</v>
      </c>
      <c r="Q16" s="4">
        <v>1178827.0886368915</v>
      </c>
    </row>
    <row r="17" spans="1:17" ht="12.75">
      <c r="A17" s="11">
        <f t="shared" si="0"/>
        <v>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</row>
    <row r="18" spans="1:17" ht="13.5" thickBot="1">
      <c r="A18" s="13">
        <f t="shared" si="0"/>
        <v>10</v>
      </c>
      <c r="B18" s="5" t="s">
        <v>82</v>
      </c>
      <c r="C18" s="6">
        <f>+C16+C14</f>
        <v>610236420.476224</v>
      </c>
      <c r="D18" s="6">
        <f>+D16+D14</f>
        <v>386678366.14191175</v>
      </c>
      <c r="E18" s="6">
        <f aca="true" t="shared" si="2" ref="E18:M18">+E16+E14</f>
        <v>69021509.28945276</v>
      </c>
      <c r="F18" s="6">
        <f t="shared" si="2"/>
        <v>65279590.891875476</v>
      </c>
      <c r="G18" s="6">
        <f t="shared" si="2"/>
        <v>36469104.16999098</v>
      </c>
      <c r="H18" s="6">
        <f t="shared" si="2"/>
        <v>28299279.99657699</v>
      </c>
      <c r="I18" s="6">
        <f t="shared" si="2"/>
        <v>11646048.167255301</v>
      </c>
      <c r="J18" s="6">
        <f t="shared" si="2"/>
        <v>6751131.483559325</v>
      </c>
      <c r="K18" s="6">
        <f t="shared" si="2"/>
        <v>2778187.3999488913</v>
      </c>
      <c r="L18" s="6">
        <f t="shared" si="2"/>
        <v>2651004.848096444</v>
      </c>
      <c r="M18" s="6">
        <f t="shared" si="2"/>
        <v>662198.0875560738</v>
      </c>
      <c r="O18" s="6">
        <f>+O16+O14</f>
        <v>24639688.692073766</v>
      </c>
      <c r="P18" s="6">
        <f>+P16+P14</f>
        <v>179008.4433730844</v>
      </c>
      <c r="Q18" s="6">
        <f>+Q16+Q14</f>
        <v>3480582.861130142</v>
      </c>
    </row>
    <row r="19" spans="1:17" ht="13.5" thickTop="1">
      <c r="A19" s="11">
        <f t="shared" si="0"/>
        <v>11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</row>
    <row r="20" spans="1:17" ht="12.75">
      <c r="A20" s="11">
        <f t="shared" si="0"/>
        <v>12</v>
      </c>
      <c r="B20" s="3" t="s">
        <v>27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O20" s="4"/>
      <c r="P20" s="4"/>
      <c r="Q20" s="4"/>
    </row>
    <row r="21" spans="1:17" ht="12.75">
      <c r="A21" s="11">
        <f t="shared" si="0"/>
        <v>13</v>
      </c>
      <c r="B21" s="3" t="s">
        <v>28</v>
      </c>
      <c r="C21" s="4">
        <v>3077641005.052089</v>
      </c>
      <c r="D21" s="4">
        <v>1953814738.6738338</v>
      </c>
      <c r="E21" s="4">
        <v>354240631.0720188</v>
      </c>
      <c r="F21" s="4">
        <v>326429717.4426381</v>
      </c>
      <c r="G21" s="4">
        <v>172121439.73212862</v>
      </c>
      <c r="H21" s="4">
        <v>150676198.49504682</v>
      </c>
      <c r="I21" s="4">
        <v>55451810.65254131</v>
      </c>
      <c r="J21" s="4">
        <v>26888359.506687287</v>
      </c>
      <c r="K21" s="4">
        <v>17783216.06958067</v>
      </c>
      <c r="L21" s="4">
        <v>15824314.966298964</v>
      </c>
      <c r="M21" s="4">
        <v>4410578.441314546</v>
      </c>
      <c r="O21" s="4">
        <v>123872827.71874642</v>
      </c>
      <c r="P21" s="4">
        <v>1222565.9075549173</v>
      </c>
      <c r="Q21" s="4">
        <v>25580804.868745483</v>
      </c>
    </row>
    <row r="22" spans="1:17" ht="12.75">
      <c r="A22" s="11">
        <f t="shared" si="0"/>
        <v>14</v>
      </c>
      <c r="B22" s="3" t="s">
        <v>29</v>
      </c>
      <c r="C22" s="4">
        <v>-1074151827.8302133</v>
      </c>
      <c r="D22" s="4">
        <v>-683995122.4600778</v>
      </c>
      <c r="E22" s="4">
        <v>-122959102.18830954</v>
      </c>
      <c r="F22" s="4">
        <v>-112615898.72244355</v>
      </c>
      <c r="G22" s="4">
        <v>-58704496.50985573</v>
      </c>
      <c r="H22" s="4">
        <v>-51785396.74631305</v>
      </c>
      <c r="I22" s="4">
        <v>-20171483.829612255</v>
      </c>
      <c r="J22" s="4">
        <v>-9355293.600842297</v>
      </c>
      <c r="K22" s="4">
        <v>-6830489.7792308135</v>
      </c>
      <c r="L22" s="4">
        <v>-5443899.641074243</v>
      </c>
      <c r="M22" s="4">
        <v>-2290644.352453734</v>
      </c>
      <c r="O22" s="4">
        <v>-42398604.64848791</v>
      </c>
      <c r="P22" s="4">
        <v>-442369.1329895653</v>
      </c>
      <c r="Q22" s="4">
        <v>-8944422.96483558</v>
      </c>
    </row>
    <row r="23" spans="1:17" ht="12.75">
      <c r="A23" s="11">
        <f t="shared" si="0"/>
        <v>15</v>
      </c>
      <c r="B23" s="3" t="s">
        <v>83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O23" s="4">
        <v>0</v>
      </c>
      <c r="P23" s="4">
        <v>0</v>
      </c>
      <c r="Q23" s="4">
        <v>0</v>
      </c>
    </row>
    <row r="24" spans="1:17" ht="12.75">
      <c r="A24" s="11">
        <f t="shared" si="0"/>
        <v>16</v>
      </c>
      <c r="B24" s="3" t="s">
        <v>84</v>
      </c>
      <c r="C24" s="4">
        <v>82118117.59955503</v>
      </c>
      <c r="D24" s="4">
        <v>52132002.47032914</v>
      </c>
      <c r="E24" s="4">
        <v>9451906.10378558</v>
      </c>
      <c r="F24" s="4">
        <v>8709850.785371372</v>
      </c>
      <c r="G24" s="4">
        <v>4592572.235074065</v>
      </c>
      <c r="H24" s="4">
        <v>4020366.822237844</v>
      </c>
      <c r="I24" s="4">
        <v>1479574.2261032737</v>
      </c>
      <c r="J24" s="4">
        <v>717439.5793416749</v>
      </c>
      <c r="K24" s="4">
        <v>474494.6620164383</v>
      </c>
      <c r="L24" s="4">
        <v>422226.94433880004</v>
      </c>
      <c r="M24" s="4">
        <v>117683.7709568404</v>
      </c>
      <c r="O24" s="4">
        <v>3305194.92601616</v>
      </c>
      <c r="P24" s="4">
        <v>32620.702286263644</v>
      </c>
      <c r="Q24" s="4">
        <v>682551.1939354207</v>
      </c>
    </row>
    <row r="25" spans="1:17" ht="12.75">
      <c r="A25" s="11">
        <f t="shared" si="0"/>
        <v>17</v>
      </c>
      <c r="B25" s="3" t="s">
        <v>85</v>
      </c>
      <c r="C25" s="4">
        <v>-177778729.36537507</v>
      </c>
      <c r="D25" s="4">
        <v>-113570501.68221194</v>
      </c>
      <c r="E25" s="4">
        <v>-21027494.88039387</v>
      </c>
      <c r="F25" s="4">
        <v>-18483075.88334967</v>
      </c>
      <c r="G25" s="4">
        <v>-8740389.387631418</v>
      </c>
      <c r="H25" s="4">
        <v>-9428265.380400218</v>
      </c>
      <c r="I25" s="4">
        <v>-2702410.733632056</v>
      </c>
      <c r="J25" s="4">
        <v>-825252.216709353</v>
      </c>
      <c r="K25" s="4">
        <v>-1526690.0781555746</v>
      </c>
      <c r="L25" s="4">
        <v>-1129548.476073914</v>
      </c>
      <c r="M25" s="4">
        <v>-345100.6468170584</v>
      </c>
      <c r="O25" s="4">
        <v>-7117167.347386188</v>
      </c>
      <c r="P25" s="4">
        <v>-105332.73820577796</v>
      </c>
      <c r="Q25" s="4">
        <v>-2205765.2948082527</v>
      </c>
    </row>
    <row r="26" spans="1:17" ht="13.5" thickBot="1">
      <c r="A26" s="13">
        <f t="shared" si="0"/>
        <v>18</v>
      </c>
      <c r="B26" s="5" t="s">
        <v>31</v>
      </c>
      <c r="C26" s="6">
        <f>SUM(C21:C25)</f>
        <v>1907828565.4560559</v>
      </c>
      <c r="D26" s="6">
        <f>SUM(D21:D25)</f>
        <v>1208381117.0018733</v>
      </c>
      <c r="E26" s="6">
        <f aca="true" t="shared" si="3" ref="E26:O26">SUM(E21:E25)</f>
        <v>219705940.10710096</v>
      </c>
      <c r="F26" s="6">
        <f t="shared" si="3"/>
        <v>204040593.62221625</v>
      </c>
      <c r="G26" s="6">
        <f t="shared" si="3"/>
        <v>109269126.06971553</v>
      </c>
      <c r="H26" s="6">
        <f t="shared" si="3"/>
        <v>93482903.1905714</v>
      </c>
      <c r="I26" s="6">
        <f t="shared" si="3"/>
        <v>34057490.31540027</v>
      </c>
      <c r="J26" s="6">
        <f t="shared" si="3"/>
        <v>17425253.268477313</v>
      </c>
      <c r="K26" s="6">
        <f t="shared" si="3"/>
        <v>9900530.874210719</v>
      </c>
      <c r="L26" s="6">
        <f t="shared" si="3"/>
        <v>9673093.793489607</v>
      </c>
      <c r="M26" s="6">
        <f t="shared" si="3"/>
        <v>1892517.2130005946</v>
      </c>
      <c r="O26" s="6">
        <f t="shared" si="3"/>
        <v>77662250.6488885</v>
      </c>
      <c r="P26" s="6">
        <f>SUM(P21:P25)</f>
        <v>707484.7386458376</v>
      </c>
      <c r="Q26" s="6">
        <f>SUM(Q21:Q25)</f>
        <v>15113167.80303707</v>
      </c>
    </row>
    <row r="27" ht="13.5" thickTop="1"/>
  </sheetData>
  <sheetProtection/>
  <mergeCells count="3">
    <mergeCell ref="A1:M1"/>
    <mergeCell ref="A2:M2"/>
    <mergeCell ref="A3:M3"/>
  </mergeCells>
  <printOptions horizontalCentered="1"/>
  <pageMargins left="0.25" right="0.25" top="0.58" bottom="0.72" header="0.22" footer="0.46"/>
  <pageSetup fitToHeight="7" horizontalDpi="600" verticalDpi="600" orientation="landscape" pageOrder="overThenDown" scale="55" r:id="rId1"/>
  <headerFooter alignWithMargins="0">
    <oddHeader>&amp;RDocket No. UE-111048
ECOS Model
Page &amp;P of &amp;N
Compliance Filing, Advice No. 2012-10</oddHeader>
    <oddFooter>&amp;RCOS Reports
&amp;A
Page 6 of 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PageLayoutView="0" workbookViewId="0" topLeftCell="A1">
      <selection activeCell="E287" sqref="E287"/>
    </sheetView>
  </sheetViews>
  <sheetFormatPr defaultColWidth="9.140625" defaultRowHeight="12.75"/>
  <cols>
    <col min="1" max="1" width="5.00390625" style="3" bestFit="1" customWidth="1"/>
    <col min="2" max="2" width="33.140625" style="3" bestFit="1" customWidth="1"/>
    <col min="3" max="3" width="14.8515625" style="3" bestFit="1" customWidth="1"/>
    <col min="4" max="4" width="14.00390625" style="3" bestFit="1" customWidth="1"/>
    <col min="5" max="5" width="13.421875" style="3" bestFit="1" customWidth="1"/>
    <col min="6" max="6" width="16.57421875" style="3" bestFit="1" customWidth="1"/>
    <col min="7" max="8" width="12.28125" style="3" bestFit="1" customWidth="1"/>
    <col min="9" max="9" width="11.8515625" style="3" bestFit="1" customWidth="1"/>
    <col min="10" max="10" width="10.28125" style="3" bestFit="1" customWidth="1"/>
    <col min="11" max="11" width="15.57421875" style="3" customWidth="1"/>
    <col min="12" max="12" width="13.421875" style="3" bestFit="1" customWidth="1"/>
    <col min="13" max="13" width="16.140625" style="3" bestFit="1" customWidth="1"/>
    <col min="14" max="16384" width="9.140625" style="3" customWidth="1"/>
  </cols>
  <sheetData>
    <row r="1" spans="1:12" ht="12.7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2.75">
      <c r="A2" s="87" t="s">
        <v>90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2.75">
      <c r="A3" s="87" t="s">
        <v>198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6" spans="1:13" s="14" customFormat="1" ht="51">
      <c r="A6" s="2" t="s">
        <v>2</v>
      </c>
      <c r="B6" s="2" t="s">
        <v>3</v>
      </c>
      <c r="C6" s="2" t="s">
        <v>4</v>
      </c>
      <c r="D6" s="2" t="str">
        <f>+#REF!</f>
        <v>Residential
Sch 7</v>
      </c>
      <c r="E6" s="2" t="str">
        <f>+#REF!</f>
        <v>Sec Volt
Sch 24
(kW&lt; 50)</v>
      </c>
      <c r="F6" s="2" t="str">
        <f>+#REF!</f>
        <v>Sec Volt
Sch 25
(kW &gt; 50 &amp; &lt; 350)</v>
      </c>
      <c r="G6" s="2" t="str">
        <f>+#REF!</f>
        <v>Sec Volt
Sch 26
(kW &gt; 350)</v>
      </c>
      <c r="H6" s="2" t="str">
        <f>+#REF!</f>
        <v>Pri Volt
Sch 31/35/43</v>
      </c>
      <c r="I6" s="2" t="str">
        <f>+#REF!</f>
        <v>Campus
Sch 40</v>
      </c>
      <c r="J6" s="2" t="str">
        <f>+#REF!</f>
        <v>High Volt
Sch 46/49</v>
      </c>
      <c r="K6" s="2" t="str">
        <f>+#REF!</f>
        <v>Choice /
Retail Wheeling
Sch 448/449</v>
      </c>
      <c r="L6" s="2" t="str">
        <f>+#REF!</f>
        <v>Lighting
Sch 50-59</v>
      </c>
      <c r="M6" s="2" t="str">
        <f>+#REF!</f>
        <v>Firm Resale /
Special Contract</v>
      </c>
    </row>
    <row r="7" spans="2:13" s="14" customFormat="1" ht="12.75">
      <c r="B7" s="14" t="s">
        <v>15</v>
      </c>
      <c r="C7" s="14" t="s">
        <v>16</v>
      </c>
      <c r="D7" s="14" t="s">
        <v>17</v>
      </c>
      <c r="E7" s="14" t="s">
        <v>18</v>
      </c>
      <c r="F7" s="14" t="s">
        <v>19</v>
      </c>
      <c r="G7" s="14" t="s">
        <v>76</v>
      </c>
      <c r="H7" s="14" t="s">
        <v>20</v>
      </c>
      <c r="I7" s="14" t="s">
        <v>21</v>
      </c>
      <c r="J7" s="14" t="s">
        <v>77</v>
      </c>
      <c r="K7" s="14" t="s">
        <v>78</v>
      </c>
      <c r="L7" s="14" t="s">
        <v>22</v>
      </c>
      <c r="M7" s="14" t="s">
        <v>23</v>
      </c>
    </row>
    <row r="9" spans="1:2" ht="12.75">
      <c r="A9" s="11">
        <v>1</v>
      </c>
      <c r="B9" s="1" t="s">
        <v>79</v>
      </c>
    </row>
    <row r="10" spans="1:13" ht="12.75">
      <c r="A10" s="11">
        <f>+A9+1</f>
        <v>2</v>
      </c>
      <c r="B10" s="3" t="s">
        <v>36</v>
      </c>
      <c r="C10" s="4">
        <v>84263844.71450171</v>
      </c>
      <c r="D10" s="4">
        <v>62245267.77470859</v>
      </c>
      <c r="E10" s="4">
        <v>10467713.856012207</v>
      </c>
      <c r="F10" s="4">
        <v>2659487.13568765</v>
      </c>
      <c r="G10" s="4">
        <v>611384.6021320316</v>
      </c>
      <c r="H10" s="4">
        <v>1738653.9364667367</v>
      </c>
      <c r="I10" s="4">
        <v>819461.6775604134</v>
      </c>
      <c r="J10" s="4">
        <v>354987.3088139437</v>
      </c>
      <c r="K10" s="4">
        <v>154250.15693411898</v>
      </c>
      <c r="L10" s="4">
        <v>5151511.585149166</v>
      </c>
      <c r="M10" s="4">
        <v>61126.68103683852</v>
      </c>
    </row>
    <row r="11" spans="1:13" ht="12.75">
      <c r="A11" s="11">
        <f aca="true" t="shared" si="0" ref="A11:A26">+A10+1</f>
        <v>3</v>
      </c>
      <c r="B11" s="3" t="s">
        <v>37</v>
      </c>
      <c r="C11" s="4">
        <v>35873216.97596675</v>
      </c>
      <c r="D11" s="4">
        <v>25707676.20406446</v>
      </c>
      <c r="E11" s="4">
        <v>4718031.2594197625</v>
      </c>
      <c r="F11" s="4">
        <v>1943014.1407207071</v>
      </c>
      <c r="G11" s="4">
        <v>420379.7788413411</v>
      </c>
      <c r="H11" s="4">
        <v>648335.9901144074</v>
      </c>
      <c r="I11" s="4">
        <v>206985.09432311673</v>
      </c>
      <c r="J11" s="4">
        <v>52971.9503893713</v>
      </c>
      <c r="K11" s="4">
        <v>24359.91698561279</v>
      </c>
      <c r="L11" s="4">
        <v>2136492.471489382</v>
      </c>
      <c r="M11" s="4">
        <v>14970.169618589833</v>
      </c>
    </row>
    <row r="12" spans="1:13" ht="12.75">
      <c r="A12" s="11">
        <f t="shared" si="0"/>
        <v>4</v>
      </c>
      <c r="B12" s="3" t="s">
        <v>38</v>
      </c>
      <c r="C12" s="4">
        <v>12505256.122434534</v>
      </c>
      <c r="D12" s="4">
        <v>9034690.534859352</v>
      </c>
      <c r="E12" s="4">
        <v>1598985.5185405854</v>
      </c>
      <c r="F12" s="4">
        <v>608616.8655713118</v>
      </c>
      <c r="G12" s="4">
        <v>134469.55316009463</v>
      </c>
      <c r="H12" s="4">
        <v>241443.20089176012</v>
      </c>
      <c r="I12" s="4">
        <v>89505.79356675794</v>
      </c>
      <c r="J12" s="4">
        <v>29317.366977621612</v>
      </c>
      <c r="K12" s="4">
        <v>13076.394541916978</v>
      </c>
      <c r="L12" s="4">
        <v>748629.2158297196</v>
      </c>
      <c r="M12" s="4">
        <v>6521.678495411376</v>
      </c>
    </row>
    <row r="13" spans="1:13" ht="12.75">
      <c r="A13" s="11">
        <f t="shared" si="0"/>
        <v>5</v>
      </c>
      <c r="B13" s="3" t="s">
        <v>39</v>
      </c>
      <c r="C13" s="4">
        <v>8703439.378710756</v>
      </c>
      <c r="D13" s="4">
        <v>5857817.219817058</v>
      </c>
      <c r="E13" s="4">
        <v>1063375.2588487996</v>
      </c>
      <c r="F13" s="4">
        <v>647556.3313548915</v>
      </c>
      <c r="G13" s="4">
        <v>142555.87905481804</v>
      </c>
      <c r="H13" s="4">
        <v>244600.20438301034</v>
      </c>
      <c r="I13" s="4">
        <v>58944.192046832046</v>
      </c>
      <c r="J13" s="4">
        <v>12483.0262106717</v>
      </c>
      <c r="K13" s="4">
        <v>6072.838149085774</v>
      </c>
      <c r="L13" s="4">
        <v>665134.2064754992</v>
      </c>
      <c r="M13" s="4">
        <v>4900.222370088422</v>
      </c>
    </row>
    <row r="14" spans="1:13" ht="13.5" thickBot="1">
      <c r="A14" s="13">
        <f t="shared" si="0"/>
        <v>6</v>
      </c>
      <c r="B14" s="5" t="s">
        <v>80</v>
      </c>
      <c r="C14" s="6">
        <f>SUM(C10:C13)</f>
        <v>141345757.19161373</v>
      </c>
      <c r="D14" s="6">
        <f aca="true" t="shared" si="1" ref="D14:M14">SUM(D10:D13)</f>
        <v>102845451.73344947</v>
      </c>
      <c r="E14" s="6">
        <f t="shared" si="1"/>
        <v>17848105.892821357</v>
      </c>
      <c r="F14" s="6">
        <f t="shared" si="1"/>
        <v>5858674.473334561</v>
      </c>
      <c r="G14" s="6">
        <f t="shared" si="1"/>
        <v>1308789.8131882853</v>
      </c>
      <c r="H14" s="6">
        <f t="shared" si="1"/>
        <v>2873033.331855915</v>
      </c>
      <c r="I14" s="6">
        <f t="shared" si="1"/>
        <v>1174896.7574971202</v>
      </c>
      <c r="J14" s="6">
        <f t="shared" si="1"/>
        <v>449759.65239160834</v>
      </c>
      <c r="K14" s="6">
        <f t="shared" si="1"/>
        <v>197759.30661073455</v>
      </c>
      <c r="L14" s="6">
        <f t="shared" si="1"/>
        <v>8701767.478943767</v>
      </c>
      <c r="M14" s="6">
        <f t="shared" si="1"/>
        <v>87518.75152092816</v>
      </c>
    </row>
    <row r="15" spans="1:13" ht="13.5" thickTop="1">
      <c r="A15" s="11">
        <f t="shared" si="0"/>
        <v>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11">
        <f t="shared" si="0"/>
        <v>8</v>
      </c>
      <c r="B16" s="3" t="s">
        <v>81</v>
      </c>
      <c r="C16" s="4">
        <v>30216427.672050476</v>
      </c>
      <c r="D16" s="4">
        <v>20337053.27708198</v>
      </c>
      <c r="E16" s="4">
        <v>3691805.066839259</v>
      </c>
      <c r="F16" s="4">
        <v>2248173.1874671686</v>
      </c>
      <c r="G16" s="4">
        <v>494922.66462176014</v>
      </c>
      <c r="H16" s="4">
        <v>849198.123030165</v>
      </c>
      <c r="I16" s="4">
        <v>204641.2731991001</v>
      </c>
      <c r="J16" s="4">
        <v>43338.32203688487</v>
      </c>
      <c r="K16" s="4">
        <v>21083.558661277322</v>
      </c>
      <c r="L16" s="4">
        <v>2309199.7045828486</v>
      </c>
      <c r="M16" s="4">
        <v>17012.494530027267</v>
      </c>
    </row>
    <row r="17" spans="1:13" ht="12.75">
      <c r="A17" s="11">
        <f t="shared" si="0"/>
        <v>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3.5" thickBot="1">
      <c r="A18" s="13">
        <f t="shared" si="0"/>
        <v>10</v>
      </c>
      <c r="B18" s="5" t="s">
        <v>82</v>
      </c>
      <c r="C18" s="6">
        <f>+C16+C14</f>
        <v>171562184.8636642</v>
      </c>
      <c r="D18" s="6">
        <f aca="true" t="shared" si="2" ref="D18:M18">+D16+D14</f>
        <v>123182505.01053146</v>
      </c>
      <c r="E18" s="6">
        <f t="shared" si="2"/>
        <v>21539910.959660616</v>
      </c>
      <c r="F18" s="6">
        <f t="shared" si="2"/>
        <v>8106847.660801729</v>
      </c>
      <c r="G18" s="6">
        <f t="shared" si="2"/>
        <v>1803712.4778100455</v>
      </c>
      <c r="H18" s="6">
        <f t="shared" si="2"/>
        <v>3722231.4548860798</v>
      </c>
      <c r="I18" s="6">
        <f t="shared" si="2"/>
        <v>1379538.0306962202</v>
      </c>
      <c r="J18" s="6">
        <f t="shared" si="2"/>
        <v>493097.9744284932</v>
      </c>
      <c r="K18" s="6">
        <f t="shared" si="2"/>
        <v>218842.86527201187</v>
      </c>
      <c r="L18" s="6">
        <f t="shared" si="2"/>
        <v>11010967.183526617</v>
      </c>
      <c r="M18" s="6">
        <f t="shared" si="2"/>
        <v>104531.24605095542</v>
      </c>
    </row>
    <row r="19" spans="1:13" ht="13.5" thickTop="1">
      <c r="A19" s="11">
        <f t="shared" si="0"/>
        <v>11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2.75">
      <c r="A20" s="11">
        <f t="shared" si="0"/>
        <v>12</v>
      </c>
      <c r="B20" s="3" t="s">
        <v>27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2.75">
      <c r="A21" s="11">
        <f t="shared" si="0"/>
        <v>13</v>
      </c>
      <c r="B21" s="3" t="s">
        <v>28</v>
      </c>
      <c r="C21" s="4">
        <v>869783556.7459102</v>
      </c>
      <c r="D21" s="4">
        <v>608648086.7426544</v>
      </c>
      <c r="E21" s="4">
        <v>116885446.21711928</v>
      </c>
      <c r="F21" s="4">
        <v>51520730.284082316</v>
      </c>
      <c r="G21" s="4">
        <v>10871276.917149685</v>
      </c>
      <c r="H21" s="4">
        <v>17462659.631573472</v>
      </c>
      <c r="I21" s="4">
        <v>4348214.967642522</v>
      </c>
      <c r="J21" s="4">
        <v>887993.8845021797</v>
      </c>
      <c r="K21" s="4">
        <v>431888.9092334086</v>
      </c>
      <c r="L21" s="4">
        <v>58377988.42382197</v>
      </c>
      <c r="M21" s="4">
        <v>349270.7681307788</v>
      </c>
    </row>
    <row r="22" spans="1:13" ht="12.75">
      <c r="A22" s="11">
        <f t="shared" si="0"/>
        <v>14</v>
      </c>
      <c r="B22" s="3" t="s">
        <v>29</v>
      </c>
      <c r="C22" s="4">
        <v>-347117162.0705316</v>
      </c>
      <c r="D22" s="4">
        <v>-251585468.2254836</v>
      </c>
      <c r="E22" s="4">
        <v>-41175920.02832162</v>
      </c>
      <c r="F22" s="4">
        <v>-17639969.49374553</v>
      </c>
      <c r="G22" s="4">
        <v>-3761030.3232179964</v>
      </c>
      <c r="H22" s="4">
        <v>-5538406.6611015145</v>
      </c>
      <c r="I22" s="4">
        <v>-1515869.8786043145</v>
      </c>
      <c r="J22" s="4">
        <v>-300197.09800940804</v>
      </c>
      <c r="K22" s="4">
        <v>-144565.994766262</v>
      </c>
      <c r="L22" s="4">
        <v>-25342956.74107105</v>
      </c>
      <c r="M22" s="4">
        <v>-112777.62621032484</v>
      </c>
    </row>
    <row r="23" spans="1:13" ht="12.75">
      <c r="A23" s="11">
        <f t="shared" si="0"/>
        <v>15</v>
      </c>
      <c r="B23" s="3" t="s">
        <v>83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</row>
    <row r="24" spans="1:13" ht="12.75">
      <c r="A24" s="11">
        <f t="shared" si="0"/>
        <v>16</v>
      </c>
      <c r="B24" s="3" t="s">
        <v>84</v>
      </c>
      <c r="C24" s="4">
        <v>23207706.25351446</v>
      </c>
      <c r="D24" s="4">
        <v>16240047.192583963</v>
      </c>
      <c r="E24" s="4">
        <v>3118756.476917753</v>
      </c>
      <c r="F24" s="4">
        <v>1374684.5006737951</v>
      </c>
      <c r="G24" s="4">
        <v>290069.1779432269</v>
      </c>
      <c r="H24" s="4">
        <v>465941.5230277264</v>
      </c>
      <c r="I24" s="4">
        <v>116019.77861448811</v>
      </c>
      <c r="J24" s="4">
        <v>23693.59717898661</v>
      </c>
      <c r="K24" s="4">
        <v>11523.730084228046</v>
      </c>
      <c r="L24" s="4">
        <v>1557650.9770774054</v>
      </c>
      <c r="M24" s="4">
        <v>9319.299412884178</v>
      </c>
    </row>
    <row r="25" spans="1:13" ht="12.75">
      <c r="A25" s="11">
        <f t="shared" si="0"/>
        <v>17</v>
      </c>
      <c r="B25" s="3" t="s">
        <v>85</v>
      </c>
      <c r="C25" s="4">
        <v>-158484002.5692715</v>
      </c>
      <c r="D25" s="4">
        <v>-112571213.43947305</v>
      </c>
      <c r="E25" s="4">
        <v>-31497448.4754685</v>
      </c>
      <c r="F25" s="4">
        <v>-6432712.118354576</v>
      </c>
      <c r="G25" s="4">
        <v>-1055153.4049292724</v>
      </c>
      <c r="H25" s="4">
        <v>-1503039.0700360285</v>
      </c>
      <c r="I25" s="4">
        <v>-324758.8009975666</v>
      </c>
      <c r="J25" s="4">
        <v>-55870.8703783626</v>
      </c>
      <c r="K25" s="4">
        <v>-28544.610432434616</v>
      </c>
      <c r="L25" s="4">
        <v>-4987558.2420994975</v>
      </c>
      <c r="M25" s="4">
        <v>-27703.53710221929</v>
      </c>
    </row>
    <row r="26" spans="1:13" ht="13.5" thickBot="1">
      <c r="A26" s="13">
        <f t="shared" si="0"/>
        <v>18</v>
      </c>
      <c r="B26" s="5" t="s">
        <v>31</v>
      </c>
      <c r="C26" s="6">
        <f>SUM(C21:C25)</f>
        <v>387390098.35962147</v>
      </c>
      <c r="D26" s="6">
        <f aca="true" t="shared" si="3" ref="D26:M26">SUM(D21:D25)</f>
        <v>260731452.2702818</v>
      </c>
      <c r="E26" s="6">
        <f t="shared" si="3"/>
        <v>47330834.19024691</v>
      </c>
      <c r="F26" s="6">
        <f t="shared" si="3"/>
        <v>28822733.172656007</v>
      </c>
      <c r="G26" s="6">
        <f t="shared" si="3"/>
        <v>6345162.366945643</v>
      </c>
      <c r="H26" s="6">
        <f t="shared" si="3"/>
        <v>10887155.423463654</v>
      </c>
      <c r="I26" s="6">
        <f t="shared" si="3"/>
        <v>2623606.0666551297</v>
      </c>
      <c r="J26" s="6">
        <f t="shared" si="3"/>
        <v>555619.5132933958</v>
      </c>
      <c r="K26" s="6">
        <f t="shared" si="3"/>
        <v>270302.03411894</v>
      </c>
      <c r="L26" s="6">
        <f t="shared" si="3"/>
        <v>29605124.41772883</v>
      </c>
      <c r="M26" s="6">
        <f t="shared" si="3"/>
        <v>218108.90423111882</v>
      </c>
    </row>
    <row r="27" ht="13.5" thickTop="1"/>
  </sheetData>
  <sheetProtection/>
  <mergeCells count="3">
    <mergeCell ref="A1:L1"/>
    <mergeCell ref="A2:L2"/>
    <mergeCell ref="A3:L3"/>
  </mergeCells>
  <printOptions horizontalCentered="1"/>
  <pageMargins left="0.25" right="0.25" top="0.58" bottom="0.72" header="0.22" footer="0.46"/>
  <pageSetup fitToHeight="7" horizontalDpi="300" verticalDpi="300" orientation="landscape" pageOrder="overThenDown" scale="55" r:id="rId1"/>
  <headerFooter alignWithMargins="0">
    <oddHeader>&amp;RDocket No. UE-111048
ECOS Model
Page &amp;P of &amp;N
Compliance Filing, Advice No. 2012-10</oddHeader>
    <oddFooter>&amp;RCOS Reports
&amp;A
Page 7 of 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showGridLines="0" zoomScalePageLayoutView="0" workbookViewId="0" topLeftCell="A1">
      <selection activeCell="E287" sqref="E287"/>
    </sheetView>
  </sheetViews>
  <sheetFormatPr defaultColWidth="9.140625" defaultRowHeight="12.75"/>
  <cols>
    <col min="1" max="1" width="5.00390625" style="3" bestFit="1" customWidth="1"/>
    <col min="2" max="2" width="7.421875" style="3" bestFit="1" customWidth="1"/>
    <col min="3" max="3" width="47.8515625" style="3" bestFit="1" customWidth="1"/>
    <col min="4" max="4" width="19.8515625" style="3" bestFit="1" customWidth="1"/>
    <col min="5" max="6" width="15.00390625" style="3" bestFit="1" customWidth="1"/>
    <col min="7" max="7" width="13.421875" style="3" bestFit="1" customWidth="1"/>
    <col min="8" max="8" width="16.57421875" style="3" bestFit="1" customWidth="1"/>
    <col min="9" max="10" width="13.421875" style="3" bestFit="1" customWidth="1"/>
    <col min="11" max="12" width="12.57421875" style="3" bestFit="1" customWidth="1"/>
    <col min="13" max="13" width="15.7109375" style="3" bestFit="1" customWidth="1"/>
    <col min="14" max="14" width="12.28125" style="3" bestFit="1" customWidth="1"/>
    <col min="15" max="15" width="13.140625" style="3" bestFit="1" customWidth="1"/>
    <col min="16" max="16384" width="9.140625" style="3" customWidth="1"/>
  </cols>
  <sheetData>
    <row r="1" spans="2:4" ht="12.75">
      <c r="B1" s="88" t="s">
        <v>91</v>
      </c>
      <c r="C1" s="88"/>
      <c r="D1" s="88"/>
    </row>
    <row r="2" spans="2:4" ht="12.75">
      <c r="B2" s="89" t="s">
        <v>198</v>
      </c>
      <c r="C2" s="89"/>
      <c r="D2" s="89"/>
    </row>
    <row r="4" spans="1:15" s="14" customFormat="1" ht="38.25">
      <c r="A4" s="2" t="s">
        <v>2</v>
      </c>
      <c r="B4" s="2" t="s">
        <v>92</v>
      </c>
      <c r="C4" s="15" t="s">
        <v>93</v>
      </c>
      <c r="D4" s="15" t="s">
        <v>94</v>
      </c>
      <c r="E4" s="2" t="s">
        <v>66</v>
      </c>
      <c r="F4" s="2" t="str">
        <f>+#REF!</f>
        <v>Residential
Sch 7</v>
      </c>
      <c r="G4" s="2" t="str">
        <f>+#REF!</f>
        <v>Sec Volt
Sch 24
(kW&lt; 50)</v>
      </c>
      <c r="H4" s="2" t="str">
        <f>+#REF!</f>
        <v>Sec Volt
Sch 25
(kW &gt; 50 &amp; &lt; 350)</v>
      </c>
      <c r="I4" s="2" t="str">
        <f>+#REF!</f>
        <v>Sec Volt
Sch 26
(kW &gt; 350)</v>
      </c>
      <c r="J4" s="2" t="str">
        <f>+#REF!</f>
        <v>Pri Volt
Sch 31/35/43</v>
      </c>
      <c r="K4" s="2" t="str">
        <f>+#REF!</f>
        <v>Campus
Sch 40</v>
      </c>
      <c r="L4" s="2" t="str">
        <f>+#REF!</f>
        <v>High Volt
Sch 46/49</v>
      </c>
      <c r="M4" s="2" t="str">
        <f>+#REF!</f>
        <v>Choice /
Retail Wheeling
Sch 448/449</v>
      </c>
      <c r="N4" s="2" t="str">
        <f>+#REF!</f>
        <v>Lighting
Sch 50-59</v>
      </c>
      <c r="O4" s="2" t="str">
        <f>+#REF!</f>
        <v>Firm Resale /
Special Contract</v>
      </c>
    </row>
    <row r="5" spans="2:15" s="14" customFormat="1" ht="12.75">
      <c r="B5" s="14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76</v>
      </c>
      <c r="H5" s="14" t="s">
        <v>20</v>
      </c>
      <c r="I5" s="14" t="s">
        <v>21</v>
      </c>
      <c r="J5" s="14" t="s">
        <v>77</v>
      </c>
      <c r="K5" s="14" t="s">
        <v>78</v>
      </c>
      <c r="L5" s="14" t="s">
        <v>22</v>
      </c>
      <c r="M5" s="14" t="s">
        <v>23</v>
      </c>
      <c r="N5" s="14" t="s">
        <v>24</v>
      </c>
      <c r="O5" s="14" t="s">
        <v>25</v>
      </c>
    </row>
    <row r="6" spans="1:3" ht="12.75">
      <c r="A6" s="11">
        <v>1</v>
      </c>
      <c r="C6" s="1" t="s">
        <v>211</v>
      </c>
    </row>
    <row r="7" spans="1:15" ht="12.75">
      <c r="A7" s="11">
        <f aca="true" t="shared" si="0" ref="A7:A49">+A6+1</f>
        <v>2</v>
      </c>
      <c r="B7" s="16">
        <v>447</v>
      </c>
      <c r="C7" s="3" t="s">
        <v>212</v>
      </c>
      <c r="D7" s="3" t="s">
        <v>213</v>
      </c>
      <c r="E7" s="4">
        <v>1981957370</v>
      </c>
      <c r="F7" s="4">
        <v>1087695000.7408392</v>
      </c>
      <c r="G7" s="4">
        <v>246497364.61381432</v>
      </c>
      <c r="H7" s="4">
        <v>260640514.56323978</v>
      </c>
      <c r="I7" s="4">
        <v>163406443.32238746</v>
      </c>
      <c r="J7" s="4">
        <v>117140463.8366037</v>
      </c>
      <c r="K7" s="4">
        <v>53102151.746446505</v>
      </c>
      <c r="L7" s="4">
        <v>36542570.06748549</v>
      </c>
      <c r="M7" s="4">
        <v>0</v>
      </c>
      <c r="N7" s="4">
        <v>16932861.109183475</v>
      </c>
      <c r="O7" s="4">
        <v>0</v>
      </c>
    </row>
    <row r="8" spans="1:15" ht="12.75">
      <c r="A8" s="11">
        <f t="shared" si="0"/>
        <v>3</v>
      </c>
      <c r="B8" s="16">
        <v>447.01</v>
      </c>
      <c r="C8" s="3" t="s">
        <v>214</v>
      </c>
      <c r="D8" s="3" t="s">
        <v>215</v>
      </c>
      <c r="E8" s="4">
        <v>6075595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6075595</v>
      </c>
      <c r="N8" s="4">
        <v>0</v>
      </c>
      <c r="O8" s="4">
        <v>0</v>
      </c>
    </row>
    <row r="9" spans="1:15" ht="12.75">
      <c r="A9" s="11">
        <f t="shared" si="0"/>
        <v>4</v>
      </c>
      <c r="B9" s="16">
        <v>447.02</v>
      </c>
      <c r="C9" s="3" t="s">
        <v>216</v>
      </c>
      <c r="D9" s="3" t="s">
        <v>217</v>
      </c>
      <c r="E9" s="4">
        <v>337877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337877</v>
      </c>
    </row>
    <row r="10" spans="1:15" ht="12.75">
      <c r="A10" s="11">
        <f t="shared" si="0"/>
        <v>5</v>
      </c>
      <c r="B10" s="16">
        <v>447.03</v>
      </c>
      <c r="C10" s="3" t="s">
        <v>218</v>
      </c>
      <c r="D10" s="3" t="s">
        <v>219</v>
      </c>
      <c r="E10" s="4">
        <v>-11929320</v>
      </c>
      <c r="F10" s="4">
        <v>-7123035.597103238</v>
      </c>
      <c r="G10" s="4">
        <v>-1395874.117012044</v>
      </c>
      <c r="H10" s="4">
        <v>-1434753.1202711572</v>
      </c>
      <c r="I10" s="4">
        <v>-863808.0724105039</v>
      </c>
      <c r="J10" s="4">
        <v>-640570.0536971138</v>
      </c>
      <c r="K10" s="4">
        <v>-222670.01866577633</v>
      </c>
      <c r="L10" s="4">
        <v>-196641.0164838412</v>
      </c>
      <c r="M10" s="4">
        <v>-51968.00435632579</v>
      </c>
      <c r="N10" s="4">
        <v>0</v>
      </c>
      <c r="O10" s="4">
        <v>0</v>
      </c>
    </row>
    <row r="11" spans="1:15" ht="12.75">
      <c r="A11" s="11">
        <f t="shared" si="0"/>
        <v>6</v>
      </c>
      <c r="B11" s="16">
        <v>447.04</v>
      </c>
      <c r="C11" s="3" t="s">
        <v>220</v>
      </c>
      <c r="D11" s="3" t="s">
        <v>221</v>
      </c>
      <c r="E11" s="4">
        <v>1009892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1009892</v>
      </c>
      <c r="N11" s="4">
        <v>0</v>
      </c>
      <c r="O11" s="4">
        <v>0</v>
      </c>
    </row>
    <row r="12" spans="1:15" ht="12.75">
      <c r="A12" s="11">
        <f t="shared" si="0"/>
        <v>7</v>
      </c>
      <c r="B12" s="16">
        <v>447.05</v>
      </c>
      <c r="C12" s="3" t="s">
        <v>222</v>
      </c>
      <c r="D12" s="3" t="s">
        <v>223</v>
      </c>
      <c r="E12" s="4">
        <v>879870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879870</v>
      </c>
    </row>
    <row r="13" spans="1:15" ht="12.75">
      <c r="A13" s="12">
        <f t="shared" si="0"/>
        <v>8</v>
      </c>
      <c r="B13" s="17"/>
      <c r="C13" s="9" t="s">
        <v>95</v>
      </c>
      <c r="D13" s="9"/>
      <c r="E13" s="10">
        <f aca="true" t="shared" si="1" ref="E13:O13">SUM(E7:E12)</f>
        <v>1978331284</v>
      </c>
      <c r="F13" s="10">
        <f t="shared" si="1"/>
        <v>1080571965.143736</v>
      </c>
      <c r="G13" s="10">
        <f t="shared" si="1"/>
        <v>245101490.49680227</v>
      </c>
      <c r="H13" s="10">
        <f t="shared" si="1"/>
        <v>259205761.44296864</v>
      </c>
      <c r="I13" s="10">
        <f t="shared" si="1"/>
        <v>162542635.24997696</v>
      </c>
      <c r="J13" s="10">
        <f t="shared" si="1"/>
        <v>116499893.78290659</v>
      </c>
      <c r="K13" s="10">
        <f t="shared" si="1"/>
        <v>52879481.72778073</v>
      </c>
      <c r="L13" s="10">
        <f t="shared" si="1"/>
        <v>36345929.051001646</v>
      </c>
      <c r="M13" s="10">
        <f t="shared" si="1"/>
        <v>7033518.995643674</v>
      </c>
      <c r="N13" s="10">
        <f t="shared" si="1"/>
        <v>16932861.109183475</v>
      </c>
      <c r="O13" s="10">
        <f t="shared" si="1"/>
        <v>1217747</v>
      </c>
    </row>
    <row r="14" spans="1:15" ht="12.75">
      <c r="A14" s="11">
        <f t="shared" si="0"/>
        <v>9</v>
      </c>
      <c r="B14" s="16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2.75">
      <c r="A15" s="11">
        <f t="shared" si="0"/>
        <v>10</v>
      </c>
      <c r="B15" s="16"/>
      <c r="C15" s="1" t="s">
        <v>224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.75">
      <c r="A16" s="11">
        <f t="shared" si="0"/>
        <v>11</v>
      </c>
      <c r="B16" s="16">
        <v>447.07</v>
      </c>
      <c r="C16" s="3" t="s">
        <v>225</v>
      </c>
      <c r="D16" s="3" t="s">
        <v>226</v>
      </c>
      <c r="E16" s="4">
        <v>40163723</v>
      </c>
      <c r="F16" s="4">
        <v>21387598.39710267</v>
      </c>
      <c r="G16" s="4">
        <v>4848891.240276103</v>
      </c>
      <c r="H16" s="4">
        <v>5377081.2661389755</v>
      </c>
      <c r="I16" s="4">
        <v>3604048.5262144217</v>
      </c>
      <c r="J16" s="4">
        <v>2484741.4876767867</v>
      </c>
      <c r="K16" s="4">
        <v>1322979.5472769097</v>
      </c>
      <c r="L16" s="4">
        <v>974627.8600819915</v>
      </c>
      <c r="M16" s="4">
        <v>0</v>
      </c>
      <c r="N16" s="4">
        <v>149898.6684755055</v>
      </c>
      <c r="O16" s="4">
        <v>13856.006756641329</v>
      </c>
    </row>
    <row r="17" spans="1:15" ht="12.75">
      <c r="A17" s="12">
        <f t="shared" si="0"/>
        <v>12</v>
      </c>
      <c r="B17" s="17"/>
      <c r="C17" s="9" t="s">
        <v>227</v>
      </c>
      <c r="D17" s="9"/>
      <c r="E17" s="10">
        <f>+E16</f>
        <v>40163723</v>
      </c>
      <c r="F17" s="10">
        <f aca="true" t="shared" si="2" ref="F17:O17">+F16</f>
        <v>21387598.39710267</v>
      </c>
      <c r="G17" s="10">
        <f t="shared" si="2"/>
        <v>4848891.240276103</v>
      </c>
      <c r="H17" s="10">
        <f t="shared" si="2"/>
        <v>5377081.2661389755</v>
      </c>
      <c r="I17" s="10">
        <f t="shared" si="2"/>
        <v>3604048.5262144217</v>
      </c>
      <c r="J17" s="10">
        <f t="shared" si="2"/>
        <v>2484741.4876767867</v>
      </c>
      <c r="K17" s="10">
        <f t="shared" si="2"/>
        <v>1322979.5472769097</v>
      </c>
      <c r="L17" s="10">
        <f t="shared" si="2"/>
        <v>974627.8600819915</v>
      </c>
      <c r="M17" s="10">
        <f t="shared" si="2"/>
        <v>0</v>
      </c>
      <c r="N17" s="10">
        <f t="shared" si="2"/>
        <v>149898.6684755055</v>
      </c>
      <c r="O17" s="10">
        <f t="shared" si="2"/>
        <v>13856.006756641329</v>
      </c>
    </row>
    <row r="18" spans="1:15" ht="12.75">
      <c r="A18" s="11">
        <f t="shared" si="0"/>
        <v>13</v>
      </c>
      <c r="B18" s="16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.75">
      <c r="A19" s="11">
        <f t="shared" si="0"/>
        <v>14</v>
      </c>
      <c r="B19" s="16"/>
      <c r="C19" s="1" t="s">
        <v>228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.75">
      <c r="A20" s="11">
        <f t="shared" si="0"/>
        <v>15</v>
      </c>
      <c r="B20" s="16">
        <v>450.01</v>
      </c>
      <c r="C20" s="3" t="s">
        <v>229</v>
      </c>
      <c r="D20" s="3" t="s">
        <v>230</v>
      </c>
      <c r="E20" s="4">
        <v>3464899</v>
      </c>
      <c r="F20" s="4">
        <v>2835817.1642558123</v>
      </c>
      <c r="G20" s="4">
        <v>380062.1933409437</v>
      </c>
      <c r="H20" s="4">
        <v>145892.2151399438</v>
      </c>
      <c r="I20" s="4">
        <v>46463.17251583388</v>
      </c>
      <c r="J20" s="4">
        <v>24706.11527740242</v>
      </c>
      <c r="K20" s="4">
        <v>3840.1757435681893</v>
      </c>
      <c r="L20" s="4">
        <v>5824.266544411754</v>
      </c>
      <c r="M20" s="4">
        <v>18641.591583905887</v>
      </c>
      <c r="N20" s="4">
        <v>3652.105598178055</v>
      </c>
      <c r="O20" s="4">
        <v>0</v>
      </c>
    </row>
    <row r="21" spans="1:15" ht="12.75">
      <c r="A21" s="11">
        <f t="shared" si="0"/>
        <v>16</v>
      </c>
      <c r="B21" s="16">
        <v>450.02</v>
      </c>
      <c r="C21" s="3" t="s">
        <v>231</v>
      </c>
      <c r="D21" s="3" t="s">
        <v>232</v>
      </c>
      <c r="E21" s="4">
        <v>559117</v>
      </c>
      <c r="F21" s="4">
        <v>492734.50379047246</v>
      </c>
      <c r="G21" s="4">
        <v>63675.238897583884</v>
      </c>
      <c r="H21" s="4">
        <v>2283.3937934070236</v>
      </c>
      <c r="I21" s="4">
        <v>0</v>
      </c>
      <c r="J21" s="4">
        <v>27.346033453976325</v>
      </c>
      <c r="K21" s="4">
        <v>0</v>
      </c>
      <c r="L21" s="4">
        <v>0</v>
      </c>
      <c r="M21" s="4">
        <v>0</v>
      </c>
      <c r="N21" s="4">
        <v>396.5174850826567</v>
      </c>
      <c r="O21" s="4">
        <v>0</v>
      </c>
    </row>
    <row r="22" spans="1:15" ht="12.75">
      <c r="A22" s="11">
        <f t="shared" si="0"/>
        <v>17</v>
      </c>
      <c r="B22" s="16">
        <v>451.01</v>
      </c>
      <c r="C22" s="3" t="s">
        <v>233</v>
      </c>
      <c r="D22" s="3" t="s">
        <v>234</v>
      </c>
      <c r="E22" s="4">
        <v>520439</v>
      </c>
      <c r="F22" s="4">
        <v>461552.0600214452</v>
      </c>
      <c r="G22" s="4">
        <v>54552.39460761044</v>
      </c>
      <c r="H22" s="4">
        <v>3926.6679455604512</v>
      </c>
      <c r="I22" s="4">
        <v>407.87742538390086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</row>
    <row r="23" spans="1:15" ht="12.75">
      <c r="A23" s="11">
        <f t="shared" si="0"/>
        <v>18</v>
      </c>
      <c r="B23" s="16">
        <v>451.02</v>
      </c>
      <c r="C23" s="3" t="s">
        <v>235</v>
      </c>
      <c r="D23" s="3" t="s">
        <v>236</v>
      </c>
      <c r="E23" s="4">
        <v>1648238</v>
      </c>
      <c r="F23" s="4">
        <v>1605630.236011315</v>
      </c>
      <c r="G23" s="4">
        <v>41032.224451760856</v>
      </c>
      <c r="H23" s="4">
        <v>1551.4701869011597</v>
      </c>
      <c r="I23" s="4">
        <v>24.06935002303027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</row>
    <row r="24" spans="1:15" ht="12.75">
      <c r="A24" s="11">
        <f t="shared" si="0"/>
        <v>19</v>
      </c>
      <c r="B24" s="16">
        <v>451.03</v>
      </c>
      <c r="C24" s="3" t="s">
        <v>237</v>
      </c>
      <c r="D24" s="3" t="s">
        <v>234</v>
      </c>
      <c r="E24" s="4">
        <v>477492</v>
      </c>
      <c r="F24" s="4">
        <v>423464.45259436726</v>
      </c>
      <c r="G24" s="4">
        <v>50050.69183127538</v>
      </c>
      <c r="H24" s="4">
        <v>3602.6364870072207</v>
      </c>
      <c r="I24" s="4">
        <v>374.2190873501209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</row>
    <row r="25" spans="1:15" ht="12.75">
      <c r="A25" s="11">
        <f t="shared" si="0"/>
        <v>20</v>
      </c>
      <c r="B25" s="16">
        <v>451.04</v>
      </c>
      <c r="C25" s="3" t="s">
        <v>238</v>
      </c>
      <c r="D25" s="3" t="s">
        <v>239</v>
      </c>
      <c r="E25" s="4">
        <v>-163</v>
      </c>
      <c r="F25" s="4">
        <v>-163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</row>
    <row r="26" spans="1:15" ht="12.75">
      <c r="A26" s="11">
        <f t="shared" si="0"/>
        <v>21</v>
      </c>
      <c r="B26" s="16">
        <v>451.05</v>
      </c>
      <c r="C26" s="3" t="s">
        <v>240</v>
      </c>
      <c r="D26" s="3" t="s">
        <v>241</v>
      </c>
      <c r="E26" s="4">
        <v>1137787</v>
      </c>
      <c r="F26" s="4">
        <v>1070690.449499488</v>
      </c>
      <c r="G26" s="4">
        <v>64353.843827715194</v>
      </c>
      <c r="H26" s="4">
        <v>2547.3159599590394</v>
      </c>
      <c r="I26" s="4">
        <v>84.7726902259096</v>
      </c>
      <c r="J26" s="4">
        <v>85.80650352134751</v>
      </c>
      <c r="K26" s="4">
        <v>0</v>
      </c>
      <c r="L26" s="4">
        <v>24.811519090510124</v>
      </c>
      <c r="M26" s="4">
        <v>0</v>
      </c>
      <c r="N26" s="4">
        <v>0</v>
      </c>
      <c r="O26" s="4">
        <v>0</v>
      </c>
    </row>
    <row r="27" spans="1:15" ht="12.75">
      <c r="A27" s="11">
        <f t="shared" si="0"/>
        <v>22</v>
      </c>
      <c r="B27" s="16">
        <v>451.06</v>
      </c>
      <c r="C27" s="3" t="s">
        <v>242</v>
      </c>
      <c r="D27" s="3" t="s">
        <v>243</v>
      </c>
      <c r="E27" s="4">
        <v>270062</v>
      </c>
      <c r="F27" s="4">
        <v>258780.93822095532</v>
      </c>
      <c r="G27" s="4">
        <v>9362.513857438438</v>
      </c>
      <c r="H27" s="4">
        <v>594.7498556979335</v>
      </c>
      <c r="I27" s="4">
        <v>19.185479216062376</v>
      </c>
      <c r="J27" s="4">
        <v>57.55643764818713</v>
      </c>
      <c r="K27" s="4">
        <v>0</v>
      </c>
      <c r="L27" s="4">
        <v>0</v>
      </c>
      <c r="M27" s="4">
        <v>0</v>
      </c>
      <c r="N27" s="4">
        <v>1247.0561490440543</v>
      </c>
      <c r="O27" s="4">
        <v>0</v>
      </c>
    </row>
    <row r="28" spans="1:15" ht="12.75">
      <c r="A28" s="11">
        <f t="shared" si="0"/>
        <v>23</v>
      </c>
      <c r="B28" s="16">
        <v>451.07</v>
      </c>
      <c r="C28" s="3" t="s">
        <v>244</v>
      </c>
      <c r="D28" s="3" t="s">
        <v>245</v>
      </c>
      <c r="E28" s="4">
        <v>2978480</v>
      </c>
      <c r="F28" s="4">
        <v>2032467.7424978933</v>
      </c>
      <c r="G28" s="4">
        <v>876385.4914966958</v>
      </c>
      <c r="H28" s="4">
        <v>63082.007056411334</v>
      </c>
      <c r="I28" s="4">
        <v>6544.7589489993115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</row>
    <row r="29" spans="1:15" ht="12.75">
      <c r="A29" s="11">
        <f t="shared" si="0"/>
        <v>24</v>
      </c>
      <c r="B29" s="16">
        <v>451.08</v>
      </c>
      <c r="C29" s="3" t="s">
        <v>246</v>
      </c>
      <c r="D29" s="3" t="s">
        <v>234</v>
      </c>
      <c r="E29" s="4">
        <v>-42311</v>
      </c>
      <c r="F29" s="4">
        <v>-37523.56993147587</v>
      </c>
      <c r="G29" s="4">
        <v>-4435.037282453093</v>
      </c>
      <c r="H29" s="4">
        <v>-319.2328927013699</v>
      </c>
      <c r="I29" s="4">
        <v>-33.159893369671046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</row>
    <row r="30" spans="1:15" ht="12.75">
      <c r="A30" s="11">
        <f t="shared" si="0"/>
        <v>25</v>
      </c>
      <c r="B30" s="16">
        <v>454.01</v>
      </c>
      <c r="C30" s="3" t="s">
        <v>247</v>
      </c>
      <c r="D30" s="3" t="s">
        <v>248</v>
      </c>
      <c r="E30" s="4">
        <v>38165</v>
      </c>
      <c r="F30" s="4">
        <v>20323.257702614454</v>
      </c>
      <c r="G30" s="4">
        <v>4607.589146681881</v>
      </c>
      <c r="H30" s="4">
        <v>5109.494120407961</v>
      </c>
      <c r="I30" s="4">
        <v>3424.695265500497</v>
      </c>
      <c r="J30" s="4">
        <v>2361.0898540751455</v>
      </c>
      <c r="K30" s="4">
        <v>1257.142282896017</v>
      </c>
      <c r="L30" s="4">
        <v>926.1261034000561</v>
      </c>
      <c r="M30" s="4">
        <v>0</v>
      </c>
      <c r="N30" s="4">
        <v>142.43905333097896</v>
      </c>
      <c r="O30" s="4">
        <v>13.166471093011381</v>
      </c>
    </row>
    <row r="31" spans="1:15" ht="12.75">
      <c r="A31" s="11">
        <f t="shared" si="0"/>
        <v>26</v>
      </c>
      <c r="B31" s="16">
        <v>454.02</v>
      </c>
      <c r="C31" s="3" t="s">
        <v>249</v>
      </c>
      <c r="D31" s="3" t="s">
        <v>250</v>
      </c>
      <c r="E31" s="4">
        <v>5875055</v>
      </c>
      <c r="F31" s="4">
        <v>3614879.5982600423</v>
      </c>
      <c r="G31" s="4">
        <v>678852.0746771194</v>
      </c>
      <c r="H31" s="4">
        <v>612311.5122789957</v>
      </c>
      <c r="I31" s="4">
        <v>318752.7272023205</v>
      </c>
      <c r="J31" s="4">
        <v>311191.92000458157</v>
      </c>
      <c r="K31" s="4">
        <v>78292.24115829216</v>
      </c>
      <c r="L31" s="4">
        <v>48331.28018543971</v>
      </c>
      <c r="M31" s="4">
        <v>165484.0116929769</v>
      </c>
      <c r="N31" s="4">
        <v>26885.743191620702</v>
      </c>
      <c r="O31" s="4">
        <v>20073.89134861186</v>
      </c>
    </row>
    <row r="32" spans="1:15" ht="12.75">
      <c r="A32" s="11">
        <f t="shared" si="0"/>
        <v>27</v>
      </c>
      <c r="B32" s="16">
        <v>454.03</v>
      </c>
      <c r="C32" s="3" t="s">
        <v>251</v>
      </c>
      <c r="D32" s="3" t="s">
        <v>250</v>
      </c>
      <c r="E32" s="4">
        <v>3646743</v>
      </c>
      <c r="F32" s="4">
        <v>2243815.057186294</v>
      </c>
      <c r="G32" s="4">
        <v>421374.6171506926</v>
      </c>
      <c r="H32" s="4">
        <v>380071.7986849215</v>
      </c>
      <c r="I32" s="4">
        <v>197855.04589420385</v>
      </c>
      <c r="J32" s="4">
        <v>193161.92885569035</v>
      </c>
      <c r="K32" s="4">
        <v>48597.27822093816</v>
      </c>
      <c r="L32" s="4">
        <v>30000.018331282175</v>
      </c>
      <c r="M32" s="4">
        <v>102718.64029413878</v>
      </c>
      <c r="N32" s="4">
        <v>16688.42177372645</v>
      </c>
      <c r="O32" s="4">
        <v>12460.193608112751</v>
      </c>
    </row>
    <row r="33" spans="1:15" ht="12.75">
      <c r="A33" s="11">
        <f t="shared" si="0"/>
        <v>28</v>
      </c>
      <c r="B33" s="16">
        <v>454.04</v>
      </c>
      <c r="C33" s="3" t="s">
        <v>252</v>
      </c>
      <c r="D33" s="3" t="s">
        <v>253</v>
      </c>
      <c r="E33" s="4">
        <v>673570</v>
      </c>
      <c r="F33" s="4">
        <v>388305.3976783204</v>
      </c>
      <c r="G33" s="4">
        <v>81178.20308912938</v>
      </c>
      <c r="H33" s="4">
        <v>78449.21430457689</v>
      </c>
      <c r="I33" s="4">
        <v>46634.512978931234</v>
      </c>
      <c r="J33" s="4">
        <v>36481.55634943473</v>
      </c>
      <c r="K33" s="4">
        <v>16544.752496005392</v>
      </c>
      <c r="L33" s="4">
        <v>10780.481017243712</v>
      </c>
      <c r="M33" s="4">
        <v>6423.441591866783</v>
      </c>
      <c r="N33" s="4">
        <v>7881.019813072249</v>
      </c>
      <c r="O33" s="4">
        <v>891.4206814192112</v>
      </c>
    </row>
    <row r="34" spans="1:15" ht="12.75">
      <c r="A34" s="11">
        <f t="shared" si="0"/>
        <v>29</v>
      </c>
      <c r="B34" s="16">
        <v>454.05</v>
      </c>
      <c r="C34" s="3" t="s">
        <v>254</v>
      </c>
      <c r="D34" s="3" t="s">
        <v>255</v>
      </c>
      <c r="E34" s="4">
        <v>3939609</v>
      </c>
      <c r="F34" s="4">
        <v>0</v>
      </c>
      <c r="G34" s="4">
        <v>38.62981248393475</v>
      </c>
      <c r="H34" s="4">
        <v>7624.7891783766445</v>
      </c>
      <c r="I34" s="4">
        <v>0</v>
      </c>
      <c r="J34" s="4">
        <v>462690.41854120867</v>
      </c>
      <c r="K34" s="4">
        <v>68715.99810683927</v>
      </c>
      <c r="L34" s="4">
        <v>2551682.1462944685</v>
      </c>
      <c r="M34" s="4">
        <v>845708.6883491821</v>
      </c>
      <c r="N34" s="4">
        <v>0</v>
      </c>
      <c r="O34" s="4">
        <v>3148.329717440682</v>
      </c>
    </row>
    <row r="35" spans="1:15" ht="12.75">
      <c r="A35" s="11">
        <f t="shared" si="0"/>
        <v>30</v>
      </c>
      <c r="B35" s="16">
        <v>454.06</v>
      </c>
      <c r="C35" s="3" t="s">
        <v>256</v>
      </c>
      <c r="D35" s="3" t="s">
        <v>257</v>
      </c>
      <c r="E35" s="4">
        <v>60351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60351</v>
      </c>
      <c r="O35" s="4">
        <v>0</v>
      </c>
    </row>
    <row r="36" spans="1:15" ht="12.75">
      <c r="A36" s="11">
        <f t="shared" si="0"/>
        <v>31</v>
      </c>
      <c r="B36" s="16">
        <v>456.01</v>
      </c>
      <c r="C36" s="3" t="s">
        <v>258</v>
      </c>
      <c r="D36" s="3" t="s">
        <v>226</v>
      </c>
      <c r="E36" s="4">
        <v>10196039.680000002</v>
      </c>
      <c r="F36" s="4">
        <v>5429496.710670056</v>
      </c>
      <c r="G36" s="4">
        <v>1230948.82139934</v>
      </c>
      <c r="H36" s="4">
        <v>1365036.1534496602</v>
      </c>
      <c r="I36" s="4">
        <v>914930.664717705</v>
      </c>
      <c r="J36" s="4">
        <v>630781.2351682326</v>
      </c>
      <c r="K36" s="4">
        <v>335854.1228825776</v>
      </c>
      <c r="L36" s="4">
        <v>247420.89608150808</v>
      </c>
      <c r="M36" s="4">
        <v>0</v>
      </c>
      <c r="N36" s="4">
        <v>38053.56320566745</v>
      </c>
      <c r="O36" s="4">
        <v>3517.512425256571</v>
      </c>
    </row>
    <row r="37" spans="1:15" ht="12.75">
      <c r="A37" s="11">
        <f t="shared" si="0"/>
        <v>32</v>
      </c>
      <c r="B37" s="16">
        <v>456.02</v>
      </c>
      <c r="C37" s="3" t="s">
        <v>259</v>
      </c>
      <c r="D37" s="3" t="s">
        <v>260</v>
      </c>
      <c r="E37" s="4">
        <v>24865</v>
      </c>
      <c r="F37" s="4">
        <v>15559.954007461032</v>
      </c>
      <c r="G37" s="4">
        <v>3005.015861490391</v>
      </c>
      <c r="H37" s="4">
        <v>2449.9295739498853</v>
      </c>
      <c r="I37" s="4">
        <v>1188.5913220341345</v>
      </c>
      <c r="J37" s="4">
        <v>1149.74380465617</v>
      </c>
      <c r="K37" s="4">
        <v>392.55438913583976</v>
      </c>
      <c r="L37" s="4">
        <v>181.82413143605564</v>
      </c>
      <c r="M37" s="4">
        <v>383.89201932540146</v>
      </c>
      <c r="N37" s="4">
        <v>502.54634423232017</v>
      </c>
      <c r="O37" s="4">
        <v>50.94854627876893</v>
      </c>
    </row>
    <row r="38" spans="1:15" ht="12.75">
      <c r="A38" s="11">
        <f t="shared" si="0"/>
        <v>33</v>
      </c>
      <c r="B38" s="16">
        <v>456.03</v>
      </c>
      <c r="C38" s="3" t="s">
        <v>261</v>
      </c>
      <c r="D38" s="3" t="s">
        <v>262</v>
      </c>
      <c r="E38" s="4">
        <v>210539</v>
      </c>
      <c r="F38" s="4">
        <v>135737.56580599683</v>
      </c>
      <c r="G38" s="4">
        <v>24156.101716101068</v>
      </c>
      <c r="H38" s="4">
        <v>21639.873082217116</v>
      </c>
      <c r="I38" s="4">
        <v>10394.889700816413</v>
      </c>
      <c r="J38" s="4">
        <v>10303.569274165897</v>
      </c>
      <c r="K38" s="4">
        <v>3417.244729957031</v>
      </c>
      <c r="L38" s="4">
        <v>886.3558550086143</v>
      </c>
      <c r="M38" s="4">
        <v>2488.585722380888</v>
      </c>
      <c r="N38" s="4">
        <v>1142.888455556632</v>
      </c>
      <c r="O38" s="4">
        <v>371.92565779950496</v>
      </c>
    </row>
    <row r="39" spans="1:15" ht="12.75">
      <c r="A39" s="11">
        <f t="shared" si="0"/>
        <v>34</v>
      </c>
      <c r="B39" s="16">
        <v>456.04</v>
      </c>
      <c r="C39" s="3" t="s">
        <v>263</v>
      </c>
      <c r="D39" s="3" t="s">
        <v>264</v>
      </c>
      <c r="E39" s="4">
        <v>1026108</v>
      </c>
      <c r="F39" s="4">
        <v>630187.4946677948</v>
      </c>
      <c r="G39" s="4">
        <v>122403.7194536393</v>
      </c>
      <c r="H39" s="4">
        <v>104736.32259171634</v>
      </c>
      <c r="I39" s="4">
        <v>61647.31698095967</v>
      </c>
      <c r="J39" s="4">
        <v>47925.988361456926</v>
      </c>
      <c r="K39" s="4">
        <v>23263.7728788655</v>
      </c>
      <c r="L39" s="4">
        <v>14832.506624544389</v>
      </c>
      <c r="M39" s="4">
        <v>8424.102806246403</v>
      </c>
      <c r="N39" s="4">
        <v>11475.877546498838</v>
      </c>
      <c r="O39" s="4">
        <v>1210.8980882781989</v>
      </c>
    </row>
    <row r="40" spans="1:15" ht="12.75">
      <c r="A40" s="11">
        <f t="shared" si="0"/>
        <v>35</v>
      </c>
      <c r="B40" s="16">
        <v>456.05</v>
      </c>
      <c r="C40" s="3" t="s">
        <v>265</v>
      </c>
      <c r="D40" s="3" t="s">
        <v>250</v>
      </c>
      <c r="E40" s="4">
        <v>313300</v>
      </c>
      <c r="F40" s="4">
        <v>192771.26395154957</v>
      </c>
      <c r="G40" s="4">
        <v>36201.25343445151</v>
      </c>
      <c r="H40" s="4">
        <v>32652.834194234667</v>
      </c>
      <c r="I40" s="4">
        <v>16998.17779280143</v>
      </c>
      <c r="J40" s="4">
        <v>16594.98141505661</v>
      </c>
      <c r="K40" s="4">
        <v>4175.102897741883</v>
      </c>
      <c r="L40" s="4">
        <v>2577.3699279578254</v>
      </c>
      <c r="M40" s="4">
        <v>8824.79242550234</v>
      </c>
      <c r="N40" s="4">
        <v>1433.7403380793485</v>
      </c>
      <c r="O40" s="4">
        <v>1070.483622624826</v>
      </c>
    </row>
    <row r="41" spans="1:15" ht="12.75">
      <c r="A41" s="11">
        <f t="shared" si="0"/>
        <v>36</v>
      </c>
      <c r="B41" s="16">
        <v>456.06</v>
      </c>
      <c r="C41" s="3" t="s">
        <v>266</v>
      </c>
      <c r="D41" s="3" t="s">
        <v>248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</row>
    <row r="42" spans="1:15" ht="12.75">
      <c r="A42" s="11">
        <f t="shared" si="0"/>
        <v>37</v>
      </c>
      <c r="B42" s="16">
        <v>456.07</v>
      </c>
      <c r="C42" s="3" t="s">
        <v>267</v>
      </c>
      <c r="D42" s="3" t="s">
        <v>226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</row>
    <row r="43" spans="1:15" ht="12.75">
      <c r="A43" s="11">
        <f t="shared" si="0"/>
        <v>38</v>
      </c>
      <c r="B43" s="16">
        <v>456.08</v>
      </c>
      <c r="C43" s="3" t="s">
        <v>268</v>
      </c>
      <c r="D43" s="3" t="s">
        <v>248</v>
      </c>
      <c r="E43" s="4">
        <v>16182</v>
      </c>
      <c r="F43" s="4">
        <v>8617.082566322733</v>
      </c>
      <c r="G43" s="4">
        <v>1953.622627318386</v>
      </c>
      <c r="H43" s="4">
        <v>2166.430862215161</v>
      </c>
      <c r="I43" s="4">
        <v>1452.0743819292293</v>
      </c>
      <c r="J43" s="4">
        <v>1001.1045727405739</v>
      </c>
      <c r="K43" s="4">
        <v>533.0296455344777</v>
      </c>
      <c r="L43" s="4">
        <v>392.6784384965205</v>
      </c>
      <c r="M43" s="4">
        <v>0</v>
      </c>
      <c r="N43" s="4">
        <v>60.39430789995812</v>
      </c>
      <c r="O43" s="4">
        <v>5.582597542961094</v>
      </c>
    </row>
    <row r="44" spans="1:15" ht="12.75">
      <c r="A44" s="11">
        <f t="shared" si="0"/>
        <v>39</v>
      </c>
      <c r="B44" s="16">
        <v>456.09</v>
      </c>
      <c r="C44" s="3" t="s">
        <v>269</v>
      </c>
      <c r="D44" s="3" t="s">
        <v>248</v>
      </c>
      <c r="E44" s="4">
        <v>500</v>
      </c>
      <c r="F44" s="4">
        <v>266.2551775529209</v>
      </c>
      <c r="G44" s="4">
        <v>60.364065854603446</v>
      </c>
      <c r="H44" s="4">
        <v>66.939527320948</v>
      </c>
      <c r="I44" s="4">
        <v>44.86696273418704</v>
      </c>
      <c r="J44" s="4">
        <v>30.932658903119943</v>
      </c>
      <c r="K44" s="4">
        <v>16.46983208300821</v>
      </c>
      <c r="L44" s="4">
        <v>12.133186209878895</v>
      </c>
      <c r="M44" s="4">
        <v>0</v>
      </c>
      <c r="N44" s="4">
        <v>1.8660952879729984</v>
      </c>
      <c r="O44" s="4">
        <v>0.17249405336055784</v>
      </c>
    </row>
    <row r="45" spans="1:15" ht="12.75">
      <c r="A45" s="11">
        <f t="shared" si="0"/>
        <v>40</v>
      </c>
      <c r="B45" s="16">
        <v>456.1</v>
      </c>
      <c r="C45" s="3" t="s">
        <v>270</v>
      </c>
      <c r="D45" s="3" t="s">
        <v>271</v>
      </c>
      <c r="E45" s="4">
        <v>-6464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-6464</v>
      </c>
      <c r="O45" s="4">
        <v>0</v>
      </c>
    </row>
    <row r="46" spans="1:15" ht="12.75">
      <c r="A46" s="11">
        <f t="shared" si="0"/>
        <v>41</v>
      </c>
      <c r="B46" s="16">
        <v>456.11</v>
      </c>
      <c r="C46" s="3" t="s">
        <v>272</v>
      </c>
      <c r="D46" s="3" t="s">
        <v>234</v>
      </c>
      <c r="E46" s="4">
        <v>-24</v>
      </c>
      <c r="F46" s="4">
        <v>-21.28443379630405</v>
      </c>
      <c r="G46" s="4">
        <v>-2.5156790144140824</v>
      </c>
      <c r="H46" s="4">
        <v>-0.1810779566739826</v>
      </c>
      <c r="I46" s="4">
        <v>-0.018809232607882233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</row>
    <row r="47" spans="1:15" ht="12.75">
      <c r="A47" s="11">
        <f t="shared" si="0"/>
        <v>42</v>
      </c>
      <c r="B47" s="16">
        <v>456.12</v>
      </c>
      <c r="C47" s="3" t="s">
        <v>273</v>
      </c>
      <c r="D47" s="3" t="s">
        <v>226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</row>
    <row r="48" spans="1:15" ht="12.75">
      <c r="A48" s="11">
        <f t="shared" si="0"/>
        <v>43</v>
      </c>
      <c r="B48" s="16">
        <v>456.13</v>
      </c>
      <c r="C48" s="3" t="s">
        <v>274</v>
      </c>
      <c r="D48" s="3" t="s">
        <v>226</v>
      </c>
      <c r="E48" s="4">
        <v>16513</v>
      </c>
      <c r="F48" s="4">
        <v>8793.343493862765</v>
      </c>
      <c r="G48" s="4">
        <v>1993.5836389141336</v>
      </c>
      <c r="H48" s="4">
        <v>2210.7448293016287</v>
      </c>
      <c r="I48" s="4">
        <v>1481.7763112592613</v>
      </c>
      <c r="J48" s="4">
        <v>1021.5819929344394</v>
      </c>
      <c r="K48" s="4">
        <v>543.9326743734292</v>
      </c>
      <c r="L48" s="4">
        <v>400.7106077674604</v>
      </c>
      <c r="M48" s="4">
        <v>0</v>
      </c>
      <c r="N48" s="4">
        <v>61.62966298059625</v>
      </c>
      <c r="O48" s="4">
        <v>5.696788606285784</v>
      </c>
    </row>
    <row r="49" spans="1:15" ht="12.75">
      <c r="A49" s="11">
        <f t="shared" si="0"/>
        <v>44</v>
      </c>
      <c r="B49" s="16">
        <v>456.14</v>
      </c>
      <c r="C49" s="3" t="s">
        <v>275</v>
      </c>
      <c r="D49" s="3" t="s">
        <v>276</v>
      </c>
      <c r="E49" s="4">
        <v>1975116.05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1936015.0490101594</v>
      </c>
      <c r="N49" s="4">
        <v>0</v>
      </c>
      <c r="O49" s="4">
        <v>39101.00098984059</v>
      </c>
    </row>
    <row r="50" spans="1:15" ht="12.75">
      <c r="A50" s="12">
        <f>+A49+1</f>
        <v>45</v>
      </c>
      <c r="B50" s="17"/>
      <c r="C50" s="9" t="s">
        <v>277</v>
      </c>
      <c r="D50" s="9"/>
      <c r="E50" s="10">
        <f aca="true" t="shared" si="3" ref="E50:O50">SUM(E20:E49)</f>
        <v>39020207.73</v>
      </c>
      <c r="F50" s="10">
        <f t="shared" si="3"/>
        <v>21832182.67369435</v>
      </c>
      <c r="G50" s="10">
        <f t="shared" si="3"/>
        <v>4141810.6354227727</v>
      </c>
      <c r="H50" s="10">
        <f t="shared" si="3"/>
        <v>2837687.079132125</v>
      </c>
      <c r="I50" s="10">
        <f t="shared" si="3"/>
        <v>1628690.2163056252</v>
      </c>
      <c r="J50" s="10">
        <f t="shared" si="3"/>
        <v>1739572.8751051628</v>
      </c>
      <c r="K50" s="10">
        <f t="shared" si="3"/>
        <v>585443.8179388078</v>
      </c>
      <c r="L50" s="10">
        <f t="shared" si="3"/>
        <v>2914273.604848265</v>
      </c>
      <c r="M50" s="10">
        <f t="shared" si="3"/>
        <v>3095112.795495685</v>
      </c>
      <c r="N50" s="10">
        <f t="shared" si="3"/>
        <v>163512.80902025825</v>
      </c>
      <c r="O50" s="10">
        <f t="shared" si="3"/>
        <v>81921.22303695859</v>
      </c>
    </row>
    <row r="51" spans="1:15" ht="12.75">
      <c r="A51" s="11">
        <f>+A50+1</f>
        <v>46</v>
      </c>
      <c r="B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3.5" thickBot="1">
      <c r="A52" s="13">
        <f>+A51+1</f>
        <v>47</v>
      </c>
      <c r="B52" s="18"/>
      <c r="C52" s="5" t="s">
        <v>278</v>
      </c>
      <c r="D52" s="5"/>
      <c r="E52" s="6">
        <f aca="true" t="shared" si="4" ref="E52:O52">SUM(E50,E17,E13)</f>
        <v>2057515214.73</v>
      </c>
      <c r="F52" s="6">
        <f t="shared" si="4"/>
        <v>1123791746.2145329</v>
      </c>
      <c r="G52" s="6">
        <f t="shared" si="4"/>
        <v>254092192.37250113</v>
      </c>
      <c r="H52" s="6">
        <f t="shared" si="4"/>
        <v>267420529.78823975</v>
      </c>
      <c r="I52" s="6">
        <f t="shared" si="4"/>
        <v>167775373.992497</v>
      </c>
      <c r="J52" s="6">
        <f t="shared" si="4"/>
        <v>120724208.14568853</v>
      </c>
      <c r="K52" s="6">
        <f t="shared" si="4"/>
        <v>54787905.09299645</v>
      </c>
      <c r="L52" s="6">
        <f t="shared" si="4"/>
        <v>40234830.515931904</v>
      </c>
      <c r="M52" s="6">
        <f t="shared" si="4"/>
        <v>10128631.79113936</v>
      </c>
      <c r="N52" s="6">
        <f t="shared" si="4"/>
        <v>17246272.58667924</v>
      </c>
      <c r="O52" s="6">
        <f t="shared" si="4"/>
        <v>1313524.2297935998</v>
      </c>
    </row>
    <row r="53" spans="1:15" ht="13.5" thickTop="1">
      <c r="A53" s="11"/>
      <c r="B53" s="16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2.75">
      <c r="A54" s="11"/>
      <c r="B54" s="16"/>
      <c r="E54" s="4">
        <v>2057515214.73</v>
      </c>
      <c r="F54" s="4"/>
      <c r="G54" s="4"/>
      <c r="H54" s="4"/>
      <c r="I54" s="4"/>
      <c r="J54" s="4"/>
      <c r="K54" s="4"/>
      <c r="L54" s="4"/>
      <c r="M54" s="4"/>
      <c r="N54" s="4"/>
      <c r="O54" s="4"/>
    </row>
  </sheetData>
  <sheetProtection/>
  <mergeCells count="2">
    <mergeCell ref="B1:D1"/>
    <mergeCell ref="B2:D2"/>
  </mergeCells>
  <printOptions horizontalCentered="1"/>
  <pageMargins left="0.25" right="0.25" top="1" bottom="0.72" header="0.5" footer="0.46"/>
  <pageSetup horizontalDpi="600" verticalDpi="600" orientation="landscape" pageOrder="overThenDown" scale="55" r:id="rId1"/>
  <headerFooter alignWithMargins="0">
    <oddHeader>&amp;CPuget Sound Energy
ELECTRIC COST OF SERVICE
Revenue Detail
Adjusted Test Year Twelve Months ended December 2010 @ Proforma Rev Requirement&amp;RDocket No. UE-111048
ECOS Model
Page &amp;P of &amp;N
Compliance Filing, Advice No. 2012-10</oddHeader>
    <oddFooter>&amp;RCOS Reports
&amp;A
Page 8 of 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43"/>
  <sheetViews>
    <sheetView showGridLines="0" zoomScalePageLayoutView="0" workbookViewId="0" topLeftCell="A1">
      <selection activeCell="E287" sqref="E287"/>
    </sheetView>
  </sheetViews>
  <sheetFormatPr defaultColWidth="9.140625" defaultRowHeight="12.75"/>
  <cols>
    <col min="1" max="1" width="5.00390625" style="3" bestFit="1" customWidth="1"/>
    <col min="2" max="2" width="9.8515625" style="3" bestFit="1" customWidth="1"/>
    <col min="3" max="3" width="48.00390625" style="3" bestFit="1" customWidth="1"/>
    <col min="4" max="4" width="14.28125" style="3" bestFit="1" customWidth="1"/>
    <col min="5" max="5" width="17.7109375" style="3" bestFit="1" customWidth="1"/>
    <col min="6" max="6" width="16.57421875" style="3" bestFit="1" customWidth="1"/>
    <col min="7" max="7" width="16.00390625" style="3" bestFit="1" customWidth="1"/>
    <col min="8" max="8" width="16.7109375" style="3" bestFit="1" customWidth="1"/>
    <col min="9" max="9" width="16.00390625" style="3" bestFit="1" customWidth="1"/>
    <col min="10" max="10" width="15.57421875" style="3" bestFit="1" customWidth="1"/>
    <col min="11" max="12" width="15.00390625" style="3" bestFit="1" customWidth="1"/>
    <col min="13" max="13" width="15.8515625" style="3" bestFit="1" customWidth="1"/>
    <col min="14" max="14" width="15.00390625" style="3" bestFit="1" customWidth="1"/>
    <col min="15" max="15" width="15.28125" style="3" customWidth="1"/>
    <col min="16" max="16384" width="9.140625" style="3" customWidth="1"/>
  </cols>
  <sheetData>
    <row r="1" spans="2:15" ht="12.75">
      <c r="B1" s="88" t="s">
        <v>91</v>
      </c>
      <c r="C1" s="88"/>
      <c r="D1" s="88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7" ht="12.75">
      <c r="B2" s="88" t="s">
        <v>198</v>
      </c>
      <c r="C2" s="88"/>
      <c r="D2" s="88"/>
      <c r="E2" s="88"/>
      <c r="F2" s="88"/>
      <c r="G2" s="88"/>
    </row>
    <row r="4" spans="1:15" s="14" customFormat="1" ht="38.25">
      <c r="A4" s="2" t="s">
        <v>2</v>
      </c>
      <c r="B4" s="2" t="s">
        <v>92</v>
      </c>
      <c r="C4" s="15" t="s">
        <v>93</v>
      </c>
      <c r="D4" s="15" t="s">
        <v>94</v>
      </c>
      <c r="E4" s="2" t="s">
        <v>66</v>
      </c>
      <c r="F4" s="2" t="str">
        <f>+#REF!</f>
        <v>Residential
Sch 7</v>
      </c>
      <c r="G4" s="2" t="str">
        <f>+#REF!</f>
        <v>Sec Volt
Sch 24
(kW&lt; 50)</v>
      </c>
      <c r="H4" s="2" t="str">
        <f>+#REF!</f>
        <v>Sec Volt
Sch 25
(kW &gt; 50 &amp; &lt; 350)</v>
      </c>
      <c r="I4" s="2" t="str">
        <f>+#REF!</f>
        <v>Sec Volt
Sch 26
(kW &gt; 350)</v>
      </c>
      <c r="J4" s="2" t="str">
        <f>+#REF!</f>
        <v>Pri Volt
Sch 31/35/43</v>
      </c>
      <c r="K4" s="2" t="str">
        <f>+#REF!</f>
        <v>Campus
Sch 40</v>
      </c>
      <c r="L4" s="2" t="str">
        <f>+#REF!</f>
        <v>High Volt
Sch 46/49</v>
      </c>
      <c r="M4" s="2" t="str">
        <f>+#REF!</f>
        <v>Choice /
Retail Wheeling
Sch 448/449</v>
      </c>
      <c r="N4" s="2" t="str">
        <f>+#REF!</f>
        <v>Lighting
Sch 50-59</v>
      </c>
      <c r="O4" s="2" t="str">
        <f>+#REF!</f>
        <v>Firm Resale /
Special Contract</v>
      </c>
    </row>
    <row r="5" spans="2:15" s="14" customFormat="1" ht="12.75">
      <c r="B5" s="14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76</v>
      </c>
      <c r="H5" s="14" t="s">
        <v>20</v>
      </c>
      <c r="I5" s="14" t="s">
        <v>21</v>
      </c>
      <c r="J5" s="14" t="s">
        <v>77</v>
      </c>
      <c r="K5" s="14" t="s">
        <v>78</v>
      </c>
      <c r="L5" s="14" t="s">
        <v>22</v>
      </c>
      <c r="M5" s="14" t="s">
        <v>23</v>
      </c>
      <c r="N5" s="14" t="s">
        <v>24</v>
      </c>
      <c r="O5" s="14" t="s">
        <v>25</v>
      </c>
    </row>
    <row r="6" spans="1:3" ht="12.75">
      <c r="A6" s="11">
        <v>1</v>
      </c>
      <c r="C6" s="1" t="s">
        <v>279</v>
      </c>
    </row>
    <row r="7" spans="1:3" ht="12.75">
      <c r="A7" s="11">
        <f aca="true" t="shared" si="0" ref="A7:A70">+A6+1</f>
        <v>2</v>
      </c>
      <c r="C7" s="1"/>
    </row>
    <row r="8" spans="1:3" ht="12.75">
      <c r="A8" s="11">
        <f t="shared" si="0"/>
        <v>3</v>
      </c>
      <c r="C8" s="1" t="s">
        <v>280</v>
      </c>
    </row>
    <row r="9" ht="12.75">
      <c r="A9" s="11">
        <f t="shared" si="0"/>
        <v>4</v>
      </c>
    </row>
    <row r="10" spans="1:3" ht="12.75">
      <c r="A10" s="11">
        <f t="shared" si="0"/>
        <v>5</v>
      </c>
      <c r="C10" s="1" t="s">
        <v>281</v>
      </c>
    </row>
    <row r="11" spans="1:15" ht="12.75">
      <c r="A11" s="11">
        <f t="shared" si="0"/>
        <v>6</v>
      </c>
      <c r="B11" s="19" t="s">
        <v>282</v>
      </c>
      <c r="C11" s="3" t="s">
        <v>283</v>
      </c>
      <c r="D11" s="3" t="s">
        <v>248</v>
      </c>
      <c r="E11" s="4">
        <v>87352900</v>
      </c>
      <c r="F11" s="4">
        <v>46516323.798525095</v>
      </c>
      <c r="G11" s="4">
        <v>10545952.416381178</v>
      </c>
      <c r="H11" s="4">
        <v>11694723.672228077</v>
      </c>
      <c r="I11" s="4">
        <v>7838518.618046334</v>
      </c>
      <c r="J11" s="4">
        <v>5404114.919796693</v>
      </c>
      <c r="K11" s="4">
        <v>2877375.1899276157</v>
      </c>
      <c r="L11" s="4">
        <v>2119738.00334586</v>
      </c>
      <c r="M11" s="4">
        <v>0</v>
      </c>
      <c r="N11" s="4">
        <v>326017.6701615531</v>
      </c>
      <c r="O11" s="4">
        <v>30135.711587598944</v>
      </c>
    </row>
    <row r="12" spans="1:15" ht="12.75">
      <c r="A12" s="11">
        <f t="shared" si="0"/>
        <v>7</v>
      </c>
      <c r="B12" s="19" t="s">
        <v>284</v>
      </c>
      <c r="C12" s="3" t="s">
        <v>285</v>
      </c>
      <c r="D12" s="3" t="s">
        <v>248</v>
      </c>
      <c r="E12" s="4">
        <v>180655158</v>
      </c>
      <c r="F12" s="4">
        <v>96200742.33828197</v>
      </c>
      <c r="G12" s="4">
        <v>21810159.708971586</v>
      </c>
      <c r="H12" s="4">
        <v>24185941.769222356</v>
      </c>
      <c r="I12" s="4">
        <v>16210896.483449345</v>
      </c>
      <c r="J12" s="4">
        <v>11176288.763006482</v>
      </c>
      <c r="K12" s="4">
        <v>5950720.234378636</v>
      </c>
      <c r="L12" s="4">
        <v>4383845.343578186</v>
      </c>
      <c r="M12" s="4">
        <v>0</v>
      </c>
      <c r="N12" s="4">
        <v>674239.4781836352</v>
      </c>
      <c r="O12" s="4">
        <v>62323.88092782402</v>
      </c>
    </row>
    <row r="13" spans="1:15" ht="12.75">
      <c r="A13" s="12">
        <f t="shared" si="0"/>
        <v>8</v>
      </c>
      <c r="B13" s="20"/>
      <c r="C13" s="9" t="s">
        <v>286</v>
      </c>
      <c r="D13" s="9"/>
      <c r="E13" s="10">
        <f>SUM(E11:E12)</f>
        <v>268008058</v>
      </c>
      <c r="F13" s="10">
        <f aca="true" t="shared" si="1" ref="F13:O13">SUM(F11:F12)</f>
        <v>142717066.13680708</v>
      </c>
      <c r="G13" s="10">
        <f t="shared" si="1"/>
        <v>32356112.125352763</v>
      </c>
      <c r="H13" s="10">
        <f t="shared" si="1"/>
        <v>35880665.44145043</v>
      </c>
      <c r="I13" s="10">
        <f t="shared" si="1"/>
        <v>24049415.10149568</v>
      </c>
      <c r="J13" s="10">
        <f t="shared" si="1"/>
        <v>16580403.682803176</v>
      </c>
      <c r="K13" s="10">
        <f t="shared" si="1"/>
        <v>8828095.424306251</v>
      </c>
      <c r="L13" s="10">
        <f t="shared" si="1"/>
        <v>6503583.346924046</v>
      </c>
      <c r="M13" s="10">
        <f t="shared" si="1"/>
        <v>0</v>
      </c>
      <c r="N13" s="10">
        <f t="shared" si="1"/>
        <v>1000257.1483451882</v>
      </c>
      <c r="O13" s="10">
        <f t="shared" si="1"/>
        <v>92459.59251542296</v>
      </c>
    </row>
    <row r="14" spans="1:15" ht="12.75">
      <c r="A14" s="11">
        <f t="shared" si="0"/>
        <v>9</v>
      </c>
      <c r="B14" s="19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2.75">
      <c r="A15" s="11">
        <f t="shared" si="0"/>
        <v>10</v>
      </c>
      <c r="B15" s="19"/>
      <c r="C15" s="1" t="s">
        <v>287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.75">
      <c r="A16" s="11">
        <f t="shared" si="0"/>
        <v>11</v>
      </c>
      <c r="B16" s="19">
        <v>555</v>
      </c>
      <c r="C16" s="3" t="s">
        <v>288</v>
      </c>
      <c r="D16" s="3" t="s">
        <v>226</v>
      </c>
      <c r="E16" s="4">
        <v>467203380</v>
      </c>
      <c r="F16" s="4">
        <v>248790637.79044956</v>
      </c>
      <c r="G16" s="4">
        <v>56404591.19562664</v>
      </c>
      <c r="H16" s="4">
        <v>62548746.839898504</v>
      </c>
      <c r="I16" s="4">
        <v>41923993.27949245</v>
      </c>
      <c r="J16" s="4">
        <v>28903685.583849464</v>
      </c>
      <c r="K16" s="4">
        <v>15389522.434427753</v>
      </c>
      <c r="L16" s="4">
        <v>11337331.21484962</v>
      </c>
      <c r="M16" s="4">
        <v>0</v>
      </c>
      <c r="N16" s="4">
        <v>1743692.0518861166</v>
      </c>
      <c r="O16" s="4">
        <v>161179.609519906</v>
      </c>
    </row>
    <row r="17" spans="1:15" ht="12.75">
      <c r="A17" s="11">
        <f t="shared" si="0"/>
        <v>12</v>
      </c>
      <c r="B17" s="19">
        <v>555.01</v>
      </c>
      <c r="C17" s="3" t="s">
        <v>289</v>
      </c>
      <c r="D17" s="3" t="s">
        <v>290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</row>
    <row r="18" spans="1:15" ht="12.75">
      <c r="A18" s="11">
        <f t="shared" si="0"/>
        <v>13</v>
      </c>
      <c r="B18" s="19">
        <v>555.02</v>
      </c>
      <c r="C18" s="3" t="s">
        <v>291</v>
      </c>
      <c r="D18" s="3" t="s">
        <v>292</v>
      </c>
      <c r="E18" s="4">
        <v>469038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423525.9029671433</v>
      </c>
      <c r="N18" s="4">
        <v>0</v>
      </c>
      <c r="O18" s="4">
        <v>45512.097032856684</v>
      </c>
    </row>
    <row r="19" spans="1:15" ht="12.75">
      <c r="A19" s="11">
        <f t="shared" si="0"/>
        <v>14</v>
      </c>
      <c r="B19" s="19">
        <v>557</v>
      </c>
      <c r="C19" s="3" t="s">
        <v>293</v>
      </c>
      <c r="D19" s="3" t="s">
        <v>226</v>
      </c>
      <c r="E19" s="4">
        <v>7376106</v>
      </c>
      <c r="F19" s="4">
        <v>3927852.8253583303</v>
      </c>
      <c r="G19" s="4">
        <v>890503.4966690713</v>
      </c>
      <c r="H19" s="4">
        <v>987506.098218417</v>
      </c>
      <c r="I19" s="4">
        <v>661886.9460508269</v>
      </c>
      <c r="J19" s="4">
        <v>456325.141862513</v>
      </c>
      <c r="K19" s="4">
        <v>242966.45449293873</v>
      </c>
      <c r="L19" s="4">
        <v>178991.33520360995</v>
      </c>
      <c r="M19" s="4">
        <v>0</v>
      </c>
      <c r="N19" s="4">
        <v>27529.033300378724</v>
      </c>
      <c r="O19" s="4">
        <v>2544.6688439142617</v>
      </c>
    </row>
    <row r="20" spans="1:15" ht="12.75">
      <c r="A20" s="12">
        <f t="shared" si="0"/>
        <v>15</v>
      </c>
      <c r="B20" s="20"/>
      <c r="C20" s="9" t="s">
        <v>286</v>
      </c>
      <c r="D20" s="9"/>
      <c r="E20" s="10">
        <f aca="true" t="shared" si="2" ref="E20:O20">SUM(E16:E19)</f>
        <v>475048524</v>
      </c>
      <c r="F20" s="10">
        <f t="shared" si="2"/>
        <v>252718490.6158079</v>
      </c>
      <c r="G20" s="10">
        <f t="shared" si="2"/>
        <v>57295094.69229571</v>
      </c>
      <c r="H20" s="10">
        <f t="shared" si="2"/>
        <v>63536252.93811692</v>
      </c>
      <c r="I20" s="10">
        <f t="shared" si="2"/>
        <v>42585880.22554328</v>
      </c>
      <c r="J20" s="10">
        <f t="shared" si="2"/>
        <v>29360010.725711975</v>
      </c>
      <c r="K20" s="10">
        <f t="shared" si="2"/>
        <v>15632488.888920693</v>
      </c>
      <c r="L20" s="10">
        <f t="shared" si="2"/>
        <v>11516322.55005323</v>
      </c>
      <c r="M20" s="10">
        <f t="shared" si="2"/>
        <v>423525.9029671433</v>
      </c>
      <c r="N20" s="10">
        <f t="shared" si="2"/>
        <v>1771221.0851864954</v>
      </c>
      <c r="O20" s="10">
        <f t="shared" si="2"/>
        <v>209236.37539667694</v>
      </c>
    </row>
    <row r="21" spans="1:15" ht="12.75">
      <c r="A21" s="11">
        <f t="shared" si="0"/>
        <v>16</v>
      </c>
      <c r="B21" s="19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.75">
      <c r="A22" s="11">
        <f t="shared" si="0"/>
        <v>17</v>
      </c>
      <c r="B22" s="19"/>
      <c r="C22" s="1" t="s">
        <v>294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.75">
      <c r="A23" s="11">
        <f t="shared" si="0"/>
        <v>18</v>
      </c>
      <c r="B23" s="19">
        <v>565</v>
      </c>
      <c r="C23" s="3" t="s">
        <v>295</v>
      </c>
      <c r="D23" s="3" t="s">
        <v>248</v>
      </c>
      <c r="E23" s="4">
        <v>90390612</v>
      </c>
      <c r="F23" s="4">
        <v>48133936.894354366</v>
      </c>
      <c r="G23" s="4">
        <v>10912689.710811816</v>
      </c>
      <c r="H23" s="4">
        <v>12101409.683062421</v>
      </c>
      <c r="I23" s="4">
        <v>8111104.44024872</v>
      </c>
      <c r="J23" s="4">
        <v>5592043.938080521</v>
      </c>
      <c r="K23" s="4">
        <v>2977436.4030406936</v>
      </c>
      <c r="L23" s="4">
        <v>2193452.2540418273</v>
      </c>
      <c r="M23" s="4">
        <v>0</v>
      </c>
      <c r="N23" s="4">
        <v>337354.99026039115</v>
      </c>
      <c r="O23" s="4">
        <v>31183.686099242957</v>
      </c>
    </row>
    <row r="24" spans="1:15" ht="12.75">
      <c r="A24" s="12">
        <f t="shared" si="0"/>
        <v>19</v>
      </c>
      <c r="B24" s="20"/>
      <c r="C24" s="9" t="s">
        <v>286</v>
      </c>
      <c r="D24" s="9"/>
      <c r="E24" s="10">
        <f>SUM(E23)</f>
        <v>90390612</v>
      </c>
      <c r="F24" s="10">
        <f aca="true" t="shared" si="3" ref="F24:O24">SUM(F23)</f>
        <v>48133936.894354366</v>
      </c>
      <c r="G24" s="10">
        <f t="shared" si="3"/>
        <v>10912689.710811816</v>
      </c>
      <c r="H24" s="10">
        <f t="shared" si="3"/>
        <v>12101409.683062421</v>
      </c>
      <c r="I24" s="10">
        <f t="shared" si="3"/>
        <v>8111104.44024872</v>
      </c>
      <c r="J24" s="10">
        <f t="shared" si="3"/>
        <v>5592043.938080521</v>
      </c>
      <c r="K24" s="10">
        <f t="shared" si="3"/>
        <v>2977436.4030406936</v>
      </c>
      <c r="L24" s="10">
        <f t="shared" si="3"/>
        <v>2193452.2540418273</v>
      </c>
      <c r="M24" s="10">
        <f t="shared" si="3"/>
        <v>0</v>
      </c>
      <c r="N24" s="10">
        <f t="shared" si="3"/>
        <v>337354.99026039115</v>
      </c>
      <c r="O24" s="10">
        <f t="shared" si="3"/>
        <v>31183.686099242957</v>
      </c>
    </row>
    <row r="25" spans="1:15" ht="12.75">
      <c r="A25" s="11">
        <f t="shared" si="0"/>
        <v>20</v>
      </c>
      <c r="B25" s="19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2.75">
      <c r="A26" s="11">
        <f t="shared" si="0"/>
        <v>21</v>
      </c>
      <c r="B26" s="19"/>
      <c r="C26" s="1" t="s">
        <v>296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.75">
      <c r="A27" s="11">
        <f t="shared" si="0"/>
        <v>22</v>
      </c>
      <c r="B27" s="19">
        <v>500</v>
      </c>
      <c r="C27" s="3" t="s">
        <v>297</v>
      </c>
      <c r="D27" s="3" t="s">
        <v>248</v>
      </c>
      <c r="E27" s="4">
        <v>45781564</v>
      </c>
      <c r="F27" s="4">
        <v>24379156.902940825</v>
      </c>
      <c r="G27" s="4">
        <v>5527122.688445485</v>
      </c>
      <c r="H27" s="4">
        <v>6129192.508347459</v>
      </c>
      <c r="I27" s="4">
        <v>4108159.4518015985</v>
      </c>
      <c r="J27" s="4">
        <v>2832291.0065267114</v>
      </c>
      <c r="K27" s="4">
        <v>1508029.3431549876</v>
      </c>
      <c r="L27" s="4">
        <v>1110952.4819829762</v>
      </c>
      <c r="M27" s="4">
        <v>0</v>
      </c>
      <c r="N27" s="4">
        <v>170865.52171286853</v>
      </c>
      <c r="O27" s="4">
        <v>15794.09508709159</v>
      </c>
    </row>
    <row r="28" spans="1:15" ht="12.75">
      <c r="A28" s="11">
        <f t="shared" si="0"/>
        <v>23</v>
      </c>
      <c r="B28" s="19">
        <v>535</v>
      </c>
      <c r="C28" s="3" t="s">
        <v>298</v>
      </c>
      <c r="D28" s="3" t="s">
        <v>248</v>
      </c>
      <c r="E28" s="4">
        <v>16445828</v>
      </c>
      <c r="F28" s="4">
        <v>8757573.708289597</v>
      </c>
      <c r="G28" s="4">
        <v>1985474.0888509627</v>
      </c>
      <c r="H28" s="4">
        <v>2201751.905443223</v>
      </c>
      <c r="I28" s="4">
        <v>1475748.7040176997</v>
      </c>
      <c r="J28" s="4">
        <v>1017426.3758067588</v>
      </c>
      <c r="K28" s="4">
        <v>541720.0512520695</v>
      </c>
      <c r="L28" s="4">
        <v>399080.5869992804</v>
      </c>
      <c r="M28" s="4">
        <v>0</v>
      </c>
      <c r="N28" s="4">
        <v>61378.964275228805</v>
      </c>
      <c r="O28" s="4">
        <v>5673.615065181113</v>
      </c>
    </row>
    <row r="29" spans="1:15" ht="12.75">
      <c r="A29" s="11">
        <f t="shared" si="0"/>
        <v>24</v>
      </c>
      <c r="B29" s="19">
        <v>545</v>
      </c>
      <c r="C29" s="3" t="s">
        <v>299</v>
      </c>
      <c r="D29" s="3" t="s">
        <v>248</v>
      </c>
      <c r="E29" s="4">
        <v>60920789</v>
      </c>
      <c r="F29" s="4">
        <v>32440950.983718064</v>
      </c>
      <c r="G29" s="4">
        <v>7354853.038220802</v>
      </c>
      <c r="H29" s="4">
        <v>8156017.639358418</v>
      </c>
      <c r="I29" s="4">
        <v>5466661.539600544</v>
      </c>
      <c r="J29" s="4">
        <v>3768883.9724918837</v>
      </c>
      <c r="K29" s="4">
        <v>2006710.3303887474</v>
      </c>
      <c r="L29" s="4">
        <v>1478326.5539794837</v>
      </c>
      <c r="M29" s="4">
        <v>0</v>
      </c>
      <c r="N29" s="4">
        <v>227367.99458499457</v>
      </c>
      <c r="O29" s="4">
        <v>21016.947657066572</v>
      </c>
    </row>
    <row r="30" spans="1:15" ht="12.75">
      <c r="A30" s="11">
        <f t="shared" si="0"/>
        <v>25</v>
      </c>
      <c r="B30" s="19">
        <v>556</v>
      </c>
      <c r="C30" s="3" t="s">
        <v>300</v>
      </c>
      <c r="D30" s="3" t="s">
        <v>248</v>
      </c>
      <c r="E30" s="4">
        <v>1193752</v>
      </c>
      <c r="F30" s="4">
        <v>635685.301428309</v>
      </c>
      <c r="G30" s="4">
        <v>144119.44868412917</v>
      </c>
      <c r="H30" s="4">
        <v>159818.38923687264</v>
      </c>
      <c r="I30" s="4">
        <v>107120.05299572251</v>
      </c>
      <c r="J30" s="4">
        <v>73851.84686183449</v>
      </c>
      <c r="K30" s="4">
        <v>39321.78997751044</v>
      </c>
      <c r="L30" s="4">
        <v>28968.0306088307</v>
      </c>
      <c r="M30" s="4">
        <v>0</v>
      </c>
      <c r="N30" s="4">
        <v>4455.309964416686</v>
      </c>
      <c r="O30" s="4">
        <v>411.8302423745453</v>
      </c>
    </row>
    <row r="31" spans="1:15" ht="12.75">
      <c r="A31" s="12">
        <f t="shared" si="0"/>
        <v>26</v>
      </c>
      <c r="B31" s="20"/>
      <c r="C31" s="9" t="s">
        <v>286</v>
      </c>
      <c r="D31" s="9"/>
      <c r="E31" s="10">
        <f>SUM(E27:E30)</f>
        <v>124341933</v>
      </c>
      <c r="F31" s="10">
        <f aca="true" t="shared" si="4" ref="F31:O31">SUM(F27:F30)</f>
        <v>66213366.896376796</v>
      </c>
      <c r="G31" s="10">
        <f t="shared" si="4"/>
        <v>15011569.26420138</v>
      </c>
      <c r="H31" s="10">
        <f t="shared" si="4"/>
        <v>16646780.442385973</v>
      </c>
      <c r="I31" s="10">
        <f t="shared" si="4"/>
        <v>11157689.748415565</v>
      </c>
      <c r="J31" s="10">
        <f t="shared" si="4"/>
        <v>7692453.201687188</v>
      </c>
      <c r="K31" s="10">
        <f t="shared" si="4"/>
        <v>4095781.514773315</v>
      </c>
      <c r="L31" s="10">
        <f t="shared" si="4"/>
        <v>3017327.6535705705</v>
      </c>
      <c r="M31" s="10">
        <f t="shared" si="4"/>
        <v>0</v>
      </c>
      <c r="N31" s="10">
        <f t="shared" si="4"/>
        <v>464067.79053750855</v>
      </c>
      <c r="O31" s="10">
        <f t="shared" si="4"/>
        <v>42896.48805171382</v>
      </c>
    </row>
    <row r="32" spans="1:15" ht="12.75">
      <c r="A32" s="11">
        <f t="shared" si="0"/>
        <v>27</v>
      </c>
      <c r="B32" s="11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.75">
      <c r="A33" s="11">
        <f t="shared" si="0"/>
        <v>28</v>
      </c>
      <c r="B33" s="11"/>
      <c r="C33" s="1" t="s">
        <v>301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.75">
      <c r="A34" s="11">
        <f t="shared" si="0"/>
        <v>29</v>
      </c>
      <c r="B34" s="19">
        <v>565.01</v>
      </c>
      <c r="C34" s="3" t="s">
        <v>186</v>
      </c>
      <c r="D34" s="3" t="s">
        <v>302</v>
      </c>
      <c r="E34" s="4">
        <v>11947108</v>
      </c>
      <c r="F34" s="4">
        <v>6127577.248821465</v>
      </c>
      <c r="G34" s="4">
        <v>1388294.3294125267</v>
      </c>
      <c r="H34" s="4">
        <v>1539241.7058463532</v>
      </c>
      <c r="I34" s="4">
        <v>1031575.7121808168</v>
      </c>
      <c r="J34" s="4">
        <v>710998.2377705877</v>
      </c>
      <c r="K34" s="4">
        <v>378621.9356944631</v>
      </c>
      <c r="L34" s="4">
        <v>278915.53646875994</v>
      </c>
      <c r="M34" s="4">
        <v>414036.21548400243</v>
      </c>
      <c r="N34" s="4">
        <v>42899.12478811998</v>
      </c>
      <c r="O34" s="4">
        <v>34947.95353290461</v>
      </c>
    </row>
    <row r="35" spans="1:15" ht="12.75">
      <c r="A35" s="12">
        <f>+A34+1</f>
        <v>30</v>
      </c>
      <c r="B35" s="20"/>
      <c r="C35" s="9" t="s">
        <v>286</v>
      </c>
      <c r="D35" s="9"/>
      <c r="E35" s="10">
        <f aca="true" t="shared" si="5" ref="E35:O35">SUM(E34:E34)</f>
        <v>11947108</v>
      </c>
      <c r="F35" s="10">
        <f t="shared" si="5"/>
        <v>6127577.248821465</v>
      </c>
      <c r="G35" s="10">
        <f t="shared" si="5"/>
        <v>1388294.3294125267</v>
      </c>
      <c r="H35" s="10">
        <f t="shared" si="5"/>
        <v>1539241.7058463532</v>
      </c>
      <c r="I35" s="10">
        <f t="shared" si="5"/>
        <v>1031575.7121808168</v>
      </c>
      <c r="J35" s="10">
        <f t="shared" si="5"/>
        <v>710998.2377705877</v>
      </c>
      <c r="K35" s="10">
        <f t="shared" si="5"/>
        <v>378621.9356944631</v>
      </c>
      <c r="L35" s="10">
        <f t="shared" si="5"/>
        <v>278915.53646875994</v>
      </c>
      <c r="M35" s="10">
        <f t="shared" si="5"/>
        <v>414036.21548400243</v>
      </c>
      <c r="N35" s="10">
        <f t="shared" si="5"/>
        <v>42899.12478811998</v>
      </c>
      <c r="O35" s="10">
        <f t="shared" si="5"/>
        <v>34947.95353290461</v>
      </c>
    </row>
    <row r="36" spans="1:15" ht="12.75">
      <c r="A36" s="11">
        <f t="shared" si="0"/>
        <v>31</v>
      </c>
      <c r="B36" s="19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.75">
      <c r="A37" s="11">
        <f t="shared" si="0"/>
        <v>32</v>
      </c>
      <c r="B37" s="19"/>
      <c r="C37" s="1" t="s">
        <v>303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.75">
      <c r="A38" s="11">
        <f t="shared" si="0"/>
        <v>33</v>
      </c>
      <c r="B38" s="19">
        <v>581</v>
      </c>
      <c r="C38" s="3" t="s">
        <v>304</v>
      </c>
      <c r="D38" s="3" t="s">
        <v>305</v>
      </c>
      <c r="E38" s="4">
        <v>2539345</v>
      </c>
      <c r="F38" s="4">
        <v>1326248.5341488728</v>
      </c>
      <c r="G38" s="4">
        <v>381798.8327040217</v>
      </c>
      <c r="H38" s="4">
        <v>235082.56736084208</v>
      </c>
      <c r="I38" s="4">
        <v>88805.08010438592</v>
      </c>
      <c r="J38" s="4">
        <v>189124.85285245217</v>
      </c>
      <c r="K38" s="4">
        <v>30096.48850865099</v>
      </c>
      <c r="L38" s="4">
        <v>18000.697328122824</v>
      </c>
      <c r="M38" s="4">
        <v>34189.15026411934</v>
      </c>
      <c r="N38" s="4">
        <v>229870.37884090078</v>
      </c>
      <c r="O38" s="4">
        <v>6128.41788763128</v>
      </c>
    </row>
    <row r="39" spans="1:15" ht="12.75">
      <c r="A39" s="11">
        <f t="shared" si="0"/>
        <v>34</v>
      </c>
      <c r="B39" s="19">
        <v>582</v>
      </c>
      <c r="C39" s="3" t="s">
        <v>306</v>
      </c>
      <c r="D39" s="3" t="s">
        <v>307</v>
      </c>
      <c r="E39" s="4">
        <v>1819109</v>
      </c>
      <c r="F39" s="4">
        <v>897092.6483572242</v>
      </c>
      <c r="G39" s="4">
        <v>223412.39095302665</v>
      </c>
      <c r="H39" s="4">
        <v>231004.63221477804</v>
      </c>
      <c r="I39" s="4">
        <v>150603.45547795238</v>
      </c>
      <c r="J39" s="4">
        <v>121446.17906760414</v>
      </c>
      <c r="K39" s="4">
        <v>49956.19591484644</v>
      </c>
      <c r="L39" s="4">
        <v>45832.91610928036</v>
      </c>
      <c r="M39" s="4">
        <v>79898.72452532493</v>
      </c>
      <c r="N39" s="4">
        <v>10732.230930853957</v>
      </c>
      <c r="O39" s="4">
        <v>9129.626449108862</v>
      </c>
    </row>
    <row r="40" spans="1:15" ht="12.75">
      <c r="A40" s="11">
        <f t="shared" si="0"/>
        <v>35</v>
      </c>
      <c r="B40" s="19">
        <v>583</v>
      </c>
      <c r="C40" s="3" t="s">
        <v>308</v>
      </c>
      <c r="D40" s="3" t="s">
        <v>250</v>
      </c>
      <c r="E40" s="4">
        <v>3598890</v>
      </c>
      <c r="F40" s="4">
        <v>2214371.4462897936</v>
      </c>
      <c r="G40" s="4">
        <v>415845.28877342225</v>
      </c>
      <c r="H40" s="4">
        <v>375084.45085633325</v>
      </c>
      <c r="I40" s="4">
        <v>195258.76819896308</v>
      </c>
      <c r="J40" s="4">
        <v>190627.23480636158</v>
      </c>
      <c r="K40" s="4">
        <v>47959.57889452373</v>
      </c>
      <c r="L40" s="4">
        <v>29606.354484609445</v>
      </c>
      <c r="M40" s="4">
        <v>101370.75394898218</v>
      </c>
      <c r="N40" s="4">
        <v>16469.434297192423</v>
      </c>
      <c r="O40" s="4">
        <v>12296.689449818894</v>
      </c>
    </row>
    <row r="41" spans="1:15" ht="12.75">
      <c r="A41" s="11">
        <f t="shared" si="0"/>
        <v>36</v>
      </c>
      <c r="B41" s="19">
        <v>584</v>
      </c>
      <c r="C41" s="3" t="s">
        <v>309</v>
      </c>
      <c r="D41" s="3" t="s">
        <v>310</v>
      </c>
      <c r="E41" s="4">
        <v>2335884</v>
      </c>
      <c r="F41" s="4">
        <v>1551786.3499813678</v>
      </c>
      <c r="G41" s="4">
        <v>266739.86220781645</v>
      </c>
      <c r="H41" s="4">
        <v>237849.11761510302</v>
      </c>
      <c r="I41" s="4">
        <v>107727.21849604177</v>
      </c>
      <c r="J41" s="4">
        <v>108042.40165176765</v>
      </c>
      <c r="K41" s="4">
        <v>42436.05834110269</v>
      </c>
      <c r="L41" s="4">
        <v>3580.3347424992016</v>
      </c>
      <c r="M41" s="4">
        <v>2158.753918103462</v>
      </c>
      <c r="N41" s="4">
        <v>14006.827027684501</v>
      </c>
      <c r="O41" s="4">
        <v>1557.0760185136103</v>
      </c>
    </row>
    <row r="42" spans="1:15" ht="12.75">
      <c r="A42" s="11">
        <f t="shared" si="0"/>
        <v>37</v>
      </c>
      <c r="B42" s="19">
        <v>585</v>
      </c>
      <c r="C42" s="3" t="s">
        <v>311</v>
      </c>
      <c r="D42" s="3" t="s">
        <v>257</v>
      </c>
      <c r="E42" s="4">
        <v>1276775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1276775</v>
      </c>
      <c r="O42" s="4">
        <v>0</v>
      </c>
    </row>
    <row r="43" spans="1:15" ht="12.75">
      <c r="A43" s="11">
        <f t="shared" si="0"/>
        <v>38</v>
      </c>
      <c r="B43" s="19">
        <v>586</v>
      </c>
      <c r="C43" s="3" t="s">
        <v>312</v>
      </c>
      <c r="D43" s="3" t="s">
        <v>313</v>
      </c>
      <c r="E43" s="4">
        <v>1647510</v>
      </c>
      <c r="F43" s="4">
        <v>876337.4353793963</v>
      </c>
      <c r="G43" s="4">
        <v>382333.63196552754</v>
      </c>
      <c r="H43" s="4">
        <v>150161.3505078499</v>
      </c>
      <c r="I43" s="4">
        <v>16562.61641253385</v>
      </c>
      <c r="J43" s="4">
        <v>197933.45847422595</v>
      </c>
      <c r="K43" s="4">
        <v>9597.724885392066</v>
      </c>
      <c r="L43" s="4">
        <v>7207.8808734684035</v>
      </c>
      <c r="M43" s="4">
        <v>3754.104621598127</v>
      </c>
      <c r="N43" s="4">
        <v>0</v>
      </c>
      <c r="O43" s="4">
        <v>3621.7968800079416</v>
      </c>
    </row>
    <row r="44" spans="1:15" ht="12.75">
      <c r="A44" s="11">
        <f t="shared" si="0"/>
        <v>39</v>
      </c>
      <c r="B44" s="19">
        <v>587</v>
      </c>
      <c r="C44" s="3" t="s">
        <v>314</v>
      </c>
      <c r="D44" s="3" t="s">
        <v>313</v>
      </c>
      <c r="E44" s="4">
        <v>3881406</v>
      </c>
      <c r="F44" s="4">
        <v>2064583.146509703</v>
      </c>
      <c r="G44" s="4">
        <v>900748.43437235</v>
      </c>
      <c r="H44" s="4">
        <v>353768.5154137283</v>
      </c>
      <c r="I44" s="4">
        <v>39020.241891889804</v>
      </c>
      <c r="J44" s="4">
        <v>466315.9029824471</v>
      </c>
      <c r="K44" s="4">
        <v>22611.49671717324</v>
      </c>
      <c r="L44" s="4">
        <v>16981.209260985062</v>
      </c>
      <c r="M44" s="4">
        <v>8844.37982342972</v>
      </c>
      <c r="N44" s="4">
        <v>0</v>
      </c>
      <c r="O44" s="4">
        <v>8532.67302829367</v>
      </c>
    </row>
    <row r="45" spans="1:15" ht="12.75">
      <c r="A45" s="11">
        <f t="shared" si="0"/>
        <v>40</v>
      </c>
      <c r="B45" s="19">
        <v>589</v>
      </c>
      <c r="C45" s="3" t="s">
        <v>315</v>
      </c>
      <c r="D45" s="3" t="s">
        <v>305</v>
      </c>
      <c r="E45" s="4">
        <v>847171</v>
      </c>
      <c r="F45" s="4">
        <v>442460.278900045</v>
      </c>
      <c r="G45" s="4">
        <v>127374.93286682149</v>
      </c>
      <c r="H45" s="4">
        <v>78427.75742313548</v>
      </c>
      <c r="I45" s="4">
        <v>29626.966212591335</v>
      </c>
      <c r="J45" s="4">
        <v>63095.44024772718</v>
      </c>
      <c r="K45" s="4">
        <v>10040.727930376679</v>
      </c>
      <c r="L45" s="4">
        <v>6005.3552219817075</v>
      </c>
      <c r="M45" s="4">
        <v>11406.113237234109</v>
      </c>
      <c r="N45" s="4">
        <v>76688.87792443513</v>
      </c>
      <c r="O45" s="4">
        <v>2044.550035651902</v>
      </c>
    </row>
    <row r="46" spans="1:15" ht="12.75">
      <c r="A46" s="11">
        <f t="shared" si="0"/>
        <v>41</v>
      </c>
      <c r="B46" s="19">
        <v>580</v>
      </c>
      <c r="C46" s="3" t="s">
        <v>316</v>
      </c>
      <c r="D46" s="3" t="s">
        <v>317</v>
      </c>
      <c r="E46" s="4">
        <v>2383709</v>
      </c>
      <c r="F46" s="4">
        <v>1244962.9991542997</v>
      </c>
      <c r="G46" s="4">
        <v>358398.45066584926</v>
      </c>
      <c r="H46" s="4">
        <v>220674.39893403434</v>
      </c>
      <c r="I46" s="4">
        <v>83362.23265863664</v>
      </c>
      <c r="J46" s="4">
        <v>177533.42451225256</v>
      </c>
      <c r="K46" s="4">
        <v>28251.880121239115</v>
      </c>
      <c r="L46" s="4">
        <v>16897.437814602712</v>
      </c>
      <c r="M46" s="4">
        <v>32093.703371118794</v>
      </c>
      <c r="N46" s="4">
        <v>215781.66451445737</v>
      </c>
      <c r="O46" s="4">
        <v>5752.808253509338</v>
      </c>
    </row>
    <row r="47" spans="1:15" ht="12.75">
      <c r="A47" s="11">
        <f t="shared" si="0"/>
        <v>42</v>
      </c>
      <c r="B47" s="19">
        <v>588</v>
      </c>
      <c r="C47" s="3" t="s">
        <v>318</v>
      </c>
      <c r="D47" s="3" t="s">
        <v>317</v>
      </c>
      <c r="E47" s="4">
        <v>2692485</v>
      </c>
      <c r="F47" s="4">
        <v>1406230.4588261256</v>
      </c>
      <c r="G47" s="4">
        <v>404823.93297211995</v>
      </c>
      <c r="H47" s="4">
        <v>249259.66592981922</v>
      </c>
      <c r="I47" s="4">
        <v>94160.63831612386</v>
      </c>
      <c r="J47" s="4">
        <v>200530.3845804468</v>
      </c>
      <c r="K47" s="4">
        <v>31911.514135422774</v>
      </c>
      <c r="L47" s="4">
        <v>19086.263404740504</v>
      </c>
      <c r="M47" s="4">
        <v>36250.991593850915</v>
      </c>
      <c r="N47" s="4">
        <v>243733.146529299</v>
      </c>
      <c r="O47" s="4">
        <v>6498.003712051299</v>
      </c>
    </row>
    <row r="48" spans="1:15" ht="12.75">
      <c r="A48" s="12">
        <f t="shared" si="0"/>
        <v>43</v>
      </c>
      <c r="B48" s="20"/>
      <c r="C48" s="9" t="s">
        <v>286</v>
      </c>
      <c r="D48" s="9"/>
      <c r="E48" s="10">
        <f>SUM(E38:E47)</f>
        <v>23022284</v>
      </c>
      <c r="F48" s="10">
        <f aca="true" t="shared" si="6" ref="F48:O48">SUM(F38:F47)</f>
        <v>12024073.297546826</v>
      </c>
      <c r="G48" s="10">
        <f t="shared" si="6"/>
        <v>3461475.757480955</v>
      </c>
      <c r="H48" s="10">
        <f t="shared" si="6"/>
        <v>2131312.4562556236</v>
      </c>
      <c r="I48" s="10">
        <f t="shared" si="6"/>
        <v>805127.2177691186</v>
      </c>
      <c r="J48" s="10">
        <f t="shared" si="6"/>
        <v>1714649.2791752852</v>
      </c>
      <c r="K48" s="10">
        <f t="shared" si="6"/>
        <v>272861.6654487277</v>
      </c>
      <c r="L48" s="10">
        <f t="shared" si="6"/>
        <v>163198.4492402902</v>
      </c>
      <c r="M48" s="10">
        <f t="shared" si="6"/>
        <v>309966.67530376156</v>
      </c>
      <c r="N48" s="10">
        <f t="shared" si="6"/>
        <v>2084057.5600648231</v>
      </c>
      <c r="O48" s="10">
        <f t="shared" si="6"/>
        <v>55561.6417145868</v>
      </c>
    </row>
    <row r="49" spans="1:15" ht="12.75">
      <c r="A49" s="11">
        <f t="shared" si="0"/>
        <v>44</v>
      </c>
      <c r="B49" s="19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2.75">
      <c r="A50" s="11">
        <f t="shared" si="0"/>
        <v>45</v>
      </c>
      <c r="B50" s="19"/>
      <c r="C50" s="1" t="s">
        <v>319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2.75">
      <c r="A51" s="11">
        <f t="shared" si="0"/>
        <v>46</v>
      </c>
      <c r="B51" s="19">
        <v>901</v>
      </c>
      <c r="C51" s="3" t="s">
        <v>320</v>
      </c>
      <c r="D51" s="3" t="s">
        <v>321</v>
      </c>
      <c r="E51" s="4">
        <v>246127</v>
      </c>
      <c r="F51" s="4">
        <v>204133.53016914893</v>
      </c>
      <c r="G51" s="4">
        <v>28170.212260153407</v>
      </c>
      <c r="H51" s="4">
        <v>5484.555111015207</v>
      </c>
      <c r="I51" s="4">
        <v>1766.1989336964587</v>
      </c>
      <c r="J51" s="4">
        <v>1318.5220591856912</v>
      </c>
      <c r="K51" s="4">
        <v>2922.2482768078066</v>
      </c>
      <c r="L51" s="4">
        <v>1205.8177072711082</v>
      </c>
      <c r="M51" s="4">
        <v>506.4496052912335</v>
      </c>
      <c r="N51" s="4">
        <v>479.07320935253097</v>
      </c>
      <c r="O51" s="4">
        <v>140.39266807761283</v>
      </c>
    </row>
    <row r="52" spans="1:15" ht="12.75">
      <c r="A52" s="11">
        <f t="shared" si="0"/>
        <v>47</v>
      </c>
      <c r="B52" s="19">
        <v>902</v>
      </c>
      <c r="C52" s="3" t="s">
        <v>322</v>
      </c>
      <c r="D52" s="3" t="s">
        <v>323</v>
      </c>
      <c r="E52" s="4">
        <v>17335448</v>
      </c>
      <c r="F52" s="4">
        <v>14492891.477661075</v>
      </c>
      <c r="G52" s="4">
        <v>2156593.915717767</v>
      </c>
      <c r="H52" s="4">
        <v>490906.91855377733</v>
      </c>
      <c r="I52" s="4">
        <v>59744.76888654534</v>
      </c>
      <c r="J52" s="4">
        <v>43459.288289700584</v>
      </c>
      <c r="K52" s="4">
        <v>12270.622525616725</v>
      </c>
      <c r="L52" s="4">
        <v>51284.960823155525</v>
      </c>
      <c r="M52" s="4">
        <v>22177.739913637077</v>
      </c>
      <c r="N52" s="4">
        <v>0</v>
      </c>
      <c r="O52" s="4">
        <v>6118.307628724936</v>
      </c>
    </row>
    <row r="53" spans="1:15" ht="12.75">
      <c r="A53" s="11">
        <f t="shared" si="0"/>
        <v>48</v>
      </c>
      <c r="B53" s="19">
        <v>903</v>
      </c>
      <c r="C53" s="3" t="s">
        <v>324</v>
      </c>
      <c r="D53" s="3" t="s">
        <v>325</v>
      </c>
      <c r="E53" s="4">
        <v>21317260</v>
      </c>
      <c r="F53" s="4">
        <v>17156488.391487967</v>
      </c>
      <c r="G53" s="4">
        <v>2594995.8589170454</v>
      </c>
      <c r="H53" s="4">
        <v>278572.88755892945</v>
      </c>
      <c r="I53" s="4">
        <v>217985.348473774</v>
      </c>
      <c r="J53" s="4">
        <v>171904.0594805867</v>
      </c>
      <c r="K53" s="4">
        <v>548503.3887310557</v>
      </c>
      <c r="L53" s="4">
        <v>173458.3366072569</v>
      </c>
      <c r="M53" s="4">
        <v>75009.01042475975</v>
      </c>
      <c r="N53" s="4">
        <v>79519.44190468777</v>
      </c>
      <c r="O53" s="4">
        <v>20823.276413934916</v>
      </c>
    </row>
    <row r="54" spans="1:15" ht="12.75">
      <c r="A54" s="11">
        <f t="shared" si="0"/>
        <v>49</v>
      </c>
      <c r="B54" s="19">
        <v>904</v>
      </c>
      <c r="C54" s="3" t="s">
        <v>326</v>
      </c>
      <c r="D54" s="3" t="s">
        <v>327</v>
      </c>
      <c r="E54" s="4">
        <v>8650360</v>
      </c>
      <c r="F54" s="4">
        <v>7586885.843241857</v>
      </c>
      <c r="G54" s="4">
        <v>661708.5052845111</v>
      </c>
      <c r="H54" s="4">
        <v>283527.3370639143</v>
      </c>
      <c r="I54" s="4">
        <v>61252.69093626673</v>
      </c>
      <c r="J54" s="4">
        <v>37700.16387440169</v>
      </c>
      <c r="K54" s="4">
        <v>0</v>
      </c>
      <c r="L54" s="4">
        <v>6649.737359770561</v>
      </c>
      <c r="M54" s="4">
        <v>0</v>
      </c>
      <c r="N54" s="4">
        <v>12635.72223927752</v>
      </c>
      <c r="O54" s="4">
        <v>0</v>
      </c>
    </row>
    <row r="55" spans="1:15" ht="12.75">
      <c r="A55" s="11">
        <f t="shared" si="0"/>
        <v>50</v>
      </c>
      <c r="B55" s="19">
        <v>905</v>
      </c>
      <c r="C55" s="3" t="s">
        <v>328</v>
      </c>
      <c r="D55" s="3" t="s">
        <v>329</v>
      </c>
      <c r="E55" s="4">
        <v>-72302</v>
      </c>
      <c r="F55" s="4">
        <v>-63875.051581587475</v>
      </c>
      <c r="G55" s="4">
        <v>-7549.607771869393</v>
      </c>
      <c r="H55" s="4">
        <v>-543.4189104362057</v>
      </c>
      <c r="I55" s="4">
        <v>-56.446918651281166</v>
      </c>
      <c r="J55" s="4">
        <v>-44.513959601485396</v>
      </c>
      <c r="K55" s="4">
        <v>-6.502792291180848</v>
      </c>
      <c r="L55" s="4">
        <v>-1.5418992030635</v>
      </c>
      <c r="M55" s="4">
        <v>-1.1396646283512826</v>
      </c>
      <c r="N55" s="4">
        <v>-222.97203258213915</v>
      </c>
      <c r="O55" s="4">
        <v>-0.8044691494244348</v>
      </c>
    </row>
    <row r="56" spans="1:15" ht="12.75">
      <c r="A56" s="12">
        <f t="shared" si="0"/>
        <v>51</v>
      </c>
      <c r="B56" s="20"/>
      <c r="C56" s="9" t="s">
        <v>286</v>
      </c>
      <c r="D56" s="9"/>
      <c r="E56" s="10">
        <f>SUM(E51:E55)</f>
        <v>47476893</v>
      </c>
      <c r="F56" s="10">
        <f aca="true" t="shared" si="7" ref="F56:O56">SUM(F51:F55)</f>
        <v>39376524.19097847</v>
      </c>
      <c r="G56" s="10">
        <f t="shared" si="7"/>
        <v>5433918.884407608</v>
      </c>
      <c r="H56" s="10">
        <f t="shared" si="7"/>
        <v>1057948.2793772002</v>
      </c>
      <c r="I56" s="10">
        <f t="shared" si="7"/>
        <v>340692.56031163124</v>
      </c>
      <c r="J56" s="10">
        <f t="shared" si="7"/>
        <v>254337.51974427316</v>
      </c>
      <c r="K56" s="10">
        <f t="shared" si="7"/>
        <v>563689.7567411889</v>
      </c>
      <c r="L56" s="10">
        <f t="shared" si="7"/>
        <v>232597.31059825106</v>
      </c>
      <c r="M56" s="10">
        <f t="shared" si="7"/>
        <v>97692.0602790597</v>
      </c>
      <c r="N56" s="10">
        <f t="shared" si="7"/>
        <v>92411.26532073568</v>
      </c>
      <c r="O56" s="10">
        <f t="shared" si="7"/>
        <v>27081.17224158804</v>
      </c>
    </row>
    <row r="57" spans="1:15" ht="12.75">
      <c r="A57" s="11">
        <f t="shared" si="0"/>
        <v>52</v>
      </c>
      <c r="B57" s="19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2.75">
      <c r="A58" s="11">
        <f t="shared" si="0"/>
        <v>53</v>
      </c>
      <c r="B58" s="19"/>
      <c r="C58" s="3" t="s">
        <v>330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2.75">
      <c r="A59" s="11">
        <f t="shared" si="0"/>
        <v>54</v>
      </c>
      <c r="B59" s="19">
        <v>908.01</v>
      </c>
      <c r="C59" s="3" t="s">
        <v>331</v>
      </c>
      <c r="D59" s="3" t="s">
        <v>332</v>
      </c>
      <c r="E59" s="4">
        <v>70820</v>
      </c>
      <c r="F59" s="4">
        <v>63143.7760153922</v>
      </c>
      <c r="G59" s="4">
        <v>6876.946197705249</v>
      </c>
      <c r="H59" s="4">
        <v>495.1866538398367</v>
      </c>
      <c r="I59" s="4">
        <v>51.51270560078839</v>
      </c>
      <c r="J59" s="4">
        <v>40.711654426429526</v>
      </c>
      <c r="K59" s="4">
        <v>5.815950632347075</v>
      </c>
      <c r="L59" s="4">
        <v>1.661700180670593</v>
      </c>
      <c r="M59" s="4">
        <v>0.8308500903352966</v>
      </c>
      <c r="N59" s="4">
        <v>202.72742204181233</v>
      </c>
      <c r="O59" s="4">
        <v>0.8308500903352966</v>
      </c>
    </row>
    <row r="60" spans="1:15" ht="12.75">
      <c r="A60" s="11">
        <f t="shared" si="0"/>
        <v>55</v>
      </c>
      <c r="B60" s="19">
        <v>908.02</v>
      </c>
      <c r="C60" s="3" t="s">
        <v>333</v>
      </c>
      <c r="D60" s="3" t="s">
        <v>226</v>
      </c>
      <c r="E60" s="4">
        <v>2589</v>
      </c>
      <c r="F60" s="4">
        <v>1378.6693093690246</v>
      </c>
      <c r="G60" s="4">
        <v>312.56513299513665</v>
      </c>
      <c r="H60" s="4">
        <v>346.6128724678688</v>
      </c>
      <c r="I60" s="4">
        <v>232.3211330376205</v>
      </c>
      <c r="J60" s="4">
        <v>160.1693078003551</v>
      </c>
      <c r="K60" s="4">
        <v>85.28079052581651</v>
      </c>
      <c r="L60" s="4">
        <v>62.82563819475292</v>
      </c>
      <c r="M60" s="4">
        <v>0</v>
      </c>
      <c r="N60" s="4">
        <v>9.662641401124187</v>
      </c>
      <c r="O60" s="4">
        <v>0.8931742083009686</v>
      </c>
    </row>
    <row r="61" spans="1:15" ht="12.75">
      <c r="A61" s="11">
        <f t="shared" si="0"/>
        <v>56</v>
      </c>
      <c r="B61" s="19">
        <v>909</v>
      </c>
      <c r="C61" s="3" t="s">
        <v>334</v>
      </c>
      <c r="D61" s="3" t="s">
        <v>329</v>
      </c>
      <c r="E61" s="4">
        <v>1437163</v>
      </c>
      <c r="F61" s="4">
        <v>1269658.6644373462</v>
      </c>
      <c r="G61" s="4">
        <v>150065.2396094594</v>
      </c>
      <c r="H61" s="4">
        <v>10801.659035424036</v>
      </c>
      <c r="I61" s="4">
        <v>1122.008007380587</v>
      </c>
      <c r="J61" s="4">
        <v>884.8139155590377</v>
      </c>
      <c r="K61" s="4">
        <v>129.25745453196788</v>
      </c>
      <c r="L61" s="4">
        <v>30.648674785930524</v>
      </c>
      <c r="M61" s="4">
        <v>22.653368320035604</v>
      </c>
      <c r="N61" s="4">
        <v>4432.0648842610835</v>
      </c>
      <c r="O61" s="4">
        <v>15.990612931789837</v>
      </c>
    </row>
    <row r="62" spans="1:15" ht="12.75">
      <c r="A62" s="11">
        <f t="shared" si="0"/>
        <v>57</v>
      </c>
      <c r="B62" s="19">
        <v>910</v>
      </c>
      <c r="C62" s="3" t="s">
        <v>335</v>
      </c>
      <c r="D62" s="3" t="s">
        <v>329</v>
      </c>
      <c r="E62" s="4">
        <v>42274</v>
      </c>
      <c r="F62" s="4">
        <v>37346.877410860405</v>
      </c>
      <c r="G62" s="4">
        <v>4414.153397527132</v>
      </c>
      <c r="H62" s="4">
        <v>317.7296758012248</v>
      </c>
      <c r="I62" s="4">
        <v>33.00374870770187</v>
      </c>
      <c r="J62" s="4">
        <v>26.026709194672254</v>
      </c>
      <c r="K62" s="4">
        <v>3.80209456608917</v>
      </c>
      <c r="L62" s="4">
        <v>0.901527577526298</v>
      </c>
      <c r="M62" s="4">
        <v>0.6663464703455246</v>
      </c>
      <c r="N62" s="4">
        <v>130.36872708054204</v>
      </c>
      <c r="O62" s="4">
        <v>0.4703622143615468</v>
      </c>
    </row>
    <row r="63" spans="1:15" ht="12.75">
      <c r="A63" s="11">
        <f t="shared" si="0"/>
        <v>58</v>
      </c>
      <c r="B63" s="19">
        <v>911</v>
      </c>
      <c r="C63" s="3" t="s">
        <v>336</v>
      </c>
      <c r="D63" s="3" t="s">
        <v>257</v>
      </c>
      <c r="E63" s="4">
        <v>3557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3557</v>
      </c>
      <c r="O63" s="4">
        <v>0</v>
      </c>
    </row>
    <row r="64" spans="1:15" ht="12.75">
      <c r="A64" s="11">
        <f t="shared" si="0"/>
        <v>59</v>
      </c>
      <c r="B64" s="19">
        <v>912</v>
      </c>
      <c r="C64" s="3" t="s">
        <v>337</v>
      </c>
      <c r="D64" s="3" t="s">
        <v>329</v>
      </c>
      <c r="E64" s="4">
        <v>112234</v>
      </c>
      <c r="F64" s="4">
        <v>99152.89396154863</v>
      </c>
      <c r="G64" s="4">
        <v>11719.21494105266</v>
      </c>
      <c r="H64" s="4">
        <v>843.546208872467</v>
      </c>
      <c r="I64" s="4">
        <v>87.62224375408552</v>
      </c>
      <c r="J64" s="4">
        <v>69.09877654716483</v>
      </c>
      <c r="K64" s="4">
        <v>10.094248983546668</v>
      </c>
      <c r="L64" s="4">
        <v>2.393481717748179</v>
      </c>
      <c r="M64" s="4">
        <v>1.769095182683437</v>
      </c>
      <c r="N64" s="4">
        <v>346.11826927088885</v>
      </c>
      <c r="O64" s="4">
        <v>1.2487730701294848</v>
      </c>
    </row>
    <row r="65" spans="1:15" ht="12.75">
      <c r="A65" s="11">
        <f t="shared" si="0"/>
        <v>60</v>
      </c>
      <c r="B65" s="19">
        <v>913</v>
      </c>
      <c r="C65" s="3" t="s">
        <v>338</v>
      </c>
      <c r="D65" s="3" t="s">
        <v>329</v>
      </c>
      <c r="E65" s="4">
        <v>1085</v>
      </c>
      <c r="F65" s="4">
        <v>958.5409942466656</v>
      </c>
      <c r="G65" s="4">
        <v>113.29319289201256</v>
      </c>
      <c r="H65" s="4">
        <v>8.154816157551425</v>
      </c>
      <c r="I65" s="4">
        <v>0.8470707136267333</v>
      </c>
      <c r="J65" s="4">
        <v>0.6679987575393717</v>
      </c>
      <c r="K65" s="4">
        <v>0.09758415584536001</v>
      </c>
      <c r="L65" s="4">
        <v>0.02313851117982763</v>
      </c>
      <c r="M65" s="4">
        <v>0.01710237782856825</v>
      </c>
      <c r="N65" s="4">
        <v>3.3460299210481175</v>
      </c>
      <c r="O65" s="4">
        <v>0.012072266702518764</v>
      </c>
    </row>
    <row r="66" spans="1:15" ht="12.75">
      <c r="A66" s="11">
        <f t="shared" si="0"/>
        <v>61</v>
      </c>
      <c r="B66" s="19">
        <v>916</v>
      </c>
      <c r="C66" s="3" t="s">
        <v>339</v>
      </c>
      <c r="D66" s="3" t="s">
        <v>329</v>
      </c>
      <c r="E66" s="4">
        <v>29619</v>
      </c>
      <c r="F66" s="4">
        <v>26166.843971052524</v>
      </c>
      <c r="G66" s="4">
        <v>3092.7475394179905</v>
      </c>
      <c r="H66" s="4">
        <v>222.61520716176557</v>
      </c>
      <c r="I66" s="4">
        <v>23.12385941650711</v>
      </c>
      <c r="J66" s="4">
        <v>18.235442580238388</v>
      </c>
      <c r="K66" s="4">
        <v>2.6639125456071135</v>
      </c>
      <c r="L66" s="4">
        <v>0.6316493664841609</v>
      </c>
      <c r="M66" s="4">
        <v>0.4668712708795972</v>
      </c>
      <c r="N66" s="4">
        <v>91.34199099679648</v>
      </c>
      <c r="O66" s="4">
        <v>0.3295561912091275</v>
      </c>
    </row>
    <row r="67" spans="1:15" ht="12.75">
      <c r="A67" s="12">
        <f t="shared" si="0"/>
        <v>62</v>
      </c>
      <c r="B67" s="20"/>
      <c r="C67" s="9" t="s">
        <v>286</v>
      </c>
      <c r="D67" s="9"/>
      <c r="E67" s="10">
        <f>SUM(E59:E66)</f>
        <v>1699341</v>
      </c>
      <c r="F67" s="10">
        <f aca="true" t="shared" si="8" ref="F67:O67">SUM(F59:F66)</f>
        <v>1497806.2660998157</v>
      </c>
      <c r="G67" s="10">
        <f t="shared" si="8"/>
        <v>176594.1600110496</v>
      </c>
      <c r="H67" s="10">
        <f t="shared" si="8"/>
        <v>13035.504469724752</v>
      </c>
      <c r="I67" s="10">
        <f t="shared" si="8"/>
        <v>1550.438768610917</v>
      </c>
      <c r="J67" s="10">
        <f t="shared" si="8"/>
        <v>1199.7238048654374</v>
      </c>
      <c r="K67" s="10">
        <f t="shared" si="8"/>
        <v>237.01203594121978</v>
      </c>
      <c r="L67" s="10">
        <f t="shared" si="8"/>
        <v>99.08581033429249</v>
      </c>
      <c r="M67" s="10">
        <f t="shared" si="8"/>
        <v>26.403633712108025</v>
      </c>
      <c r="N67" s="10">
        <f t="shared" si="8"/>
        <v>8772.629964973294</v>
      </c>
      <c r="O67" s="10">
        <f t="shared" si="8"/>
        <v>19.77540097282878</v>
      </c>
    </row>
    <row r="68" spans="1:15" ht="12.75">
      <c r="A68" s="11">
        <f t="shared" si="0"/>
        <v>63</v>
      </c>
      <c r="B68" s="19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2.75">
      <c r="A69" s="11">
        <f t="shared" si="0"/>
        <v>64</v>
      </c>
      <c r="B69" s="19"/>
      <c r="C69" s="1" t="s">
        <v>340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2.75">
      <c r="A70" s="11">
        <f t="shared" si="0"/>
        <v>65</v>
      </c>
      <c r="B70" s="19">
        <v>920</v>
      </c>
      <c r="C70" s="3" t="s">
        <v>341</v>
      </c>
      <c r="D70" s="3" t="s">
        <v>342</v>
      </c>
      <c r="E70" s="4">
        <v>24760409</v>
      </c>
      <c r="F70" s="4">
        <v>14801265.474317774</v>
      </c>
      <c r="G70" s="4">
        <v>2977090.5879092086</v>
      </c>
      <c r="H70" s="4">
        <v>2557085.305346071</v>
      </c>
      <c r="I70" s="4">
        <v>1540114.450442389</v>
      </c>
      <c r="J70" s="4">
        <v>1247942.9491426505</v>
      </c>
      <c r="K70" s="4">
        <v>579800.4701206883</v>
      </c>
      <c r="L70" s="4">
        <v>390464.8959173767</v>
      </c>
      <c r="M70" s="4">
        <v>192599.35525643</v>
      </c>
      <c r="N70" s="4">
        <v>444389.5065867222</v>
      </c>
      <c r="O70" s="4">
        <v>29656.004960690232</v>
      </c>
    </row>
    <row r="71" spans="1:15" ht="12.75">
      <c r="A71" s="11">
        <f aca="true" t="shared" si="9" ref="A71:A134">+A70+1</f>
        <v>66</v>
      </c>
      <c r="B71" s="19">
        <v>921</v>
      </c>
      <c r="C71" s="3" t="s">
        <v>343</v>
      </c>
      <c r="D71" s="3" t="s">
        <v>342</v>
      </c>
      <c r="E71" s="4">
        <v>5111329</v>
      </c>
      <c r="F71" s="4">
        <v>3055447.8100737026</v>
      </c>
      <c r="G71" s="4">
        <v>614565.3513884761</v>
      </c>
      <c r="H71" s="4">
        <v>527863.0202226961</v>
      </c>
      <c r="I71" s="4">
        <v>317928.17533285683</v>
      </c>
      <c r="J71" s="4">
        <v>257614.76663403882</v>
      </c>
      <c r="K71" s="4">
        <v>119689.09548875011</v>
      </c>
      <c r="L71" s="4">
        <v>80604.26408887142</v>
      </c>
      <c r="M71" s="4">
        <v>39758.57870132489</v>
      </c>
      <c r="N71" s="4">
        <v>91736.00372725684</v>
      </c>
      <c r="O71" s="4">
        <v>6121.934342026412</v>
      </c>
    </row>
    <row r="72" spans="1:15" ht="12.75">
      <c r="A72" s="11">
        <f t="shared" si="9"/>
        <v>67</v>
      </c>
      <c r="B72" s="19">
        <v>922</v>
      </c>
      <c r="C72" s="3" t="s">
        <v>344</v>
      </c>
      <c r="D72" s="3" t="s">
        <v>342</v>
      </c>
      <c r="E72" s="4">
        <v>-168649</v>
      </c>
      <c r="F72" s="4">
        <v>-100814.91872683598</v>
      </c>
      <c r="G72" s="4">
        <v>-20277.66789152393</v>
      </c>
      <c r="H72" s="4">
        <v>-17416.912606787297</v>
      </c>
      <c r="I72" s="4">
        <v>-10490.083663507276</v>
      </c>
      <c r="J72" s="4">
        <v>-8500.034487716212</v>
      </c>
      <c r="K72" s="4">
        <v>-3949.1580888419076</v>
      </c>
      <c r="L72" s="4">
        <v>-2659.5487268231177</v>
      </c>
      <c r="M72" s="4">
        <v>-1311.839746453367</v>
      </c>
      <c r="N72" s="4">
        <v>-3026.841999917857</v>
      </c>
      <c r="O72" s="4">
        <v>-201.99406159306363</v>
      </c>
    </row>
    <row r="73" spans="1:15" ht="12.75">
      <c r="A73" s="11">
        <f t="shared" si="9"/>
        <v>68</v>
      </c>
      <c r="B73" s="19">
        <v>923</v>
      </c>
      <c r="C73" s="3" t="s">
        <v>345</v>
      </c>
      <c r="D73" s="3" t="s">
        <v>342</v>
      </c>
      <c r="E73" s="4">
        <v>13996958</v>
      </c>
      <c r="F73" s="4">
        <v>8367094.872741237</v>
      </c>
      <c r="G73" s="4">
        <v>1682937.1405440234</v>
      </c>
      <c r="H73" s="4">
        <v>1445509.8710746716</v>
      </c>
      <c r="I73" s="4">
        <v>870620.4036466118</v>
      </c>
      <c r="J73" s="4">
        <v>705457.0482073143</v>
      </c>
      <c r="K73" s="4">
        <v>327758.8358358511</v>
      </c>
      <c r="L73" s="4">
        <v>220728.20964427097</v>
      </c>
      <c r="M73" s="4">
        <v>108875.62828026508</v>
      </c>
      <c r="N73" s="4">
        <v>251211.57163983333</v>
      </c>
      <c r="O73" s="4">
        <v>16764.41838592298</v>
      </c>
    </row>
    <row r="74" spans="1:15" ht="12.75">
      <c r="A74" s="11">
        <f t="shared" si="9"/>
        <v>69</v>
      </c>
      <c r="B74" s="19">
        <v>924</v>
      </c>
      <c r="C74" s="3" t="s">
        <v>346</v>
      </c>
      <c r="D74" s="3" t="s">
        <v>347</v>
      </c>
      <c r="E74" s="4">
        <v>5593649</v>
      </c>
      <c r="F74" s="4">
        <v>3233155.1309028068</v>
      </c>
      <c r="G74" s="4">
        <v>673865.8658452209</v>
      </c>
      <c r="H74" s="4">
        <v>648238.5253882776</v>
      </c>
      <c r="I74" s="4">
        <v>385213.8487652805</v>
      </c>
      <c r="J74" s="4">
        <v>301281.84322006034</v>
      </c>
      <c r="K74" s="4">
        <v>136969.8194870968</v>
      </c>
      <c r="L74" s="4">
        <v>89177.32839680067</v>
      </c>
      <c r="M74" s="4">
        <v>53044.64027794951</v>
      </c>
      <c r="N74" s="4">
        <v>65331.485773778375</v>
      </c>
      <c r="O74" s="4">
        <v>7370.511942729832</v>
      </c>
    </row>
    <row r="75" spans="1:15" ht="12.75">
      <c r="A75" s="11">
        <f t="shared" si="9"/>
        <v>70</v>
      </c>
      <c r="B75" s="19">
        <v>925</v>
      </c>
      <c r="C75" s="3" t="s">
        <v>348</v>
      </c>
      <c r="D75" s="3" t="s">
        <v>349</v>
      </c>
      <c r="E75" s="4">
        <v>4694618</v>
      </c>
      <c r="F75" s="4">
        <v>2898898.111202075</v>
      </c>
      <c r="G75" s="4">
        <v>559545.3210855608</v>
      </c>
      <c r="H75" s="4">
        <v>473217.61998650234</v>
      </c>
      <c r="I75" s="4">
        <v>278065.40636702</v>
      </c>
      <c r="J75" s="4">
        <v>216203.7809304587</v>
      </c>
      <c r="K75" s="4">
        <v>105533.3568662819</v>
      </c>
      <c r="L75" s="4">
        <v>67093.80164352483</v>
      </c>
      <c r="M75" s="4">
        <v>38105.838035972374</v>
      </c>
      <c r="N75" s="4">
        <v>52459.31740299528</v>
      </c>
      <c r="O75" s="4">
        <v>5495.446479608796</v>
      </c>
    </row>
    <row r="76" spans="1:15" ht="12.75">
      <c r="A76" s="11">
        <f t="shared" si="9"/>
        <v>71</v>
      </c>
      <c r="B76" s="19">
        <v>926</v>
      </c>
      <c r="C76" s="3" t="s">
        <v>350</v>
      </c>
      <c r="D76" s="3" t="s">
        <v>349</v>
      </c>
      <c r="E76" s="4">
        <v>26846853</v>
      </c>
      <c r="F76" s="4">
        <v>16577768.724403087</v>
      </c>
      <c r="G76" s="4">
        <v>3199840.9629967446</v>
      </c>
      <c r="H76" s="4">
        <v>2706163.5005846038</v>
      </c>
      <c r="I76" s="4">
        <v>1590157.3012161264</v>
      </c>
      <c r="J76" s="4">
        <v>1236392.6361387079</v>
      </c>
      <c r="K76" s="4">
        <v>603507.7866581713</v>
      </c>
      <c r="L76" s="4">
        <v>383685.622543702</v>
      </c>
      <c r="M76" s="4">
        <v>217913.75404634816</v>
      </c>
      <c r="N76" s="4">
        <v>299996.20476012235</v>
      </c>
      <c r="O76" s="4">
        <v>31426.506652388936</v>
      </c>
    </row>
    <row r="77" spans="1:15" ht="12.75">
      <c r="A77" s="11">
        <f t="shared" si="9"/>
        <v>72</v>
      </c>
      <c r="B77" s="19">
        <v>928</v>
      </c>
      <c r="C77" s="3" t="s">
        <v>351</v>
      </c>
      <c r="D77" s="3" t="s">
        <v>352</v>
      </c>
      <c r="E77" s="4">
        <v>5866357</v>
      </c>
      <c r="F77" s="4">
        <v>3140481.881235252</v>
      </c>
      <c r="G77" s="4">
        <v>708986.2732376053</v>
      </c>
      <c r="H77" s="4">
        <v>768930.7492084325</v>
      </c>
      <c r="I77" s="4">
        <v>506732.5760800584</v>
      </c>
      <c r="J77" s="4">
        <v>360758.4907482281</v>
      </c>
      <c r="K77" s="4">
        <v>184460.16554883518</v>
      </c>
      <c r="L77" s="4">
        <v>134642.384140792</v>
      </c>
      <c r="M77" s="4">
        <v>13728.247481391334</v>
      </c>
      <c r="N77" s="4">
        <v>44110.23580345291</v>
      </c>
      <c r="O77" s="4">
        <v>3525.996515953313</v>
      </c>
    </row>
    <row r="78" spans="1:15" ht="12.75">
      <c r="A78" s="11">
        <f t="shared" si="9"/>
        <v>73</v>
      </c>
      <c r="B78" s="19">
        <v>930</v>
      </c>
      <c r="C78" s="3" t="s">
        <v>353</v>
      </c>
      <c r="D78" s="3" t="s">
        <v>342</v>
      </c>
      <c r="E78" s="4">
        <v>3038231</v>
      </c>
      <c r="F78" s="4">
        <v>1816192.2770864556</v>
      </c>
      <c r="G78" s="4">
        <v>365304.50341082754</v>
      </c>
      <c r="H78" s="4">
        <v>313767.6701684088</v>
      </c>
      <c r="I78" s="4">
        <v>188980.05549431883</v>
      </c>
      <c r="J78" s="4">
        <v>153129.09226647363</v>
      </c>
      <c r="K78" s="4">
        <v>71144.53408807782</v>
      </c>
      <c r="L78" s="4">
        <v>47912.07411751345</v>
      </c>
      <c r="M78" s="4">
        <v>23632.942885559714</v>
      </c>
      <c r="N78" s="4">
        <v>54528.90438871521</v>
      </c>
      <c r="O78" s="4">
        <v>3638.9460936498604</v>
      </c>
    </row>
    <row r="79" spans="1:15" ht="12.75">
      <c r="A79" s="11">
        <f t="shared" si="9"/>
        <v>74</v>
      </c>
      <c r="B79" s="19">
        <v>931</v>
      </c>
      <c r="C79" s="3" t="s">
        <v>354</v>
      </c>
      <c r="D79" s="3" t="s">
        <v>342</v>
      </c>
      <c r="E79" s="4">
        <v>5002702</v>
      </c>
      <c r="F79" s="4">
        <v>2990512.8138594353</v>
      </c>
      <c r="G79" s="4">
        <v>601504.4839652921</v>
      </c>
      <c r="H79" s="4">
        <v>516644.76831644424</v>
      </c>
      <c r="I79" s="4">
        <v>311171.5013050488</v>
      </c>
      <c r="J79" s="4">
        <v>252139.8853937282</v>
      </c>
      <c r="K79" s="4">
        <v>117145.43856984381</v>
      </c>
      <c r="L79" s="4">
        <v>78891.24592956652</v>
      </c>
      <c r="M79" s="4">
        <v>38913.62132750121</v>
      </c>
      <c r="N79" s="4">
        <v>89786.41158069758</v>
      </c>
      <c r="O79" s="4">
        <v>5991.8297524429</v>
      </c>
    </row>
    <row r="80" spans="1:15" ht="12.75">
      <c r="A80" s="12">
        <f t="shared" si="9"/>
        <v>75</v>
      </c>
      <c r="B80" s="20"/>
      <c r="C80" s="9" t="s">
        <v>286</v>
      </c>
      <c r="D80" s="9"/>
      <c r="E80" s="10">
        <f aca="true" t="shared" si="10" ref="E80:O80">SUM(E70:E79)</f>
        <v>94742457</v>
      </c>
      <c r="F80" s="10">
        <f t="shared" si="10"/>
        <v>56780002.177094996</v>
      </c>
      <c r="G80" s="10">
        <f t="shared" si="10"/>
        <v>11363362.822491435</v>
      </c>
      <c r="H80" s="10">
        <f t="shared" si="10"/>
        <v>9940004.11768932</v>
      </c>
      <c r="I80" s="10">
        <f t="shared" si="10"/>
        <v>5978493.634986203</v>
      </c>
      <c r="J80" s="10">
        <f t="shared" si="10"/>
        <v>4722420.458193945</v>
      </c>
      <c r="K80" s="10">
        <f t="shared" si="10"/>
        <v>2242060.3445747546</v>
      </c>
      <c r="L80" s="10">
        <f t="shared" si="10"/>
        <v>1490540.2776955953</v>
      </c>
      <c r="M80" s="10">
        <f t="shared" si="10"/>
        <v>725260.766546289</v>
      </c>
      <c r="N80" s="10">
        <f t="shared" si="10"/>
        <v>1390522.7996636566</v>
      </c>
      <c r="O80" s="10">
        <f t="shared" si="10"/>
        <v>109789.60106382021</v>
      </c>
    </row>
    <row r="81" spans="1:15" ht="12.75">
      <c r="A81" s="11">
        <f t="shared" si="9"/>
        <v>76</v>
      </c>
      <c r="B81" s="19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ht="12.75">
      <c r="A82" s="12">
        <f t="shared" si="9"/>
        <v>77</v>
      </c>
      <c r="B82" s="20"/>
      <c r="C82" s="9" t="s">
        <v>96</v>
      </c>
      <c r="D82" s="9"/>
      <c r="E82" s="10">
        <f aca="true" t="shared" si="11" ref="E82:O82">SUM(E80,E67,E56,E48,E35,E31,E24,E20,E13)</f>
        <v>1136677210</v>
      </c>
      <c r="F82" s="10">
        <f t="shared" si="11"/>
        <v>625588843.7238877</v>
      </c>
      <c r="G82" s="10">
        <f t="shared" si="11"/>
        <v>137399111.74646524</v>
      </c>
      <c r="H82" s="10">
        <f t="shared" si="11"/>
        <v>142846650.56865397</v>
      </c>
      <c r="I82" s="10">
        <f t="shared" si="11"/>
        <v>94061529.07971963</v>
      </c>
      <c r="J82" s="10">
        <f t="shared" si="11"/>
        <v>66628516.76697182</v>
      </c>
      <c r="K82" s="10">
        <f t="shared" si="11"/>
        <v>34991272.94553603</v>
      </c>
      <c r="L82" s="10">
        <f t="shared" si="11"/>
        <v>25396036.464402907</v>
      </c>
      <c r="M82" s="10">
        <f t="shared" si="11"/>
        <v>1970508.024213968</v>
      </c>
      <c r="N82" s="10">
        <f t="shared" si="11"/>
        <v>7191564.394131892</v>
      </c>
      <c r="O82" s="10">
        <f t="shared" si="11"/>
        <v>603176.2860169292</v>
      </c>
    </row>
    <row r="83" spans="1:15" ht="12.75">
      <c r="A83" s="11">
        <f t="shared" si="9"/>
        <v>78</v>
      </c>
      <c r="B83" s="19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2.75">
      <c r="A84" s="11">
        <f t="shared" si="9"/>
        <v>79</v>
      </c>
      <c r="B84" s="19"/>
      <c r="C84" s="1" t="s">
        <v>355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ht="12.75">
      <c r="A85" s="11">
        <f t="shared" si="9"/>
        <v>80</v>
      </c>
      <c r="B85" s="19">
        <v>592</v>
      </c>
      <c r="C85" s="3" t="s">
        <v>356</v>
      </c>
      <c r="D85" s="3" t="s">
        <v>307</v>
      </c>
      <c r="E85" s="4">
        <v>4480622</v>
      </c>
      <c r="F85" s="4">
        <v>2209616.3870706167</v>
      </c>
      <c r="G85" s="4">
        <v>550283.9433902708</v>
      </c>
      <c r="H85" s="4">
        <v>568984.2869247764</v>
      </c>
      <c r="I85" s="4">
        <v>370949.2701594758</v>
      </c>
      <c r="J85" s="4">
        <v>299132.3893984619</v>
      </c>
      <c r="K85" s="4">
        <v>123046.40923241603</v>
      </c>
      <c r="L85" s="4">
        <v>112890.41626609291</v>
      </c>
      <c r="M85" s="4">
        <v>196797.4337327287</v>
      </c>
      <c r="N85" s="4">
        <v>26434.408283321518</v>
      </c>
      <c r="O85" s="4">
        <v>22487.055541838916</v>
      </c>
    </row>
    <row r="86" spans="1:15" ht="12.75">
      <c r="A86" s="11">
        <f t="shared" si="9"/>
        <v>81</v>
      </c>
      <c r="B86" s="19">
        <v>593</v>
      </c>
      <c r="C86" s="3" t="s">
        <v>308</v>
      </c>
      <c r="D86" s="3" t="s">
        <v>250</v>
      </c>
      <c r="E86" s="4">
        <v>39174782</v>
      </c>
      <c r="F86" s="4">
        <v>24103965.02127805</v>
      </c>
      <c r="G86" s="4">
        <v>4526575.842391922</v>
      </c>
      <c r="H86" s="4">
        <v>4082884.3320819945</v>
      </c>
      <c r="I86" s="4">
        <v>2125438.587393033</v>
      </c>
      <c r="J86" s="4">
        <v>2075023.2340532849</v>
      </c>
      <c r="K86" s="4">
        <v>522051.53478010395</v>
      </c>
      <c r="L86" s="4">
        <v>322272.27916087944</v>
      </c>
      <c r="M86" s="4">
        <v>1103445.003077898</v>
      </c>
      <c r="N86" s="4">
        <v>179273.74780997372</v>
      </c>
      <c r="O86" s="4">
        <v>133852.41797286252</v>
      </c>
    </row>
    <row r="87" spans="1:15" ht="12.75">
      <c r="A87" s="11">
        <f t="shared" si="9"/>
        <v>82</v>
      </c>
      <c r="B87" s="19">
        <v>594</v>
      </c>
      <c r="C87" s="3" t="s">
        <v>309</v>
      </c>
      <c r="D87" s="3" t="s">
        <v>310</v>
      </c>
      <c r="E87" s="4">
        <v>12196388</v>
      </c>
      <c r="F87" s="4">
        <v>8102366.563355266</v>
      </c>
      <c r="G87" s="4">
        <v>1392733.052905481</v>
      </c>
      <c r="H87" s="4">
        <v>1241885.3521371058</v>
      </c>
      <c r="I87" s="4">
        <v>562477.8263554618</v>
      </c>
      <c r="J87" s="4">
        <v>564123.4971414672</v>
      </c>
      <c r="K87" s="4">
        <v>221572.0612490709</v>
      </c>
      <c r="L87" s="4">
        <v>18694.058304864604</v>
      </c>
      <c r="M87" s="4">
        <v>11271.535907480873</v>
      </c>
      <c r="N87" s="4">
        <v>73134.06705064417</v>
      </c>
      <c r="O87" s="4">
        <v>8129.985593157526</v>
      </c>
    </row>
    <row r="88" spans="1:15" ht="12.75">
      <c r="A88" s="11">
        <f t="shared" si="9"/>
        <v>83</v>
      </c>
      <c r="B88" s="19">
        <v>595</v>
      </c>
      <c r="C88" s="3" t="s">
        <v>357</v>
      </c>
      <c r="D88" s="3" t="s">
        <v>358</v>
      </c>
      <c r="E88" s="4">
        <v>248865</v>
      </c>
      <c r="F88" s="4">
        <v>176185.22637995245</v>
      </c>
      <c r="G88" s="4">
        <v>42707.98154476128</v>
      </c>
      <c r="H88" s="4">
        <v>22180.211444680957</v>
      </c>
      <c r="I88" s="4">
        <v>5339.51486394423</v>
      </c>
      <c r="J88" s="4">
        <v>640.23775421303</v>
      </c>
      <c r="K88" s="4">
        <v>1666.842910093626</v>
      </c>
      <c r="L88" s="4">
        <v>0</v>
      </c>
      <c r="M88" s="4">
        <v>0</v>
      </c>
      <c r="N88" s="4">
        <v>133.00867610451897</v>
      </c>
      <c r="O88" s="4">
        <v>11.976426249913345</v>
      </c>
    </row>
    <row r="89" spans="1:15" ht="12.75">
      <c r="A89" s="11">
        <f t="shared" si="9"/>
        <v>84</v>
      </c>
      <c r="B89" s="19">
        <v>596</v>
      </c>
      <c r="C89" s="3" t="s">
        <v>311</v>
      </c>
      <c r="D89" s="3" t="s">
        <v>257</v>
      </c>
      <c r="E89" s="4">
        <v>1926037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1926037</v>
      </c>
      <c r="O89" s="4">
        <v>0</v>
      </c>
    </row>
    <row r="90" spans="1:15" ht="12.75">
      <c r="A90" s="11">
        <f t="shared" si="9"/>
        <v>85</v>
      </c>
      <c r="B90" s="19">
        <v>597</v>
      </c>
      <c r="C90" s="3" t="s">
        <v>359</v>
      </c>
      <c r="D90" s="3" t="s">
        <v>313</v>
      </c>
      <c r="E90" s="4">
        <v>507944</v>
      </c>
      <c r="F90" s="4">
        <v>270183.69677656103</v>
      </c>
      <c r="G90" s="4">
        <v>117877.32660505729</v>
      </c>
      <c r="H90" s="4">
        <v>46296.26346569022</v>
      </c>
      <c r="I90" s="4">
        <v>5106.422195342119</v>
      </c>
      <c r="J90" s="4">
        <v>61024.88763724179</v>
      </c>
      <c r="K90" s="4">
        <v>2959.0756773467765</v>
      </c>
      <c r="L90" s="4">
        <v>2222.2625916644115</v>
      </c>
      <c r="M90" s="4">
        <v>1157.4284331585477</v>
      </c>
      <c r="N90" s="4">
        <v>0</v>
      </c>
      <c r="O90" s="4">
        <v>1116.6366179378297</v>
      </c>
    </row>
    <row r="91" spans="1:15" ht="12.75">
      <c r="A91" s="12">
        <f>+A90+1</f>
        <v>86</v>
      </c>
      <c r="B91" s="20"/>
      <c r="C91" s="9" t="s">
        <v>286</v>
      </c>
      <c r="D91" s="9"/>
      <c r="E91" s="10">
        <f aca="true" t="shared" si="12" ref="E91:O91">SUM(E85:E90)</f>
        <v>58534638</v>
      </c>
      <c r="F91" s="10">
        <f t="shared" si="12"/>
        <v>34862316.89486045</v>
      </c>
      <c r="G91" s="10">
        <f t="shared" si="12"/>
        <v>6630178.1468374925</v>
      </c>
      <c r="H91" s="10">
        <f t="shared" si="12"/>
        <v>5962230.446054247</v>
      </c>
      <c r="I91" s="10">
        <f t="shared" si="12"/>
        <v>3069311.620967257</v>
      </c>
      <c r="J91" s="10">
        <f t="shared" si="12"/>
        <v>2999944.2459846693</v>
      </c>
      <c r="K91" s="10">
        <f t="shared" si="12"/>
        <v>871295.9238490313</v>
      </c>
      <c r="L91" s="10">
        <f t="shared" si="12"/>
        <v>456079.01632350136</v>
      </c>
      <c r="M91" s="10">
        <f t="shared" si="12"/>
        <v>1312671.401151266</v>
      </c>
      <c r="N91" s="10">
        <f t="shared" si="12"/>
        <v>2205012.231820044</v>
      </c>
      <c r="O91" s="10">
        <f t="shared" si="12"/>
        <v>165598.07215204672</v>
      </c>
    </row>
    <row r="92" spans="1:15" ht="12.75">
      <c r="A92" s="11">
        <f t="shared" si="9"/>
        <v>87</v>
      </c>
      <c r="B92" s="19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ht="12.75">
      <c r="A93" s="11">
        <f t="shared" si="9"/>
        <v>88</v>
      </c>
      <c r="B93" s="19"/>
      <c r="C93" s="1" t="s">
        <v>360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ht="12.75">
      <c r="A94" s="11">
        <f t="shared" si="9"/>
        <v>89</v>
      </c>
      <c r="B94" s="19">
        <v>935</v>
      </c>
      <c r="C94" s="3" t="s">
        <v>361</v>
      </c>
      <c r="D94" s="3" t="s">
        <v>264</v>
      </c>
      <c r="E94" s="4">
        <v>5128705</v>
      </c>
      <c r="F94" s="4">
        <v>3149810.5022475147</v>
      </c>
      <c r="G94" s="4">
        <v>611799.7013769282</v>
      </c>
      <c r="H94" s="4">
        <v>523494.3118636133</v>
      </c>
      <c r="I94" s="4">
        <v>308126.34034315374</v>
      </c>
      <c r="J94" s="4">
        <v>239544.235245555</v>
      </c>
      <c r="K94" s="4">
        <v>116277.2615384559</v>
      </c>
      <c r="L94" s="4">
        <v>74136.0079911997</v>
      </c>
      <c r="M94" s="4">
        <v>42105.44911735408</v>
      </c>
      <c r="N94" s="4">
        <v>57358.86529694371</v>
      </c>
      <c r="O94" s="4">
        <v>6052.324979283701</v>
      </c>
    </row>
    <row r="95" spans="1:15" ht="12.75">
      <c r="A95" s="11">
        <f t="shared" si="9"/>
        <v>90</v>
      </c>
      <c r="B95" s="19">
        <v>411</v>
      </c>
      <c r="C95" s="3" t="s">
        <v>362</v>
      </c>
      <c r="D95" s="3" t="s">
        <v>248</v>
      </c>
      <c r="E95" s="4">
        <v>7864877</v>
      </c>
      <c r="F95" s="4">
        <v>4188128.444133768</v>
      </c>
      <c r="G95" s="4">
        <v>949511.9063327119</v>
      </c>
      <c r="H95" s="4">
        <v>1052942.2976347911</v>
      </c>
      <c r="I95" s="4">
        <v>705746.2865359295</v>
      </c>
      <c r="J95" s="4">
        <v>486563.1151119866</v>
      </c>
      <c r="K95" s="4">
        <v>259066.40708702672</v>
      </c>
      <c r="L95" s="4">
        <v>190852.0343175874</v>
      </c>
      <c r="M95" s="4">
        <v>0</v>
      </c>
      <c r="N95" s="4">
        <v>29353.219820374426</v>
      </c>
      <c r="O95" s="4">
        <v>2713.289025824448</v>
      </c>
    </row>
    <row r="96" spans="1:15" ht="12.75">
      <c r="A96" s="11">
        <f t="shared" si="9"/>
        <v>91</v>
      </c>
      <c r="B96" s="19">
        <v>411.01</v>
      </c>
      <c r="C96" s="3" t="s">
        <v>363</v>
      </c>
      <c r="D96" s="3" t="s">
        <v>302</v>
      </c>
      <c r="E96" s="4">
        <v>697745</v>
      </c>
      <c r="F96" s="4">
        <v>357867.89468036394</v>
      </c>
      <c r="G96" s="4">
        <v>81080.32729560521</v>
      </c>
      <c r="H96" s="4">
        <v>89896.08230257597</v>
      </c>
      <c r="I96" s="4">
        <v>60246.948072755695</v>
      </c>
      <c r="J96" s="4">
        <v>41524.31411963788</v>
      </c>
      <c r="K96" s="4">
        <v>22112.59515868888</v>
      </c>
      <c r="L96" s="4">
        <v>16289.458586412287</v>
      </c>
      <c r="M96" s="4">
        <v>24180.889565314497</v>
      </c>
      <c r="N96" s="4">
        <v>2505.430588330396</v>
      </c>
      <c r="O96" s="4">
        <v>2041.0596303152638</v>
      </c>
    </row>
    <row r="97" spans="1:15" ht="12.75">
      <c r="A97" s="11">
        <f t="shared" si="9"/>
        <v>92</v>
      </c>
      <c r="B97" s="19">
        <v>411.02</v>
      </c>
      <c r="C97" s="3" t="s">
        <v>364</v>
      </c>
      <c r="D97" s="3" t="s">
        <v>260</v>
      </c>
      <c r="E97" s="4">
        <v>-2082384</v>
      </c>
      <c r="F97" s="4">
        <v>-1303108.757927719</v>
      </c>
      <c r="G97" s="4">
        <v>-251662.85741861278</v>
      </c>
      <c r="H97" s="4">
        <v>-205175.7146961616</v>
      </c>
      <c r="I97" s="4">
        <v>-99541.66706385398</v>
      </c>
      <c r="J97" s="4">
        <v>-96288.28083310412</v>
      </c>
      <c r="K97" s="4">
        <v>-32875.486791323005</v>
      </c>
      <c r="L97" s="4">
        <v>-15227.334088732727</v>
      </c>
      <c r="M97" s="4">
        <v>-32150.03413516617</v>
      </c>
      <c r="N97" s="4">
        <v>-42087.04872261716</v>
      </c>
      <c r="O97" s="4">
        <v>-4266.81832270935</v>
      </c>
    </row>
    <row r="98" spans="1:15" ht="12.75">
      <c r="A98" s="11">
        <f t="shared" si="9"/>
        <v>93</v>
      </c>
      <c r="B98" s="19">
        <v>411.03</v>
      </c>
      <c r="C98" s="3" t="s">
        <v>365</v>
      </c>
      <c r="D98" s="3" t="s">
        <v>366</v>
      </c>
      <c r="E98" s="4">
        <v>1582025</v>
      </c>
      <c r="F98" s="4">
        <v>970437.1744386026</v>
      </c>
      <c r="G98" s="4">
        <v>190387.2253272965</v>
      </c>
      <c r="H98" s="4">
        <v>161126.95365065464</v>
      </c>
      <c r="I98" s="4">
        <v>82301.56611750863</v>
      </c>
      <c r="J98" s="4">
        <v>75451.55992134655</v>
      </c>
      <c r="K98" s="4">
        <v>27731.61193010469</v>
      </c>
      <c r="L98" s="4">
        <v>14346.395671896153</v>
      </c>
      <c r="M98" s="4">
        <v>27754.41153305165</v>
      </c>
      <c r="N98" s="4">
        <v>29094.71061574863</v>
      </c>
      <c r="O98" s="4">
        <v>3393.390793790151</v>
      </c>
    </row>
    <row r="99" spans="1:15" ht="12.75">
      <c r="A99" s="11">
        <f t="shared" si="9"/>
        <v>94</v>
      </c>
      <c r="B99" s="19">
        <v>411.04</v>
      </c>
      <c r="C99" s="3" t="s">
        <v>367</v>
      </c>
      <c r="D99" s="3" t="s">
        <v>248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</row>
    <row r="100" spans="1:15" ht="12.75">
      <c r="A100" s="12">
        <f>+A99+1</f>
        <v>95</v>
      </c>
      <c r="B100" s="20"/>
      <c r="C100" s="9" t="s">
        <v>286</v>
      </c>
      <c r="D100" s="9"/>
      <c r="E100" s="10">
        <f aca="true" t="shared" si="13" ref="E100:O100">SUM(E94:E99)</f>
        <v>13190968</v>
      </c>
      <c r="F100" s="10">
        <f t="shared" si="13"/>
        <v>7363135.257572529</v>
      </c>
      <c r="G100" s="10">
        <f t="shared" si="13"/>
        <v>1581116.3029139289</v>
      </c>
      <c r="H100" s="10">
        <f t="shared" si="13"/>
        <v>1622283.9307554732</v>
      </c>
      <c r="I100" s="10">
        <f t="shared" si="13"/>
        <v>1056879.4740054936</v>
      </c>
      <c r="J100" s="10">
        <f t="shared" si="13"/>
        <v>746794.9435654217</v>
      </c>
      <c r="K100" s="10">
        <f t="shared" si="13"/>
        <v>392312.38892295316</v>
      </c>
      <c r="L100" s="10">
        <f t="shared" si="13"/>
        <v>280396.5624783629</v>
      </c>
      <c r="M100" s="10">
        <f t="shared" si="13"/>
        <v>61890.716080554055</v>
      </c>
      <c r="N100" s="10">
        <f t="shared" si="13"/>
        <v>76225.17759878</v>
      </c>
      <c r="O100" s="10">
        <f t="shared" si="13"/>
        <v>9933.246106504213</v>
      </c>
    </row>
    <row r="101" spans="1:15" ht="12.75">
      <c r="A101" s="11">
        <f t="shared" si="9"/>
        <v>96</v>
      </c>
      <c r="B101" s="19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ht="12.75">
      <c r="A102" s="12">
        <f t="shared" si="9"/>
        <v>97</v>
      </c>
      <c r="B102" s="20"/>
      <c r="C102" s="9" t="s">
        <v>368</v>
      </c>
      <c r="D102" s="9"/>
      <c r="E102" s="10">
        <f aca="true" t="shared" si="14" ref="E102:O102">SUM(E100,E91)</f>
        <v>71725606</v>
      </c>
      <c r="F102" s="10">
        <f t="shared" si="14"/>
        <v>42225452.15243298</v>
      </c>
      <c r="G102" s="10">
        <f t="shared" si="14"/>
        <v>8211294.449751422</v>
      </c>
      <c r="H102" s="10">
        <f t="shared" si="14"/>
        <v>7584514.37680972</v>
      </c>
      <c r="I102" s="10">
        <f t="shared" si="14"/>
        <v>4126191.09497275</v>
      </c>
      <c r="J102" s="10">
        <f t="shared" si="14"/>
        <v>3746739.189550091</v>
      </c>
      <c r="K102" s="10">
        <f t="shared" si="14"/>
        <v>1263608.3127719844</v>
      </c>
      <c r="L102" s="10">
        <f t="shared" si="14"/>
        <v>736475.5788018643</v>
      </c>
      <c r="M102" s="10">
        <f t="shared" si="14"/>
        <v>1374562.11723182</v>
      </c>
      <c r="N102" s="10">
        <f t="shared" si="14"/>
        <v>2281237.409418824</v>
      </c>
      <c r="O102" s="10">
        <f t="shared" si="14"/>
        <v>175531.31825855092</v>
      </c>
    </row>
    <row r="103" spans="1:15" ht="12.75">
      <c r="A103" s="11">
        <f t="shared" si="9"/>
        <v>98</v>
      </c>
      <c r="B103" s="19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12.75">
      <c r="A104" s="12">
        <f>+A103+1</f>
        <v>99</v>
      </c>
      <c r="B104" s="20"/>
      <c r="C104" s="9" t="s">
        <v>369</v>
      </c>
      <c r="D104" s="9"/>
      <c r="E104" s="10">
        <f aca="true" t="shared" si="15" ref="E104:O104">SUM(E102,E82)</f>
        <v>1208402816</v>
      </c>
      <c r="F104" s="10">
        <f t="shared" si="15"/>
        <v>667814295.8763206</v>
      </c>
      <c r="G104" s="10">
        <f t="shared" si="15"/>
        <v>145610406.19621664</v>
      </c>
      <c r="H104" s="10">
        <f t="shared" si="15"/>
        <v>150431164.9454637</v>
      </c>
      <c r="I104" s="10">
        <f t="shared" si="15"/>
        <v>98187720.17469238</v>
      </c>
      <c r="J104" s="10">
        <f t="shared" si="15"/>
        <v>70375255.95652191</v>
      </c>
      <c r="K104" s="10">
        <f t="shared" si="15"/>
        <v>36254881.258308016</v>
      </c>
      <c r="L104" s="10">
        <f t="shared" si="15"/>
        <v>26132512.04320477</v>
      </c>
      <c r="M104" s="10">
        <f t="shared" si="15"/>
        <v>3345070.141445788</v>
      </c>
      <c r="N104" s="10">
        <f t="shared" si="15"/>
        <v>9472801.803550716</v>
      </c>
      <c r="O104" s="10">
        <f t="shared" si="15"/>
        <v>778707.6042754801</v>
      </c>
    </row>
    <row r="105" spans="1:15" ht="12.75">
      <c r="A105" s="11">
        <f t="shared" si="9"/>
        <v>100</v>
      </c>
      <c r="B105" s="19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2.75">
      <c r="A106" s="11">
        <f t="shared" si="9"/>
        <v>101</v>
      </c>
      <c r="B106" s="19"/>
      <c r="C106" s="1" t="s">
        <v>37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2.75">
      <c r="A107" s="11">
        <f t="shared" si="9"/>
        <v>102</v>
      </c>
      <c r="B107" s="19">
        <v>403.01</v>
      </c>
      <c r="C107" s="3" t="s">
        <v>370</v>
      </c>
      <c r="D107" s="3" t="s">
        <v>248</v>
      </c>
      <c r="E107" s="4">
        <v>19613418</v>
      </c>
      <c r="F107" s="4">
        <v>10444348.18401931</v>
      </c>
      <c r="G107" s="4">
        <v>2367891.3115717294</v>
      </c>
      <c r="H107" s="4">
        <v>2625825.860136347</v>
      </c>
      <c r="I107" s="4">
        <v>1759988.9889920668</v>
      </c>
      <c r="J107" s="4">
        <v>1213390.337836626</v>
      </c>
      <c r="K107" s="4">
        <v>646059.4020677014</v>
      </c>
      <c r="L107" s="4">
        <v>475946.50561238104</v>
      </c>
      <c r="M107" s="4">
        <v>0</v>
      </c>
      <c r="N107" s="4">
        <v>73201.01382168959</v>
      </c>
      <c r="O107" s="4">
        <v>6766.395942149852</v>
      </c>
    </row>
    <row r="108" spans="1:15" ht="12.75">
      <c r="A108" s="11">
        <f t="shared" si="9"/>
        <v>103</v>
      </c>
      <c r="B108" s="19">
        <v>403.02</v>
      </c>
      <c r="C108" s="3" t="s">
        <v>371</v>
      </c>
      <c r="D108" s="3" t="s">
        <v>248</v>
      </c>
      <c r="E108" s="4">
        <v>6080376</v>
      </c>
      <c r="F108" s="4">
        <v>3237863.182937038</v>
      </c>
      <c r="G108" s="4">
        <v>734072.4345695006</v>
      </c>
      <c r="H108" s="4">
        <v>814034.9907472732</v>
      </c>
      <c r="I108" s="4">
        <v>545616.0068036906</v>
      </c>
      <c r="J108" s="4">
        <v>376164.3936214337</v>
      </c>
      <c r="K108" s="4">
        <v>200285.5434431063</v>
      </c>
      <c r="L108" s="4">
        <v>147548.66846815718</v>
      </c>
      <c r="M108" s="4">
        <v>0</v>
      </c>
      <c r="N108" s="4">
        <v>22693.12200540822</v>
      </c>
      <c r="O108" s="4">
        <v>2097.6574043925107</v>
      </c>
    </row>
    <row r="109" spans="1:15" ht="12.75">
      <c r="A109" s="11">
        <f t="shared" si="9"/>
        <v>104</v>
      </c>
      <c r="B109" s="19">
        <v>403.03</v>
      </c>
      <c r="C109" s="3" t="s">
        <v>372</v>
      </c>
      <c r="D109" s="3" t="s">
        <v>248</v>
      </c>
      <c r="E109" s="4">
        <v>67990832</v>
      </c>
      <c r="F109" s="4">
        <v>36205822.092261635</v>
      </c>
      <c r="G109" s="4">
        <v>8208406.120714558</v>
      </c>
      <c r="H109" s="4">
        <v>9102548.312475972</v>
      </c>
      <c r="I109" s="4">
        <v>6101084.251220744</v>
      </c>
      <c r="J109" s="4">
        <v>4206274.429590665</v>
      </c>
      <c r="K109" s="4">
        <v>2239595.172448043</v>
      </c>
      <c r="L109" s="4">
        <v>1649890.8504411853</v>
      </c>
      <c r="M109" s="4">
        <v>0</v>
      </c>
      <c r="N109" s="4">
        <v>253754.7424411275</v>
      </c>
      <c r="O109" s="4">
        <v>23456.02840607345</v>
      </c>
    </row>
    <row r="110" spans="1:15" ht="12.75">
      <c r="A110" s="11">
        <f t="shared" si="9"/>
        <v>105</v>
      </c>
      <c r="B110" s="19">
        <v>403.04</v>
      </c>
      <c r="C110" s="3" t="s">
        <v>373</v>
      </c>
      <c r="D110" s="3" t="s">
        <v>302</v>
      </c>
      <c r="E110" s="4">
        <v>8646050</v>
      </c>
      <c r="F110" s="4">
        <v>4434490.6961729005</v>
      </c>
      <c r="G110" s="4">
        <v>1004700.2326267727</v>
      </c>
      <c r="H110" s="4">
        <v>1113939.9385050226</v>
      </c>
      <c r="I110" s="4">
        <v>746545.1209029793</v>
      </c>
      <c r="J110" s="4">
        <v>514545.13625191886</v>
      </c>
      <c r="K110" s="4">
        <v>274006.4111842894</v>
      </c>
      <c r="L110" s="4">
        <v>201849.49144895337</v>
      </c>
      <c r="M110" s="4">
        <v>299635.5118649182</v>
      </c>
      <c r="N110" s="4">
        <v>31045.837860871838</v>
      </c>
      <c r="O110" s="4">
        <v>25291.62318137326</v>
      </c>
    </row>
    <row r="111" spans="1:15" ht="12.75">
      <c r="A111" s="11">
        <f t="shared" si="9"/>
        <v>106</v>
      </c>
      <c r="B111" s="19">
        <v>403.05</v>
      </c>
      <c r="C111" s="3" t="s">
        <v>374</v>
      </c>
      <c r="D111" s="3" t="s">
        <v>260</v>
      </c>
      <c r="E111" s="4">
        <v>94050635</v>
      </c>
      <c r="F111" s="4">
        <v>58854757.891514376</v>
      </c>
      <c r="G111" s="4">
        <v>11366324.14873289</v>
      </c>
      <c r="H111" s="4">
        <v>9266737.668822289</v>
      </c>
      <c r="I111" s="4">
        <v>4495787.998906087</v>
      </c>
      <c r="J111" s="4">
        <v>4348849.1821929915</v>
      </c>
      <c r="K111" s="4">
        <v>1484817.5978388428</v>
      </c>
      <c r="L111" s="4">
        <v>687740.8011214354</v>
      </c>
      <c r="M111" s="4">
        <v>1452052.6116624284</v>
      </c>
      <c r="N111" s="4">
        <v>1900856.7380646812</v>
      </c>
      <c r="O111" s="4">
        <v>192710.36114398172</v>
      </c>
    </row>
    <row r="112" spans="1:15" ht="12.75">
      <c r="A112" s="11">
        <f t="shared" si="9"/>
        <v>107</v>
      </c>
      <c r="B112" s="19">
        <v>403.06</v>
      </c>
      <c r="C112" s="3" t="s">
        <v>375</v>
      </c>
      <c r="D112" s="3" t="s">
        <v>264</v>
      </c>
      <c r="E112" s="4">
        <v>20494477</v>
      </c>
      <c r="F112" s="4">
        <v>12586748.290781032</v>
      </c>
      <c r="G112" s="4">
        <v>2444772.1029921444</v>
      </c>
      <c r="H112" s="4">
        <v>2091900.8081220605</v>
      </c>
      <c r="I112" s="4">
        <v>1231283.1787472542</v>
      </c>
      <c r="J112" s="4">
        <v>957226.7891646363</v>
      </c>
      <c r="K112" s="4">
        <v>464647.8325859781</v>
      </c>
      <c r="L112" s="4">
        <v>296249.97161027166</v>
      </c>
      <c r="M112" s="4">
        <v>168254.7852743106</v>
      </c>
      <c r="N112" s="4">
        <v>229207.94734232346</v>
      </c>
      <c r="O112" s="4">
        <v>24185.29337999656</v>
      </c>
    </row>
    <row r="113" spans="1:15" ht="12.75">
      <c r="A113" s="11">
        <f t="shared" si="9"/>
        <v>108</v>
      </c>
      <c r="B113" s="19">
        <v>403.07</v>
      </c>
      <c r="C113" s="3" t="s">
        <v>376</v>
      </c>
      <c r="D113" s="3" t="s">
        <v>248</v>
      </c>
      <c r="E113" s="4">
        <v>-27088</v>
      </c>
      <c r="F113" s="4">
        <v>-14424.640499107045</v>
      </c>
      <c r="G113" s="4">
        <v>-3270.283631738997</v>
      </c>
      <c r="H113" s="4">
        <v>-3626.5158321396793</v>
      </c>
      <c r="I113" s="4">
        <v>-2430.7125730873177</v>
      </c>
      <c r="J113" s="4">
        <v>-1675.8077287354263</v>
      </c>
      <c r="K113" s="4">
        <v>-892.2696229290528</v>
      </c>
      <c r="L113" s="4">
        <v>-657.327496106399</v>
      </c>
      <c r="M113" s="4">
        <v>0</v>
      </c>
      <c r="N113" s="4">
        <v>-101.09757832122519</v>
      </c>
      <c r="O113" s="4">
        <v>-9.345037834861582</v>
      </c>
    </row>
    <row r="114" spans="1:15" ht="12.75">
      <c r="A114" s="11">
        <f t="shared" si="9"/>
        <v>109</v>
      </c>
      <c r="B114" s="19">
        <v>403.08</v>
      </c>
      <c r="C114" s="3" t="s">
        <v>377</v>
      </c>
      <c r="D114" s="3" t="s">
        <v>260</v>
      </c>
      <c r="E114" s="4">
        <v>2874929</v>
      </c>
      <c r="F114" s="4">
        <v>1799065.4741490425</v>
      </c>
      <c r="G114" s="4">
        <v>347444.4900727412</v>
      </c>
      <c r="H114" s="4">
        <v>283264.5718924661</v>
      </c>
      <c r="I114" s="4">
        <v>137426.73078078715</v>
      </c>
      <c r="J114" s="4">
        <v>132935.12192143005</v>
      </c>
      <c r="K114" s="4">
        <v>45387.733657909135</v>
      </c>
      <c r="L114" s="4">
        <v>21022.781756096036</v>
      </c>
      <c r="M114" s="4">
        <v>44386.177326650206</v>
      </c>
      <c r="N114" s="4">
        <v>58105.17027458194</v>
      </c>
      <c r="O114" s="4">
        <v>5890.748168295792</v>
      </c>
    </row>
    <row r="115" spans="1:15" ht="12.75">
      <c r="A115" s="11">
        <f t="shared" si="9"/>
        <v>110</v>
      </c>
      <c r="B115" s="19">
        <v>404</v>
      </c>
      <c r="C115" s="3" t="s">
        <v>378</v>
      </c>
      <c r="D115" s="3" t="s">
        <v>248</v>
      </c>
      <c r="E115" s="4">
        <v>1005996</v>
      </c>
      <c r="F115" s="4">
        <v>535703.2871950564</v>
      </c>
      <c r="G115" s="4">
        <v>121452.0175869353</v>
      </c>
      <c r="H115" s="4">
        <v>134681.7934535288</v>
      </c>
      <c r="I115" s="4">
        <v>90271.97008548245</v>
      </c>
      <c r="J115" s="4">
        <v>62236.26225180611</v>
      </c>
      <c r="K115" s="4">
        <v>33137.17039235585</v>
      </c>
      <c r="L115" s="4">
        <v>24411.873588786657</v>
      </c>
      <c r="M115" s="4">
        <v>0</v>
      </c>
      <c r="N115" s="4">
        <v>3754.568790639369</v>
      </c>
      <c r="O115" s="4">
        <v>347.0566554090155</v>
      </c>
    </row>
    <row r="116" spans="1:15" ht="12.75">
      <c r="A116" s="11">
        <f t="shared" si="9"/>
        <v>111</v>
      </c>
      <c r="B116" s="19">
        <v>404.01</v>
      </c>
      <c r="C116" s="3" t="s">
        <v>379</v>
      </c>
      <c r="D116" s="3" t="s">
        <v>264</v>
      </c>
      <c r="E116" s="4">
        <v>25536254</v>
      </c>
      <c r="F116" s="4">
        <v>15683171.685105715</v>
      </c>
      <c r="G116" s="4">
        <v>3046202.2228779765</v>
      </c>
      <c r="H116" s="4">
        <v>2606522.2537276843</v>
      </c>
      <c r="I116" s="4">
        <v>1534186.9908862417</v>
      </c>
      <c r="J116" s="4">
        <v>1192710.9154194372</v>
      </c>
      <c r="K116" s="4">
        <v>578954.2750207783</v>
      </c>
      <c r="L116" s="4">
        <v>369129.4255780563</v>
      </c>
      <c r="M116" s="4">
        <v>209646.5761717294</v>
      </c>
      <c r="N116" s="4">
        <v>285594.6195724925</v>
      </c>
      <c r="O116" s="4">
        <v>30135.0356399</v>
      </c>
    </row>
    <row r="117" spans="1:15" ht="12.75">
      <c r="A117" s="11">
        <f t="shared" si="9"/>
        <v>112</v>
      </c>
      <c r="B117" s="19">
        <v>404.02</v>
      </c>
      <c r="C117" s="3" t="s">
        <v>380</v>
      </c>
      <c r="D117" s="3" t="s">
        <v>248</v>
      </c>
      <c r="E117" s="4">
        <v>1029398</v>
      </c>
      <c r="F117" s="4">
        <v>548165.0945252434</v>
      </c>
      <c r="G117" s="4">
        <v>124277.29732519416</v>
      </c>
      <c r="H117" s="4">
        <v>137814.83109025846</v>
      </c>
      <c r="I117" s="4">
        <v>92371.92340929335</v>
      </c>
      <c r="J117" s="4">
        <v>63684.03441910773</v>
      </c>
      <c r="K117" s="4">
        <v>33908.02441316897</v>
      </c>
      <c r="L117" s="4">
        <v>24979.75523615383</v>
      </c>
      <c r="M117" s="4">
        <v>0</v>
      </c>
      <c r="N117" s="4">
        <v>3841.9095144976573</v>
      </c>
      <c r="O117" s="4">
        <v>355.13006708250305</v>
      </c>
    </row>
    <row r="118" spans="1:15" ht="12.75">
      <c r="A118" s="11">
        <f t="shared" si="9"/>
        <v>113</v>
      </c>
      <c r="B118" s="19">
        <v>405</v>
      </c>
      <c r="C118" s="3" t="s">
        <v>381</v>
      </c>
      <c r="D118" s="3" t="s">
        <v>253</v>
      </c>
      <c r="E118" s="4">
        <v>2070601</v>
      </c>
      <c r="F118" s="4">
        <v>1193677.7836574195</v>
      </c>
      <c r="G118" s="4">
        <v>249547.43901087396</v>
      </c>
      <c r="H118" s="4">
        <v>241158.33779454432</v>
      </c>
      <c r="I118" s="4">
        <v>143357.73447256855</v>
      </c>
      <c r="J118" s="4">
        <v>112146.84005923053</v>
      </c>
      <c r="K118" s="4">
        <v>50859.71920213379</v>
      </c>
      <c r="L118" s="4">
        <v>33139.94800063221</v>
      </c>
      <c r="M118" s="4">
        <v>19746.10594824733</v>
      </c>
      <c r="N118" s="4">
        <v>24226.802716818165</v>
      </c>
      <c r="O118" s="4">
        <v>2740.2891375318086</v>
      </c>
    </row>
    <row r="119" spans="1:15" ht="12.75">
      <c r="A119" s="11">
        <f t="shared" si="9"/>
        <v>114</v>
      </c>
      <c r="B119" s="19">
        <v>406</v>
      </c>
      <c r="C119" s="3" t="s">
        <v>382</v>
      </c>
      <c r="D119" s="3" t="s">
        <v>383</v>
      </c>
      <c r="E119" s="4">
        <v>25800</v>
      </c>
      <c r="F119" s="4">
        <v>12626.479996385697</v>
      </c>
      <c r="G119" s="4">
        <v>2858.2480978420176</v>
      </c>
      <c r="H119" s="4">
        <v>3168.2703091093294</v>
      </c>
      <c r="I119" s="4">
        <v>2123.007663114791</v>
      </c>
      <c r="J119" s="4">
        <v>1462.7094973310614</v>
      </c>
      <c r="K119" s="4">
        <v>779.0775372013968</v>
      </c>
      <c r="L119" s="4">
        <v>573.8826759394059</v>
      </c>
      <c r="M119" s="4">
        <v>1964.861638357781</v>
      </c>
      <c r="N119" s="4">
        <v>88.27154965776269</v>
      </c>
      <c r="O119" s="4">
        <v>155.1910350607568</v>
      </c>
    </row>
    <row r="120" spans="1:15" ht="12.75">
      <c r="A120" s="11">
        <f t="shared" si="9"/>
        <v>115</v>
      </c>
      <c r="B120" s="19">
        <v>406.01</v>
      </c>
      <c r="C120" s="3" t="s">
        <v>384</v>
      </c>
      <c r="D120" s="3" t="s">
        <v>260</v>
      </c>
      <c r="E120" s="4">
        <v>11200</v>
      </c>
      <c r="F120" s="4">
        <v>7008.706409956307</v>
      </c>
      <c r="G120" s="4">
        <v>1353.5563100218128</v>
      </c>
      <c r="H120" s="4">
        <v>1103.5274976166788</v>
      </c>
      <c r="I120" s="4">
        <v>535.3799640773099</v>
      </c>
      <c r="J120" s="4">
        <v>517.881786131072</v>
      </c>
      <c r="K120" s="4">
        <v>176.81918995863282</v>
      </c>
      <c r="L120" s="4">
        <v>81.8994680106102</v>
      </c>
      <c r="M120" s="4">
        <v>172.917378501689</v>
      </c>
      <c r="N120" s="4">
        <v>226.3631230807153</v>
      </c>
      <c r="O120" s="4">
        <v>22.948872645172408</v>
      </c>
    </row>
    <row r="121" spans="1:15" ht="12.75">
      <c r="A121" s="11">
        <f t="shared" si="9"/>
        <v>116</v>
      </c>
      <c r="B121" s="19">
        <v>406.02</v>
      </c>
      <c r="C121" s="3" t="s">
        <v>385</v>
      </c>
      <c r="D121" s="3" t="s">
        <v>226</v>
      </c>
      <c r="E121" s="4">
        <v>715283</v>
      </c>
      <c r="F121" s="4">
        <v>380895.60433117184</v>
      </c>
      <c r="G121" s="4">
        <v>86354.78023335662</v>
      </c>
      <c r="H121" s="4">
        <v>95761.41184141929</v>
      </c>
      <c r="I121" s="4">
        <v>64185.15141079502</v>
      </c>
      <c r="J121" s="4">
        <v>44251.21011640069</v>
      </c>
      <c r="K121" s="4">
        <v>23561.181803660722</v>
      </c>
      <c r="L121" s="4">
        <v>17357.32366352161</v>
      </c>
      <c r="M121" s="4">
        <v>0</v>
      </c>
      <c r="N121" s="4">
        <v>2669.5724717343805</v>
      </c>
      <c r="O121" s="4">
        <v>246.76412793979978</v>
      </c>
    </row>
    <row r="122" spans="1:15" ht="12.75">
      <c r="A122" s="11">
        <f t="shared" si="9"/>
        <v>117</v>
      </c>
      <c r="B122" s="19">
        <v>406.03</v>
      </c>
      <c r="C122" s="3" t="s">
        <v>386</v>
      </c>
      <c r="D122" s="3" t="s">
        <v>248</v>
      </c>
      <c r="E122" s="4">
        <v>9553357</v>
      </c>
      <c r="F122" s="4">
        <v>5087261.52852288</v>
      </c>
      <c r="G122" s="4">
        <v>1153358.9421610737</v>
      </c>
      <c r="H122" s="4">
        <v>1278994.4038165398</v>
      </c>
      <c r="I122" s="4">
        <v>857260.2250107699</v>
      </c>
      <c r="J122" s="4">
        <v>591021.4669214666</v>
      </c>
      <c r="K122" s="4">
        <v>314684.37123806216</v>
      </c>
      <c r="L122" s="4">
        <v>231825.31882090002</v>
      </c>
      <c r="M122" s="4">
        <v>0</v>
      </c>
      <c r="N122" s="4">
        <v>35654.948964047726</v>
      </c>
      <c r="O122" s="4">
        <v>3295.794544260918</v>
      </c>
    </row>
    <row r="123" spans="1:15" ht="12.75">
      <c r="A123" s="11">
        <f t="shared" si="9"/>
        <v>118</v>
      </c>
      <c r="B123" s="19">
        <v>407</v>
      </c>
      <c r="C123" s="3" t="s">
        <v>387</v>
      </c>
      <c r="D123" s="3" t="s">
        <v>248</v>
      </c>
      <c r="E123" s="4">
        <v>1463328</v>
      </c>
      <c r="F123" s="4">
        <v>779237.3129163213</v>
      </c>
      <c r="G123" s="4">
        <v>176664.85551777034</v>
      </c>
      <c r="H123" s="4">
        <v>195908.96927101642</v>
      </c>
      <c r="I123" s="4">
        <v>131310.1656877849</v>
      </c>
      <c r="J123" s="4">
        <v>90529.25177476941</v>
      </c>
      <c r="K123" s="4">
        <v>48201.53288472848</v>
      </c>
      <c r="L123" s="4">
        <v>35509.66222025933</v>
      </c>
      <c r="M123" s="4">
        <v>0</v>
      </c>
      <c r="N123" s="4">
        <v>5461.418971117905</v>
      </c>
      <c r="O123" s="4">
        <v>504.8307562319968</v>
      </c>
    </row>
    <row r="124" spans="1:15" ht="12.75">
      <c r="A124" s="11">
        <f t="shared" si="9"/>
        <v>119</v>
      </c>
      <c r="B124" s="19">
        <v>407.01</v>
      </c>
      <c r="C124" s="3" t="s">
        <v>388</v>
      </c>
      <c r="D124" s="3" t="s">
        <v>366</v>
      </c>
      <c r="E124" s="4">
        <v>15477404</v>
      </c>
      <c r="F124" s="4">
        <v>9494065.015031192</v>
      </c>
      <c r="G124" s="4">
        <v>1862612.7923576431</v>
      </c>
      <c r="H124" s="4">
        <v>1576351.168243521</v>
      </c>
      <c r="I124" s="4">
        <v>805179.8098218375</v>
      </c>
      <c r="J124" s="4">
        <v>738164.2359209801</v>
      </c>
      <c r="K124" s="4">
        <v>271306.3076837914</v>
      </c>
      <c r="L124" s="4">
        <v>140354.90068601203</v>
      </c>
      <c r="M124" s="4">
        <v>271529.36273402744</v>
      </c>
      <c r="N124" s="4">
        <v>284641.89280386234</v>
      </c>
      <c r="O124" s="4">
        <v>33198.514717132064</v>
      </c>
    </row>
    <row r="125" spans="1:15" ht="12.75">
      <c r="A125" s="12">
        <f>+A124+1</f>
        <v>120</v>
      </c>
      <c r="B125" s="20"/>
      <c r="C125" s="9" t="s">
        <v>389</v>
      </c>
      <c r="D125" s="9"/>
      <c r="E125" s="10">
        <f aca="true" t="shared" si="16" ref="E125:O125">SUM(E107:E124)</f>
        <v>276612250</v>
      </c>
      <c r="F125" s="10">
        <f t="shared" si="16"/>
        <v>161270483.66902757</v>
      </c>
      <c r="G125" s="10">
        <f t="shared" si="16"/>
        <v>33295022.70912728</v>
      </c>
      <c r="H125" s="10">
        <f t="shared" si="16"/>
        <v>31566090.60191453</v>
      </c>
      <c r="I125" s="10">
        <f t="shared" si="16"/>
        <v>18736083.922192488</v>
      </c>
      <c r="J125" s="10">
        <f t="shared" si="16"/>
        <v>14644434.391017625</v>
      </c>
      <c r="K125" s="10">
        <f t="shared" si="16"/>
        <v>6709475.90296878</v>
      </c>
      <c r="L125" s="10">
        <f t="shared" si="16"/>
        <v>4356955.732900646</v>
      </c>
      <c r="M125" s="10">
        <f t="shared" si="16"/>
        <v>2467388.9099991713</v>
      </c>
      <c r="N125" s="10">
        <f t="shared" si="16"/>
        <v>3214923.842710311</v>
      </c>
      <c r="O125" s="10">
        <f t="shared" si="16"/>
        <v>351390.3181416223</v>
      </c>
    </row>
    <row r="126" spans="1:15" ht="12.75">
      <c r="A126" s="11">
        <f t="shared" si="9"/>
        <v>121</v>
      </c>
      <c r="B126" s="19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12.75">
      <c r="A127" s="11">
        <f t="shared" si="9"/>
        <v>122</v>
      </c>
      <c r="B127" s="19"/>
      <c r="C127" s="1" t="s">
        <v>390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ht="12.75">
      <c r="A128" s="11">
        <f t="shared" si="9"/>
        <v>123</v>
      </c>
      <c r="B128" s="19">
        <v>236</v>
      </c>
      <c r="C128" s="3" t="s">
        <v>391</v>
      </c>
      <c r="D128" s="3" t="s">
        <v>347</v>
      </c>
      <c r="E128" s="4">
        <v>37267394</v>
      </c>
      <c r="F128" s="4">
        <v>21540727.01495508</v>
      </c>
      <c r="G128" s="4">
        <v>4489596.09829022</v>
      </c>
      <c r="H128" s="4">
        <v>4318855.282414743</v>
      </c>
      <c r="I128" s="4">
        <v>2566467.1265916256</v>
      </c>
      <c r="J128" s="4">
        <v>2007274.5280099302</v>
      </c>
      <c r="K128" s="4">
        <v>912554.2609009816</v>
      </c>
      <c r="L128" s="4">
        <v>594139.2878299941</v>
      </c>
      <c r="M128" s="4">
        <v>353407.142426458</v>
      </c>
      <c r="N128" s="4">
        <v>435267.6081278596</v>
      </c>
      <c r="O128" s="4">
        <v>49105.65045311533</v>
      </c>
    </row>
    <row r="129" spans="1:15" ht="12.75">
      <c r="A129" s="11">
        <f t="shared" si="9"/>
        <v>124</v>
      </c>
      <c r="B129" s="19">
        <v>236.01</v>
      </c>
      <c r="C129" s="3" t="s">
        <v>392</v>
      </c>
      <c r="D129" s="3" t="s">
        <v>349</v>
      </c>
      <c r="E129" s="4">
        <v>8229129</v>
      </c>
      <c r="F129" s="4">
        <v>5081437.19359876</v>
      </c>
      <c r="G129" s="4">
        <v>980819.0205378798</v>
      </c>
      <c r="H129" s="4">
        <v>829496.4233387903</v>
      </c>
      <c r="I129" s="4">
        <v>487416.88875040074</v>
      </c>
      <c r="J129" s="4">
        <v>378980.5269703487</v>
      </c>
      <c r="K129" s="4">
        <v>184987.91753784215</v>
      </c>
      <c r="L129" s="4">
        <v>117607.76890153316</v>
      </c>
      <c r="M129" s="4">
        <v>66795.18053462992</v>
      </c>
      <c r="N129" s="4">
        <v>91955.18999867362</v>
      </c>
      <c r="O129" s="4">
        <v>9632.889831142098</v>
      </c>
    </row>
    <row r="130" spans="1:15" ht="12.75">
      <c r="A130" s="11">
        <f t="shared" si="9"/>
        <v>125</v>
      </c>
      <c r="B130" s="19">
        <v>236.02</v>
      </c>
      <c r="C130" s="3" t="s">
        <v>393</v>
      </c>
      <c r="D130" s="3" t="s">
        <v>394</v>
      </c>
      <c r="E130" s="4">
        <v>77070765</v>
      </c>
      <c r="F130" s="4">
        <v>43177721.85173469</v>
      </c>
      <c r="G130" s="4">
        <v>9265108.862462295</v>
      </c>
      <c r="H130" s="4">
        <v>9411581.603969894</v>
      </c>
      <c r="I130" s="4">
        <v>5976537.54049256</v>
      </c>
      <c r="J130" s="4">
        <v>4396283.040070306</v>
      </c>
      <c r="K130" s="4">
        <v>2180607.8052655435</v>
      </c>
      <c r="L130" s="4">
        <v>1530046.894435672</v>
      </c>
      <c r="M130" s="4">
        <v>384485.55540449516</v>
      </c>
      <c r="N130" s="4">
        <v>683777.9075857648</v>
      </c>
      <c r="O130" s="4">
        <v>64613.93857880443</v>
      </c>
    </row>
    <row r="131" spans="1:15" ht="12.75">
      <c r="A131" s="11">
        <f t="shared" si="9"/>
        <v>126</v>
      </c>
      <c r="B131" s="19">
        <v>236.03</v>
      </c>
      <c r="C131" s="3" t="s">
        <v>395</v>
      </c>
      <c r="D131" s="3" t="s">
        <v>394</v>
      </c>
      <c r="E131" s="4">
        <v>-0.26000000536441803</v>
      </c>
      <c r="F131" s="4">
        <v>-0.145661041681296</v>
      </c>
      <c r="G131" s="4">
        <v>-0.03125605868765042</v>
      </c>
      <c r="H131" s="4">
        <v>-0.031750187863320546</v>
      </c>
      <c r="I131" s="4">
        <v>-0.020161987396760776</v>
      </c>
      <c r="J131" s="4">
        <v>-0.014830962350014031</v>
      </c>
      <c r="K131" s="4">
        <v>-0.007356330783361669</v>
      </c>
      <c r="L131" s="4">
        <v>-0.005161648528609853</v>
      </c>
      <c r="M131" s="4">
        <v>-0.0012970708992924877</v>
      </c>
      <c r="N131" s="4">
        <v>-0.0023067405603197184</v>
      </c>
      <c r="O131" s="4">
        <v>-0.00021797661379260123</v>
      </c>
    </row>
    <row r="132" spans="1:15" ht="12.75">
      <c r="A132" s="11">
        <f t="shared" si="9"/>
        <v>127</v>
      </c>
      <c r="B132" s="19">
        <v>236.04</v>
      </c>
      <c r="C132" s="3" t="s">
        <v>396</v>
      </c>
      <c r="D132" s="3" t="s">
        <v>397</v>
      </c>
      <c r="E132" s="4">
        <v>1647662</v>
      </c>
      <c r="F132" s="4">
        <v>840956.1288123416</v>
      </c>
      <c r="G132" s="4">
        <v>203582.86925528548</v>
      </c>
      <c r="H132" s="4">
        <v>229688.03628377084</v>
      </c>
      <c r="I132" s="4">
        <v>155611.27141421792</v>
      </c>
      <c r="J132" s="4">
        <v>110116.84150566862</v>
      </c>
      <c r="K132" s="4">
        <v>57830.570121740406</v>
      </c>
      <c r="L132" s="4">
        <v>42772.555104637744</v>
      </c>
      <c r="M132" s="4">
        <v>0</v>
      </c>
      <c r="N132" s="4">
        <v>6555.180164281667</v>
      </c>
      <c r="O132" s="4">
        <v>548.5473380557812</v>
      </c>
    </row>
    <row r="133" spans="1:15" ht="12.75">
      <c r="A133" s="12">
        <f>+A132+1</f>
        <v>128</v>
      </c>
      <c r="B133" s="20"/>
      <c r="C133" s="9" t="s">
        <v>398</v>
      </c>
      <c r="D133" s="9"/>
      <c r="E133" s="10">
        <f aca="true" t="shared" si="17" ref="E133:O133">SUM(E128:E132)</f>
        <v>124214949.74</v>
      </c>
      <c r="F133" s="10">
        <f t="shared" si="17"/>
        <v>70640842.04343984</v>
      </c>
      <c r="G133" s="10">
        <f t="shared" si="17"/>
        <v>14939106.819289621</v>
      </c>
      <c r="H133" s="10">
        <f t="shared" si="17"/>
        <v>14789621.31425701</v>
      </c>
      <c r="I133" s="10">
        <f t="shared" si="17"/>
        <v>9186032.807086816</v>
      </c>
      <c r="J133" s="10">
        <f t="shared" si="17"/>
        <v>6892654.921725291</v>
      </c>
      <c r="K133" s="10">
        <f t="shared" si="17"/>
        <v>3335980.546469777</v>
      </c>
      <c r="L133" s="10">
        <f t="shared" si="17"/>
        <v>2284566.501110188</v>
      </c>
      <c r="M133" s="10">
        <f t="shared" si="17"/>
        <v>804687.8770685121</v>
      </c>
      <c r="N133" s="10">
        <f t="shared" si="17"/>
        <v>1217555.8835698392</v>
      </c>
      <c r="O133" s="10">
        <f t="shared" si="17"/>
        <v>123901.02598314104</v>
      </c>
    </row>
    <row r="134" spans="1:15" ht="12.75">
      <c r="A134" s="11">
        <f t="shared" si="9"/>
        <v>129</v>
      </c>
      <c r="B134" s="19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ht="12.75">
      <c r="A135" s="11">
        <f aca="true" t="shared" si="18" ref="A135:A141">+A134+1</f>
        <v>130</v>
      </c>
      <c r="B135" s="19"/>
      <c r="C135" s="1" t="s">
        <v>399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ht="12.75">
      <c r="A136" s="11">
        <f t="shared" si="18"/>
        <v>131</v>
      </c>
      <c r="B136" s="19" t="s">
        <v>400</v>
      </c>
      <c r="C136" s="3" t="s">
        <v>401</v>
      </c>
      <c r="D136" s="3" t="s">
        <v>402</v>
      </c>
      <c r="E136" s="4">
        <v>-59428577</v>
      </c>
      <c r="F136" s="4">
        <v>-33744871.02212747</v>
      </c>
      <c r="G136" s="4">
        <v>-7084046.775970528</v>
      </c>
      <c r="H136" s="4">
        <v>-7154672.696797235</v>
      </c>
      <c r="I136" s="4">
        <v>-4331107.227244972</v>
      </c>
      <c r="J136" s="4">
        <v>-3341076.369279443</v>
      </c>
      <c r="K136" s="4">
        <v>-1532627.3435422152</v>
      </c>
      <c r="L136" s="4">
        <v>-1021527.1402886622</v>
      </c>
      <c r="M136" s="4">
        <v>-547009.375387943</v>
      </c>
      <c r="N136" s="4">
        <v>-603778.3759028598</v>
      </c>
      <c r="O136" s="4">
        <v>-67860.67345865477</v>
      </c>
    </row>
    <row r="137" spans="1:15" ht="12.75">
      <c r="A137" s="11">
        <f t="shared" si="18"/>
        <v>132</v>
      </c>
      <c r="B137" s="19" t="s">
        <v>403</v>
      </c>
      <c r="C137" s="3" t="s">
        <v>404</v>
      </c>
      <c r="D137" s="3" t="s">
        <v>402</v>
      </c>
      <c r="E137" s="4">
        <v>406373034.38731563</v>
      </c>
      <c r="F137" s="4">
        <v>230747669.29503524</v>
      </c>
      <c r="G137" s="4">
        <v>48440762.49870199</v>
      </c>
      <c r="H137" s="4">
        <v>48923703.05022736</v>
      </c>
      <c r="I137" s="4">
        <v>29616142.183454484</v>
      </c>
      <c r="J137" s="4">
        <v>22846304.098848652</v>
      </c>
      <c r="K137" s="4">
        <v>10480116.73206008</v>
      </c>
      <c r="L137" s="4">
        <v>6985209.888301729</v>
      </c>
      <c r="M137" s="4">
        <v>3740454.0195318596</v>
      </c>
      <c r="N137" s="4">
        <v>4128640.8509005764</v>
      </c>
      <c r="O137" s="4">
        <v>464031.7702535653</v>
      </c>
    </row>
    <row r="138" spans="1:15" ht="12.75">
      <c r="A138" s="11">
        <f t="shared" si="18"/>
        <v>133</v>
      </c>
      <c r="B138" s="19" t="s">
        <v>405</v>
      </c>
      <c r="C138" s="3" t="s">
        <v>406</v>
      </c>
      <c r="D138" s="3" t="s">
        <v>402</v>
      </c>
      <c r="E138" s="4">
        <v>-237907201</v>
      </c>
      <c r="F138" s="4">
        <v>-135089013.0345937</v>
      </c>
      <c r="G138" s="4">
        <v>-28359180.470099807</v>
      </c>
      <c r="H138" s="4">
        <v>-28641913.39069337</v>
      </c>
      <c r="I138" s="4">
        <v>-17338486.79675979</v>
      </c>
      <c r="J138" s="4">
        <v>-13375149.92732393</v>
      </c>
      <c r="K138" s="4">
        <v>-6135483.968902602</v>
      </c>
      <c r="L138" s="4">
        <v>-4089424.2292156843</v>
      </c>
      <c r="M138" s="4">
        <v>-2189812.9820490875</v>
      </c>
      <c r="N138" s="4">
        <v>-2417073.244667717</v>
      </c>
      <c r="O138" s="4">
        <v>-271662.9556942538</v>
      </c>
    </row>
    <row r="139" spans="1:15" ht="12.75">
      <c r="A139" s="12">
        <f t="shared" si="18"/>
        <v>134</v>
      </c>
      <c r="B139" s="20"/>
      <c r="C139" s="9" t="s">
        <v>407</v>
      </c>
      <c r="D139" s="9"/>
      <c r="E139" s="10">
        <f>SUM(E136:E138)</f>
        <v>109037256.38731563</v>
      </c>
      <c r="F139" s="10">
        <f aca="true" t="shared" si="19" ref="F139:O139">SUM(F136:F138)</f>
        <v>61913785.23831406</v>
      </c>
      <c r="G139" s="10">
        <f t="shared" si="19"/>
        <v>12997535.252631657</v>
      </c>
      <c r="H139" s="10">
        <f t="shared" si="19"/>
        <v>13127116.962736752</v>
      </c>
      <c r="I139" s="10">
        <f t="shared" si="19"/>
        <v>7946548.159449719</v>
      </c>
      <c r="J139" s="10">
        <f t="shared" si="19"/>
        <v>6130077.802245278</v>
      </c>
      <c r="K139" s="10">
        <f t="shared" si="19"/>
        <v>2812005.419615264</v>
      </c>
      <c r="L139" s="10">
        <f t="shared" si="19"/>
        <v>1874258.5187973827</v>
      </c>
      <c r="M139" s="10">
        <f t="shared" si="19"/>
        <v>1003631.6620948291</v>
      </c>
      <c r="N139" s="10">
        <f t="shared" si="19"/>
        <v>1107789.2303299997</v>
      </c>
      <c r="O139" s="10">
        <f t="shared" si="19"/>
        <v>124508.1411006567</v>
      </c>
    </row>
    <row r="140" spans="1:15" ht="12.75">
      <c r="A140" s="11">
        <f t="shared" si="18"/>
        <v>135</v>
      </c>
      <c r="B140" s="19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ht="13.5" thickBot="1">
      <c r="A141" s="13">
        <f t="shared" si="18"/>
        <v>136</v>
      </c>
      <c r="B141" s="21"/>
      <c r="C141" s="5" t="s">
        <v>96</v>
      </c>
      <c r="D141" s="5"/>
      <c r="E141" s="6">
        <f aca="true" t="shared" si="20" ref="E141:O141">SUM(E139,E133,E125,E104)</f>
        <v>1718267272.1273155</v>
      </c>
      <c r="F141" s="6">
        <f t="shared" si="20"/>
        <v>961639406.8271021</v>
      </c>
      <c r="G141" s="6">
        <f t="shared" si="20"/>
        <v>206842070.9772652</v>
      </c>
      <c r="H141" s="6">
        <f t="shared" si="20"/>
        <v>209913993.824372</v>
      </c>
      <c r="I141" s="6">
        <f t="shared" si="20"/>
        <v>134056385.0634214</v>
      </c>
      <c r="J141" s="6">
        <f t="shared" si="20"/>
        <v>98042423.0715101</v>
      </c>
      <c r="K141" s="6">
        <f t="shared" si="20"/>
        <v>49112343.127361834</v>
      </c>
      <c r="L141" s="6">
        <f t="shared" si="20"/>
        <v>34648292.79601298</v>
      </c>
      <c r="M141" s="6">
        <f t="shared" si="20"/>
        <v>7620778.590608301</v>
      </c>
      <c r="N141" s="6">
        <f t="shared" si="20"/>
        <v>15013070.760160867</v>
      </c>
      <c r="O141" s="6">
        <f t="shared" si="20"/>
        <v>1378507.0895009001</v>
      </c>
    </row>
    <row r="142" spans="1:15" ht="13.5" thickTop="1">
      <c r="A142" s="11"/>
      <c r="B142" s="16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ht="12.75">
      <c r="A143" s="11"/>
      <c r="B143" s="16"/>
      <c r="E143" s="4">
        <v>1718267272.1273155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</row>
  </sheetData>
  <sheetProtection/>
  <mergeCells count="2">
    <mergeCell ref="B1:D1"/>
    <mergeCell ref="B2:G2"/>
  </mergeCells>
  <printOptions horizontalCentered="1"/>
  <pageMargins left="0.25" right="0.25" top="1" bottom="0.72" header="0.5" footer="0.46"/>
  <pageSetup fitToHeight="4" horizontalDpi="600" verticalDpi="600" orientation="landscape" pageOrder="overThenDown" scale="50" r:id="rId1"/>
  <headerFooter alignWithMargins="0">
    <oddHeader>&amp;CPuget Sound Energy
ELECTRIC COST OF SERVICE
Expense Detail
Adjusted Test Year Twelve Months ended December 2010 @ Proforma Rev Requirement&amp;RDocket No. UE-111048
ECOS Model
Page &amp;P of &amp;N
Compliance Filing, Advice No. 2012-10</oddHeader>
    <oddFooter>&amp;RCOS Reports
&amp;A
Page 9--11 of 18</oddFooter>
  </headerFooter>
  <rowBreaks count="2" manualBreakCount="2">
    <brk id="56" max="255" man="1"/>
    <brk id="10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158"/>
  <sheetViews>
    <sheetView showGridLines="0" zoomScalePageLayoutView="0" workbookViewId="0" topLeftCell="A1">
      <selection activeCell="E287" sqref="E287"/>
    </sheetView>
  </sheetViews>
  <sheetFormatPr defaultColWidth="9.140625" defaultRowHeight="12.75"/>
  <cols>
    <col min="1" max="1" width="5.28125" style="3" customWidth="1"/>
    <col min="2" max="2" width="12.8515625" style="3" customWidth="1"/>
    <col min="3" max="3" width="53.28125" style="3" bestFit="1" customWidth="1"/>
    <col min="4" max="4" width="11.7109375" style="3" bestFit="1" customWidth="1"/>
    <col min="5" max="5" width="15.140625" style="3" bestFit="1" customWidth="1"/>
    <col min="6" max="6" width="15.57421875" style="3" bestFit="1" customWidth="1"/>
    <col min="7" max="7" width="14.00390625" style="3" bestFit="1" customWidth="1"/>
    <col min="8" max="8" width="17.7109375" style="3" customWidth="1"/>
    <col min="9" max="9" width="14.00390625" style="3" bestFit="1" customWidth="1"/>
    <col min="10" max="10" width="14.140625" style="3" bestFit="1" customWidth="1"/>
    <col min="11" max="12" width="14.00390625" style="3" bestFit="1" customWidth="1"/>
    <col min="13" max="13" width="15.8515625" style="3" bestFit="1" customWidth="1"/>
    <col min="14" max="14" width="12.8515625" style="3" bestFit="1" customWidth="1"/>
    <col min="15" max="15" width="16.28125" style="3" bestFit="1" customWidth="1"/>
    <col min="16" max="16384" width="9.140625" style="22" customWidth="1"/>
  </cols>
  <sheetData>
    <row r="1" spans="2:4" ht="12.75">
      <c r="B1" s="88" t="s">
        <v>91</v>
      </c>
      <c r="C1" s="88"/>
      <c r="D1" s="88"/>
    </row>
    <row r="2" spans="2:4" ht="12.75">
      <c r="B2" s="89" t="s">
        <v>198</v>
      </c>
      <c r="C2" s="89"/>
      <c r="D2" s="89"/>
    </row>
    <row r="3" s="3" customFormat="1" ht="12.75"/>
    <row r="4" spans="1:15" s="14" customFormat="1" ht="38.25">
      <c r="A4" s="2" t="s">
        <v>2</v>
      </c>
      <c r="B4" s="2" t="s">
        <v>92</v>
      </c>
      <c r="C4" s="15" t="s">
        <v>93</v>
      </c>
      <c r="D4" s="15" t="s">
        <v>94</v>
      </c>
      <c r="E4" s="2" t="s">
        <v>66</v>
      </c>
      <c r="F4" s="2" t="str">
        <f>+#REF!</f>
        <v>Residential
Sch 7</v>
      </c>
      <c r="G4" s="2" t="str">
        <f>+#REF!</f>
        <v>Sec Volt
Sch 24
(kW&lt; 50)</v>
      </c>
      <c r="H4" s="2" t="str">
        <f>+#REF!</f>
        <v>Sec Volt
Sch 25
(kW &gt; 50 &amp; &lt; 350)</v>
      </c>
      <c r="I4" s="2" t="str">
        <f>+#REF!</f>
        <v>Sec Volt
Sch 26
(kW &gt; 350)</v>
      </c>
      <c r="J4" s="2" t="str">
        <f>+#REF!</f>
        <v>Pri Volt
Sch 31/35/43</v>
      </c>
      <c r="K4" s="2" t="str">
        <f>+#REF!</f>
        <v>Campus
Sch 40</v>
      </c>
      <c r="L4" s="2" t="str">
        <f>+#REF!</f>
        <v>High Volt
Sch 46/49</v>
      </c>
      <c r="M4" s="2" t="str">
        <f>+#REF!</f>
        <v>Choice /
Retail Wheeling
Sch 448/449</v>
      </c>
      <c r="N4" s="2" t="str">
        <f>+#REF!</f>
        <v>Lighting
Sch 50-59</v>
      </c>
      <c r="O4" s="2" t="str">
        <f>+#REF!</f>
        <v>Firm Resale /
Special Contract</v>
      </c>
    </row>
    <row r="5" spans="2:15" s="14" customFormat="1" ht="12.75">
      <c r="B5" s="14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76</v>
      </c>
      <c r="H5" s="14" t="s">
        <v>20</v>
      </c>
      <c r="I5" s="14" t="s">
        <v>21</v>
      </c>
      <c r="J5" s="14" t="s">
        <v>77</v>
      </c>
      <c r="K5" s="14" t="s">
        <v>78</v>
      </c>
      <c r="L5" s="14" t="s">
        <v>22</v>
      </c>
      <c r="M5" s="14" t="s">
        <v>23</v>
      </c>
      <c r="N5" s="14" t="s">
        <v>24</v>
      </c>
      <c r="O5" s="14" t="s">
        <v>25</v>
      </c>
    </row>
    <row r="6" spans="1:15" ht="12.75">
      <c r="A6" s="3">
        <v>1</v>
      </c>
      <c r="C6" s="1" t="s">
        <v>408</v>
      </c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2.75">
      <c r="A7" s="3">
        <f aca="true" t="shared" si="0" ref="A7:A70">+A6+1</f>
        <v>2</v>
      </c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2.75">
      <c r="A8" s="3">
        <f t="shared" si="0"/>
        <v>3</v>
      </c>
      <c r="C8" s="1" t="s">
        <v>409</v>
      </c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3" s="3" customFormat="1" ht="12.75">
      <c r="A9" s="3">
        <f t="shared" si="0"/>
        <v>4</v>
      </c>
      <c r="C9" s="1" t="s">
        <v>171</v>
      </c>
    </row>
    <row r="10" spans="1:15" s="3" customFormat="1" ht="12.75">
      <c r="A10" s="3">
        <f t="shared" si="0"/>
        <v>5</v>
      </c>
      <c r="B10" s="19">
        <v>300</v>
      </c>
      <c r="C10" s="3" t="s">
        <v>410</v>
      </c>
      <c r="D10" s="3" t="s">
        <v>248</v>
      </c>
      <c r="E10" s="4">
        <v>52790811</v>
      </c>
      <c r="F10" s="4">
        <v>28111653.511935383</v>
      </c>
      <c r="G10" s="4">
        <v>6373335.983443848</v>
      </c>
      <c r="H10" s="4">
        <v>7067583.870459005</v>
      </c>
      <c r="I10" s="4">
        <v>4737126.699689023</v>
      </c>
      <c r="J10" s="4">
        <v>3265920.299764145</v>
      </c>
      <c r="K10" s="4">
        <v>1738911.5853916456</v>
      </c>
      <c r="L10" s="4">
        <v>1281041.4800670461</v>
      </c>
      <c r="M10" s="4">
        <v>0</v>
      </c>
      <c r="N10" s="4">
        <v>197025.36731074628</v>
      </c>
      <c r="O10" s="4">
        <v>18212.20193916225</v>
      </c>
    </row>
    <row r="11" spans="1:15" s="3" customFormat="1" ht="12.75">
      <c r="A11" s="3">
        <f t="shared" si="0"/>
        <v>6</v>
      </c>
      <c r="B11" s="19">
        <v>300.01</v>
      </c>
      <c r="C11" s="3" t="s">
        <v>104</v>
      </c>
      <c r="D11" s="3" t="s">
        <v>264</v>
      </c>
      <c r="E11" s="4">
        <v>136762676</v>
      </c>
      <c r="F11" s="4">
        <v>83993232.82978337</v>
      </c>
      <c r="G11" s="4">
        <v>16314325.806672368</v>
      </c>
      <c r="H11" s="4">
        <v>13959563.468993891</v>
      </c>
      <c r="I11" s="4">
        <v>8216534.749301523</v>
      </c>
      <c r="J11" s="4">
        <v>6387715.930737996</v>
      </c>
      <c r="K11" s="4">
        <v>3100663.704765843</v>
      </c>
      <c r="L11" s="4">
        <v>1976919.8736979128</v>
      </c>
      <c r="M11" s="4">
        <v>1122789.0657526962</v>
      </c>
      <c r="N11" s="4">
        <v>1529538.5307467594</v>
      </c>
      <c r="O11" s="4">
        <v>161392.0395476994</v>
      </c>
    </row>
    <row r="12" spans="1:15" s="1" customFormat="1" ht="12.75">
      <c r="A12" s="9">
        <f>+A11+1</f>
        <v>7</v>
      </c>
      <c r="B12" s="20"/>
      <c r="C12" s="9" t="s">
        <v>286</v>
      </c>
      <c r="D12" s="9"/>
      <c r="E12" s="10">
        <f aca="true" t="shared" si="1" ref="E12:O12">SUM(E10:E11)</f>
        <v>189553487</v>
      </c>
      <c r="F12" s="10">
        <f t="shared" si="1"/>
        <v>112104886.34171875</v>
      </c>
      <c r="G12" s="10">
        <f t="shared" si="1"/>
        <v>22687661.790116217</v>
      </c>
      <c r="H12" s="10">
        <f t="shared" si="1"/>
        <v>21027147.339452896</v>
      </c>
      <c r="I12" s="10">
        <f t="shared" si="1"/>
        <v>12953661.448990546</v>
      </c>
      <c r="J12" s="10">
        <f t="shared" si="1"/>
        <v>9653636.23050214</v>
      </c>
      <c r="K12" s="10">
        <f t="shared" si="1"/>
        <v>4839575.290157489</v>
      </c>
      <c r="L12" s="10">
        <f t="shared" si="1"/>
        <v>3257961.3537649587</v>
      </c>
      <c r="M12" s="10">
        <f t="shared" si="1"/>
        <v>1122789.0657526962</v>
      </c>
      <c r="N12" s="10">
        <f t="shared" si="1"/>
        <v>1726563.8980575057</v>
      </c>
      <c r="O12" s="10">
        <f t="shared" si="1"/>
        <v>179604.24148686163</v>
      </c>
    </row>
    <row r="13" spans="1:15" s="3" customFormat="1" ht="12.75">
      <c r="A13" s="3">
        <f t="shared" si="0"/>
        <v>8</v>
      </c>
      <c r="B13" s="19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3" customFormat="1" ht="12.75">
      <c r="A14" s="3">
        <f t="shared" si="0"/>
        <v>9</v>
      </c>
      <c r="B14" s="19"/>
      <c r="C14" s="1" t="s">
        <v>410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s="3" customFormat="1" ht="12.75">
      <c r="A15" s="3">
        <f t="shared" si="0"/>
        <v>10</v>
      </c>
      <c r="B15" s="19">
        <v>310</v>
      </c>
      <c r="C15" s="3" t="s">
        <v>411</v>
      </c>
      <c r="D15" s="3" t="s">
        <v>226</v>
      </c>
      <c r="E15" s="4">
        <v>1108157180</v>
      </c>
      <c r="F15" s="4">
        <v>590105173.4348884</v>
      </c>
      <c r="G15" s="4">
        <v>133785745.9815433</v>
      </c>
      <c r="H15" s="4">
        <v>148359035.6530294</v>
      </c>
      <c r="I15" s="4">
        <v>99439293.79736361</v>
      </c>
      <c r="J15" s="4">
        <v>68556496.11996658</v>
      </c>
      <c r="K15" s="4">
        <v>36502325.35235981</v>
      </c>
      <c r="L15" s="4">
        <v>26890954.82950857</v>
      </c>
      <c r="M15" s="4">
        <v>0</v>
      </c>
      <c r="N15" s="4">
        <v>4135853.783862892</v>
      </c>
      <c r="O15" s="4">
        <v>382301.04747761064</v>
      </c>
    </row>
    <row r="16" spans="1:15" s="3" customFormat="1" ht="12.75">
      <c r="A16" s="3">
        <f t="shared" si="0"/>
        <v>11</v>
      </c>
      <c r="B16" s="19">
        <v>330</v>
      </c>
      <c r="C16" s="3" t="s">
        <v>412</v>
      </c>
      <c r="D16" s="3" t="s">
        <v>226</v>
      </c>
      <c r="E16" s="4">
        <v>265007486</v>
      </c>
      <c r="F16" s="4">
        <v>141119230.47556642</v>
      </c>
      <c r="G16" s="4">
        <v>31993858.673733804</v>
      </c>
      <c r="H16" s="4">
        <v>35478951.698705494</v>
      </c>
      <c r="I16" s="4">
        <v>23780161.99728519</v>
      </c>
      <c r="J16" s="4">
        <v>16394772.342422672</v>
      </c>
      <c r="K16" s="4">
        <v>8729257.590320298</v>
      </c>
      <c r="L16" s="4">
        <v>6430770.349299749</v>
      </c>
      <c r="M16" s="4">
        <v>0</v>
      </c>
      <c r="N16" s="4">
        <v>989058.4418043408</v>
      </c>
      <c r="O16" s="4">
        <v>91424.43086206258</v>
      </c>
    </row>
    <row r="17" spans="1:15" s="3" customFormat="1" ht="12.75">
      <c r="A17" s="3">
        <f t="shared" si="0"/>
        <v>12</v>
      </c>
      <c r="B17" s="19">
        <v>340</v>
      </c>
      <c r="C17" s="3" t="s">
        <v>413</v>
      </c>
      <c r="D17" s="3" t="s">
        <v>226</v>
      </c>
      <c r="E17" s="4">
        <v>1885899257</v>
      </c>
      <c r="F17" s="4">
        <v>1004260883.0389132</v>
      </c>
      <c r="G17" s="4">
        <v>227681093.88939142</v>
      </c>
      <c r="H17" s="4">
        <v>252482409.67701408</v>
      </c>
      <c r="I17" s="4">
        <v>169229143.36850005</v>
      </c>
      <c r="J17" s="4">
        <v>116671756.88485669</v>
      </c>
      <c r="K17" s="4">
        <v>62120888.17651989</v>
      </c>
      <c r="L17" s="4">
        <v>45763933.7165065</v>
      </c>
      <c r="M17" s="4">
        <v>0</v>
      </c>
      <c r="N17" s="4">
        <v>7038535.4341589585</v>
      </c>
      <c r="O17" s="4">
        <v>650612.8141391887</v>
      </c>
    </row>
    <row r="18" spans="1:15" s="3" customFormat="1" ht="12.75">
      <c r="A18" s="9">
        <f t="shared" si="0"/>
        <v>13</v>
      </c>
      <c r="B18" s="20"/>
      <c r="C18" s="9" t="s">
        <v>286</v>
      </c>
      <c r="D18" s="9"/>
      <c r="E18" s="10">
        <f>SUM(E15:E17)</f>
        <v>3259063923</v>
      </c>
      <c r="F18" s="10">
        <f aca="true" t="shared" si="2" ref="F18:O18">SUM(F15:F17)</f>
        <v>1735485286.949368</v>
      </c>
      <c r="G18" s="10">
        <f t="shared" si="2"/>
        <v>393460698.54466856</v>
      </c>
      <c r="H18" s="10">
        <f t="shared" si="2"/>
        <v>436320397.028749</v>
      </c>
      <c r="I18" s="10">
        <f t="shared" si="2"/>
        <v>292448599.1631489</v>
      </c>
      <c r="J18" s="10">
        <f t="shared" si="2"/>
        <v>201623025.34724593</v>
      </c>
      <c r="K18" s="10">
        <f t="shared" si="2"/>
        <v>107352471.11919999</v>
      </c>
      <c r="L18" s="10">
        <f t="shared" si="2"/>
        <v>79085658.89531481</v>
      </c>
      <c r="M18" s="10">
        <f t="shared" si="2"/>
        <v>0</v>
      </c>
      <c r="N18" s="10">
        <f t="shared" si="2"/>
        <v>12163447.659826191</v>
      </c>
      <c r="O18" s="10">
        <f t="shared" si="2"/>
        <v>1124338.292478862</v>
      </c>
    </row>
    <row r="19" spans="1:15" s="3" customFormat="1" ht="12.75">
      <c r="A19" s="3">
        <f t="shared" si="0"/>
        <v>14</v>
      </c>
      <c r="B19" s="19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s="3" customFormat="1" ht="12.75">
      <c r="A20" s="3">
        <f t="shared" si="0"/>
        <v>15</v>
      </c>
      <c r="B20" s="19"/>
      <c r="C20" s="1" t="s">
        <v>414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s="3" customFormat="1" ht="12.75">
      <c r="A21" s="3">
        <f t="shared" si="0"/>
        <v>16</v>
      </c>
      <c r="B21" s="19">
        <v>350</v>
      </c>
      <c r="C21" s="3" t="s">
        <v>415</v>
      </c>
      <c r="D21" s="3" t="s">
        <v>226</v>
      </c>
      <c r="E21" s="4">
        <v>231649100</v>
      </c>
      <c r="F21" s="4">
        <v>123355544.50094865</v>
      </c>
      <c r="G21" s="4">
        <v>27966563.05511924</v>
      </c>
      <c r="H21" s="4">
        <v>31012962.51664603</v>
      </c>
      <c r="I21" s="4">
        <v>20786783.074215934</v>
      </c>
      <c r="J21" s="4">
        <v>14331045.191029446</v>
      </c>
      <c r="K21" s="4">
        <v>7630443.5583599545</v>
      </c>
      <c r="L21" s="4">
        <v>5621283.331301714</v>
      </c>
      <c r="M21" s="4">
        <v>0</v>
      </c>
      <c r="N21" s="4">
        <v>864558.5879463719</v>
      </c>
      <c r="O21" s="4">
        <v>79916.18443265039</v>
      </c>
    </row>
    <row r="22" spans="1:15" s="3" customFormat="1" ht="12.75">
      <c r="A22" s="3">
        <f t="shared" si="0"/>
        <v>17</v>
      </c>
      <c r="B22" s="19">
        <v>350.01</v>
      </c>
      <c r="C22" s="3" t="s">
        <v>416</v>
      </c>
      <c r="D22" s="3" t="s">
        <v>383</v>
      </c>
      <c r="E22" s="4">
        <v>178367968</v>
      </c>
      <c r="F22" s="4">
        <v>87293006.9747273</v>
      </c>
      <c r="G22" s="4">
        <v>19760461.44387387</v>
      </c>
      <c r="H22" s="4">
        <v>21903796.01203733</v>
      </c>
      <c r="I22" s="4">
        <v>14677386.159620691</v>
      </c>
      <c r="J22" s="4">
        <v>10112423.287334993</v>
      </c>
      <c r="K22" s="4">
        <v>5386142.528103007</v>
      </c>
      <c r="L22" s="4">
        <v>3967530.495260245</v>
      </c>
      <c r="M22" s="4">
        <v>13584045.652520476</v>
      </c>
      <c r="N22" s="4">
        <v>610264.2226614817</v>
      </c>
      <c r="O22" s="4">
        <v>1072911.223860618</v>
      </c>
    </row>
    <row r="23" spans="1:15" s="3" customFormat="1" ht="12.75">
      <c r="A23" s="3">
        <f t="shared" si="0"/>
        <v>18</v>
      </c>
      <c r="B23" s="19">
        <v>350.02</v>
      </c>
      <c r="C23" s="3" t="s">
        <v>417</v>
      </c>
      <c r="D23" s="3" t="s">
        <v>383</v>
      </c>
      <c r="E23" s="4">
        <v>15069546</v>
      </c>
      <c r="F23" s="4">
        <v>7375012.44665171</v>
      </c>
      <c r="G23" s="4">
        <v>1669476.7903039842</v>
      </c>
      <c r="H23" s="4">
        <v>1850557.9520758633</v>
      </c>
      <c r="I23" s="4">
        <v>1240029.5208395678</v>
      </c>
      <c r="J23" s="4">
        <v>854355.3509560972</v>
      </c>
      <c r="K23" s="4">
        <v>455052.1234272544</v>
      </c>
      <c r="L23" s="4">
        <v>335199.6660337973</v>
      </c>
      <c r="M23" s="4">
        <v>1147657.8621266647</v>
      </c>
      <c r="N23" s="4">
        <v>51558.61155267207</v>
      </c>
      <c r="O23" s="4">
        <v>90645.67603239098</v>
      </c>
    </row>
    <row r="24" spans="1:15" s="3" customFormat="1" ht="12.75">
      <c r="A24" s="9">
        <f t="shared" si="0"/>
        <v>19</v>
      </c>
      <c r="B24" s="20"/>
      <c r="C24" s="9" t="s">
        <v>286</v>
      </c>
      <c r="D24" s="9"/>
      <c r="E24" s="10">
        <f>SUM(E21:E23)</f>
        <v>425086614</v>
      </c>
      <c r="F24" s="10">
        <f aca="true" t="shared" si="3" ref="F24:O24">SUM(F21:F23)</f>
        <v>218023563.92232764</v>
      </c>
      <c r="G24" s="10">
        <f t="shared" si="3"/>
        <v>49396501.2892971</v>
      </c>
      <c r="H24" s="10">
        <f t="shared" si="3"/>
        <v>54767316.480759226</v>
      </c>
      <c r="I24" s="10">
        <f t="shared" si="3"/>
        <v>36704198.754676186</v>
      </c>
      <c r="J24" s="10">
        <f t="shared" si="3"/>
        <v>25297823.829320535</v>
      </c>
      <c r="K24" s="10">
        <f t="shared" si="3"/>
        <v>13471638.209890217</v>
      </c>
      <c r="L24" s="10">
        <f t="shared" si="3"/>
        <v>9924013.492595756</v>
      </c>
      <c r="M24" s="10">
        <f t="shared" si="3"/>
        <v>14731703.514647141</v>
      </c>
      <c r="N24" s="10">
        <f t="shared" si="3"/>
        <v>1526381.4221605256</v>
      </c>
      <c r="O24" s="10">
        <f t="shared" si="3"/>
        <v>1243473.0843256593</v>
      </c>
    </row>
    <row r="25" spans="1:15" s="3" customFormat="1" ht="12.75">
      <c r="A25" s="3">
        <f t="shared" si="0"/>
        <v>20</v>
      </c>
      <c r="B25" s="19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s="3" customFormat="1" ht="12.75">
      <c r="A26" s="3">
        <f t="shared" si="0"/>
        <v>21</v>
      </c>
      <c r="B26" s="19"/>
      <c r="C26" s="1" t="s">
        <v>418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s="3" customFormat="1" ht="12.75">
      <c r="A27" s="3">
        <f t="shared" si="0"/>
        <v>22</v>
      </c>
      <c r="B27" s="19">
        <v>360.01</v>
      </c>
      <c r="C27" s="3" t="s">
        <v>419</v>
      </c>
      <c r="D27" s="3" t="s">
        <v>420</v>
      </c>
      <c r="E27" s="4">
        <v>1611005.2218968247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839671.1156547179</v>
      </c>
      <c r="L27" s="4">
        <v>742147.1022219439</v>
      </c>
      <c r="M27" s="4">
        <v>0</v>
      </c>
      <c r="N27" s="4">
        <v>0</v>
      </c>
      <c r="O27" s="4">
        <v>29187.004020162956</v>
      </c>
    </row>
    <row r="28" spans="1:15" s="3" customFormat="1" ht="12.75">
      <c r="A28" s="3">
        <f t="shared" si="0"/>
        <v>23</v>
      </c>
      <c r="B28" s="19">
        <v>360.02</v>
      </c>
      <c r="C28" s="3" t="s">
        <v>421</v>
      </c>
      <c r="D28" s="3" t="s">
        <v>422</v>
      </c>
      <c r="E28" s="4">
        <v>25360743.86226982</v>
      </c>
      <c r="F28" s="4">
        <v>11633232.282619096</v>
      </c>
      <c r="G28" s="4">
        <v>3490782.5358183</v>
      </c>
      <c r="H28" s="4">
        <v>4086153.9757953873</v>
      </c>
      <c r="I28" s="4">
        <v>3068309.7057886785</v>
      </c>
      <c r="J28" s="4">
        <v>2613099.5980707547</v>
      </c>
      <c r="K28" s="4">
        <v>0</v>
      </c>
      <c r="L28" s="4">
        <v>0</v>
      </c>
      <c r="M28" s="4">
        <v>215101.1103785599</v>
      </c>
      <c r="N28" s="4">
        <v>251577.93575998323</v>
      </c>
      <c r="O28" s="4">
        <v>2486.718039058496</v>
      </c>
    </row>
    <row r="29" spans="1:15" s="3" customFormat="1" ht="12.75">
      <c r="A29" s="3">
        <f t="shared" si="0"/>
        <v>24</v>
      </c>
      <c r="B29" s="19">
        <v>360.03</v>
      </c>
      <c r="C29" s="3" t="s">
        <v>423</v>
      </c>
      <c r="D29" s="3" t="s">
        <v>383</v>
      </c>
      <c r="E29" s="4">
        <v>51635827.14999996</v>
      </c>
      <c r="F29" s="4">
        <v>25270493.744430386</v>
      </c>
      <c r="G29" s="4">
        <v>5720465.299689403</v>
      </c>
      <c r="H29" s="4">
        <v>6340940.234327376</v>
      </c>
      <c r="I29" s="4">
        <v>4248963.43917522</v>
      </c>
      <c r="J29" s="4">
        <v>2927450.185071706</v>
      </c>
      <c r="K29" s="4">
        <v>1559236.9398208912</v>
      </c>
      <c r="L29" s="4">
        <v>1148562.2736118839</v>
      </c>
      <c r="M29" s="4">
        <v>3932451.7803065157</v>
      </c>
      <c r="N29" s="4">
        <v>176665.67753452994</v>
      </c>
      <c r="O29" s="4">
        <v>310597.57603204733</v>
      </c>
    </row>
    <row r="30" spans="1:15" s="3" customFormat="1" ht="12.75">
      <c r="A30" s="3">
        <f t="shared" si="0"/>
        <v>25</v>
      </c>
      <c r="B30" s="19">
        <v>361.01</v>
      </c>
      <c r="C30" s="3" t="s">
        <v>424</v>
      </c>
      <c r="D30" s="3" t="s">
        <v>425</v>
      </c>
      <c r="E30" s="4">
        <v>418047.0237474772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127564.21934371415</v>
      </c>
      <c r="L30" s="4">
        <v>162865.58496891646</v>
      </c>
      <c r="M30" s="4">
        <v>109085.18756944797</v>
      </c>
      <c r="N30" s="4">
        <v>0</v>
      </c>
      <c r="O30" s="4">
        <v>18532.03186539863</v>
      </c>
    </row>
    <row r="31" spans="1:15" s="3" customFormat="1" ht="12.75">
      <c r="A31" s="3">
        <f t="shared" si="0"/>
        <v>26</v>
      </c>
      <c r="B31" s="19">
        <v>361.02</v>
      </c>
      <c r="C31" s="3" t="s">
        <v>426</v>
      </c>
      <c r="D31" s="3" t="s">
        <v>427</v>
      </c>
      <c r="E31" s="4">
        <v>5167330.914169183</v>
      </c>
      <c r="F31" s="4">
        <v>2578481.654126297</v>
      </c>
      <c r="G31" s="4">
        <v>713424.5721093024</v>
      </c>
      <c r="H31" s="4">
        <v>825951.8967795441</v>
      </c>
      <c r="I31" s="4">
        <v>575607.067936192</v>
      </c>
      <c r="J31" s="4">
        <v>406997.2347643919</v>
      </c>
      <c r="K31" s="4">
        <v>0</v>
      </c>
      <c r="L31" s="4">
        <v>0</v>
      </c>
      <c r="M31" s="4">
        <v>22338.625014181227</v>
      </c>
      <c r="N31" s="4">
        <v>44246.983127075866</v>
      </c>
      <c r="O31" s="4">
        <v>282.8803121982906</v>
      </c>
    </row>
    <row r="32" spans="1:15" s="3" customFormat="1" ht="12.75">
      <c r="A32" s="3">
        <f t="shared" si="0"/>
        <v>27</v>
      </c>
      <c r="B32" s="19">
        <v>361.03</v>
      </c>
      <c r="C32" s="3" t="s">
        <v>428</v>
      </c>
      <c r="D32" s="3" t="s">
        <v>383</v>
      </c>
      <c r="E32" s="4">
        <v>2460704.5100000002</v>
      </c>
      <c r="F32" s="4">
        <v>1204264.97180353</v>
      </c>
      <c r="G32" s="4">
        <v>272608.6815914254</v>
      </c>
      <c r="H32" s="4">
        <v>302177.40459396987</v>
      </c>
      <c r="I32" s="4">
        <v>202484.2841624468</v>
      </c>
      <c r="J32" s="4">
        <v>139507.59135280526</v>
      </c>
      <c r="K32" s="4">
        <v>74305.41121826242</v>
      </c>
      <c r="L32" s="4">
        <v>54734.71662383584</v>
      </c>
      <c r="M32" s="4">
        <v>187400.92616406907</v>
      </c>
      <c r="N32" s="4">
        <v>8419.00001347076</v>
      </c>
      <c r="O32" s="4">
        <v>14801.522476184975</v>
      </c>
    </row>
    <row r="33" spans="1:15" s="3" customFormat="1" ht="12.75">
      <c r="A33" s="3">
        <f t="shared" si="0"/>
        <v>28</v>
      </c>
      <c r="B33" s="19">
        <v>362.01</v>
      </c>
      <c r="C33" s="3" t="s">
        <v>429</v>
      </c>
      <c r="D33" s="3" t="s">
        <v>430</v>
      </c>
      <c r="E33" s="4">
        <v>24960779.118660443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8518412.040495472</v>
      </c>
      <c r="L33" s="4">
        <v>9029279.04292407</v>
      </c>
      <c r="M33" s="4">
        <v>6033070.028680465</v>
      </c>
      <c r="N33" s="4">
        <v>0</v>
      </c>
      <c r="O33" s="4">
        <v>1380018.0065604341</v>
      </c>
    </row>
    <row r="34" spans="1:15" s="3" customFormat="1" ht="12.75">
      <c r="A34" s="3">
        <f t="shared" si="0"/>
        <v>29</v>
      </c>
      <c r="B34" s="19">
        <v>362.02</v>
      </c>
      <c r="C34" s="3" t="s">
        <v>431</v>
      </c>
      <c r="D34" s="3" t="s">
        <v>432</v>
      </c>
      <c r="E34" s="4">
        <v>307367962.5771727</v>
      </c>
      <c r="F34" s="4">
        <v>164721596.78962886</v>
      </c>
      <c r="G34" s="4">
        <v>43488811.92420406</v>
      </c>
      <c r="H34" s="4">
        <v>43132376.41774726</v>
      </c>
      <c r="I34" s="4">
        <v>27625110.520327926</v>
      </c>
      <c r="J34" s="4">
        <v>24424650.421001405</v>
      </c>
      <c r="K34" s="4">
        <v>0</v>
      </c>
      <c r="L34" s="4">
        <v>0</v>
      </c>
      <c r="M34" s="4">
        <v>1397488.1238597136</v>
      </c>
      <c r="N34" s="4">
        <v>2511580.6576591018</v>
      </c>
      <c r="O34" s="4">
        <v>66347.72274435945</v>
      </c>
    </row>
    <row r="35" spans="1:15" s="3" customFormat="1" ht="12.75">
      <c r="A35" s="3">
        <f t="shared" si="0"/>
        <v>30</v>
      </c>
      <c r="B35" s="19">
        <v>362.03</v>
      </c>
      <c r="C35" s="3" t="s">
        <v>433</v>
      </c>
      <c r="D35" s="3" t="s">
        <v>383</v>
      </c>
      <c r="E35" s="4">
        <v>222299815.5399999</v>
      </c>
      <c r="F35" s="4">
        <v>108793185.04325733</v>
      </c>
      <c r="G35" s="4">
        <v>24627442.82627272</v>
      </c>
      <c r="H35" s="4">
        <v>27298678.499839634</v>
      </c>
      <c r="I35" s="4">
        <v>18292411.313969932</v>
      </c>
      <c r="J35" s="4">
        <v>12603102.76919771</v>
      </c>
      <c r="K35" s="4">
        <v>6712743.907411936</v>
      </c>
      <c r="L35" s="4">
        <v>4944729.186160134</v>
      </c>
      <c r="M35" s="4">
        <v>16929782.16157197</v>
      </c>
      <c r="N35" s="4">
        <v>760571.6746647515</v>
      </c>
      <c r="O35" s="4">
        <v>1337168.1576537942</v>
      </c>
    </row>
    <row r="36" spans="1:15" s="3" customFormat="1" ht="12.75">
      <c r="A36" s="3">
        <f t="shared" si="0"/>
        <v>31</v>
      </c>
      <c r="B36" s="19">
        <v>364</v>
      </c>
      <c r="C36" s="3" t="s">
        <v>434</v>
      </c>
      <c r="D36" s="3" t="s">
        <v>435</v>
      </c>
      <c r="E36" s="4">
        <v>231436538.41791606</v>
      </c>
      <c r="F36" s="4">
        <v>160286645.26559517</v>
      </c>
      <c r="G36" s="4">
        <v>27523923.7331233</v>
      </c>
      <c r="H36" s="4">
        <v>21703602.260553055</v>
      </c>
      <c r="I36" s="4">
        <v>8792179.334040256</v>
      </c>
      <c r="J36" s="4">
        <v>11810592.535393376</v>
      </c>
      <c r="K36" s="4">
        <v>0</v>
      </c>
      <c r="L36" s="4">
        <v>0</v>
      </c>
      <c r="M36" s="4">
        <v>451.99359109810086</v>
      </c>
      <c r="N36" s="4">
        <v>1221964.6735337155</v>
      </c>
      <c r="O36" s="4">
        <v>97178.62208609167</v>
      </c>
    </row>
    <row r="37" spans="1:15" s="3" customFormat="1" ht="12.75">
      <c r="A37" s="3">
        <f t="shared" si="0"/>
        <v>32</v>
      </c>
      <c r="B37" s="19">
        <v>364.01</v>
      </c>
      <c r="C37" s="3" t="s">
        <v>436</v>
      </c>
      <c r="D37" s="3" t="s">
        <v>383</v>
      </c>
      <c r="E37" s="4">
        <v>170912245.04999995</v>
      </c>
      <c r="F37" s="4">
        <v>83644187.72330213</v>
      </c>
      <c r="G37" s="4">
        <v>18934480.59349113</v>
      </c>
      <c r="H37" s="4">
        <v>20988224.47500515</v>
      </c>
      <c r="I37" s="4">
        <v>14063876.2000505</v>
      </c>
      <c r="J37" s="4">
        <v>9689727.288558472</v>
      </c>
      <c r="K37" s="4">
        <v>5161003.52523704</v>
      </c>
      <c r="L37" s="4">
        <v>3801689.013182382</v>
      </c>
      <c r="M37" s="4">
        <v>13016236.969936026</v>
      </c>
      <c r="N37" s="4">
        <v>584755.3769787123</v>
      </c>
      <c r="O37" s="4">
        <v>1028063.8842584186</v>
      </c>
    </row>
    <row r="38" spans="1:15" s="3" customFormat="1" ht="12.75">
      <c r="A38" s="3">
        <f t="shared" si="0"/>
        <v>33</v>
      </c>
      <c r="B38" s="19">
        <v>365</v>
      </c>
      <c r="C38" s="3" t="s">
        <v>437</v>
      </c>
      <c r="D38" s="3" t="s">
        <v>438</v>
      </c>
      <c r="E38" s="4">
        <v>2527587.3601134373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1767081.251761705</v>
      </c>
      <c r="L38" s="4">
        <v>0</v>
      </c>
      <c r="M38" s="4">
        <v>0</v>
      </c>
      <c r="N38" s="4">
        <v>0</v>
      </c>
      <c r="O38" s="4">
        <v>760506.1083517323</v>
      </c>
    </row>
    <row r="39" spans="1:15" s="3" customFormat="1" ht="12.75">
      <c r="A39" s="3">
        <f t="shared" si="0"/>
        <v>34</v>
      </c>
      <c r="B39" s="19">
        <v>365.01</v>
      </c>
      <c r="C39" s="3" t="s">
        <v>439</v>
      </c>
      <c r="D39" s="3" t="s">
        <v>435</v>
      </c>
      <c r="E39" s="4">
        <v>281983625.33155257</v>
      </c>
      <c r="F39" s="4">
        <v>195294181.43391207</v>
      </c>
      <c r="G39" s="4">
        <v>33535308.86121501</v>
      </c>
      <c r="H39" s="4">
        <v>26443795.305707276</v>
      </c>
      <c r="I39" s="4">
        <v>10712442.469654145</v>
      </c>
      <c r="J39" s="4">
        <v>14390094.680858668</v>
      </c>
      <c r="K39" s="4">
        <v>0</v>
      </c>
      <c r="L39" s="4">
        <v>0</v>
      </c>
      <c r="M39" s="4">
        <v>550.7116219234088</v>
      </c>
      <c r="N39" s="4">
        <v>1488848.8698699353</v>
      </c>
      <c r="O39" s="4">
        <v>118402.99871353284</v>
      </c>
    </row>
    <row r="40" spans="1:15" s="3" customFormat="1" ht="12.75">
      <c r="A40" s="3">
        <f t="shared" si="0"/>
        <v>35</v>
      </c>
      <c r="B40" s="19">
        <v>365.03</v>
      </c>
      <c r="C40" s="3" t="s">
        <v>440</v>
      </c>
      <c r="D40" s="3" t="s">
        <v>383</v>
      </c>
      <c r="E40" s="4">
        <v>131895724.17</v>
      </c>
      <c r="F40" s="4">
        <v>64549562.90082599</v>
      </c>
      <c r="G40" s="4">
        <v>14612042.741178215</v>
      </c>
      <c r="H40" s="4">
        <v>16196949.875437394</v>
      </c>
      <c r="I40" s="4">
        <v>10853319.114146696</v>
      </c>
      <c r="J40" s="4">
        <v>7477718.155070428</v>
      </c>
      <c r="K40" s="4">
        <v>3982829.30053327</v>
      </c>
      <c r="L40" s="4">
        <v>2933824.4624668746</v>
      </c>
      <c r="M40" s="4">
        <v>10044839.096319852</v>
      </c>
      <c r="N40" s="4">
        <v>451265.11495033826</v>
      </c>
      <c r="O40" s="4">
        <v>793373.4090709449</v>
      </c>
    </row>
    <row r="41" spans="1:15" s="3" customFormat="1" ht="12.75">
      <c r="A41" s="3">
        <f t="shared" si="0"/>
        <v>36</v>
      </c>
      <c r="B41" s="19">
        <v>366</v>
      </c>
      <c r="C41" s="3" t="s">
        <v>441</v>
      </c>
      <c r="D41" s="3" t="s">
        <v>442</v>
      </c>
      <c r="E41" s="4">
        <v>551772558.7240262</v>
      </c>
      <c r="F41" s="4">
        <v>374571363.67080426</v>
      </c>
      <c r="G41" s="4">
        <v>64341256.170171484</v>
      </c>
      <c r="H41" s="4">
        <v>57332231.79172557</v>
      </c>
      <c r="I41" s="4">
        <v>25922433.358822387</v>
      </c>
      <c r="J41" s="4">
        <v>26041505.155967787</v>
      </c>
      <c r="K41" s="4">
        <v>0</v>
      </c>
      <c r="L41" s="4">
        <v>0</v>
      </c>
      <c r="M41" s="4">
        <v>84412.40079321517</v>
      </c>
      <c r="N41" s="4">
        <v>3382645.2794685094</v>
      </c>
      <c r="O41" s="4">
        <v>96710.89627302134</v>
      </c>
    </row>
    <row r="42" spans="1:15" s="3" customFormat="1" ht="12.75">
      <c r="A42" s="3">
        <f t="shared" si="0"/>
        <v>37</v>
      </c>
      <c r="B42" s="19">
        <v>366.01</v>
      </c>
      <c r="C42" s="3" t="s">
        <v>443</v>
      </c>
      <c r="D42" s="3" t="s">
        <v>444</v>
      </c>
      <c r="E42" s="4">
        <v>700574.85</v>
      </c>
      <c r="F42" s="4">
        <v>342860.24532929884</v>
      </c>
      <c r="G42" s="4">
        <v>77613.05164373864</v>
      </c>
      <c r="H42" s="4">
        <v>86031.41459549312</v>
      </c>
      <c r="I42" s="4">
        <v>57648.285857964926</v>
      </c>
      <c r="J42" s="4">
        <v>39718.50723590247</v>
      </c>
      <c r="K42" s="4">
        <v>21155.12126989295</v>
      </c>
      <c r="L42" s="4">
        <v>15583.246884257667</v>
      </c>
      <c r="M42" s="4">
        <v>53353.978587723126</v>
      </c>
      <c r="N42" s="4">
        <v>2396.9313046804123</v>
      </c>
      <c r="O42" s="4">
        <v>4214.067291047846</v>
      </c>
    </row>
    <row r="43" spans="1:15" s="3" customFormat="1" ht="12.75">
      <c r="A43" s="3">
        <f t="shared" si="0"/>
        <v>38</v>
      </c>
      <c r="B43" s="19">
        <v>366.02</v>
      </c>
      <c r="C43" s="3" t="s">
        <v>445</v>
      </c>
      <c r="D43" s="3" t="s">
        <v>446</v>
      </c>
      <c r="E43" s="4">
        <v>25269502.763473723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22206200.792146683</v>
      </c>
      <c r="L43" s="4">
        <v>1801892.9831340155</v>
      </c>
      <c r="M43" s="4">
        <v>674698.9936847178</v>
      </c>
      <c r="N43" s="4">
        <v>0</v>
      </c>
      <c r="O43" s="4">
        <v>586709.9945083078</v>
      </c>
    </row>
    <row r="44" spans="1:15" s="3" customFormat="1" ht="12.75">
      <c r="A44" s="3">
        <f t="shared" si="0"/>
        <v>39</v>
      </c>
      <c r="B44" s="19">
        <v>367</v>
      </c>
      <c r="C44" s="3" t="s">
        <v>447</v>
      </c>
      <c r="D44" s="3" t="s">
        <v>442</v>
      </c>
      <c r="E44" s="4">
        <v>647702409.8299999</v>
      </c>
      <c r="F44" s="4">
        <v>439693440.8335321</v>
      </c>
      <c r="G44" s="4">
        <v>75527472.35071003</v>
      </c>
      <c r="H44" s="4">
        <v>67299875.83707617</v>
      </c>
      <c r="I44" s="4">
        <v>30429245.328897398</v>
      </c>
      <c r="J44" s="4">
        <v>30569018.662555404</v>
      </c>
      <c r="K44" s="4">
        <v>0</v>
      </c>
      <c r="L44" s="4">
        <v>0</v>
      </c>
      <c r="M44" s="4">
        <v>99088.13794534316</v>
      </c>
      <c r="N44" s="4">
        <v>3970743.858988552</v>
      </c>
      <c r="O44" s="4">
        <v>113524.82029499578</v>
      </c>
    </row>
    <row r="45" spans="1:15" s="3" customFormat="1" ht="12.75">
      <c r="A45" s="3">
        <f t="shared" si="0"/>
        <v>40</v>
      </c>
      <c r="B45" s="19">
        <v>367.01</v>
      </c>
      <c r="C45" s="3" t="s">
        <v>448</v>
      </c>
      <c r="D45" s="3" t="s">
        <v>444</v>
      </c>
      <c r="E45" s="4">
        <v>2937079.22</v>
      </c>
      <c r="F45" s="4">
        <v>1437402.016245353</v>
      </c>
      <c r="G45" s="4">
        <v>325383.76332466345</v>
      </c>
      <c r="H45" s="4">
        <v>360676.77861348796</v>
      </c>
      <c r="I45" s="4">
        <v>241683.786481985</v>
      </c>
      <c r="J45" s="4">
        <v>166515.2585080506</v>
      </c>
      <c r="K45" s="4">
        <v>88690.40485593023</v>
      </c>
      <c r="L45" s="4">
        <v>65330.96442711717</v>
      </c>
      <c r="M45" s="4">
        <v>223680.39876727888</v>
      </c>
      <c r="N45" s="4">
        <v>10048.857915388096</v>
      </c>
      <c r="O45" s="4">
        <v>17666.990860745744</v>
      </c>
    </row>
    <row r="46" spans="1:15" s="3" customFormat="1" ht="12.75">
      <c r="A46" s="3">
        <f t="shared" si="0"/>
        <v>41</v>
      </c>
      <c r="B46" s="19" t="s">
        <v>449</v>
      </c>
      <c r="C46" s="3" t="s">
        <v>450</v>
      </c>
      <c r="D46" s="3" t="s">
        <v>451</v>
      </c>
      <c r="E46" s="4">
        <v>138085648.79946673</v>
      </c>
      <c r="F46" s="4">
        <v>115994703.07019629</v>
      </c>
      <c r="G46" s="4">
        <v>19223368.268233776</v>
      </c>
      <c r="H46" s="4">
        <v>2692489.73796818</v>
      </c>
      <c r="I46" s="4">
        <v>27159.771806846406</v>
      </c>
      <c r="J46" s="4">
        <v>0</v>
      </c>
      <c r="K46" s="4">
        <v>0</v>
      </c>
      <c r="L46" s="4">
        <v>0</v>
      </c>
      <c r="M46" s="4">
        <v>0</v>
      </c>
      <c r="N46" s="4">
        <v>147927.95126165348</v>
      </c>
      <c r="O46" s="4">
        <v>0</v>
      </c>
    </row>
    <row r="47" spans="1:15" s="3" customFormat="1" ht="12.75">
      <c r="A47" s="3">
        <f t="shared" si="0"/>
        <v>42</v>
      </c>
      <c r="B47" s="19" t="s">
        <v>452</v>
      </c>
      <c r="C47" s="3" t="s">
        <v>453</v>
      </c>
      <c r="D47" s="3" t="s">
        <v>451</v>
      </c>
      <c r="E47" s="4">
        <v>261219746.87699658</v>
      </c>
      <c r="F47" s="4">
        <v>169354594.1106315</v>
      </c>
      <c r="G47" s="4">
        <v>49946407.02000843</v>
      </c>
      <c r="H47" s="4">
        <v>33230543.52143133</v>
      </c>
      <c r="I47" s="4">
        <v>8620709.547424778</v>
      </c>
      <c r="J47" s="4">
        <v>0</v>
      </c>
      <c r="K47" s="4">
        <v>0</v>
      </c>
      <c r="L47" s="4">
        <v>0</v>
      </c>
      <c r="M47" s="4">
        <v>0</v>
      </c>
      <c r="N47" s="4">
        <v>67492.6775005292</v>
      </c>
      <c r="O47" s="4">
        <v>0</v>
      </c>
    </row>
    <row r="48" spans="1:15" s="3" customFormat="1" ht="12.75">
      <c r="A48" s="3">
        <f t="shared" si="0"/>
        <v>43</v>
      </c>
      <c r="B48" s="19">
        <v>368.03</v>
      </c>
      <c r="C48" s="3" t="s">
        <v>454</v>
      </c>
      <c r="D48" s="3" t="s">
        <v>451</v>
      </c>
      <c r="E48" s="4">
        <v>3755940.9747866914</v>
      </c>
      <c r="F48" s="4">
        <v>0</v>
      </c>
      <c r="G48" s="4">
        <v>0</v>
      </c>
      <c r="H48" s="4">
        <v>0</v>
      </c>
      <c r="I48" s="4">
        <v>0</v>
      </c>
      <c r="J48" s="4">
        <v>1036927.9930391916</v>
      </c>
      <c r="K48" s="4">
        <v>2699615.98187771</v>
      </c>
      <c r="L48" s="4">
        <v>0</v>
      </c>
      <c r="M48" s="4">
        <v>0</v>
      </c>
      <c r="N48" s="4">
        <v>0</v>
      </c>
      <c r="O48" s="4">
        <v>19396.999869789608</v>
      </c>
    </row>
    <row r="49" spans="1:15" s="3" customFormat="1" ht="12.75">
      <c r="A49" s="3">
        <f t="shared" si="0"/>
        <v>44</v>
      </c>
      <c r="B49" s="19" t="s">
        <v>455</v>
      </c>
      <c r="C49" s="3" t="s">
        <v>456</v>
      </c>
      <c r="D49" s="3" t="s">
        <v>457</v>
      </c>
      <c r="E49" s="4">
        <v>41858523.8647626</v>
      </c>
      <c r="F49" s="4">
        <v>36290664.085567445</v>
      </c>
      <c r="G49" s="4">
        <v>5353785.013973731</v>
      </c>
      <c r="H49" s="4">
        <v>211755.53790154887</v>
      </c>
      <c r="I49" s="4">
        <v>2319.227319874107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</row>
    <row r="50" spans="1:15" s="3" customFormat="1" ht="12.75">
      <c r="A50" s="3">
        <f t="shared" si="0"/>
        <v>45</v>
      </c>
      <c r="B50" s="19" t="s">
        <v>458</v>
      </c>
      <c r="C50" s="3" t="s">
        <v>459</v>
      </c>
      <c r="D50" s="3" t="s">
        <v>239</v>
      </c>
      <c r="E50" s="4">
        <v>136280318.4156534</v>
      </c>
      <c r="F50" s="4">
        <v>136280318.4156534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</row>
    <row r="51" spans="1:15" s="3" customFormat="1" ht="12.75">
      <c r="A51" s="3">
        <f t="shared" si="0"/>
        <v>46</v>
      </c>
      <c r="B51" s="19">
        <v>370</v>
      </c>
      <c r="C51" s="3" t="s">
        <v>460</v>
      </c>
      <c r="D51" s="3" t="s">
        <v>461</v>
      </c>
      <c r="E51" s="4">
        <v>127180593.16</v>
      </c>
      <c r="F51" s="4">
        <v>67649431.46922615</v>
      </c>
      <c r="G51" s="4">
        <v>29514490.411829323</v>
      </c>
      <c r="H51" s="4">
        <v>11591801.94796694</v>
      </c>
      <c r="I51" s="4">
        <v>1278561.8173046636</v>
      </c>
      <c r="J51" s="4">
        <v>15279600.521369996</v>
      </c>
      <c r="K51" s="4">
        <v>740902.540142795</v>
      </c>
      <c r="L51" s="4">
        <v>556416.9958994668</v>
      </c>
      <c r="M51" s="4">
        <v>289800.5186976389</v>
      </c>
      <c r="N51" s="4">
        <v>0</v>
      </c>
      <c r="O51" s="4">
        <v>279586.9375630177</v>
      </c>
    </row>
    <row r="52" spans="1:15" s="3" customFormat="1" ht="12.75">
      <c r="A52" s="3">
        <f t="shared" si="0"/>
        <v>47</v>
      </c>
      <c r="B52" s="19">
        <v>372</v>
      </c>
      <c r="C52" s="3" t="s">
        <v>462</v>
      </c>
      <c r="D52" s="3" t="s">
        <v>463</v>
      </c>
      <c r="E52" s="4">
        <v>640774.60125</v>
      </c>
      <c r="F52" s="4">
        <v>635171.6047367094</v>
      </c>
      <c r="G52" s="4">
        <v>5602.996513290546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</row>
    <row r="53" spans="1:15" s="3" customFormat="1" ht="12.75">
      <c r="A53" s="3">
        <f t="shared" si="0"/>
        <v>48</v>
      </c>
      <c r="B53" s="19">
        <v>373</v>
      </c>
      <c r="C53" s="3" t="s">
        <v>464</v>
      </c>
      <c r="D53" s="3" t="s">
        <v>257</v>
      </c>
      <c r="E53" s="4">
        <v>54753288.4983333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54753288.4983333</v>
      </c>
      <c r="O53" s="4">
        <v>0</v>
      </c>
    </row>
    <row r="54" spans="1:15" s="3" customFormat="1" ht="12.75">
      <c r="A54" s="3">
        <f t="shared" si="0"/>
        <v>49</v>
      </c>
      <c r="B54" s="19">
        <v>374</v>
      </c>
      <c r="C54" s="3" t="s">
        <v>465</v>
      </c>
      <c r="D54" s="3" t="s">
        <v>262</v>
      </c>
      <c r="E54" s="4">
        <v>4204447.65791666</v>
      </c>
      <c r="F54" s="4">
        <v>2710668.76276762</v>
      </c>
      <c r="G54" s="4">
        <v>482395.495773504</v>
      </c>
      <c r="H54" s="4">
        <v>432146.60323332757</v>
      </c>
      <c r="I54" s="4">
        <v>207585.14886505392</v>
      </c>
      <c r="J54" s="4">
        <v>205761.48695941785</v>
      </c>
      <c r="K54" s="4">
        <v>68242.11476921562</v>
      </c>
      <c r="L54" s="4">
        <v>17700.458341075464</v>
      </c>
      <c r="M54" s="4">
        <v>49696.86572078887</v>
      </c>
      <c r="N54" s="4">
        <v>22823.39466904028</v>
      </c>
      <c r="O54" s="4">
        <v>7427.326817616888</v>
      </c>
    </row>
    <row r="55" spans="1:15" s="3" customFormat="1" ht="12.75">
      <c r="A55" s="9">
        <f t="shared" si="0"/>
        <v>50</v>
      </c>
      <c r="B55" s="20"/>
      <c r="C55" s="9" t="s">
        <v>286</v>
      </c>
      <c r="D55" s="9"/>
      <c r="E55" s="10">
        <f aca="true" t="shared" si="4" ref="E55:O55">SUM(E27:E54)</f>
        <v>3456399344.4841638</v>
      </c>
      <c r="F55" s="10">
        <f t="shared" si="4"/>
        <v>2162936450.0941916</v>
      </c>
      <c r="G55" s="10">
        <f t="shared" si="4"/>
        <v>417717066.3108748</v>
      </c>
      <c r="H55" s="10">
        <f t="shared" si="4"/>
        <v>340556403.5162981</v>
      </c>
      <c r="I55" s="10">
        <f t="shared" si="4"/>
        <v>165222049.72203287</v>
      </c>
      <c r="J55" s="10">
        <f t="shared" si="4"/>
        <v>159821988.04497546</v>
      </c>
      <c r="K55" s="10">
        <f t="shared" si="4"/>
        <v>54567654.66653922</v>
      </c>
      <c r="L55" s="10">
        <f t="shared" si="4"/>
        <v>25274756.030845977</v>
      </c>
      <c r="M55" s="10">
        <f t="shared" si="4"/>
        <v>53363528.009210534</v>
      </c>
      <c r="N55" s="10">
        <f t="shared" si="4"/>
        <v>69857263.41353327</v>
      </c>
      <c r="O55" s="10">
        <f t="shared" si="4"/>
        <v>7082184.6756629</v>
      </c>
    </row>
    <row r="56" spans="1:15" s="3" customFormat="1" ht="12.75">
      <c r="A56" s="3">
        <f t="shared" si="0"/>
        <v>51</v>
      </c>
      <c r="B56" s="19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3" customFormat="1" ht="12.75">
      <c r="A57" s="3">
        <f t="shared" si="0"/>
        <v>52</v>
      </c>
      <c r="B57" s="19"/>
      <c r="C57" s="1" t="s">
        <v>104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3" customFormat="1" ht="12.75">
      <c r="A58" s="3">
        <f t="shared" si="0"/>
        <v>53</v>
      </c>
      <c r="B58" s="19">
        <v>389</v>
      </c>
      <c r="C58" s="3" t="s">
        <v>466</v>
      </c>
      <c r="D58" s="3" t="s">
        <v>349</v>
      </c>
      <c r="E58" s="4">
        <v>7549078</v>
      </c>
      <c r="F58" s="4">
        <v>4661509.830089932</v>
      </c>
      <c r="G58" s="4">
        <v>899764.6397236033</v>
      </c>
      <c r="H58" s="4">
        <v>760947.2643466338</v>
      </c>
      <c r="I58" s="4">
        <v>447137.00705069734</v>
      </c>
      <c r="J58" s="4">
        <v>347661.77059325075</v>
      </c>
      <c r="K58" s="4">
        <v>169700.61090921512</v>
      </c>
      <c r="L58" s="4">
        <v>107888.72319824468</v>
      </c>
      <c r="M58" s="4">
        <v>61275.26107319535</v>
      </c>
      <c r="N58" s="4">
        <v>84356.06025920933</v>
      </c>
      <c r="O58" s="4">
        <v>8836.832756018108</v>
      </c>
    </row>
    <row r="59" spans="1:15" s="3" customFormat="1" ht="12.75">
      <c r="A59" s="3">
        <f t="shared" si="0"/>
        <v>54</v>
      </c>
      <c r="B59" s="19">
        <v>390</v>
      </c>
      <c r="C59" s="3" t="s">
        <v>467</v>
      </c>
      <c r="D59" s="3" t="s">
        <v>349</v>
      </c>
      <c r="E59" s="4">
        <v>136331046</v>
      </c>
      <c r="F59" s="4">
        <v>84183593.15871988</v>
      </c>
      <c r="G59" s="4">
        <v>16249117.373980235</v>
      </c>
      <c r="H59" s="4">
        <v>13742173.083814353</v>
      </c>
      <c r="I59" s="4">
        <v>8074980.266004794</v>
      </c>
      <c r="J59" s="4">
        <v>6278527.369725138</v>
      </c>
      <c r="K59" s="4">
        <v>3064673.8306442597</v>
      </c>
      <c r="L59" s="4">
        <v>1948394.5569539967</v>
      </c>
      <c r="M59" s="4">
        <v>1106588.1735533539</v>
      </c>
      <c r="N59" s="4">
        <v>1523411.1942646557</v>
      </c>
      <c r="O59" s="4">
        <v>159586.99233933087</v>
      </c>
    </row>
    <row r="60" spans="1:15" s="3" customFormat="1" ht="12.75">
      <c r="A60" s="3">
        <f t="shared" si="0"/>
        <v>55</v>
      </c>
      <c r="B60" s="19">
        <v>391</v>
      </c>
      <c r="C60" s="3" t="s">
        <v>468</v>
      </c>
      <c r="D60" s="3" t="s">
        <v>349</v>
      </c>
      <c r="E60" s="4">
        <v>60368671</v>
      </c>
      <c r="F60" s="4">
        <v>37277287.80865227</v>
      </c>
      <c r="G60" s="4">
        <v>7195262.191344126</v>
      </c>
      <c r="H60" s="4">
        <v>6085163.651732299</v>
      </c>
      <c r="I60" s="4">
        <v>3575677.303979139</v>
      </c>
      <c r="J60" s="4">
        <v>2780191.0442866567</v>
      </c>
      <c r="K60" s="4">
        <v>1357066.4322818518</v>
      </c>
      <c r="L60" s="4">
        <v>862767.4578756372</v>
      </c>
      <c r="M60" s="4">
        <v>490007.6640043773</v>
      </c>
      <c r="N60" s="4">
        <v>674580.8228030473</v>
      </c>
      <c r="O60" s="4">
        <v>70666.62304059917</v>
      </c>
    </row>
    <row r="61" spans="1:15" s="3" customFormat="1" ht="12.75">
      <c r="A61" s="3">
        <f t="shared" si="0"/>
        <v>56</v>
      </c>
      <c r="B61" s="19">
        <v>392</v>
      </c>
      <c r="C61" s="3" t="s">
        <v>469</v>
      </c>
      <c r="D61" s="3" t="s">
        <v>349</v>
      </c>
      <c r="E61" s="4">
        <v>12487124</v>
      </c>
      <c r="F61" s="4">
        <v>7710723.253296882</v>
      </c>
      <c r="G61" s="4">
        <v>1488323.8227296048</v>
      </c>
      <c r="H61" s="4">
        <v>1258702.4332451187</v>
      </c>
      <c r="I61" s="4">
        <v>739620.8188643609</v>
      </c>
      <c r="J61" s="4">
        <v>575076.2728186774</v>
      </c>
      <c r="K61" s="4">
        <v>280706.1433593774</v>
      </c>
      <c r="L61" s="4">
        <v>178461.51076703114</v>
      </c>
      <c r="M61" s="4">
        <v>101356.98467460045</v>
      </c>
      <c r="N61" s="4">
        <v>139535.52799536832</v>
      </c>
      <c r="O61" s="4">
        <v>14617.23224897926</v>
      </c>
    </row>
    <row r="62" spans="1:15" s="3" customFormat="1" ht="12.75">
      <c r="A62" s="3">
        <f t="shared" si="0"/>
        <v>57</v>
      </c>
      <c r="B62" s="19">
        <v>393</v>
      </c>
      <c r="C62" s="3" t="s">
        <v>470</v>
      </c>
      <c r="D62" s="3" t="s">
        <v>253</v>
      </c>
      <c r="E62" s="4">
        <v>618669</v>
      </c>
      <c r="F62" s="4">
        <v>356655.59938276466</v>
      </c>
      <c r="G62" s="4">
        <v>74561.5715173606</v>
      </c>
      <c r="H62" s="4">
        <v>72055.01575871592</v>
      </c>
      <c r="I62" s="4">
        <v>42833.450881367055</v>
      </c>
      <c r="J62" s="4">
        <v>33508.03626222729</v>
      </c>
      <c r="K62" s="4">
        <v>15196.231248350072</v>
      </c>
      <c r="L62" s="4">
        <v>9901.791069164523</v>
      </c>
      <c r="M62" s="4">
        <v>5899.882990926898</v>
      </c>
      <c r="N62" s="4">
        <v>7238.657669928284</v>
      </c>
      <c r="O62" s="4">
        <v>818.7632191946525</v>
      </c>
    </row>
    <row r="63" spans="1:15" s="3" customFormat="1" ht="12.75">
      <c r="A63" s="3">
        <f t="shared" si="0"/>
        <v>58</v>
      </c>
      <c r="B63" s="19">
        <v>394</v>
      </c>
      <c r="C63" s="3" t="s">
        <v>471</v>
      </c>
      <c r="D63" s="3" t="s">
        <v>472</v>
      </c>
      <c r="E63" s="4">
        <v>6254753</v>
      </c>
      <c r="F63" s="4">
        <v>3590596.6642682673</v>
      </c>
      <c r="G63" s="4">
        <v>753663.0675606881</v>
      </c>
      <c r="H63" s="4">
        <v>733862.2826547811</v>
      </c>
      <c r="I63" s="4">
        <v>439512.38420829293</v>
      </c>
      <c r="J63" s="4">
        <v>341143.3563183486</v>
      </c>
      <c r="K63" s="4">
        <v>156282.98982513603</v>
      </c>
      <c r="L63" s="4">
        <v>102734.9039007693</v>
      </c>
      <c r="M63" s="4">
        <v>58271.19671532124</v>
      </c>
      <c r="N63" s="4">
        <v>70597.7965154876</v>
      </c>
      <c r="O63" s="4">
        <v>8088.3580329076785</v>
      </c>
    </row>
    <row r="64" spans="1:15" s="3" customFormat="1" ht="12.75">
      <c r="A64" s="3">
        <f t="shared" si="0"/>
        <v>59</v>
      </c>
      <c r="B64" s="19">
        <v>395</v>
      </c>
      <c r="C64" s="3" t="s">
        <v>473</v>
      </c>
      <c r="D64" s="3" t="s">
        <v>472</v>
      </c>
      <c r="E64" s="4">
        <v>10399480</v>
      </c>
      <c r="F64" s="4">
        <v>5969914.11141648</v>
      </c>
      <c r="G64" s="4">
        <v>1253079.697605329</v>
      </c>
      <c r="H64" s="4">
        <v>1220157.8753346044</v>
      </c>
      <c r="I64" s="4">
        <v>730756.3143303114</v>
      </c>
      <c r="J64" s="4">
        <v>567202.8153894391</v>
      </c>
      <c r="K64" s="4">
        <v>259844.28594169999</v>
      </c>
      <c r="L64" s="4">
        <v>170812.4331077458</v>
      </c>
      <c r="M64" s="4">
        <v>96884.74426041266</v>
      </c>
      <c r="N64" s="4">
        <v>117379.59483082432</v>
      </c>
      <c r="O64" s="4">
        <v>13448.127783153504</v>
      </c>
    </row>
    <row r="65" spans="1:15" s="3" customFormat="1" ht="12.75">
      <c r="A65" s="3">
        <f t="shared" si="0"/>
        <v>60</v>
      </c>
      <c r="B65" s="19">
        <v>396</v>
      </c>
      <c r="C65" s="3" t="s">
        <v>474</v>
      </c>
      <c r="D65" s="3" t="s">
        <v>472</v>
      </c>
      <c r="E65" s="4">
        <v>5795732</v>
      </c>
      <c r="F65" s="4">
        <v>3327091.5711927954</v>
      </c>
      <c r="G65" s="4">
        <v>698353.5813292136</v>
      </c>
      <c r="H65" s="4">
        <v>680005.9275202969</v>
      </c>
      <c r="I65" s="4">
        <v>407257.647032952</v>
      </c>
      <c r="J65" s="4">
        <v>316107.68111892755</v>
      </c>
      <c r="K65" s="4">
        <v>144813.76405834337</v>
      </c>
      <c r="L65" s="4">
        <v>95195.44097978188</v>
      </c>
      <c r="M65" s="4">
        <v>53994.816339075616</v>
      </c>
      <c r="N65" s="4">
        <v>65416.797177170694</v>
      </c>
      <c r="O65" s="4">
        <v>7494.773251442556</v>
      </c>
    </row>
    <row r="66" spans="1:15" s="3" customFormat="1" ht="12.75">
      <c r="A66" s="3">
        <f t="shared" si="0"/>
        <v>61</v>
      </c>
      <c r="B66" s="19">
        <v>397</v>
      </c>
      <c r="C66" s="3" t="s">
        <v>475</v>
      </c>
      <c r="D66" s="3" t="s">
        <v>349</v>
      </c>
      <c r="E66" s="4">
        <v>58817546</v>
      </c>
      <c r="F66" s="4">
        <v>36319477.53894804</v>
      </c>
      <c r="G66" s="4">
        <v>7010385.650554474</v>
      </c>
      <c r="H66" s="4">
        <v>5928810.210237897</v>
      </c>
      <c r="I66" s="4">
        <v>3483803.118805596</v>
      </c>
      <c r="J66" s="4">
        <v>2708756.2460356047</v>
      </c>
      <c r="K66" s="4">
        <v>1322197.6893576756</v>
      </c>
      <c r="L66" s="4">
        <v>840599.3340635803</v>
      </c>
      <c r="M66" s="4">
        <v>477417.30670085497</v>
      </c>
      <c r="N66" s="4">
        <v>657248.0049450828</v>
      </c>
      <c r="O66" s="4">
        <v>68850.90035119545</v>
      </c>
    </row>
    <row r="67" spans="1:15" s="3" customFormat="1" ht="12.75">
      <c r="A67" s="3">
        <f t="shared" si="0"/>
        <v>62</v>
      </c>
      <c r="B67" s="19">
        <v>398</v>
      </c>
      <c r="C67" s="3" t="s">
        <v>476</v>
      </c>
      <c r="D67" s="3" t="s">
        <v>349</v>
      </c>
      <c r="E67" s="4">
        <v>815052</v>
      </c>
      <c r="F67" s="4">
        <v>503289.6613380414</v>
      </c>
      <c r="G67" s="4">
        <v>97144.97176158495</v>
      </c>
      <c r="H67" s="4">
        <v>82157.26340359081</v>
      </c>
      <c r="I67" s="4">
        <v>48276.08243956215</v>
      </c>
      <c r="J67" s="4">
        <v>37536.03041928699</v>
      </c>
      <c r="K67" s="4">
        <v>18322.081494293423</v>
      </c>
      <c r="L67" s="4">
        <v>11648.431718439751</v>
      </c>
      <c r="M67" s="4">
        <v>6615.711758208092</v>
      </c>
      <c r="N67" s="4">
        <v>9107.678530595269</v>
      </c>
      <c r="O67" s="4">
        <v>954.0871363970632</v>
      </c>
    </row>
    <row r="68" spans="1:15" s="3" customFormat="1" ht="12.75">
      <c r="A68" s="3">
        <f t="shared" si="0"/>
        <v>63</v>
      </c>
      <c r="B68" s="19">
        <v>399</v>
      </c>
      <c r="C68" s="3" t="s">
        <v>477</v>
      </c>
      <c r="D68" s="3" t="s">
        <v>349</v>
      </c>
      <c r="E68" s="4">
        <v>41998</v>
      </c>
      <c r="F68" s="4">
        <v>25933.510005343298</v>
      </c>
      <c r="G68" s="4">
        <v>5005.686169769591</v>
      </c>
      <c r="H68" s="4">
        <v>4233.399523495442</v>
      </c>
      <c r="I68" s="4">
        <v>2487.5700081672476</v>
      </c>
      <c r="J68" s="4">
        <v>1934.156600498146</v>
      </c>
      <c r="K68" s="4">
        <v>944.1002274668796</v>
      </c>
      <c r="L68" s="4">
        <v>600.220397362417</v>
      </c>
      <c r="M68" s="4">
        <v>340.89439989255084</v>
      </c>
      <c r="N68" s="4">
        <v>469.300465403361</v>
      </c>
      <c r="O68" s="4">
        <v>49.16220260106577</v>
      </c>
    </row>
    <row r="69" spans="1:15" s="3" customFormat="1" ht="12.75">
      <c r="A69" s="9">
        <f t="shared" si="0"/>
        <v>64</v>
      </c>
      <c r="B69" s="20"/>
      <c r="C69" s="9" t="s">
        <v>286</v>
      </c>
      <c r="D69" s="9"/>
      <c r="E69" s="10">
        <f>SUM(E58:E68)</f>
        <v>299479149</v>
      </c>
      <c r="F69" s="10">
        <f aca="true" t="shared" si="5" ref="F69:O69">SUM(F58:F68)</f>
        <v>183926072.70731068</v>
      </c>
      <c r="G69" s="10">
        <f t="shared" si="5"/>
        <v>35724662.254275985</v>
      </c>
      <c r="H69" s="10">
        <f t="shared" si="5"/>
        <v>30568268.40757179</v>
      </c>
      <c r="I69" s="10">
        <f t="shared" si="5"/>
        <v>17992341.963605236</v>
      </c>
      <c r="J69" s="10">
        <f t="shared" si="5"/>
        <v>13987644.779568054</v>
      </c>
      <c r="K69" s="10">
        <f t="shared" si="5"/>
        <v>6789748.159347669</v>
      </c>
      <c r="L69" s="10">
        <f t="shared" si="5"/>
        <v>4329004.804031753</v>
      </c>
      <c r="M69" s="10">
        <f t="shared" si="5"/>
        <v>2458652.6364702187</v>
      </c>
      <c r="N69" s="10">
        <f t="shared" si="5"/>
        <v>3349341.4354567737</v>
      </c>
      <c r="O69" s="10">
        <f t="shared" si="5"/>
        <v>353411.8523618194</v>
      </c>
    </row>
    <row r="70" spans="1:15" s="3" customFormat="1" ht="12.75">
      <c r="A70" s="3">
        <f t="shared" si="0"/>
        <v>65</v>
      </c>
      <c r="B70" s="19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s="3" customFormat="1" ht="12.75">
      <c r="A71" s="9">
        <f aca="true" t="shared" si="6" ref="A71:A134">+A70+1</f>
        <v>66</v>
      </c>
      <c r="B71" s="20"/>
      <c r="C71" s="9" t="s">
        <v>478</v>
      </c>
      <c r="D71" s="9"/>
      <c r="E71" s="10">
        <f aca="true" t="shared" si="7" ref="E71:O71">SUM(E69,E55,E24,E18,E12)</f>
        <v>7629582517.484163</v>
      </c>
      <c r="F71" s="10">
        <f t="shared" si="7"/>
        <v>4412476260.014916</v>
      </c>
      <c r="G71" s="10">
        <f t="shared" si="7"/>
        <v>918986590.1892327</v>
      </c>
      <c r="H71" s="10">
        <f t="shared" si="7"/>
        <v>883239532.772831</v>
      </c>
      <c r="I71" s="10">
        <f t="shared" si="7"/>
        <v>525320851.0524537</v>
      </c>
      <c r="J71" s="10">
        <f t="shared" si="7"/>
        <v>410384118.2316121</v>
      </c>
      <c r="K71" s="10">
        <f t="shared" si="7"/>
        <v>187021087.44513458</v>
      </c>
      <c r="L71" s="10">
        <f t="shared" si="7"/>
        <v>121871394.57655326</v>
      </c>
      <c r="M71" s="10">
        <f t="shared" si="7"/>
        <v>71676673.2260806</v>
      </c>
      <c r="N71" s="10">
        <f t="shared" si="7"/>
        <v>88622997.82903425</v>
      </c>
      <c r="O71" s="10">
        <f t="shared" si="7"/>
        <v>9983012.146316104</v>
      </c>
    </row>
    <row r="72" spans="1:15" s="3" customFormat="1" ht="12.75">
      <c r="A72" s="3">
        <f t="shared" si="6"/>
        <v>67</v>
      </c>
      <c r="B72" s="19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s="3" customFormat="1" ht="12.75">
      <c r="A73" s="3">
        <f t="shared" si="6"/>
        <v>68</v>
      </c>
      <c r="B73" s="19"/>
      <c r="C73" s="1" t="s">
        <v>479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s="3" customFormat="1" ht="12.75">
      <c r="A74" s="3">
        <f t="shared" si="6"/>
        <v>69</v>
      </c>
      <c r="B74" s="19"/>
      <c r="C74" s="1" t="s">
        <v>171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s="3" customFormat="1" ht="12.75">
      <c r="A75" s="3">
        <f t="shared" si="6"/>
        <v>70</v>
      </c>
      <c r="B75" s="19">
        <v>111</v>
      </c>
      <c r="C75" s="3" t="s">
        <v>480</v>
      </c>
      <c r="D75" s="3" t="s">
        <v>248</v>
      </c>
      <c r="E75" s="4">
        <v>-3373943</v>
      </c>
      <c r="F75" s="4">
        <v>-1796659.5850368694</v>
      </c>
      <c r="G75" s="4">
        <v>-407329.83488335664</v>
      </c>
      <c r="H75" s="4">
        <v>-451700.2992556425</v>
      </c>
      <c r="I75" s="4">
        <v>-302757.1496965425</v>
      </c>
      <c r="J75" s="4">
        <v>-208730.0559551384</v>
      </c>
      <c r="K75" s="4">
        <v>-111136.54933528195</v>
      </c>
      <c r="L75" s="4">
        <v>-81873.35736103484</v>
      </c>
      <c r="M75" s="4">
        <v>0</v>
      </c>
      <c r="N75" s="4">
        <v>-12592.198268378965</v>
      </c>
      <c r="O75" s="4">
        <v>-1163.9702077549614</v>
      </c>
    </row>
    <row r="76" spans="1:15" s="3" customFormat="1" ht="12.75">
      <c r="A76" s="3">
        <f t="shared" si="6"/>
        <v>71</v>
      </c>
      <c r="B76" s="19">
        <v>111.01</v>
      </c>
      <c r="C76" s="3" t="s">
        <v>481</v>
      </c>
      <c r="D76" s="3" t="s">
        <v>264</v>
      </c>
      <c r="E76" s="4">
        <v>-92452881</v>
      </c>
      <c r="F76" s="4">
        <v>-56780231.17664981</v>
      </c>
      <c r="G76" s="4">
        <v>-11028640.755753487</v>
      </c>
      <c r="H76" s="4">
        <v>-9436798.8252207</v>
      </c>
      <c r="I76" s="4">
        <v>-5554456.315329326</v>
      </c>
      <c r="J76" s="4">
        <v>-4318157.249323816</v>
      </c>
      <c r="K76" s="4">
        <v>-2096078.4104409865</v>
      </c>
      <c r="L76" s="4">
        <v>-1336416.8000743724</v>
      </c>
      <c r="M76" s="4">
        <v>-759016.1798540355</v>
      </c>
      <c r="N76" s="4">
        <v>-1033982.7203150438</v>
      </c>
      <c r="O76" s="4">
        <v>-109102.5670384714</v>
      </c>
    </row>
    <row r="77" spans="1:15" s="3" customFormat="1" ht="12.75">
      <c r="A77" s="9">
        <f>+A76+1</f>
        <v>72</v>
      </c>
      <c r="B77" s="20"/>
      <c r="C77" s="9" t="s">
        <v>286</v>
      </c>
      <c r="D77" s="9"/>
      <c r="E77" s="10">
        <f aca="true" t="shared" si="8" ref="E77:O77">SUM(E75:E76)</f>
        <v>-95826824</v>
      </c>
      <c r="F77" s="10">
        <f t="shared" si="8"/>
        <v>-58576890.761686675</v>
      </c>
      <c r="G77" s="10">
        <f t="shared" si="8"/>
        <v>-11435970.590636844</v>
      </c>
      <c r="H77" s="10">
        <f t="shared" si="8"/>
        <v>-9888499.124476343</v>
      </c>
      <c r="I77" s="10">
        <f t="shared" si="8"/>
        <v>-5857213.465025869</v>
      </c>
      <c r="J77" s="10">
        <f t="shared" si="8"/>
        <v>-4526887.305278954</v>
      </c>
      <c r="K77" s="10">
        <f t="shared" si="8"/>
        <v>-2207214.9597762683</v>
      </c>
      <c r="L77" s="10">
        <f t="shared" si="8"/>
        <v>-1418290.1574354074</v>
      </c>
      <c r="M77" s="10">
        <f t="shared" si="8"/>
        <v>-759016.1798540355</v>
      </c>
      <c r="N77" s="10">
        <f t="shared" si="8"/>
        <v>-1046574.9185834228</v>
      </c>
      <c r="O77" s="10">
        <f t="shared" si="8"/>
        <v>-110266.53724622636</v>
      </c>
    </row>
    <row r="78" spans="1:15" s="3" customFormat="1" ht="12.75">
      <c r="A78" s="3">
        <f t="shared" si="6"/>
        <v>73</v>
      </c>
      <c r="B78" s="19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s="3" customFormat="1" ht="12.75">
      <c r="A79" s="3">
        <f t="shared" si="6"/>
        <v>74</v>
      </c>
      <c r="B79" s="19"/>
      <c r="C79" s="1" t="s">
        <v>410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s="3" customFormat="1" ht="12.75">
      <c r="A80" s="3">
        <f t="shared" si="6"/>
        <v>75</v>
      </c>
      <c r="B80" s="19">
        <v>108.01</v>
      </c>
      <c r="C80" s="3" t="s">
        <v>482</v>
      </c>
      <c r="D80" s="3" t="s">
        <v>248</v>
      </c>
      <c r="E80" s="4">
        <v>-645044172</v>
      </c>
      <c r="F80" s="4">
        <v>-343492701.09067374</v>
      </c>
      <c r="G80" s="4">
        <v>-77874977.75547232</v>
      </c>
      <c r="H80" s="4">
        <v>-86357903.94962457</v>
      </c>
      <c r="I80" s="4">
        <v>-57882345.65405708</v>
      </c>
      <c r="J80" s="4">
        <v>-39905862.69984287</v>
      </c>
      <c r="K80" s="4">
        <v>-21247538.397926137</v>
      </c>
      <c r="L80" s="4">
        <v>-15652882.1049463</v>
      </c>
      <c r="M80" s="4">
        <v>0</v>
      </c>
      <c r="N80" s="4">
        <v>-2407427.779807289</v>
      </c>
      <c r="O80" s="4">
        <v>-222532.5676497697</v>
      </c>
    </row>
    <row r="81" spans="1:15" s="3" customFormat="1" ht="12.75">
      <c r="A81" s="3">
        <f t="shared" si="6"/>
        <v>76</v>
      </c>
      <c r="B81" s="19">
        <v>108.02</v>
      </c>
      <c r="C81" s="3" t="s">
        <v>483</v>
      </c>
      <c r="D81" s="3" t="s">
        <v>248</v>
      </c>
      <c r="E81" s="4">
        <v>-144523308</v>
      </c>
      <c r="F81" s="4">
        <v>-76960158.06415096</v>
      </c>
      <c r="G81" s="4">
        <v>-17448028.963274274</v>
      </c>
      <c r="H81" s="4">
        <v>-19348643.84875957</v>
      </c>
      <c r="I81" s="4">
        <v>-12968643.748514872</v>
      </c>
      <c r="J81" s="4">
        <v>-8940980.379829092</v>
      </c>
      <c r="K81" s="4">
        <v>-4760549.2296817545</v>
      </c>
      <c r="L81" s="4">
        <v>-3507056.4152633604</v>
      </c>
      <c r="M81" s="4">
        <v>0</v>
      </c>
      <c r="N81" s="4">
        <v>-539388.5281221407</v>
      </c>
      <c r="O81" s="4">
        <v>-49858.82240399267</v>
      </c>
    </row>
    <row r="82" spans="1:15" s="3" customFormat="1" ht="12.75">
      <c r="A82" s="3">
        <f t="shared" si="6"/>
        <v>77</v>
      </c>
      <c r="B82" s="19">
        <v>108.03</v>
      </c>
      <c r="C82" s="3" t="s">
        <v>484</v>
      </c>
      <c r="D82" s="3" t="s">
        <v>248</v>
      </c>
      <c r="E82" s="4">
        <v>-380319711</v>
      </c>
      <c r="F82" s="4">
        <v>-202524184.35836112</v>
      </c>
      <c r="G82" s="4">
        <v>-45915288.16121551</v>
      </c>
      <c r="H82" s="4">
        <v>-50916843.3703591</v>
      </c>
      <c r="I82" s="4">
        <v>-34127580.60102757</v>
      </c>
      <c r="J82" s="4">
        <v>-23528599.78899231</v>
      </c>
      <c r="K82" s="4">
        <v>-12527603.556056421</v>
      </c>
      <c r="L82" s="4">
        <v>-9228979.745700654</v>
      </c>
      <c r="M82" s="4">
        <v>0</v>
      </c>
      <c r="N82" s="4">
        <v>-1419425.6412407053</v>
      </c>
      <c r="O82" s="4">
        <v>-131205.77704661188</v>
      </c>
    </row>
    <row r="83" spans="1:15" s="3" customFormat="1" ht="12.75">
      <c r="A83" s="9">
        <f t="shared" si="6"/>
        <v>78</v>
      </c>
      <c r="B83" s="20"/>
      <c r="C83" s="9" t="s">
        <v>286</v>
      </c>
      <c r="D83" s="9"/>
      <c r="E83" s="10">
        <f>SUM(E80:E82)</f>
        <v>-1169887191</v>
      </c>
      <c r="F83" s="10">
        <f aca="true" t="shared" si="9" ref="F83:O83">SUM(F80:F82)</f>
        <v>-622977043.5131859</v>
      </c>
      <c r="G83" s="10">
        <f t="shared" si="9"/>
        <v>-141238294.8799621</v>
      </c>
      <c r="H83" s="10">
        <f t="shared" si="9"/>
        <v>-156623391.16874322</v>
      </c>
      <c r="I83" s="10">
        <f t="shared" si="9"/>
        <v>-104978570.00359952</v>
      </c>
      <c r="J83" s="10">
        <f t="shared" si="9"/>
        <v>-72375442.86866428</v>
      </c>
      <c r="K83" s="10">
        <f t="shared" si="9"/>
        <v>-38535691.18366431</v>
      </c>
      <c r="L83" s="10">
        <f t="shared" si="9"/>
        <v>-28388918.265910316</v>
      </c>
      <c r="M83" s="10">
        <f t="shared" si="9"/>
        <v>0</v>
      </c>
      <c r="N83" s="10">
        <f t="shared" si="9"/>
        <v>-4366241.949170135</v>
      </c>
      <c r="O83" s="10">
        <f t="shared" si="9"/>
        <v>-403597.16710037424</v>
      </c>
    </row>
    <row r="84" spans="1:15" s="3" customFormat="1" ht="12.75">
      <c r="A84" s="3">
        <f t="shared" si="6"/>
        <v>79</v>
      </c>
      <c r="B84" s="19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s="3" customFormat="1" ht="12.75">
      <c r="A85" s="3">
        <f t="shared" si="6"/>
        <v>80</v>
      </c>
      <c r="B85" s="19"/>
      <c r="C85" s="1" t="s">
        <v>485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s="3" customFormat="1" ht="12.75">
      <c r="A86" s="3">
        <f t="shared" si="6"/>
        <v>81</v>
      </c>
      <c r="B86" s="19" t="s">
        <v>486</v>
      </c>
      <c r="C86" s="3" t="s">
        <v>487</v>
      </c>
      <c r="D86" s="3" t="s">
        <v>226</v>
      </c>
      <c r="E86" s="4">
        <v>-95119778</v>
      </c>
      <c r="F86" s="4">
        <v>-50652266.76036885</v>
      </c>
      <c r="G86" s="4">
        <v>-11483633.08653452</v>
      </c>
      <c r="H86" s="4">
        <v>-12734545.956387019</v>
      </c>
      <c r="I86" s="4">
        <v>-8535471.069620289</v>
      </c>
      <c r="J86" s="4">
        <v>-5884615.295628985</v>
      </c>
      <c r="K86" s="4">
        <v>-3133213.542866037</v>
      </c>
      <c r="L86" s="4">
        <v>-2308211.957432684</v>
      </c>
      <c r="M86" s="4">
        <v>0</v>
      </c>
      <c r="N86" s="4">
        <v>-355005.1390376754</v>
      </c>
      <c r="O86" s="4">
        <v>-32815.19212395284</v>
      </c>
    </row>
    <row r="87" spans="1:15" s="3" customFormat="1" ht="12.75">
      <c r="A87" s="3">
        <f t="shared" si="6"/>
        <v>82</v>
      </c>
      <c r="B87" s="19" t="s">
        <v>488</v>
      </c>
      <c r="C87" s="3" t="s">
        <v>489</v>
      </c>
      <c r="D87" s="3" t="s">
        <v>383</v>
      </c>
      <c r="E87" s="4">
        <v>-52064525</v>
      </c>
      <c r="F87" s="4">
        <v>-25480297.80751252</v>
      </c>
      <c r="G87" s="4">
        <v>-5767958.50954644</v>
      </c>
      <c r="H87" s="4">
        <v>-6393584.8339294735</v>
      </c>
      <c r="I87" s="4">
        <v>-4284239.750055489</v>
      </c>
      <c r="J87" s="4">
        <v>-2951754.852384902</v>
      </c>
      <c r="K87" s="4">
        <v>-1572182.2446728898</v>
      </c>
      <c r="L87" s="4">
        <v>-1158098.0204850424</v>
      </c>
      <c r="M87" s="4">
        <v>-3965100.305884483</v>
      </c>
      <c r="N87" s="4">
        <v>-178132.4148816018</v>
      </c>
      <c r="O87" s="4">
        <v>-313176.2606471569</v>
      </c>
    </row>
    <row r="88" spans="1:15" s="3" customFormat="1" ht="12.75">
      <c r="A88" s="3">
        <f t="shared" si="6"/>
        <v>83</v>
      </c>
      <c r="B88" s="19" t="s">
        <v>490</v>
      </c>
      <c r="C88" s="3" t="s">
        <v>491</v>
      </c>
      <c r="D88" s="3" t="s">
        <v>383</v>
      </c>
      <c r="E88" s="4">
        <v>-3100548</v>
      </c>
      <c r="F88" s="4">
        <v>-1517403.383714484</v>
      </c>
      <c r="G88" s="4">
        <v>-343493.62105689425</v>
      </c>
      <c r="H88" s="4">
        <v>-380750.9368359812</v>
      </c>
      <c r="I88" s="4">
        <v>-255135.16138973797</v>
      </c>
      <c r="J88" s="4">
        <v>-175782.9847492569</v>
      </c>
      <c r="K88" s="4">
        <v>-93626.63952770221</v>
      </c>
      <c r="L88" s="4">
        <v>-68967.08461699895</v>
      </c>
      <c r="M88" s="4">
        <v>-236129.76058476517</v>
      </c>
      <c r="N88" s="4">
        <v>-10608.146385592125</v>
      </c>
      <c r="O88" s="4">
        <v>-18650.281138587576</v>
      </c>
    </row>
    <row r="89" spans="1:15" s="3" customFormat="1" ht="12.75">
      <c r="A89" s="9">
        <f t="shared" si="6"/>
        <v>84</v>
      </c>
      <c r="B89" s="20"/>
      <c r="C89" s="9" t="s">
        <v>286</v>
      </c>
      <c r="D89" s="9"/>
      <c r="E89" s="10">
        <f>SUM(E86:E88)</f>
        <v>-150284851</v>
      </c>
      <c r="F89" s="10">
        <f aca="true" t="shared" si="10" ref="F89:O89">SUM(F86:F88)</f>
        <v>-77649967.95159586</v>
      </c>
      <c r="G89" s="10">
        <f t="shared" si="10"/>
        <v>-17595085.217137855</v>
      </c>
      <c r="H89" s="10">
        <f t="shared" si="10"/>
        <v>-19508881.727152474</v>
      </c>
      <c r="I89" s="10">
        <f t="shared" si="10"/>
        <v>-13074845.981065515</v>
      </c>
      <c r="J89" s="10">
        <f t="shared" si="10"/>
        <v>-9012153.132763145</v>
      </c>
      <c r="K89" s="10">
        <f t="shared" si="10"/>
        <v>-4799022.427066629</v>
      </c>
      <c r="L89" s="10">
        <f t="shared" si="10"/>
        <v>-3535277.0625347253</v>
      </c>
      <c r="M89" s="10">
        <f t="shared" si="10"/>
        <v>-4201230.066469248</v>
      </c>
      <c r="N89" s="10">
        <f t="shared" si="10"/>
        <v>-543745.7003048693</v>
      </c>
      <c r="O89" s="10">
        <f t="shared" si="10"/>
        <v>-364641.73390969733</v>
      </c>
    </row>
    <row r="90" spans="1:15" s="3" customFormat="1" ht="12.75">
      <c r="A90" s="3">
        <f t="shared" si="6"/>
        <v>85</v>
      </c>
      <c r="B90" s="19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s="3" customFormat="1" ht="12.75">
      <c r="A91" s="3">
        <f t="shared" si="6"/>
        <v>86</v>
      </c>
      <c r="B91" s="19"/>
      <c r="C91" s="1" t="s">
        <v>418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s="3" customFormat="1" ht="12.75">
      <c r="A92" s="3">
        <f t="shared" si="6"/>
        <v>87</v>
      </c>
      <c r="B92" s="19" t="s">
        <v>492</v>
      </c>
      <c r="C92" s="3" t="s">
        <v>493</v>
      </c>
      <c r="D92" s="3" t="s">
        <v>494</v>
      </c>
      <c r="E92" s="4">
        <v>-115.96229503004115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-115.96229503004115</v>
      </c>
      <c r="L92" s="4">
        <v>0</v>
      </c>
      <c r="M92" s="4">
        <v>0</v>
      </c>
      <c r="N92" s="4">
        <v>0</v>
      </c>
      <c r="O92" s="4">
        <v>0</v>
      </c>
    </row>
    <row r="93" spans="1:15" s="3" customFormat="1" ht="12.75">
      <c r="A93" s="3">
        <f t="shared" si="6"/>
        <v>88</v>
      </c>
      <c r="B93" s="19" t="s">
        <v>495</v>
      </c>
      <c r="C93" s="3" t="s">
        <v>496</v>
      </c>
      <c r="D93" s="3" t="s">
        <v>422</v>
      </c>
      <c r="E93" s="4">
        <v>-2653199.6102049723</v>
      </c>
      <c r="F93" s="4">
        <v>-1217049.7649948034</v>
      </c>
      <c r="G93" s="4">
        <v>-365199.9686461287</v>
      </c>
      <c r="H93" s="4">
        <v>-427486.75648851815</v>
      </c>
      <c r="I93" s="4">
        <v>-321001.55104275554</v>
      </c>
      <c r="J93" s="4">
        <v>-273378.212905762</v>
      </c>
      <c r="K93" s="4">
        <v>0</v>
      </c>
      <c r="L93" s="4">
        <v>0</v>
      </c>
      <c r="M93" s="4">
        <v>-22503.52691981224</v>
      </c>
      <c r="N93" s="4">
        <v>-26319.6728266163</v>
      </c>
      <c r="O93" s="4">
        <v>-260.156380575864</v>
      </c>
    </row>
    <row r="94" spans="1:15" s="3" customFormat="1" ht="12.75">
      <c r="A94" s="3">
        <f t="shared" si="6"/>
        <v>89</v>
      </c>
      <c r="B94" s="19" t="s">
        <v>497</v>
      </c>
      <c r="C94" s="3" t="s">
        <v>498</v>
      </c>
      <c r="D94" s="3" t="s">
        <v>444</v>
      </c>
      <c r="E94" s="4">
        <v>-7126614.279999997</v>
      </c>
      <c r="F94" s="4">
        <v>-3487753.9786192486</v>
      </c>
      <c r="G94" s="4">
        <v>-789520.6089094477</v>
      </c>
      <c r="H94" s="4">
        <v>-875156.605728626</v>
      </c>
      <c r="I94" s="4">
        <v>-586428.5553683446</v>
      </c>
      <c r="J94" s="4">
        <v>-404037.45702213794</v>
      </c>
      <c r="K94" s="4">
        <v>-215200.9729397947</v>
      </c>
      <c r="L94" s="4">
        <v>-158520.9485811775</v>
      </c>
      <c r="M94" s="4">
        <v>-542744.6127963082</v>
      </c>
      <c r="N94" s="4">
        <v>-24382.84055460234</v>
      </c>
      <c r="O94" s="4">
        <v>-42867.69948030889</v>
      </c>
    </row>
    <row r="95" spans="1:15" s="3" customFormat="1" ht="12.75">
      <c r="A95" s="3">
        <f t="shared" si="6"/>
        <v>90</v>
      </c>
      <c r="B95" s="19" t="s">
        <v>499</v>
      </c>
      <c r="C95" s="3" t="s">
        <v>424</v>
      </c>
      <c r="D95" s="3" t="s">
        <v>500</v>
      </c>
      <c r="E95" s="4">
        <v>-135708.54654463782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-41504.861316015835</v>
      </c>
      <c r="L95" s="4">
        <v>-54898.816561569765</v>
      </c>
      <c r="M95" s="4">
        <v>-36536.87791599255</v>
      </c>
      <c r="N95" s="4">
        <v>0</v>
      </c>
      <c r="O95" s="4">
        <v>-2767.9907510596754</v>
      </c>
    </row>
    <row r="96" spans="1:15" s="3" customFormat="1" ht="12.75">
      <c r="A96" s="3">
        <f t="shared" si="6"/>
        <v>91</v>
      </c>
      <c r="B96" s="19" t="s">
        <v>501</v>
      </c>
      <c r="C96" s="3" t="s">
        <v>426</v>
      </c>
      <c r="D96" s="3" t="s">
        <v>427</v>
      </c>
      <c r="E96" s="4">
        <v>-1116104.6584553523</v>
      </c>
      <c r="F96" s="4">
        <v>-556932.6667314342</v>
      </c>
      <c r="G96" s="4">
        <v>-154094.34805197356</v>
      </c>
      <c r="H96" s="4">
        <v>-178399.4048315949</v>
      </c>
      <c r="I96" s="4">
        <v>-124326.80248942469</v>
      </c>
      <c r="J96" s="4">
        <v>-87908.34518714393</v>
      </c>
      <c r="K96" s="4">
        <v>0</v>
      </c>
      <c r="L96" s="4">
        <v>0</v>
      </c>
      <c r="M96" s="4">
        <v>-4824.975186599521</v>
      </c>
      <c r="N96" s="4">
        <v>-9557.015954853914</v>
      </c>
      <c r="O96" s="4">
        <v>-61.10002232759647</v>
      </c>
    </row>
    <row r="97" spans="1:15" s="3" customFormat="1" ht="12.75">
      <c r="A97" s="3">
        <f t="shared" si="6"/>
        <v>92</v>
      </c>
      <c r="B97" s="19" t="s">
        <v>502</v>
      </c>
      <c r="C97" s="3" t="s">
        <v>503</v>
      </c>
      <c r="D97" s="3" t="s">
        <v>444</v>
      </c>
      <c r="E97" s="4">
        <v>-1142919.39</v>
      </c>
      <c r="F97" s="4">
        <v>-559342.9773378427</v>
      </c>
      <c r="G97" s="4">
        <v>-126618.1074594674</v>
      </c>
      <c r="H97" s="4">
        <v>-140351.84376133126</v>
      </c>
      <c r="I97" s="4">
        <v>-94047.54353846831</v>
      </c>
      <c r="J97" s="4">
        <v>-64796.86226499315</v>
      </c>
      <c r="K97" s="4">
        <v>-34512.512541896234</v>
      </c>
      <c r="L97" s="4">
        <v>-25422.54410528036</v>
      </c>
      <c r="M97" s="4">
        <v>-87041.80097466185</v>
      </c>
      <c r="N97" s="4">
        <v>-3910.3591352404974</v>
      </c>
      <c r="O97" s="4">
        <v>-6874.838880818168</v>
      </c>
    </row>
    <row r="98" spans="1:15" s="3" customFormat="1" ht="12.75">
      <c r="A98" s="3">
        <f t="shared" si="6"/>
        <v>93</v>
      </c>
      <c r="B98" s="19" t="s">
        <v>504</v>
      </c>
      <c r="C98" s="3" t="s">
        <v>429</v>
      </c>
      <c r="D98" s="3" t="s">
        <v>505</v>
      </c>
      <c r="E98" s="4">
        <v>-10263908.912008496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-2925849.9749169694</v>
      </c>
      <c r="L98" s="4">
        <v>-3406309.9707980324</v>
      </c>
      <c r="M98" s="4">
        <v>-3289404.9718002477</v>
      </c>
      <c r="N98" s="4">
        <v>0</v>
      </c>
      <c r="O98" s="4">
        <v>-642343.9944932467</v>
      </c>
    </row>
    <row r="99" spans="1:15" s="3" customFormat="1" ht="12.75">
      <c r="A99" s="3">
        <f t="shared" si="6"/>
        <v>94</v>
      </c>
      <c r="B99" s="19" t="s">
        <v>506</v>
      </c>
      <c r="C99" s="3" t="s">
        <v>431</v>
      </c>
      <c r="D99" s="3" t="s">
        <v>432</v>
      </c>
      <c r="E99" s="4">
        <v>-94216767.0246574</v>
      </c>
      <c r="F99" s="4">
        <v>-50491717.4143074</v>
      </c>
      <c r="G99" s="4">
        <v>-13330521.590105943</v>
      </c>
      <c r="H99" s="4">
        <v>-13221264.266116869</v>
      </c>
      <c r="I99" s="4">
        <v>-8467859.109651549</v>
      </c>
      <c r="J99" s="4">
        <v>-7486829.723824618</v>
      </c>
      <c r="K99" s="4">
        <v>0</v>
      </c>
      <c r="L99" s="4">
        <v>0</v>
      </c>
      <c r="M99" s="4">
        <v>-428368.6949070297</v>
      </c>
      <c r="N99" s="4">
        <v>-769868.8168481142</v>
      </c>
      <c r="O99" s="4">
        <v>-20337.408895868204</v>
      </c>
    </row>
    <row r="100" spans="1:15" s="3" customFormat="1" ht="12.75">
      <c r="A100" s="3">
        <f t="shared" si="6"/>
        <v>95</v>
      </c>
      <c r="B100" s="19" t="s">
        <v>507</v>
      </c>
      <c r="C100" s="3" t="s">
        <v>508</v>
      </c>
      <c r="D100" s="3" t="s">
        <v>444</v>
      </c>
      <c r="E100" s="4">
        <v>-70157723.85000011</v>
      </c>
      <c r="F100" s="4">
        <v>-34335081.27069683</v>
      </c>
      <c r="G100" s="4">
        <v>-7772410.106325131</v>
      </c>
      <c r="H100" s="4">
        <v>-8615450.908087088</v>
      </c>
      <c r="I100" s="4">
        <v>-5773076.951947348</v>
      </c>
      <c r="J100" s="4">
        <v>-3977533.6816482586</v>
      </c>
      <c r="K100" s="4">
        <v>-2118539.0198726277</v>
      </c>
      <c r="L100" s="4">
        <v>-1560554.3527463542</v>
      </c>
      <c r="M100" s="4">
        <v>-5343031.791758294</v>
      </c>
      <c r="N100" s="4">
        <v>-240036.08545352274</v>
      </c>
      <c r="O100" s="4">
        <v>-422009.68146466126</v>
      </c>
    </row>
    <row r="101" spans="1:15" s="3" customFormat="1" ht="12.75">
      <c r="A101" s="3">
        <f t="shared" si="6"/>
        <v>96</v>
      </c>
      <c r="B101" s="19" t="s">
        <v>509</v>
      </c>
      <c r="C101" s="3" t="s">
        <v>434</v>
      </c>
      <c r="D101" s="3" t="s">
        <v>435</v>
      </c>
      <c r="E101" s="4">
        <v>-81822774.53</v>
      </c>
      <c r="F101" s="4">
        <v>-56668225.87907154</v>
      </c>
      <c r="G101" s="4">
        <v>-9730891.332852412</v>
      </c>
      <c r="H101" s="4">
        <v>-7673157.2568169655</v>
      </c>
      <c r="I101" s="4">
        <v>-3108413.70249604</v>
      </c>
      <c r="J101" s="4">
        <v>-4175552.6447779937</v>
      </c>
      <c r="K101" s="4">
        <v>0</v>
      </c>
      <c r="L101" s="4">
        <v>0</v>
      </c>
      <c r="M101" s="4">
        <v>-159.7991827316492</v>
      </c>
      <c r="N101" s="4">
        <v>-432017.0905150136</v>
      </c>
      <c r="O101" s="4">
        <v>-34356.824287304575</v>
      </c>
    </row>
    <row r="102" spans="1:15" s="3" customFormat="1" ht="12.75">
      <c r="A102" s="3">
        <f t="shared" si="6"/>
        <v>97</v>
      </c>
      <c r="B102" s="19" t="s">
        <v>510</v>
      </c>
      <c r="C102" s="3" t="s">
        <v>436</v>
      </c>
      <c r="D102" s="3" t="s">
        <v>444</v>
      </c>
      <c r="E102" s="4">
        <v>-33613605.129999995</v>
      </c>
      <c r="F102" s="4">
        <v>-16450446.231796613</v>
      </c>
      <c r="G102" s="4">
        <v>-3723876.8575362475</v>
      </c>
      <c r="H102" s="4">
        <v>-4127790.1982753505</v>
      </c>
      <c r="I102" s="4">
        <v>-2765966.716120335</v>
      </c>
      <c r="J102" s="4">
        <v>-1905695.328030507</v>
      </c>
      <c r="K102" s="4">
        <v>-1015023.4380287069</v>
      </c>
      <c r="L102" s="4">
        <v>-747684.7155029047</v>
      </c>
      <c r="M102" s="4">
        <v>-2559925.707241989</v>
      </c>
      <c r="N102" s="4">
        <v>-115004.84551973727</v>
      </c>
      <c r="O102" s="4">
        <v>-202191.09194760714</v>
      </c>
    </row>
    <row r="103" spans="1:15" s="3" customFormat="1" ht="12.75">
      <c r="A103" s="3">
        <f t="shared" si="6"/>
        <v>98</v>
      </c>
      <c r="B103" s="19" t="s">
        <v>511</v>
      </c>
      <c r="C103" s="3" t="s">
        <v>512</v>
      </c>
      <c r="D103" s="3" t="s">
        <v>513</v>
      </c>
      <c r="E103" s="4">
        <v>-2218090.223536594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-1512733.1524515157</v>
      </c>
      <c r="L103" s="4">
        <v>0</v>
      </c>
      <c r="M103" s="4">
        <v>0</v>
      </c>
      <c r="N103" s="4">
        <v>0</v>
      </c>
      <c r="O103" s="4">
        <v>-705357.0710850782</v>
      </c>
    </row>
    <row r="104" spans="1:15" s="3" customFormat="1" ht="12.75">
      <c r="A104" s="3">
        <f t="shared" si="6"/>
        <v>99</v>
      </c>
      <c r="B104" s="19" t="s">
        <v>514</v>
      </c>
      <c r="C104" s="3" t="s">
        <v>439</v>
      </c>
      <c r="D104" s="3" t="s">
        <v>435</v>
      </c>
      <c r="E104" s="4">
        <v>-116942254.66396241</v>
      </c>
      <c r="F104" s="4">
        <v>-80991021.6339046</v>
      </c>
      <c r="G104" s="4">
        <v>-13907526.100041322</v>
      </c>
      <c r="H104" s="4">
        <v>-10966583.755655013</v>
      </c>
      <c r="I104" s="4">
        <v>-4442588.373301428</v>
      </c>
      <c r="J104" s="4">
        <v>-5967758.286775977</v>
      </c>
      <c r="K104" s="4">
        <v>0</v>
      </c>
      <c r="L104" s="4">
        <v>0</v>
      </c>
      <c r="M104" s="4">
        <v>-228.38722873233746</v>
      </c>
      <c r="N104" s="4">
        <v>-617444.8728778743</v>
      </c>
      <c r="O104" s="4">
        <v>-49103.254177452545</v>
      </c>
    </row>
    <row r="105" spans="1:15" s="3" customFormat="1" ht="12.75">
      <c r="A105" s="3">
        <f t="shared" si="6"/>
        <v>100</v>
      </c>
      <c r="B105" s="19" t="s">
        <v>515</v>
      </c>
      <c r="C105" s="3" t="s">
        <v>516</v>
      </c>
      <c r="D105" s="3" t="s">
        <v>444</v>
      </c>
      <c r="E105" s="4">
        <v>-57157053.34999999</v>
      </c>
      <c r="F105" s="4">
        <v>-27972573.285896316</v>
      </c>
      <c r="G105" s="4">
        <v>-6332133.295189619</v>
      </c>
      <c r="H105" s="4">
        <v>-7018953.297867555</v>
      </c>
      <c r="I105" s="4">
        <v>-4703289.235004298</v>
      </c>
      <c r="J105" s="4">
        <v>-3240471.5028877184</v>
      </c>
      <c r="K105" s="4">
        <v>-1725960.3239382498</v>
      </c>
      <c r="L105" s="4">
        <v>-1271373.749042999</v>
      </c>
      <c r="M105" s="4">
        <v>-4352934.166239693</v>
      </c>
      <c r="N105" s="4">
        <v>-195555.87880139207</v>
      </c>
      <c r="O105" s="4">
        <v>-343808.61513214704</v>
      </c>
    </row>
    <row r="106" spans="1:15" s="3" customFormat="1" ht="12.75">
      <c r="A106" s="3">
        <f t="shared" si="6"/>
        <v>101</v>
      </c>
      <c r="B106" s="19" t="s">
        <v>517</v>
      </c>
      <c r="C106" s="3" t="s">
        <v>518</v>
      </c>
      <c r="D106" s="3" t="s">
        <v>442</v>
      </c>
      <c r="E106" s="4">
        <v>-178851778.1585777</v>
      </c>
      <c r="F106" s="4">
        <v>-121413711.82852466</v>
      </c>
      <c r="G106" s="4">
        <v>-20855600.542373706</v>
      </c>
      <c r="H106" s="4">
        <v>-18583692.573371466</v>
      </c>
      <c r="I106" s="4">
        <v>-8402507.930339986</v>
      </c>
      <c r="J106" s="4">
        <v>-8441103.910352547</v>
      </c>
      <c r="K106" s="4">
        <v>0</v>
      </c>
      <c r="L106" s="4">
        <v>0</v>
      </c>
      <c r="M106" s="4">
        <v>-27361.469398575362</v>
      </c>
      <c r="N106" s="4">
        <v>-1096451.9955680761</v>
      </c>
      <c r="O106" s="4">
        <v>-31347.908648698918</v>
      </c>
    </row>
    <row r="107" spans="1:15" s="3" customFormat="1" ht="12.75">
      <c r="A107" s="3">
        <f t="shared" si="6"/>
        <v>102</v>
      </c>
      <c r="B107" s="19" t="s">
        <v>519</v>
      </c>
      <c r="C107" s="3" t="s">
        <v>520</v>
      </c>
      <c r="D107" s="3" t="s">
        <v>444</v>
      </c>
      <c r="E107" s="4">
        <v>-284426.74</v>
      </c>
      <c r="F107" s="4">
        <v>-139198.00554446495</v>
      </c>
      <c r="G107" s="4">
        <v>-31510.162348077756</v>
      </c>
      <c r="H107" s="4">
        <v>-34927.93780847903</v>
      </c>
      <c r="I107" s="4">
        <v>-23404.656923052647</v>
      </c>
      <c r="J107" s="4">
        <v>-16125.336972593506</v>
      </c>
      <c r="K107" s="4">
        <v>-8588.778454008607</v>
      </c>
      <c r="L107" s="4">
        <v>-6326.650335655877</v>
      </c>
      <c r="M107" s="4">
        <v>-21661.208928262116</v>
      </c>
      <c r="N107" s="4">
        <v>-973.1313606164945</v>
      </c>
      <c r="O107" s="4">
        <v>-1710.8713247890214</v>
      </c>
    </row>
    <row r="108" spans="1:15" s="3" customFormat="1" ht="12.75">
      <c r="A108" s="3">
        <f t="shared" si="6"/>
        <v>103</v>
      </c>
      <c r="B108" s="19" t="s">
        <v>521</v>
      </c>
      <c r="C108" s="3" t="s">
        <v>522</v>
      </c>
      <c r="D108" s="3" t="s">
        <v>523</v>
      </c>
      <c r="E108" s="4">
        <v>-9245198.315172285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-7989426.272362544</v>
      </c>
      <c r="L108" s="4">
        <v>-613008.0208976738</v>
      </c>
      <c r="M108" s="4">
        <v>-247747.00844578864</v>
      </c>
      <c r="N108" s="4">
        <v>0</v>
      </c>
      <c r="O108" s="4">
        <v>-395017.01346627844</v>
      </c>
    </row>
    <row r="109" spans="1:15" s="3" customFormat="1" ht="12.75">
      <c r="A109" s="3">
        <f t="shared" si="6"/>
        <v>104</v>
      </c>
      <c r="B109" s="19" t="s">
        <v>524</v>
      </c>
      <c r="C109" s="3" t="s">
        <v>525</v>
      </c>
      <c r="D109" s="3" t="s">
        <v>442</v>
      </c>
      <c r="E109" s="4">
        <v>-235499958.5875</v>
      </c>
      <c r="F109" s="4">
        <v>-159869386.82947004</v>
      </c>
      <c r="G109" s="4">
        <v>-27461248.16098674</v>
      </c>
      <c r="H109" s="4">
        <v>-24469752.979204122</v>
      </c>
      <c r="I109" s="4">
        <v>-11063855.724552687</v>
      </c>
      <c r="J109" s="4">
        <v>-11114676.307876958</v>
      </c>
      <c r="K109" s="4">
        <v>0</v>
      </c>
      <c r="L109" s="4">
        <v>0</v>
      </c>
      <c r="M109" s="4">
        <v>-36027.73747401298</v>
      </c>
      <c r="N109" s="4">
        <v>-1443734.0361275</v>
      </c>
      <c r="O109" s="4">
        <v>-41276.81180797513</v>
      </c>
    </row>
    <row r="110" spans="1:15" s="3" customFormat="1" ht="12.75">
      <c r="A110" s="3">
        <f t="shared" si="6"/>
        <v>105</v>
      </c>
      <c r="B110" s="19" t="s">
        <v>526</v>
      </c>
      <c r="C110" s="3" t="s">
        <v>527</v>
      </c>
      <c r="D110" s="3" t="s">
        <v>444</v>
      </c>
      <c r="E110" s="4">
        <v>-1922520.53</v>
      </c>
      <c r="F110" s="4">
        <v>-940878.566460691</v>
      </c>
      <c r="G110" s="4">
        <v>-212986.07162537705</v>
      </c>
      <c r="H110" s="4">
        <v>-236087.77960667183</v>
      </c>
      <c r="I110" s="4">
        <v>-158198.6751040895</v>
      </c>
      <c r="J110" s="4">
        <v>-108995.69914902891</v>
      </c>
      <c r="K110" s="4">
        <v>-58053.975183392424</v>
      </c>
      <c r="L110" s="4">
        <v>-42763.61342266841</v>
      </c>
      <c r="M110" s="4">
        <v>-146414.21854078566</v>
      </c>
      <c r="N110" s="4">
        <v>-6577.669241548963</v>
      </c>
      <c r="O110" s="4">
        <v>-11564.261665746308</v>
      </c>
    </row>
    <row r="111" spans="1:15" s="3" customFormat="1" ht="12.75">
      <c r="A111" s="3">
        <f t="shared" si="6"/>
        <v>106</v>
      </c>
      <c r="B111" s="19" t="s">
        <v>528</v>
      </c>
      <c r="C111" s="3" t="s">
        <v>529</v>
      </c>
      <c r="D111" s="3" t="s">
        <v>358</v>
      </c>
      <c r="E111" s="4">
        <v>-140230940.690416</v>
      </c>
      <c r="F111" s="4">
        <v>-99277198.6057285</v>
      </c>
      <c r="G111" s="4">
        <v>-24065177.61441263</v>
      </c>
      <c r="H111" s="4">
        <v>-12498149.260040348</v>
      </c>
      <c r="I111" s="4">
        <v>-3008720.359236364</v>
      </c>
      <c r="J111" s="4">
        <v>-360762.4315946902</v>
      </c>
      <c r="K111" s="4">
        <v>-939235.9281762389</v>
      </c>
      <c r="L111" s="4">
        <v>0</v>
      </c>
      <c r="M111" s="4">
        <v>0</v>
      </c>
      <c r="N111" s="4">
        <v>-74947.99095945011</v>
      </c>
      <c r="O111" s="4">
        <v>-6748.500267754565</v>
      </c>
    </row>
    <row r="112" spans="1:15" s="3" customFormat="1" ht="12.75">
      <c r="A112" s="3">
        <f t="shared" si="6"/>
        <v>107</v>
      </c>
      <c r="B112" s="19" t="s">
        <v>530</v>
      </c>
      <c r="C112" s="3" t="s">
        <v>531</v>
      </c>
      <c r="D112" s="3" t="s">
        <v>532</v>
      </c>
      <c r="E112" s="4">
        <v>-102504204</v>
      </c>
      <c r="F112" s="4">
        <v>-99300360.14795785</v>
      </c>
      <c r="G112" s="4">
        <v>-3080661.48976448</v>
      </c>
      <c r="H112" s="4">
        <v>-121847.83833400025</v>
      </c>
      <c r="I112" s="4">
        <v>-1334.523943658098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</row>
    <row r="113" spans="1:15" s="3" customFormat="1" ht="12.75">
      <c r="A113" s="3">
        <f t="shared" si="6"/>
        <v>108</v>
      </c>
      <c r="B113" s="19" t="s">
        <v>533</v>
      </c>
      <c r="C113" s="3" t="s">
        <v>460</v>
      </c>
      <c r="D113" s="3" t="s">
        <v>313</v>
      </c>
      <c r="E113" s="4">
        <v>-39554358</v>
      </c>
      <c r="F113" s="4">
        <v>-21039608.043531455</v>
      </c>
      <c r="G113" s="4">
        <v>-9179283.497037785</v>
      </c>
      <c r="H113" s="4">
        <v>-3605159.189170916</v>
      </c>
      <c r="I113" s="4">
        <v>-397644.723854811</v>
      </c>
      <c r="J113" s="4">
        <v>-4752099.153672917</v>
      </c>
      <c r="K113" s="4">
        <v>-230427.6429899101</v>
      </c>
      <c r="L113" s="4">
        <v>-173050.90742424747</v>
      </c>
      <c r="M113" s="4">
        <v>-90130.68095012888</v>
      </c>
      <c r="N113" s="4">
        <v>0</v>
      </c>
      <c r="O113" s="4">
        <v>-86954.16136783216</v>
      </c>
    </row>
    <row r="114" spans="1:15" s="3" customFormat="1" ht="12.75">
      <c r="A114" s="3">
        <f t="shared" si="6"/>
        <v>109</v>
      </c>
      <c r="B114" s="19" t="s">
        <v>534</v>
      </c>
      <c r="C114" s="3" t="s">
        <v>462</v>
      </c>
      <c r="D114" s="3" t="s">
        <v>463</v>
      </c>
      <c r="E114" s="4">
        <v>-737043.095416666</v>
      </c>
      <c r="F114" s="4">
        <v>-730598.3176653187</v>
      </c>
      <c r="G114" s="4">
        <v>-6444.777751347321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</row>
    <row r="115" spans="1:15" s="3" customFormat="1" ht="12.75">
      <c r="A115" s="3">
        <f t="shared" si="6"/>
        <v>110</v>
      </c>
      <c r="B115" s="19" t="s">
        <v>535</v>
      </c>
      <c r="C115" s="3" t="s">
        <v>464</v>
      </c>
      <c r="D115" s="3" t="s">
        <v>257</v>
      </c>
      <c r="E115" s="4">
        <v>-24008418.4404166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-24008418.4404166</v>
      </c>
      <c r="O115" s="4">
        <v>0</v>
      </c>
    </row>
    <row r="116" spans="1:15" s="3" customFormat="1" ht="12.75">
      <c r="A116" s="3">
        <f t="shared" si="6"/>
        <v>111</v>
      </c>
      <c r="B116" s="19" t="s">
        <v>536</v>
      </c>
      <c r="C116" s="3" t="s">
        <v>465</v>
      </c>
      <c r="D116" s="3" t="s">
        <v>262</v>
      </c>
      <c r="E116" s="4">
        <v>-3565319.37583333</v>
      </c>
      <c r="F116" s="4">
        <v>-2298613.4321744298</v>
      </c>
      <c r="G116" s="4">
        <v>-409065.3869022647</v>
      </c>
      <c r="H116" s="4">
        <v>-366454.95034460514</v>
      </c>
      <c r="I116" s="4">
        <v>-176029.6270998299</v>
      </c>
      <c r="J116" s="4">
        <v>-174483.18446190318</v>
      </c>
      <c r="K116" s="4">
        <v>-57868.46545143721</v>
      </c>
      <c r="L116" s="4">
        <v>-15009.768754223827</v>
      </c>
      <c r="M116" s="4">
        <v>-42142.32467346557</v>
      </c>
      <c r="N116" s="4">
        <v>-19353.955110512972</v>
      </c>
      <c r="O116" s="4">
        <v>-6298.280860658271</v>
      </c>
    </row>
    <row r="117" spans="1:15" s="3" customFormat="1" ht="12.75">
      <c r="A117" s="9">
        <f>+A116+1</f>
        <v>112</v>
      </c>
      <c r="B117" s="20"/>
      <c r="C117" s="9" t="s">
        <v>286</v>
      </c>
      <c r="D117" s="9"/>
      <c r="E117" s="10">
        <f aca="true" t="shared" si="11" ref="E117:O117">SUM(E92:E116)</f>
        <v>-1214971006.0649974</v>
      </c>
      <c r="F117" s="10">
        <f t="shared" si="11"/>
        <v>-777739698.880414</v>
      </c>
      <c r="G117" s="10">
        <f t="shared" si="11"/>
        <v>-141534770.01832014</v>
      </c>
      <c r="H117" s="10">
        <f t="shared" si="11"/>
        <v>-113160666.80150951</v>
      </c>
      <c r="I117" s="10">
        <f t="shared" si="11"/>
        <v>-53618694.76201447</v>
      </c>
      <c r="J117" s="10">
        <f t="shared" si="11"/>
        <v>-52552208.06940576</v>
      </c>
      <c r="K117" s="10">
        <f t="shared" si="11"/>
        <v>-18873041.280918345</v>
      </c>
      <c r="L117" s="10">
        <f t="shared" si="11"/>
        <v>-8074924.058172787</v>
      </c>
      <c r="M117" s="10">
        <f t="shared" si="11"/>
        <v>-17279189.96056311</v>
      </c>
      <c r="N117" s="10">
        <f t="shared" si="11"/>
        <v>-29084554.697271273</v>
      </c>
      <c r="O117" s="10">
        <f t="shared" si="11"/>
        <v>-3053257.536408189</v>
      </c>
    </row>
    <row r="118" spans="1:15" s="3" customFormat="1" ht="12.75">
      <c r="A118" s="3">
        <f t="shared" si="6"/>
        <v>113</v>
      </c>
      <c r="B118" s="19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s="3" customFormat="1" ht="12.75">
      <c r="A119" s="3">
        <f t="shared" si="6"/>
        <v>114</v>
      </c>
      <c r="B119" s="19"/>
      <c r="C119" s="1" t="s">
        <v>104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s="3" customFormat="1" ht="12.75">
      <c r="A120" s="3">
        <f t="shared" si="6"/>
        <v>115</v>
      </c>
      <c r="B120" s="19">
        <v>108.06</v>
      </c>
      <c r="C120" s="3" t="s">
        <v>537</v>
      </c>
      <c r="D120" s="3" t="s">
        <v>264</v>
      </c>
      <c r="E120" s="4">
        <v>-75827762</v>
      </c>
      <c r="F120" s="4">
        <v>-46569861.41911555</v>
      </c>
      <c r="G120" s="4">
        <v>-9045441.714366646</v>
      </c>
      <c r="H120" s="4">
        <v>-7739848.965449923</v>
      </c>
      <c r="I120" s="4">
        <v>-4555639.44533204</v>
      </c>
      <c r="J120" s="4">
        <v>-3541654.9126284234</v>
      </c>
      <c r="K120" s="4">
        <v>-1719156.105478827</v>
      </c>
      <c r="L120" s="4">
        <v>-1096098.8338355958</v>
      </c>
      <c r="M120" s="4">
        <v>-622527.9041344422</v>
      </c>
      <c r="N120" s="4">
        <v>-848049.24173387</v>
      </c>
      <c r="O120" s="4">
        <v>-89483.45792471577</v>
      </c>
    </row>
    <row r="121" spans="1:15" s="3" customFormat="1" ht="12.75">
      <c r="A121" s="3">
        <f t="shared" si="6"/>
        <v>116</v>
      </c>
      <c r="B121" s="19">
        <v>108.07</v>
      </c>
      <c r="C121" s="3" t="s">
        <v>538</v>
      </c>
      <c r="D121" s="3" t="s">
        <v>347</v>
      </c>
      <c r="E121" s="4">
        <v>7210608</v>
      </c>
      <c r="F121" s="4">
        <v>4167764.9513097494</v>
      </c>
      <c r="G121" s="4">
        <v>868660.6190682463</v>
      </c>
      <c r="H121" s="4">
        <v>835625.1700943189</v>
      </c>
      <c r="I121" s="4">
        <v>496567.81460862525</v>
      </c>
      <c r="J121" s="4">
        <v>388373.5409528401</v>
      </c>
      <c r="K121" s="4">
        <v>176563.75581524978</v>
      </c>
      <c r="L121" s="4">
        <v>114955.86468807714</v>
      </c>
      <c r="M121" s="4">
        <v>68378.28178802512</v>
      </c>
      <c r="N121" s="4">
        <v>84216.89204529862</v>
      </c>
      <c r="O121" s="4">
        <v>9501.109629571552</v>
      </c>
    </row>
    <row r="122" spans="1:15" s="3" customFormat="1" ht="12.75">
      <c r="A122" s="9">
        <f t="shared" si="6"/>
        <v>117</v>
      </c>
      <c r="B122" s="20"/>
      <c r="C122" s="9" t="s">
        <v>286</v>
      </c>
      <c r="D122" s="9"/>
      <c r="E122" s="10">
        <f>SUM(E120:E121)</f>
        <v>-68617154</v>
      </c>
      <c r="F122" s="10">
        <f aca="true" t="shared" si="12" ref="F122:O122">SUM(F120:F121)</f>
        <v>-42402096.4678058</v>
      </c>
      <c r="G122" s="10">
        <f t="shared" si="12"/>
        <v>-8176781.0952984</v>
      </c>
      <c r="H122" s="10">
        <f t="shared" si="12"/>
        <v>-6904223.795355604</v>
      </c>
      <c r="I122" s="10">
        <f t="shared" si="12"/>
        <v>-4059071.630723415</v>
      </c>
      <c r="J122" s="10">
        <f t="shared" si="12"/>
        <v>-3153281.3716755835</v>
      </c>
      <c r="K122" s="10">
        <f t="shared" si="12"/>
        <v>-1542592.349663577</v>
      </c>
      <c r="L122" s="10">
        <f t="shared" si="12"/>
        <v>-981142.9691475186</v>
      </c>
      <c r="M122" s="10">
        <f t="shared" si="12"/>
        <v>-554149.622346417</v>
      </c>
      <c r="N122" s="10">
        <f t="shared" si="12"/>
        <v>-763832.3496885714</v>
      </c>
      <c r="O122" s="10">
        <f t="shared" si="12"/>
        <v>-79982.34829514421</v>
      </c>
    </row>
    <row r="123" spans="1:15" s="3" customFormat="1" ht="12.75">
      <c r="A123" s="3">
        <f t="shared" si="6"/>
        <v>118</v>
      </c>
      <c r="B123" s="19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s="3" customFormat="1" ht="12.75">
      <c r="A124" s="3">
        <f t="shared" si="6"/>
        <v>119</v>
      </c>
      <c r="B124" s="19"/>
      <c r="C124" s="1" t="s">
        <v>539</v>
      </c>
      <c r="E124" s="4">
        <v>-2699587026.0649977</v>
      </c>
      <c r="F124" s="4">
        <v>-1579345697.5746882</v>
      </c>
      <c r="G124" s="4">
        <v>-319980901.8013553</v>
      </c>
      <c r="H124" s="4">
        <v>-306085662.61723715</v>
      </c>
      <c r="I124" s="4">
        <v>-181588395.84242877</v>
      </c>
      <c r="J124" s="4">
        <v>-141619972.7477877</v>
      </c>
      <c r="K124" s="4">
        <v>-65957562.20108912</v>
      </c>
      <c r="L124" s="4">
        <v>-42398552.51320075</v>
      </c>
      <c r="M124" s="4">
        <v>-22793585.829232812</v>
      </c>
      <c r="N124" s="4">
        <v>-35804949.61501828</v>
      </c>
      <c r="O124" s="4">
        <v>-4011745.3229596308</v>
      </c>
    </row>
    <row r="125" spans="1:15" s="3" customFormat="1" ht="12.75">
      <c r="A125" s="3">
        <f t="shared" si="6"/>
        <v>120</v>
      </c>
      <c r="B125" s="19"/>
      <c r="C125" s="1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s="3" customFormat="1" ht="12.75">
      <c r="A126" s="3">
        <f t="shared" si="6"/>
        <v>121</v>
      </c>
      <c r="B126" s="19"/>
      <c r="C126" s="1" t="s">
        <v>540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s="3" customFormat="1" ht="12.75">
      <c r="A127" s="3">
        <f t="shared" si="6"/>
        <v>122</v>
      </c>
      <c r="B127" s="19"/>
      <c r="C127" s="3" t="s">
        <v>84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s="3" customFormat="1" ht="12.75">
      <c r="A128" s="3">
        <f t="shared" si="6"/>
        <v>123</v>
      </c>
      <c r="B128" s="19" t="s">
        <v>541</v>
      </c>
      <c r="C128" s="3" t="s">
        <v>542</v>
      </c>
      <c r="D128" s="3" t="s">
        <v>543</v>
      </c>
      <c r="E128" s="4">
        <v>203573761</v>
      </c>
      <c r="F128" s="4">
        <v>117734408.86391394</v>
      </c>
      <c r="G128" s="4">
        <v>24520549.590317227</v>
      </c>
      <c r="H128" s="4">
        <v>23566740.793274492</v>
      </c>
      <c r="I128" s="4">
        <v>14016696.344183788</v>
      </c>
      <c r="J128" s="4">
        <v>10949935.754889274</v>
      </c>
      <c r="K128" s="4">
        <v>4990127.057446163</v>
      </c>
      <c r="L128" s="4">
        <v>3251792.361562259</v>
      </c>
      <c r="M128" s="4">
        <v>1912488.6468116655</v>
      </c>
      <c r="N128" s="4">
        <v>2364653.234670095</v>
      </c>
      <c r="O128" s="4">
        <v>266368.3529311104</v>
      </c>
    </row>
    <row r="129" spans="1:15" s="3" customFormat="1" ht="12.75">
      <c r="A129" s="9">
        <f t="shared" si="6"/>
        <v>124</v>
      </c>
      <c r="B129" s="20"/>
      <c r="C129" s="9" t="s">
        <v>286</v>
      </c>
      <c r="D129" s="9"/>
      <c r="E129" s="10">
        <f>SUM(E128)</f>
        <v>203573761</v>
      </c>
      <c r="F129" s="10">
        <f aca="true" t="shared" si="13" ref="F129:O129">SUM(F128)</f>
        <v>117734408.86391394</v>
      </c>
      <c r="G129" s="10">
        <f t="shared" si="13"/>
        <v>24520549.590317227</v>
      </c>
      <c r="H129" s="10">
        <f t="shared" si="13"/>
        <v>23566740.793274492</v>
      </c>
      <c r="I129" s="10">
        <f t="shared" si="13"/>
        <v>14016696.344183788</v>
      </c>
      <c r="J129" s="10">
        <f t="shared" si="13"/>
        <v>10949935.754889274</v>
      </c>
      <c r="K129" s="10">
        <f t="shared" si="13"/>
        <v>4990127.057446163</v>
      </c>
      <c r="L129" s="10">
        <f t="shared" si="13"/>
        <v>3251792.361562259</v>
      </c>
      <c r="M129" s="10">
        <f t="shared" si="13"/>
        <v>1912488.6468116655</v>
      </c>
      <c r="N129" s="10">
        <f t="shared" si="13"/>
        <v>2364653.234670095</v>
      </c>
      <c r="O129" s="10">
        <f t="shared" si="13"/>
        <v>266368.3529311104</v>
      </c>
    </row>
    <row r="130" spans="1:15" s="3" customFormat="1" ht="12.75">
      <c r="A130" s="3">
        <f t="shared" si="6"/>
        <v>125</v>
      </c>
      <c r="B130" s="19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s="3" customFormat="1" ht="12.75">
      <c r="A131" s="3">
        <f t="shared" si="6"/>
        <v>126</v>
      </c>
      <c r="B131" s="19"/>
      <c r="C131" s="1" t="s">
        <v>85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s="3" customFormat="1" ht="12.75">
      <c r="A132" s="3">
        <f t="shared" si="6"/>
        <v>127</v>
      </c>
      <c r="B132" s="19">
        <v>182.01</v>
      </c>
      <c r="C132" s="3" t="s">
        <v>544</v>
      </c>
      <c r="D132" s="3" t="s">
        <v>226</v>
      </c>
      <c r="E132" s="4">
        <v>234576391.87124994</v>
      </c>
      <c r="F132" s="4">
        <v>124914357.73480642</v>
      </c>
      <c r="G132" s="4">
        <v>28319969.5337028</v>
      </c>
      <c r="H132" s="4">
        <v>31404865.585029885</v>
      </c>
      <c r="I132" s="4">
        <v>21049460.464814857</v>
      </c>
      <c r="J132" s="4">
        <v>14512143.032955948</v>
      </c>
      <c r="K132" s="4">
        <v>7726867.569514838</v>
      </c>
      <c r="L132" s="4">
        <v>5692318.086030795</v>
      </c>
      <c r="M132" s="4">
        <v>0</v>
      </c>
      <c r="N132" s="4">
        <v>875483.7990812943</v>
      </c>
      <c r="O132" s="4">
        <v>80926.06531313303</v>
      </c>
    </row>
    <row r="133" spans="1:15" s="3" customFormat="1" ht="12.75">
      <c r="A133" s="3">
        <f t="shared" si="6"/>
        <v>128</v>
      </c>
      <c r="B133" s="19">
        <v>182.02</v>
      </c>
      <c r="C133" s="3" t="s">
        <v>545</v>
      </c>
      <c r="D133" s="3" t="s">
        <v>226</v>
      </c>
      <c r="E133" s="4">
        <v>126136837</v>
      </c>
      <c r="F133" s="4">
        <v>67169171.86279769</v>
      </c>
      <c r="G133" s="4">
        <v>15228264.670718763</v>
      </c>
      <c r="H133" s="4">
        <v>16887080.493078932</v>
      </c>
      <c r="I133" s="4">
        <v>11318753.530174453</v>
      </c>
      <c r="J133" s="4">
        <v>7803495.50807888</v>
      </c>
      <c r="K133" s="4">
        <v>4154905.0497435546</v>
      </c>
      <c r="L133" s="4">
        <v>3060883.4624922844</v>
      </c>
      <c r="M133" s="4">
        <v>0</v>
      </c>
      <c r="N133" s="4">
        <v>470766.71433103643</v>
      </c>
      <c r="O133" s="4">
        <v>43515.708584419976</v>
      </c>
    </row>
    <row r="134" spans="1:15" s="3" customFormat="1" ht="12.75">
      <c r="A134" s="3">
        <f t="shared" si="6"/>
        <v>129</v>
      </c>
      <c r="B134" s="19">
        <v>282</v>
      </c>
      <c r="C134" s="3" t="s">
        <v>546</v>
      </c>
      <c r="D134" s="3" t="s">
        <v>248</v>
      </c>
      <c r="E134" s="4">
        <v>-97260926</v>
      </c>
      <c r="F134" s="4">
        <v>-51792450.24218301</v>
      </c>
      <c r="G134" s="4">
        <v>-11742129.884287424</v>
      </c>
      <c r="H134" s="4">
        <v>-13021200.826475404</v>
      </c>
      <c r="I134" s="4">
        <v>-8727604.684669048</v>
      </c>
      <c r="J134" s="4">
        <v>-6017078.0971191805</v>
      </c>
      <c r="K134" s="4">
        <v>-3203742.238915775</v>
      </c>
      <c r="L134" s="4">
        <v>-2360169.852206503</v>
      </c>
      <c r="M134" s="4">
        <v>0</v>
      </c>
      <c r="N134" s="4">
        <v>-362996.311424981</v>
      </c>
      <c r="O134" s="4">
        <v>-33553.86271868253</v>
      </c>
    </row>
    <row r="135" spans="1:15" s="3" customFormat="1" ht="12.75">
      <c r="A135" s="3">
        <f aca="true" t="shared" si="14" ref="A135:A154">+A134+1</f>
        <v>130</v>
      </c>
      <c r="B135" s="19">
        <v>282.01</v>
      </c>
      <c r="C135" s="3" t="s">
        <v>547</v>
      </c>
      <c r="D135" s="3" t="s">
        <v>253</v>
      </c>
      <c r="E135" s="4">
        <v>-619618722</v>
      </c>
      <c r="F135" s="4">
        <v>-357203103.24857503</v>
      </c>
      <c r="G135" s="4">
        <v>-74676031.37364015</v>
      </c>
      <c r="H135" s="4">
        <v>-72165627.78821214</v>
      </c>
      <c r="I135" s="4">
        <v>-42899204.73461969</v>
      </c>
      <c r="J135" s="4">
        <v>-33559474.62299053</v>
      </c>
      <c r="K135" s="4">
        <v>-15219559.061984902</v>
      </c>
      <c r="L135" s="4">
        <v>-9916991.360140456</v>
      </c>
      <c r="M135" s="4">
        <v>-5908939.9319954</v>
      </c>
      <c r="N135" s="4">
        <v>-7249769.77097036</v>
      </c>
      <c r="O135" s="4">
        <v>-820020.1068713584</v>
      </c>
    </row>
    <row r="136" spans="1:15" s="3" customFormat="1" ht="12.75">
      <c r="A136" s="3">
        <f t="shared" si="14"/>
        <v>131</v>
      </c>
      <c r="B136" s="19">
        <v>235</v>
      </c>
      <c r="C136" s="3" t="s">
        <v>548</v>
      </c>
      <c r="D136" s="3" t="s">
        <v>549</v>
      </c>
      <c r="E136" s="4">
        <v>-18134171</v>
      </c>
      <c r="F136" s="4">
        <v>-15711034.070734575</v>
      </c>
      <c r="G136" s="4">
        <v>-1827024.2539756706</v>
      </c>
      <c r="H136" s="4">
        <v>-578393.1958059481</v>
      </c>
      <c r="I136" s="4">
        <v>0</v>
      </c>
      <c r="J136" s="4">
        <v>-17719.479483805786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</row>
    <row r="137" spans="1:15" s="3" customFormat="1" ht="12.75">
      <c r="A137" s="3">
        <f t="shared" si="14"/>
        <v>132</v>
      </c>
      <c r="B137" s="19">
        <v>235.01</v>
      </c>
      <c r="C137" s="3" t="s">
        <v>550</v>
      </c>
      <c r="D137" s="3" t="s">
        <v>549</v>
      </c>
      <c r="E137" s="4">
        <v>-2472594</v>
      </c>
      <c r="F137" s="4">
        <v>-2142199.3085371195</v>
      </c>
      <c r="G137" s="4">
        <v>-249114.7352826175</v>
      </c>
      <c r="H137" s="4">
        <v>-78863.9053635599</v>
      </c>
      <c r="I137" s="4">
        <v>0</v>
      </c>
      <c r="J137" s="4">
        <v>-2416.0508167029684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</row>
    <row r="138" spans="1:15" s="3" customFormat="1" ht="12.75">
      <c r="A138" s="3">
        <f t="shared" si="14"/>
        <v>133</v>
      </c>
      <c r="B138" s="19">
        <v>252</v>
      </c>
      <c r="C138" s="3" t="s">
        <v>551</v>
      </c>
      <c r="D138" s="3" t="s">
        <v>245</v>
      </c>
      <c r="E138" s="4">
        <v>-67513639</v>
      </c>
      <c r="F138" s="4">
        <v>-46070241.682384215</v>
      </c>
      <c r="G138" s="4">
        <v>-19865157.29423917</v>
      </c>
      <c r="H138" s="4">
        <v>-1429889.0211792616</v>
      </c>
      <c r="I138" s="4">
        <v>-148351.00219734863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</row>
    <row r="139" spans="1:15" s="3" customFormat="1" ht="12.75">
      <c r="A139" s="3">
        <f t="shared" si="14"/>
        <v>134</v>
      </c>
      <c r="B139" s="19">
        <v>253</v>
      </c>
      <c r="C139" s="3" t="s">
        <v>552</v>
      </c>
      <c r="D139" s="3" t="s">
        <v>349</v>
      </c>
      <c r="E139" s="4">
        <v>-6715753</v>
      </c>
      <c r="F139" s="4">
        <v>-4146936.7021980635</v>
      </c>
      <c r="G139" s="4">
        <v>-800441.7332179782</v>
      </c>
      <c r="H139" s="4">
        <v>-676948.0820542189</v>
      </c>
      <c r="I139" s="4">
        <v>-397778.60243485915</v>
      </c>
      <c r="J139" s="4">
        <v>-309284.20382554474</v>
      </c>
      <c r="K139" s="4">
        <v>-150967.75881973855</v>
      </c>
      <c r="L139" s="4">
        <v>-95979.1402982962</v>
      </c>
      <c r="M139" s="4">
        <v>-54511.22883855418</v>
      </c>
      <c r="N139" s="4">
        <v>-75044.19278141859</v>
      </c>
      <c r="O139" s="4">
        <v>-7861.355531328046</v>
      </c>
    </row>
    <row r="140" spans="1:15" s="3" customFormat="1" ht="12.75">
      <c r="A140" s="3">
        <f t="shared" si="14"/>
        <v>135</v>
      </c>
      <c r="B140" s="19">
        <v>114.01</v>
      </c>
      <c r="C140" s="3" t="s">
        <v>553</v>
      </c>
      <c r="D140" s="3" t="s">
        <v>248</v>
      </c>
      <c r="E140" s="4">
        <v>245239108</v>
      </c>
      <c r="F140" s="4">
        <v>130592364.48691991</v>
      </c>
      <c r="G140" s="4">
        <v>29607259.330872416</v>
      </c>
      <c r="H140" s="4">
        <v>32832379.940261837</v>
      </c>
      <c r="I140" s="4">
        <v>22006267.83920254</v>
      </c>
      <c r="J140" s="4">
        <v>15171795.354938788</v>
      </c>
      <c r="K140" s="4">
        <v>8078093.857893432</v>
      </c>
      <c r="L140" s="4">
        <v>5951063.526617202</v>
      </c>
      <c r="M140" s="4">
        <v>0</v>
      </c>
      <c r="N140" s="4">
        <v>915279.0877310026</v>
      </c>
      <c r="O140" s="4">
        <v>84604.57556289522</v>
      </c>
    </row>
    <row r="141" spans="1:15" s="3" customFormat="1" ht="12.75">
      <c r="A141" s="3">
        <f t="shared" si="14"/>
        <v>136</v>
      </c>
      <c r="B141" s="19">
        <v>114.02</v>
      </c>
      <c r="C141" s="3" t="s">
        <v>554</v>
      </c>
      <c r="D141" s="3" t="s">
        <v>226</v>
      </c>
      <c r="E141" s="4">
        <v>946172</v>
      </c>
      <c r="F141" s="4">
        <v>503846.3877112046</v>
      </c>
      <c r="G141" s="4">
        <v>114229.5778355637</v>
      </c>
      <c r="H141" s="4">
        <v>126672.61288863202</v>
      </c>
      <c r="I141" s="4">
        <v>84903.72772826244</v>
      </c>
      <c r="J141" s="4">
        <v>58535.23147936562</v>
      </c>
      <c r="K141" s="4">
        <v>31166.58792328809</v>
      </c>
      <c r="L141" s="4">
        <v>22960.162125147068</v>
      </c>
      <c r="M141" s="4">
        <v>0</v>
      </c>
      <c r="N141" s="4">
        <v>3531.2942216239762</v>
      </c>
      <c r="O141" s="4">
        <v>326.4180869125315</v>
      </c>
    </row>
    <row r="142" spans="1:15" s="3" customFormat="1" ht="12.75">
      <c r="A142" s="3">
        <f t="shared" si="14"/>
        <v>137</v>
      </c>
      <c r="B142" s="19">
        <v>114.03</v>
      </c>
      <c r="C142" s="3" t="s">
        <v>555</v>
      </c>
      <c r="D142" s="3" t="s">
        <v>260</v>
      </c>
      <c r="E142" s="4">
        <v>302358</v>
      </c>
      <c r="F142" s="4">
        <v>189208.79041978292</v>
      </c>
      <c r="G142" s="4">
        <v>36540.944534426366</v>
      </c>
      <c r="H142" s="4">
        <v>29791.104207534263</v>
      </c>
      <c r="I142" s="4">
        <v>14453.251355222075</v>
      </c>
      <c r="J142" s="4">
        <v>13980.866168840948</v>
      </c>
      <c r="K142" s="4">
        <v>4773.455056920741</v>
      </c>
      <c r="L142" s="4">
        <v>2210.978513281436</v>
      </c>
      <c r="M142" s="4">
        <v>4668.120779376221</v>
      </c>
      <c r="N142" s="4">
        <v>6110.95546146776</v>
      </c>
      <c r="O142" s="4">
        <v>619.5335031472357</v>
      </c>
    </row>
    <row r="143" spans="1:15" s="3" customFormat="1" ht="12.75">
      <c r="A143" s="3">
        <f t="shared" si="14"/>
        <v>138</v>
      </c>
      <c r="B143" s="19">
        <v>115.01</v>
      </c>
      <c r="C143" s="3" t="s">
        <v>556</v>
      </c>
      <c r="D143" s="3" t="s">
        <v>248</v>
      </c>
      <c r="E143" s="4">
        <v>-54306612</v>
      </c>
      <c r="F143" s="4">
        <v>-28918833.240715172</v>
      </c>
      <c r="G143" s="4">
        <v>-6556335.806216796</v>
      </c>
      <c r="H143" s="4">
        <v>-7270517.875364246</v>
      </c>
      <c r="I143" s="4">
        <v>-4873145.47364791</v>
      </c>
      <c r="J143" s="4">
        <v>-3359695.810360161</v>
      </c>
      <c r="K143" s="4">
        <v>-1788841.5612741574</v>
      </c>
      <c r="L143" s="4">
        <v>-1317824.4716472875</v>
      </c>
      <c r="M143" s="4">
        <v>0</v>
      </c>
      <c r="N143" s="4">
        <v>-202682.6255179558</v>
      </c>
      <c r="O143" s="4">
        <v>-18735.135256318223</v>
      </c>
    </row>
    <row r="144" spans="1:15" s="3" customFormat="1" ht="12.75">
      <c r="A144" s="3">
        <f t="shared" si="14"/>
        <v>139</v>
      </c>
      <c r="B144" s="19">
        <v>115.02</v>
      </c>
      <c r="C144" s="3" t="s">
        <v>557</v>
      </c>
      <c r="D144" s="3" t="s">
        <v>226</v>
      </c>
      <c r="E144" s="4">
        <v>-731889</v>
      </c>
      <c r="F144" s="4">
        <v>-389738.4712880595</v>
      </c>
      <c r="G144" s="4">
        <v>-88359.59158851975</v>
      </c>
      <c r="H144" s="4">
        <v>-97984.60742280264</v>
      </c>
      <c r="I144" s="4">
        <v>-65675.27297712285</v>
      </c>
      <c r="J144" s="4">
        <v>-45278.545583891115</v>
      </c>
      <c r="K144" s="4">
        <v>-24108.177866801594</v>
      </c>
      <c r="L144" s="4">
        <v>-17760.29104392411</v>
      </c>
      <c r="M144" s="4">
        <v>0</v>
      </c>
      <c r="N144" s="4">
        <v>-2731.54922843854</v>
      </c>
      <c r="O144" s="4">
        <v>-252.49300044001066</v>
      </c>
    </row>
    <row r="145" spans="1:15" s="3" customFormat="1" ht="12.75">
      <c r="A145" s="3">
        <f t="shared" si="14"/>
        <v>140</v>
      </c>
      <c r="B145" s="19">
        <v>115.03</v>
      </c>
      <c r="C145" s="3" t="s">
        <v>558</v>
      </c>
      <c r="D145" s="3" t="s">
        <v>260</v>
      </c>
      <c r="E145" s="4">
        <v>-288399</v>
      </c>
      <c r="F145" s="4">
        <v>-180473.56427901686</v>
      </c>
      <c r="G145" s="4">
        <v>-34853.95412981971</v>
      </c>
      <c r="H145" s="4">
        <v>-28415.73453438862</v>
      </c>
      <c r="I145" s="4">
        <v>-13785.98627320822</v>
      </c>
      <c r="J145" s="4">
        <v>-13335.40975342991</v>
      </c>
      <c r="K145" s="4">
        <v>-4553.07835400712</v>
      </c>
      <c r="L145" s="4">
        <v>-2108.9039888207117</v>
      </c>
      <c r="M145" s="4">
        <v>-4452.6070573668385</v>
      </c>
      <c r="N145" s="4">
        <v>-5828.830208335286</v>
      </c>
      <c r="O145" s="4">
        <v>-590.9314216067035</v>
      </c>
    </row>
    <row r="146" spans="1:15" s="3" customFormat="1" ht="12.75">
      <c r="A146" s="3">
        <f t="shared" si="14"/>
        <v>141</v>
      </c>
      <c r="B146" s="19">
        <v>230</v>
      </c>
      <c r="C146" s="3" t="s">
        <v>559</v>
      </c>
      <c r="D146" s="3" t="s">
        <v>248</v>
      </c>
      <c r="E146" s="4">
        <v>-5526317</v>
      </c>
      <c r="F146" s="4">
        <v>-2942821.0280974507</v>
      </c>
      <c r="G146" s="4">
        <v>-667181.9266428292</v>
      </c>
      <c r="H146" s="4">
        <v>-739858.0956114389</v>
      </c>
      <c r="I146" s="4">
        <v>-495898.1177926087</v>
      </c>
      <c r="J146" s="4">
        <v>-341887.3575030263</v>
      </c>
      <c r="K146" s="4">
        <v>-182035.02605494738</v>
      </c>
      <c r="L146" s="4">
        <v>-134103.66643163862</v>
      </c>
      <c r="M146" s="4">
        <v>0</v>
      </c>
      <c r="N146" s="4">
        <v>-20625.268227090157</v>
      </c>
      <c r="O146" s="4">
        <v>-1906.513638970716</v>
      </c>
    </row>
    <row r="147" spans="1:15" s="3" customFormat="1" ht="12.75">
      <c r="A147" s="3">
        <f t="shared" si="14"/>
        <v>142</v>
      </c>
      <c r="B147" s="19">
        <v>230.01</v>
      </c>
      <c r="C147" s="3" t="s">
        <v>560</v>
      </c>
      <c r="D147" s="3" t="s">
        <v>226</v>
      </c>
      <c r="E147" s="4">
        <v>-4248884</v>
      </c>
      <c r="F147" s="4">
        <v>-2262574.7276435294</v>
      </c>
      <c r="G147" s="4">
        <v>-512959.8271691418</v>
      </c>
      <c r="H147" s="4">
        <v>-568836.5732030777</v>
      </c>
      <c r="I147" s="4">
        <v>-381269.0401797671</v>
      </c>
      <c r="J147" s="4">
        <v>-262858.5589818478</v>
      </c>
      <c r="K147" s="4">
        <v>-139956.8120403605</v>
      </c>
      <c r="L147" s="4">
        <v>-103105.00151235015</v>
      </c>
      <c r="M147" s="4">
        <v>0</v>
      </c>
      <c r="N147" s="4">
        <v>-15857.644823087732</v>
      </c>
      <c r="O147" s="4">
        <v>-1465.8144468376408</v>
      </c>
    </row>
    <row r="148" spans="1:15" s="3" customFormat="1" ht="12.75">
      <c r="A148" s="3">
        <f t="shared" si="14"/>
        <v>143</v>
      </c>
      <c r="B148" s="19">
        <v>230.02</v>
      </c>
      <c r="C148" s="3" t="s">
        <v>561</v>
      </c>
      <c r="D148" s="3" t="s">
        <v>260</v>
      </c>
      <c r="E148" s="4">
        <v>-10072669</v>
      </c>
      <c r="F148" s="4">
        <v>-6303248.195148945</v>
      </c>
      <c r="G148" s="4">
        <v>-1217314.703902777</v>
      </c>
      <c r="H148" s="4">
        <v>-992452.4299902762</v>
      </c>
      <c r="I148" s="4">
        <v>-481491.53280202067</v>
      </c>
      <c r="J148" s="4">
        <v>-465754.62614527484</v>
      </c>
      <c r="K148" s="4">
        <v>-159021.533330485</v>
      </c>
      <c r="L148" s="4">
        <v>-73655.91362026475</v>
      </c>
      <c r="M148" s="4">
        <v>-155512.45696385973</v>
      </c>
      <c r="N148" s="4">
        <v>-203578.64398199157</v>
      </c>
      <c r="O148" s="4">
        <v>-20638.964114105012</v>
      </c>
    </row>
    <row r="149" spans="1:15" s="3" customFormat="1" ht="12.75">
      <c r="A149" s="3">
        <f t="shared" si="14"/>
        <v>144</v>
      </c>
      <c r="B149" s="19">
        <v>230.03</v>
      </c>
      <c r="C149" s="3" t="s">
        <v>562</v>
      </c>
      <c r="D149" s="3" t="s">
        <v>264</v>
      </c>
      <c r="E149" s="4">
        <v>-631117</v>
      </c>
      <c r="F149" s="4">
        <v>-387602.5146205416</v>
      </c>
      <c r="G149" s="4">
        <v>-75285.51401063288</v>
      </c>
      <c r="H149" s="4">
        <v>-64419.02188182554</v>
      </c>
      <c r="I149" s="4">
        <v>-37916.73951579398</v>
      </c>
      <c r="J149" s="4">
        <v>-29477.312326497417</v>
      </c>
      <c r="K149" s="4">
        <v>-14308.59378154245</v>
      </c>
      <c r="L149" s="4">
        <v>-9122.867264812849</v>
      </c>
      <c r="M149" s="4">
        <v>-5181.320573243567</v>
      </c>
      <c r="N149" s="4">
        <v>-7058.342211067165</v>
      </c>
      <c r="O149" s="4">
        <v>-744.7738140428414</v>
      </c>
    </row>
    <row r="150" spans="1:15" s="3" customFormat="1" ht="12.75">
      <c r="A150" s="9">
        <f>+A149+1</f>
        <v>145</v>
      </c>
      <c r="B150" s="20"/>
      <c r="C150" s="9" t="s">
        <v>286</v>
      </c>
      <c r="D150" s="9"/>
      <c r="E150" s="10">
        <f aca="true" t="shared" si="15" ref="E150:O150">SUM(E132:E149)</f>
        <v>-280320825.1287501</v>
      </c>
      <c r="F150" s="10">
        <f t="shared" si="15"/>
        <v>-195082307.73374975</v>
      </c>
      <c r="G150" s="10">
        <f t="shared" si="15"/>
        <v>-45005926.54063954</v>
      </c>
      <c r="H150" s="10">
        <f t="shared" si="15"/>
        <v>-16432617.421631757</v>
      </c>
      <c r="I150" s="10">
        <f t="shared" si="15"/>
        <v>-4048282.373834042</v>
      </c>
      <c r="J150" s="10">
        <f t="shared" si="15"/>
        <v>-6864310.081268071</v>
      </c>
      <c r="K150" s="10">
        <f t="shared" si="15"/>
        <v>-891287.3222906842</v>
      </c>
      <c r="L150" s="10">
        <f t="shared" si="15"/>
        <v>698614.747624356</v>
      </c>
      <c r="M150" s="10">
        <f t="shared" si="15"/>
        <v>-6123929.424649048</v>
      </c>
      <c r="N150" s="10">
        <f t="shared" si="15"/>
        <v>-5875001.3285483</v>
      </c>
      <c r="O150" s="10">
        <f t="shared" si="15"/>
        <v>-695777.649763182</v>
      </c>
    </row>
    <row r="151" spans="1:15" s="3" customFormat="1" ht="12.75">
      <c r="A151" s="3">
        <f>+A150+1</f>
        <v>146</v>
      </c>
      <c r="B151" s="19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s="3" customFormat="1" ht="12.75">
      <c r="A152" s="9">
        <f t="shared" si="14"/>
        <v>147</v>
      </c>
      <c r="B152" s="20"/>
      <c r="C152" s="9" t="s">
        <v>563</v>
      </c>
      <c r="D152" s="9"/>
      <c r="E152" s="10">
        <f aca="true" t="shared" si="16" ref="E152:O152">SUM(E150,E129)</f>
        <v>-76747064.12875009</v>
      </c>
      <c r="F152" s="10">
        <f t="shared" si="16"/>
        <v>-77347898.86983581</v>
      </c>
      <c r="G152" s="10">
        <f t="shared" si="16"/>
        <v>-20485376.950322315</v>
      </c>
      <c r="H152" s="10">
        <f t="shared" si="16"/>
        <v>7134123.371642735</v>
      </c>
      <c r="I152" s="10">
        <f t="shared" si="16"/>
        <v>9968413.970349746</v>
      </c>
      <c r="J152" s="10">
        <f t="shared" si="16"/>
        <v>4085625.673621203</v>
      </c>
      <c r="K152" s="10">
        <f t="shared" si="16"/>
        <v>4098839.735155479</v>
      </c>
      <c r="L152" s="10">
        <f t="shared" si="16"/>
        <v>3950407.109186615</v>
      </c>
      <c r="M152" s="10">
        <f t="shared" si="16"/>
        <v>-4211440.777837383</v>
      </c>
      <c r="N152" s="10">
        <f t="shared" si="16"/>
        <v>-3510348.093878205</v>
      </c>
      <c r="O152" s="10">
        <f t="shared" si="16"/>
        <v>-429409.2968320716</v>
      </c>
    </row>
    <row r="153" spans="1:15" s="3" customFormat="1" ht="12.75">
      <c r="A153" s="3">
        <f t="shared" si="14"/>
        <v>148</v>
      </c>
      <c r="B153" s="19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s="3" customFormat="1" ht="13.5" thickBot="1">
      <c r="A154" s="5">
        <f t="shared" si="14"/>
        <v>149</v>
      </c>
      <c r="B154" s="21"/>
      <c r="C154" s="5" t="s">
        <v>31</v>
      </c>
      <c r="D154" s="5"/>
      <c r="E154" s="6">
        <f aca="true" t="shared" si="17" ref="E154:O154">SUM(E152,E124,E71)</f>
        <v>4853248427.290416</v>
      </c>
      <c r="F154" s="6">
        <f t="shared" si="17"/>
        <v>2755782663.5703926</v>
      </c>
      <c r="G154" s="6">
        <f t="shared" si="17"/>
        <v>578520311.4375551</v>
      </c>
      <c r="H154" s="6">
        <f t="shared" si="17"/>
        <v>584287993.5272365</v>
      </c>
      <c r="I154" s="6">
        <f t="shared" si="17"/>
        <v>353700869.1803747</v>
      </c>
      <c r="J154" s="6">
        <f t="shared" si="17"/>
        <v>272849771.15744555</v>
      </c>
      <c r="K154" s="6">
        <f t="shared" si="17"/>
        <v>125162364.97920093</v>
      </c>
      <c r="L154" s="6">
        <f t="shared" si="17"/>
        <v>83423249.17253911</v>
      </c>
      <c r="M154" s="6">
        <f t="shared" si="17"/>
        <v>44671646.619010404</v>
      </c>
      <c r="N154" s="6">
        <f t="shared" si="17"/>
        <v>49307700.12013777</v>
      </c>
      <c r="O154" s="6">
        <f t="shared" si="17"/>
        <v>5541857.526524401</v>
      </c>
    </row>
    <row r="155" spans="2:15" s="3" customFormat="1" ht="13.5" thickTop="1">
      <c r="B155" s="19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2:15" s="3" customFormat="1" ht="12.75">
      <c r="B156" s="19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2:15" s="3" customFormat="1" ht="12.75">
      <c r="B157" s="19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2:15" s="3" customFormat="1" ht="12.75">
      <c r="B158" s="19"/>
      <c r="E158" s="4">
        <v>4853248427.290416</v>
      </c>
      <c r="F158" s="4"/>
      <c r="G158" s="4"/>
      <c r="H158" s="4"/>
      <c r="I158" s="4"/>
      <c r="J158" s="4"/>
      <c r="K158" s="4"/>
      <c r="L158" s="4"/>
      <c r="M158" s="4"/>
      <c r="N158" s="4"/>
      <c r="O158" s="4"/>
    </row>
  </sheetData>
  <sheetProtection/>
  <mergeCells count="2">
    <mergeCell ref="B1:D1"/>
    <mergeCell ref="B2:D2"/>
  </mergeCells>
  <printOptions horizontalCentered="1"/>
  <pageMargins left="0.25" right="0.25" top="1" bottom="0.72" header="0.5" footer="0.46"/>
  <pageSetup fitToHeight="3" horizontalDpi="600" verticalDpi="600" orientation="landscape" pageOrder="overThenDown" scale="55" r:id="rId1"/>
  <headerFooter alignWithMargins="0">
    <oddHeader>&amp;CPuget Sound Energy
ELECTRIC COST OF SERVICE
Ratebase Detail
Adjusted Test Year Twelve Months ended December 2010 @ Proforma Rev Requirement&amp;RDocket No. UE-111048
ECOS Model
Page &amp;P of &amp;N
Compliance Filing, Advice No. 2012-10</oddHeader>
    <oddFooter>&amp;RCOS Reports
&amp;A
Page 12-14 of 18</oddFooter>
  </headerFooter>
  <rowBreaks count="2" manualBreakCount="2">
    <brk id="55" max="255" man="1"/>
    <brk id="11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62"/>
  <sheetViews>
    <sheetView showGridLines="0" zoomScalePageLayoutView="0" workbookViewId="0" topLeftCell="A1">
      <selection activeCell="E287" sqref="E287"/>
    </sheetView>
  </sheetViews>
  <sheetFormatPr defaultColWidth="9.140625" defaultRowHeight="12.75"/>
  <cols>
    <col min="1" max="1" width="5.00390625" style="3" bestFit="1" customWidth="1"/>
    <col min="2" max="2" width="1.7109375" style="3" customWidth="1"/>
    <col min="3" max="3" width="41.57421875" style="3" bestFit="1" customWidth="1"/>
    <col min="4" max="4" width="3.7109375" style="3" hidden="1" customWidth="1"/>
    <col min="5" max="5" width="14.00390625" style="3" customWidth="1"/>
    <col min="6" max="6" width="16.57421875" style="3" bestFit="1" customWidth="1"/>
    <col min="7" max="7" width="16.00390625" style="3" bestFit="1" customWidth="1"/>
    <col min="8" max="8" width="16.7109375" style="3" bestFit="1" customWidth="1"/>
    <col min="9" max="10" width="15.00390625" style="3" bestFit="1" customWidth="1"/>
    <col min="11" max="11" width="14.57421875" style="3" bestFit="1" customWidth="1"/>
    <col min="12" max="12" width="12.8515625" style="3" bestFit="1" customWidth="1"/>
    <col min="13" max="13" width="15.8515625" style="3" bestFit="1" customWidth="1"/>
    <col min="14" max="14" width="15.00390625" style="3" bestFit="1" customWidth="1"/>
    <col min="15" max="15" width="16.28125" style="3" bestFit="1" customWidth="1"/>
    <col min="16" max="16384" width="9.140625" style="3" customWidth="1"/>
  </cols>
  <sheetData>
    <row r="1" spans="1:15" ht="12.7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12.7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ht="12.75">
      <c r="A3" s="87" t="s">
        <v>198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ht="15" customHeight="1">
      <c r="A4" s="87" t="s">
        <v>97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6" spans="1:15" s="14" customFormat="1" ht="38.25">
      <c r="A6" s="2" t="s">
        <v>2</v>
      </c>
      <c r="B6" s="2"/>
      <c r="C6" s="2" t="s">
        <v>3</v>
      </c>
      <c r="D6" s="2"/>
      <c r="E6" s="2" t="s">
        <v>66</v>
      </c>
      <c r="F6" s="2" t="str">
        <f>+#REF!</f>
        <v>Residential
Sch 7</v>
      </c>
      <c r="G6" s="2" t="str">
        <f>+#REF!</f>
        <v>Sec Volt
Sch 24
(kW&lt; 50)</v>
      </c>
      <c r="H6" s="2" t="str">
        <f>+#REF!</f>
        <v>Sec Volt
Sch 25
(kW &gt; 50 &amp; &lt; 350)</v>
      </c>
      <c r="I6" s="2" t="str">
        <f>+#REF!</f>
        <v>Sec Volt
Sch 26
(kW &gt; 350)</v>
      </c>
      <c r="J6" s="2" t="str">
        <f>+#REF!</f>
        <v>Pri Volt
Sch 31/35/43</v>
      </c>
      <c r="K6" s="2" t="str">
        <f>+#REF!</f>
        <v>Campus
Sch 40</v>
      </c>
      <c r="L6" s="2" t="str">
        <f>+#REF!</f>
        <v>High Volt
Sch 46/49</v>
      </c>
      <c r="M6" s="2" t="str">
        <f>+#REF!</f>
        <v>Choice /
Retail Wheeling
Sch 448/449</v>
      </c>
      <c r="N6" s="2" t="str">
        <f>+#REF!</f>
        <v>Lighting
Sch 50-59</v>
      </c>
      <c r="O6" s="2" t="str">
        <f>+#REF!</f>
        <v>Firm Resale /
Special Contract</v>
      </c>
    </row>
    <row r="7" spans="3:15" s="14" customFormat="1" ht="12.75">
      <c r="C7" s="14" t="s">
        <v>15</v>
      </c>
      <c r="E7" s="14" t="s">
        <v>16</v>
      </c>
      <c r="F7" s="14" t="s">
        <v>17</v>
      </c>
      <c r="G7" s="14" t="s">
        <v>18</v>
      </c>
      <c r="H7" s="14" t="s">
        <v>19</v>
      </c>
      <c r="I7" s="14" t="s">
        <v>76</v>
      </c>
      <c r="J7" s="14" t="s">
        <v>20</v>
      </c>
      <c r="K7" s="14" t="s">
        <v>21</v>
      </c>
      <c r="L7" s="14" t="s">
        <v>77</v>
      </c>
      <c r="M7" s="14" t="s">
        <v>78</v>
      </c>
      <c r="N7" s="14" t="s">
        <v>22</v>
      </c>
      <c r="O7" s="14" t="s">
        <v>23</v>
      </c>
    </row>
    <row r="8" spans="1:4" ht="12.75">
      <c r="A8" s="11">
        <v>1</v>
      </c>
      <c r="C8" s="1" t="s">
        <v>98</v>
      </c>
      <c r="D8" s="3">
        <f aca="true" t="shared" si="0" ref="D8:D24">+SUM(F8:O8)-E8</f>
        <v>0</v>
      </c>
    </row>
    <row r="9" spans="1:15" ht="12.75">
      <c r="A9" s="11">
        <f aca="true" t="shared" si="1" ref="A9:A62">+A8+1</f>
        <v>2</v>
      </c>
      <c r="C9" s="3" t="s">
        <v>99</v>
      </c>
      <c r="D9" s="3">
        <f t="shared" si="0"/>
        <v>0</v>
      </c>
      <c r="E9" s="4">
        <f>SUM(F9:O9)</f>
        <v>127180593.15999998</v>
      </c>
      <c r="F9" s="4">
        <v>67649431.46922615</v>
      </c>
      <c r="G9" s="4">
        <v>29514490.411829323</v>
      </c>
      <c r="H9" s="4">
        <v>11591801.94796694</v>
      </c>
      <c r="I9" s="4">
        <v>1278561.8173046636</v>
      </c>
      <c r="J9" s="4">
        <v>15279600.521369996</v>
      </c>
      <c r="K9" s="4">
        <v>740902.540142795</v>
      </c>
      <c r="L9" s="4">
        <v>556416.9958994668</v>
      </c>
      <c r="M9" s="4">
        <v>289800.5186976389</v>
      </c>
      <c r="N9" s="4">
        <v>0</v>
      </c>
      <c r="O9" s="4">
        <v>279586.9375630177</v>
      </c>
    </row>
    <row r="10" spans="1:15" ht="12.75">
      <c r="A10" s="11">
        <f t="shared" si="1"/>
        <v>3</v>
      </c>
      <c r="C10" s="3" t="s">
        <v>100</v>
      </c>
      <c r="D10" s="3">
        <f t="shared" si="0"/>
        <v>0</v>
      </c>
      <c r="E10" s="4">
        <f>SUM(F10:O10)</f>
        <v>136280318.4156534</v>
      </c>
      <c r="F10" s="4">
        <v>136280318.4156534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</row>
    <row r="11" spans="1:15" ht="12.75">
      <c r="A11" s="11">
        <f t="shared" si="1"/>
        <v>4</v>
      </c>
      <c r="C11" s="3" t="s">
        <v>101</v>
      </c>
      <c r="D11" s="3">
        <f t="shared" si="0"/>
        <v>0</v>
      </c>
      <c r="E11" s="4">
        <f>SUM(F11:O11)</f>
        <v>41858523.8647626</v>
      </c>
      <c r="F11" s="4">
        <v>36290664.085567445</v>
      </c>
      <c r="G11" s="4">
        <v>5353785.013973731</v>
      </c>
      <c r="H11" s="4">
        <v>211755.53790154887</v>
      </c>
      <c r="I11" s="4">
        <v>2319.227319874107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</row>
    <row r="12" spans="1:15" ht="12.75">
      <c r="A12" s="11">
        <f t="shared" si="1"/>
        <v>5</v>
      </c>
      <c r="C12" s="3" t="s">
        <v>102</v>
      </c>
      <c r="D12" s="3">
        <f t="shared" si="0"/>
        <v>0</v>
      </c>
      <c r="E12" s="4">
        <f>SUM(F12:O12)</f>
        <v>399305395.67646337</v>
      </c>
      <c r="F12" s="4">
        <v>285349297.1808278</v>
      </c>
      <c r="G12" s="4">
        <v>69169775.2882422</v>
      </c>
      <c r="H12" s="4">
        <v>35923033.25939951</v>
      </c>
      <c r="I12" s="4">
        <v>8647869.319231626</v>
      </c>
      <c r="J12" s="4">
        <v>0</v>
      </c>
      <c r="K12" s="4">
        <v>0</v>
      </c>
      <c r="L12" s="4">
        <v>0</v>
      </c>
      <c r="M12" s="4">
        <v>0</v>
      </c>
      <c r="N12" s="4">
        <v>215420.62876218266</v>
      </c>
      <c r="O12" s="4">
        <v>0</v>
      </c>
    </row>
    <row r="13" spans="1:15" s="26" customFormat="1" ht="12.75">
      <c r="A13" s="23">
        <f t="shared" si="1"/>
        <v>6</v>
      </c>
      <c r="B13" s="24"/>
      <c r="C13" s="24" t="s">
        <v>103</v>
      </c>
      <c r="D13" s="24">
        <f t="shared" si="0"/>
        <v>0</v>
      </c>
      <c r="E13" s="25">
        <f>SUM(E9:E12)</f>
        <v>704624831.1168793</v>
      </c>
      <c r="F13" s="25">
        <f aca="true" t="shared" si="2" ref="F13:O13">SUM(F9:F12)</f>
        <v>525569711.1512748</v>
      </c>
      <c r="G13" s="25">
        <f t="shared" si="2"/>
        <v>104038050.71404526</v>
      </c>
      <c r="H13" s="25">
        <f t="shared" si="2"/>
        <v>47726590.745268</v>
      </c>
      <c r="I13" s="25">
        <f t="shared" si="2"/>
        <v>9928750.363856163</v>
      </c>
      <c r="J13" s="25">
        <f t="shared" si="2"/>
        <v>15279600.521369996</v>
      </c>
      <c r="K13" s="25">
        <f t="shared" si="2"/>
        <v>740902.540142795</v>
      </c>
      <c r="L13" s="25">
        <f t="shared" si="2"/>
        <v>556416.9958994668</v>
      </c>
      <c r="M13" s="25">
        <f t="shared" si="2"/>
        <v>289800.5186976389</v>
      </c>
      <c r="N13" s="25">
        <f t="shared" si="2"/>
        <v>215420.62876218266</v>
      </c>
      <c r="O13" s="25">
        <f t="shared" si="2"/>
        <v>279586.9375630177</v>
      </c>
    </row>
    <row r="14" spans="1:15" s="22" customFormat="1" ht="12.75">
      <c r="A14" s="11">
        <f t="shared" si="1"/>
        <v>7</v>
      </c>
      <c r="C14" s="3"/>
      <c r="D14" s="3">
        <f t="shared" si="0"/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s="22" customFormat="1" ht="12.75">
      <c r="A15" s="11">
        <f t="shared" si="1"/>
        <v>8</v>
      </c>
      <c r="C15" s="3" t="s">
        <v>104</v>
      </c>
      <c r="D15" s="3">
        <f t="shared" si="0"/>
        <v>0</v>
      </c>
      <c r="E15" s="4">
        <f>SUM(F15:O15)</f>
        <v>72774777.42480965</v>
      </c>
      <c r="F15" s="4">
        <v>56597096.279691294</v>
      </c>
      <c r="G15" s="4">
        <v>8815865.12595253</v>
      </c>
      <c r="H15" s="4">
        <v>2604669.2800979423</v>
      </c>
      <c r="I15" s="4">
        <v>647042.612409407</v>
      </c>
      <c r="J15" s="4">
        <v>786816.7423212547</v>
      </c>
      <c r="K15" s="4">
        <v>623131.8124648104</v>
      </c>
      <c r="L15" s="4">
        <v>227626.8774247134</v>
      </c>
      <c r="M15" s="4">
        <v>97543.39873402083</v>
      </c>
      <c r="N15" s="4">
        <v>2340463.486019406</v>
      </c>
      <c r="O15" s="4">
        <v>34521.80969428036</v>
      </c>
    </row>
    <row r="16" spans="1:15" s="22" customFormat="1" ht="12.75">
      <c r="A16" s="11">
        <f t="shared" si="1"/>
        <v>9</v>
      </c>
      <c r="C16" s="3" t="s">
        <v>105</v>
      </c>
      <c r="D16" s="3">
        <f t="shared" si="0"/>
        <v>0</v>
      </c>
      <c r="E16" s="4">
        <f>SUM(F16:O16)</f>
        <v>763774835.1912491</v>
      </c>
      <c r="F16" s="4">
        <v>526204882.7560115</v>
      </c>
      <c r="G16" s="4">
        <v>104043653.71055855</v>
      </c>
      <c r="H16" s="4">
        <v>47726590.745268</v>
      </c>
      <c r="I16" s="4">
        <v>9928750.363856163</v>
      </c>
      <c r="J16" s="4">
        <v>16316528.514409188</v>
      </c>
      <c r="K16" s="4">
        <v>3440518.5220205053</v>
      </c>
      <c r="L16" s="4">
        <v>556416.9958994668</v>
      </c>
      <c r="M16" s="4">
        <v>289800.5186976389</v>
      </c>
      <c r="N16" s="4">
        <v>54968709.12709548</v>
      </c>
      <c r="O16" s="4">
        <v>298983.93743280735</v>
      </c>
    </row>
    <row r="17" spans="1:15" ht="12.75">
      <c r="A17" s="23">
        <f t="shared" si="1"/>
        <v>10</v>
      </c>
      <c r="B17" s="24"/>
      <c r="C17" s="24" t="s">
        <v>106</v>
      </c>
      <c r="D17" s="24">
        <f t="shared" si="0"/>
        <v>0</v>
      </c>
      <c r="E17" s="25">
        <f>+SUM(F17:O17)</f>
        <v>69834424.78446902</v>
      </c>
      <c r="F17" s="25">
        <v>56528779.033604324</v>
      </c>
      <c r="G17" s="25">
        <v>8815390.370791588</v>
      </c>
      <c r="H17" s="25">
        <v>2604669.2800979423</v>
      </c>
      <c r="I17" s="25">
        <v>647042.612409407</v>
      </c>
      <c r="J17" s="25">
        <v>736371.294232805</v>
      </c>
      <c r="K17" s="25">
        <v>134189.0589293593</v>
      </c>
      <c r="L17" s="25">
        <v>227626.8774247134</v>
      </c>
      <c r="M17" s="25">
        <v>97543.39873402083</v>
      </c>
      <c r="N17" s="25">
        <v>9172.202217583186</v>
      </c>
      <c r="O17" s="25">
        <v>33640.65602728357</v>
      </c>
    </row>
    <row r="18" spans="1:15" s="22" customFormat="1" ht="12.75">
      <c r="A18" s="11">
        <f t="shared" si="1"/>
        <v>11</v>
      </c>
      <c r="C18" s="3"/>
      <c r="D18" s="3">
        <f t="shared" si="0"/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.75">
      <c r="A19" s="23">
        <f t="shared" si="1"/>
        <v>12</v>
      </c>
      <c r="B19" s="24"/>
      <c r="C19" s="24" t="s">
        <v>107</v>
      </c>
      <c r="D19" s="24">
        <f t="shared" si="0"/>
        <v>0</v>
      </c>
      <c r="E19" s="25">
        <f>+SUM(F19:O19)</f>
        <v>-282289502.690416</v>
      </c>
      <c r="F19" s="25">
        <v>-219617166.79721782</v>
      </c>
      <c r="G19" s="25">
        <v>-36325122.60121489</v>
      </c>
      <c r="H19" s="25">
        <v>-16225156.287545264</v>
      </c>
      <c r="I19" s="25">
        <v>-3407699.6070348327</v>
      </c>
      <c r="J19" s="25">
        <v>-5112861.585267607</v>
      </c>
      <c r="K19" s="25">
        <v>-1169663.5711661489</v>
      </c>
      <c r="L19" s="25">
        <v>-173050.90742424747</v>
      </c>
      <c r="M19" s="25">
        <v>-90130.68095012888</v>
      </c>
      <c r="N19" s="25">
        <v>-74947.99095945011</v>
      </c>
      <c r="O19" s="25">
        <v>-93702.66163558673</v>
      </c>
    </row>
    <row r="20" spans="1:15" ht="12.75">
      <c r="A20" s="11">
        <f t="shared" si="1"/>
        <v>13</v>
      </c>
      <c r="D20" s="3">
        <f t="shared" si="0"/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s="22" customFormat="1" ht="12.75">
      <c r="A21" s="11">
        <f t="shared" si="1"/>
        <v>14</v>
      </c>
      <c r="C21" s="3" t="s">
        <v>108</v>
      </c>
      <c r="D21" s="3">
        <f t="shared" si="0"/>
        <v>0</v>
      </c>
      <c r="E21" s="4">
        <f>SUM(F21:O21)</f>
        <v>-17615732.78478199</v>
      </c>
      <c r="F21" s="4">
        <v>-13765486.347717134</v>
      </c>
      <c r="G21" s="4">
        <v>-2122787.1175869536</v>
      </c>
      <c r="H21" s="4">
        <v>-610719.9002010154</v>
      </c>
      <c r="I21" s="4">
        <v>-153580.73743917956</v>
      </c>
      <c r="J21" s="4">
        <v>-182645.11138050776</v>
      </c>
      <c r="K21" s="4">
        <v>-153837.88547125453</v>
      </c>
      <c r="L21" s="4">
        <v>-56874.9857910377</v>
      </c>
      <c r="M21" s="4">
        <v>-24322.472018616274</v>
      </c>
      <c r="N21" s="4">
        <v>-537060.5680407698</v>
      </c>
      <c r="O21" s="4">
        <v>-8417.659135520538</v>
      </c>
    </row>
    <row r="22" spans="1:15" ht="12.75">
      <c r="A22" s="23">
        <f t="shared" si="1"/>
        <v>15</v>
      </c>
      <c r="B22" s="24"/>
      <c r="C22" s="24" t="s">
        <v>109</v>
      </c>
      <c r="D22" s="24">
        <f t="shared" si="0"/>
        <v>0</v>
      </c>
      <c r="E22" s="25">
        <f>+SUM(F22:O22)</f>
        <v>-16931414.752353948</v>
      </c>
      <c r="F22" s="25">
        <v>-13748870.29883582</v>
      </c>
      <c r="G22" s="25">
        <v>-2122672.800486447</v>
      </c>
      <c r="H22" s="25">
        <v>-610719.9002010154</v>
      </c>
      <c r="I22" s="25">
        <v>-153580.73743917956</v>
      </c>
      <c r="J22" s="25">
        <v>-170926.22746671783</v>
      </c>
      <c r="K22" s="25">
        <v>-33128.40183430047</v>
      </c>
      <c r="L22" s="25">
        <v>-56874.9857910377</v>
      </c>
      <c r="M22" s="25">
        <v>-24322.472018616274</v>
      </c>
      <c r="N22" s="25">
        <v>-2104.723343297307</v>
      </c>
      <c r="O22" s="25">
        <v>-8214.204937515238</v>
      </c>
    </row>
    <row r="23" spans="1:15" s="22" customFormat="1" ht="12.75">
      <c r="A23" s="11">
        <f t="shared" si="1"/>
        <v>16</v>
      </c>
      <c r="C23" s="3"/>
      <c r="D23" s="3">
        <f t="shared" si="0"/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.75">
      <c r="A24" s="12">
        <f t="shared" si="1"/>
        <v>17</v>
      </c>
      <c r="B24" s="9"/>
      <c r="C24" s="9" t="s">
        <v>110</v>
      </c>
      <c r="D24" s="9">
        <f t="shared" si="0"/>
        <v>0</v>
      </c>
      <c r="E24" s="10">
        <f>SUM(E22,E19,E17,E13)</f>
        <v>475238338.4585784</v>
      </c>
      <c r="F24" s="10">
        <f aca="true" t="shared" si="3" ref="F24:O24">SUM(F22,F19,F17,F13)</f>
        <v>348732453.08882546</v>
      </c>
      <c r="G24" s="10">
        <f t="shared" si="3"/>
        <v>74405645.68313551</v>
      </c>
      <c r="H24" s="10">
        <f t="shared" si="3"/>
        <v>33495383.837619666</v>
      </c>
      <c r="I24" s="10">
        <f t="shared" si="3"/>
        <v>7014512.631791558</v>
      </c>
      <c r="J24" s="10">
        <f t="shared" si="3"/>
        <v>10732184.002868477</v>
      </c>
      <c r="K24" s="10">
        <f t="shared" si="3"/>
        <v>-327700.3739282951</v>
      </c>
      <c r="L24" s="10">
        <f t="shared" si="3"/>
        <v>554117.980108895</v>
      </c>
      <c r="M24" s="10">
        <f t="shared" si="3"/>
        <v>272890.76446291455</v>
      </c>
      <c r="N24" s="10">
        <f t="shared" si="3"/>
        <v>147540.11667701844</v>
      </c>
      <c r="O24" s="10">
        <f t="shared" si="3"/>
        <v>211310.7270171993</v>
      </c>
    </row>
    <row r="25" spans="1:15" s="22" customFormat="1" ht="12.75">
      <c r="A25" s="11">
        <f t="shared" si="1"/>
        <v>18</v>
      </c>
      <c r="C25" s="3"/>
      <c r="D25" s="3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s="22" customFormat="1" ht="12.75">
      <c r="A26" s="11">
        <f t="shared" si="1"/>
        <v>19</v>
      </c>
      <c r="C26" s="1" t="s">
        <v>111</v>
      </c>
      <c r="D26" s="3">
        <f aca="true" t="shared" si="4" ref="D26:D53">+SUM(F26:O26)-E26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s="22" customFormat="1" ht="12.75">
      <c r="A27" s="11">
        <f t="shared" si="1"/>
        <v>20</v>
      </c>
      <c r="C27" s="3" t="s">
        <v>112</v>
      </c>
      <c r="D27" s="3">
        <f t="shared" si="4"/>
        <v>0</v>
      </c>
      <c r="E27" s="4">
        <f aca="true" t="shared" si="5" ref="E27:E34">SUM(F27:O27)</f>
        <v>1114234.996705192</v>
      </c>
      <c r="F27" s="4">
        <v>481490.6575792865</v>
      </c>
      <c r="G27" s="4">
        <v>210067.5658002216</v>
      </c>
      <c r="H27" s="4">
        <v>82503.93567600667</v>
      </c>
      <c r="I27" s="4">
        <v>9100.084905367381</v>
      </c>
      <c r="J27" s="4">
        <v>108751.61465222297</v>
      </c>
      <c r="K27" s="4">
        <v>5273.328149369572</v>
      </c>
      <c r="L27" s="4">
        <v>3960.263662611828</v>
      </c>
      <c r="M27" s="4">
        <v>2062.6373242769932</v>
      </c>
      <c r="N27" s="4">
        <v>209034.96616556228</v>
      </c>
      <c r="O27" s="4">
        <v>1989.9427902662346</v>
      </c>
    </row>
    <row r="28" spans="1:15" s="22" customFormat="1" ht="12.75">
      <c r="A28" s="11">
        <f t="shared" si="1"/>
        <v>21</v>
      </c>
      <c r="C28" s="3" t="s">
        <v>113</v>
      </c>
      <c r="D28" s="3">
        <f t="shared" si="4"/>
        <v>0</v>
      </c>
      <c r="E28" s="4">
        <f t="shared" si="5"/>
        <v>1647510</v>
      </c>
      <c r="F28" s="4">
        <v>876337.4353793963</v>
      </c>
      <c r="G28" s="4">
        <v>382333.63196552754</v>
      </c>
      <c r="H28" s="4">
        <v>150161.3505078499</v>
      </c>
      <c r="I28" s="4">
        <v>16562.61641253385</v>
      </c>
      <c r="J28" s="4">
        <v>197933.45847422595</v>
      </c>
      <c r="K28" s="4">
        <v>9597.724885392066</v>
      </c>
      <c r="L28" s="4">
        <v>7207.8808734684035</v>
      </c>
      <c r="M28" s="4">
        <v>3754.104621598127</v>
      </c>
      <c r="N28" s="4">
        <v>0</v>
      </c>
      <c r="O28" s="4">
        <v>3621.7968800079416</v>
      </c>
    </row>
    <row r="29" spans="1:15" s="22" customFormat="1" ht="12.75">
      <c r="A29" s="11">
        <f t="shared" si="1"/>
        <v>22</v>
      </c>
      <c r="C29" s="3" t="s">
        <v>114</v>
      </c>
      <c r="D29" s="3">
        <f t="shared" si="4"/>
        <v>0</v>
      </c>
      <c r="E29" s="4">
        <f t="shared" si="5"/>
        <v>3881406</v>
      </c>
      <c r="F29" s="4">
        <v>2064583.146509703</v>
      </c>
      <c r="G29" s="4">
        <v>900748.43437235</v>
      </c>
      <c r="H29" s="4">
        <v>353768.5154137283</v>
      </c>
      <c r="I29" s="4">
        <v>39020.241891889804</v>
      </c>
      <c r="J29" s="4">
        <v>466315.9029824471</v>
      </c>
      <c r="K29" s="4">
        <v>22611.49671717324</v>
      </c>
      <c r="L29" s="4">
        <v>16981.209260985062</v>
      </c>
      <c r="M29" s="4">
        <v>8844.37982342972</v>
      </c>
      <c r="N29" s="4">
        <v>0</v>
      </c>
      <c r="O29" s="4">
        <v>8532.67302829367</v>
      </c>
    </row>
    <row r="30" spans="1:15" s="22" customFormat="1" ht="12.75">
      <c r="A30" s="11">
        <f t="shared" si="1"/>
        <v>23</v>
      </c>
      <c r="C30" s="3" t="s">
        <v>115</v>
      </c>
      <c r="D30" s="3">
        <f t="shared" si="4"/>
        <v>0</v>
      </c>
      <c r="E30" s="4">
        <f t="shared" si="5"/>
        <v>248865.00000000003</v>
      </c>
      <c r="F30" s="4">
        <v>176185.22637995245</v>
      </c>
      <c r="G30" s="4">
        <v>42707.98154476128</v>
      </c>
      <c r="H30" s="4">
        <v>22180.211444680957</v>
      </c>
      <c r="I30" s="4">
        <v>5339.51486394423</v>
      </c>
      <c r="J30" s="4">
        <v>640.23775421303</v>
      </c>
      <c r="K30" s="4">
        <v>1666.842910093626</v>
      </c>
      <c r="L30" s="4">
        <v>0</v>
      </c>
      <c r="M30" s="4">
        <v>0</v>
      </c>
      <c r="N30" s="4">
        <v>133.00867610451897</v>
      </c>
      <c r="O30" s="4">
        <v>11.976426249913345</v>
      </c>
    </row>
    <row r="31" spans="1:15" s="22" customFormat="1" ht="12.75">
      <c r="A31" s="11">
        <f t="shared" si="1"/>
        <v>24</v>
      </c>
      <c r="C31" s="3" t="s">
        <v>116</v>
      </c>
      <c r="D31" s="3">
        <f t="shared" si="4"/>
        <v>0</v>
      </c>
      <c r="E31" s="4">
        <f t="shared" si="5"/>
        <v>507944</v>
      </c>
      <c r="F31" s="4">
        <v>270183.69677656103</v>
      </c>
      <c r="G31" s="4">
        <v>117877.32660505729</v>
      </c>
      <c r="H31" s="4">
        <v>46296.26346569022</v>
      </c>
      <c r="I31" s="4">
        <v>5106.422195342119</v>
      </c>
      <c r="J31" s="4">
        <v>61024.88763724179</v>
      </c>
      <c r="K31" s="4">
        <v>2959.0756773467765</v>
      </c>
      <c r="L31" s="4">
        <v>2222.2625916644115</v>
      </c>
      <c r="M31" s="4">
        <v>1157.4284331585477</v>
      </c>
      <c r="N31" s="4">
        <v>0</v>
      </c>
      <c r="O31" s="4">
        <v>1116.6366179378297</v>
      </c>
    </row>
    <row r="32" spans="1:15" s="22" customFormat="1" ht="12.75">
      <c r="A32" s="11">
        <f t="shared" si="1"/>
        <v>25</v>
      </c>
      <c r="C32" s="3" t="s">
        <v>117</v>
      </c>
      <c r="D32" s="3">
        <f t="shared" si="4"/>
        <v>0</v>
      </c>
      <c r="E32" s="4">
        <f t="shared" si="5"/>
        <v>246127</v>
      </c>
      <c r="F32" s="4">
        <v>204133.53016914893</v>
      </c>
      <c r="G32" s="4">
        <v>28170.212260153407</v>
      </c>
      <c r="H32" s="4">
        <v>5484.555111015207</v>
      </c>
      <c r="I32" s="4">
        <v>1766.1989336964587</v>
      </c>
      <c r="J32" s="4">
        <v>1318.5220591856912</v>
      </c>
      <c r="K32" s="4">
        <v>2922.2482768078066</v>
      </c>
      <c r="L32" s="4">
        <v>1205.8177072711082</v>
      </c>
      <c r="M32" s="4">
        <v>506.4496052912335</v>
      </c>
      <c r="N32" s="4">
        <v>479.07320935253097</v>
      </c>
      <c r="O32" s="4">
        <v>140.39266807761283</v>
      </c>
    </row>
    <row r="33" spans="1:15" s="22" customFormat="1" ht="12.75">
      <c r="A33" s="11">
        <f t="shared" si="1"/>
        <v>26</v>
      </c>
      <c r="C33" s="3" t="s">
        <v>118</v>
      </c>
      <c r="D33" s="3">
        <f t="shared" si="4"/>
        <v>0</v>
      </c>
      <c r="E33" s="4">
        <f t="shared" si="5"/>
        <v>17335448</v>
      </c>
      <c r="F33" s="4">
        <v>14492891.477661075</v>
      </c>
      <c r="G33" s="4">
        <v>2156593.915717767</v>
      </c>
      <c r="H33" s="4">
        <v>490906.91855377733</v>
      </c>
      <c r="I33" s="4">
        <v>59744.76888654534</v>
      </c>
      <c r="J33" s="4">
        <v>43459.288289700584</v>
      </c>
      <c r="K33" s="4">
        <v>12270.622525616725</v>
      </c>
      <c r="L33" s="4">
        <v>51284.960823155525</v>
      </c>
      <c r="M33" s="4">
        <v>22177.739913637077</v>
      </c>
      <c r="N33" s="4">
        <v>0</v>
      </c>
      <c r="O33" s="4">
        <v>6118.307628724936</v>
      </c>
    </row>
    <row r="34" spans="1:15" s="22" customFormat="1" ht="12.75">
      <c r="A34" s="11">
        <f t="shared" si="1"/>
        <v>27</v>
      </c>
      <c r="C34" s="3" t="s">
        <v>119</v>
      </c>
      <c r="D34" s="3">
        <f t="shared" si="4"/>
        <v>0</v>
      </c>
      <c r="E34" s="4">
        <f t="shared" si="5"/>
        <v>21317259.999999993</v>
      </c>
      <c r="F34" s="4">
        <v>17156488.391487967</v>
      </c>
      <c r="G34" s="4">
        <v>2594995.8589170454</v>
      </c>
      <c r="H34" s="4">
        <v>278572.88755892945</v>
      </c>
      <c r="I34" s="4">
        <v>217985.348473774</v>
      </c>
      <c r="J34" s="4">
        <v>171904.0594805867</v>
      </c>
      <c r="K34" s="4">
        <v>548503.3887310557</v>
      </c>
      <c r="L34" s="4">
        <v>173458.3366072569</v>
      </c>
      <c r="M34" s="4">
        <v>75009.01042475975</v>
      </c>
      <c r="N34" s="4">
        <v>79519.44190468777</v>
      </c>
      <c r="O34" s="4">
        <v>20823.276413934916</v>
      </c>
    </row>
    <row r="35" spans="1:15" ht="12.75">
      <c r="A35" s="23">
        <f t="shared" si="1"/>
        <v>28</v>
      </c>
      <c r="B35" s="24"/>
      <c r="C35" s="24" t="s">
        <v>120</v>
      </c>
      <c r="D35" s="24">
        <f t="shared" si="4"/>
        <v>0</v>
      </c>
      <c r="E35" s="25">
        <f>SUM(E27:E34)</f>
        <v>46298794.99670519</v>
      </c>
      <c r="F35" s="25">
        <f aca="true" t="shared" si="6" ref="F35:O35">SUM(F27:F34)</f>
        <v>35722293.56194309</v>
      </c>
      <c r="G35" s="25">
        <f t="shared" si="6"/>
        <v>6433494.927182883</v>
      </c>
      <c r="H35" s="25">
        <f t="shared" si="6"/>
        <v>1429874.6377316779</v>
      </c>
      <c r="I35" s="25">
        <f t="shared" si="6"/>
        <v>354625.1965630932</v>
      </c>
      <c r="J35" s="25">
        <f t="shared" si="6"/>
        <v>1051347.9713298238</v>
      </c>
      <c r="K35" s="25">
        <f t="shared" si="6"/>
        <v>605804.7278728555</v>
      </c>
      <c r="L35" s="25">
        <f t="shared" si="6"/>
        <v>256320.73152641323</v>
      </c>
      <c r="M35" s="25">
        <f t="shared" si="6"/>
        <v>113511.75014615145</v>
      </c>
      <c r="N35" s="25">
        <f t="shared" si="6"/>
        <v>289166.4899557071</v>
      </c>
      <c r="O35" s="25">
        <f t="shared" si="6"/>
        <v>42355.002453493056</v>
      </c>
    </row>
    <row r="36" spans="1:15" s="22" customFormat="1" ht="12.75">
      <c r="A36" s="11">
        <f t="shared" si="1"/>
        <v>29</v>
      </c>
      <c r="C36" s="3"/>
      <c r="D36" s="3">
        <f t="shared" si="4"/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.75">
      <c r="A37" s="11">
        <f t="shared" si="1"/>
        <v>30</v>
      </c>
      <c r="C37" s="3" t="s">
        <v>121</v>
      </c>
      <c r="D37" s="3">
        <f t="shared" si="4"/>
        <v>0</v>
      </c>
      <c r="E37" s="4">
        <f>SUM(F37:O37)</f>
        <v>21570853.494798996</v>
      </c>
      <c r="F37" s="4">
        <v>16247184.735198528</v>
      </c>
      <c r="G37" s="4">
        <v>2655840.833198806</v>
      </c>
      <c r="H37" s="4">
        <v>718707.287480583</v>
      </c>
      <c r="I37" s="4">
        <v>170489.0252165197</v>
      </c>
      <c r="J37" s="4">
        <v>365064.21671331895</v>
      </c>
      <c r="K37" s="4">
        <v>199753.51949434727</v>
      </c>
      <c r="L37" s="4">
        <v>81656.71241826452</v>
      </c>
      <c r="M37" s="4">
        <v>35335.32550817603</v>
      </c>
      <c r="N37" s="4">
        <v>1083256.5898450534</v>
      </c>
      <c r="O37" s="4">
        <v>13565.249725396541</v>
      </c>
    </row>
    <row r="38" spans="1:15" ht="12.75">
      <c r="A38" s="11">
        <f t="shared" si="1"/>
        <v>31</v>
      </c>
      <c r="C38" s="3" t="s">
        <v>122</v>
      </c>
      <c r="D38" s="3">
        <f t="shared" si="4"/>
        <v>0</v>
      </c>
      <c r="E38" s="4">
        <f>SUM(F38:O38)</f>
        <v>62617970.08024259</v>
      </c>
      <c r="F38" s="4">
        <v>45969642.8190926</v>
      </c>
      <c r="G38" s="4">
        <v>7799655.569376728</v>
      </c>
      <c r="H38" s="4">
        <v>1935951.2792749598</v>
      </c>
      <c r="I38" s="4">
        <v>440346.8478811752</v>
      </c>
      <c r="J38" s="4">
        <v>1367384.5685973093</v>
      </c>
      <c r="K38" s="4">
        <v>619398.1444619248</v>
      </c>
      <c r="L38" s="4">
        <v>273104.7617151089</v>
      </c>
      <c r="M38" s="4">
        <v>118797.20919647923</v>
      </c>
      <c r="N38" s="4">
        <v>4046240.9929767456</v>
      </c>
      <c r="O38" s="4">
        <v>47447.88766955683</v>
      </c>
    </row>
    <row r="39" spans="1:15" ht="12.75">
      <c r="A39" s="23">
        <f t="shared" si="1"/>
        <v>32</v>
      </c>
      <c r="B39" s="24"/>
      <c r="C39" s="24" t="s">
        <v>123</v>
      </c>
      <c r="D39" s="24">
        <f t="shared" si="4"/>
        <v>0</v>
      </c>
      <c r="E39" s="25">
        <f>+SUM(F39:O39)</f>
        <v>16160213.847510654</v>
      </c>
      <c r="F39" s="25">
        <v>12625434.244723564</v>
      </c>
      <c r="G39" s="25">
        <v>2190652.955865723</v>
      </c>
      <c r="H39" s="25">
        <v>530830.1574129948</v>
      </c>
      <c r="I39" s="25">
        <v>137300.18591065996</v>
      </c>
      <c r="J39" s="25">
        <v>280650.54655365774</v>
      </c>
      <c r="K39" s="25">
        <v>195369.6949222245</v>
      </c>
      <c r="L39" s="25">
        <v>76638.38641863414</v>
      </c>
      <c r="M39" s="25">
        <v>33763.56931719073</v>
      </c>
      <c r="N39" s="25">
        <v>77415.43480741544</v>
      </c>
      <c r="O39" s="25">
        <v>12158.67157858715</v>
      </c>
    </row>
    <row r="40" spans="1:15" ht="12.75">
      <c r="A40" s="11">
        <f t="shared" si="1"/>
        <v>33</v>
      </c>
      <c r="D40" s="3">
        <f t="shared" si="4"/>
        <v>0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ht="12.75">
      <c r="A41" s="11">
        <f t="shared" si="1"/>
        <v>34</v>
      </c>
      <c r="C41" s="3" t="s">
        <v>124</v>
      </c>
      <c r="D41" s="3">
        <f t="shared" si="4"/>
        <v>0</v>
      </c>
      <c r="E41" s="4">
        <f>SUM(F41:O41)</f>
        <v>20782757.166469093</v>
      </c>
      <c r="F41" s="4">
        <v>14318340.686611068</v>
      </c>
      <c r="G41" s="4">
        <v>2831088.2869521305</v>
      </c>
      <c r="H41" s="4">
        <v>1298668.2725596568</v>
      </c>
      <c r="I41" s="4">
        <v>270167.06792499265</v>
      </c>
      <c r="J41" s="4">
        <v>443982.2239362254</v>
      </c>
      <c r="K41" s="4">
        <v>93618.50859093417</v>
      </c>
      <c r="L41" s="4">
        <v>15140.429844326112</v>
      </c>
      <c r="M41" s="4">
        <v>7885.640543919848</v>
      </c>
      <c r="N41" s="4">
        <v>1495730.5228007953</v>
      </c>
      <c r="O41" s="4">
        <v>8135.5267050464045</v>
      </c>
    </row>
    <row r="42" spans="1:15" ht="12.75">
      <c r="A42" s="23">
        <f t="shared" si="1"/>
        <v>35</v>
      </c>
      <c r="B42" s="24"/>
      <c r="C42" s="24" t="s">
        <v>125</v>
      </c>
      <c r="D42" s="24">
        <f t="shared" si="4"/>
        <v>0</v>
      </c>
      <c r="E42" s="25">
        <f>SUM(F42:O42)</f>
        <v>19173251.178011812</v>
      </c>
      <c r="F42" s="25">
        <v>14301057.29808862</v>
      </c>
      <c r="G42" s="25">
        <v>2830935.826160579</v>
      </c>
      <c r="H42" s="25">
        <v>1298668.2725596568</v>
      </c>
      <c r="I42" s="25">
        <v>270167.06792499265</v>
      </c>
      <c r="J42" s="25">
        <v>415766.81058989343</v>
      </c>
      <c r="K42" s="25">
        <v>20160.38872497307</v>
      </c>
      <c r="L42" s="25">
        <v>15140.429844326112</v>
      </c>
      <c r="M42" s="25">
        <v>7885.640543919848</v>
      </c>
      <c r="N42" s="25">
        <v>5861.720509672827</v>
      </c>
      <c r="O42" s="25">
        <v>7607.723065180568</v>
      </c>
    </row>
    <row r="43" spans="1:15" ht="12.75">
      <c r="A43" s="11">
        <f t="shared" si="1"/>
        <v>36</v>
      </c>
      <c r="D43" s="3">
        <f t="shared" si="4"/>
        <v>0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1:15" ht="12.75">
      <c r="A44" s="11">
        <f t="shared" si="1"/>
        <v>37</v>
      </c>
      <c r="C44" s="3" t="s">
        <v>126</v>
      </c>
      <c r="D44" s="3">
        <f t="shared" si="4"/>
        <v>0</v>
      </c>
      <c r="E44" s="4">
        <f>SUM(F44:O44)</f>
        <v>26398291.99949975</v>
      </c>
      <c r="F44" s="4">
        <v>18629172.820252214</v>
      </c>
      <c r="G44" s="4">
        <v>3520931.2543346165</v>
      </c>
      <c r="H44" s="4">
        <v>1516613.0647455268</v>
      </c>
      <c r="I44" s="4">
        <v>322705.0470776805</v>
      </c>
      <c r="J44" s="4">
        <v>511398.6306952295</v>
      </c>
      <c r="K44" s="4">
        <v>139123.46630598162</v>
      </c>
      <c r="L44" s="4">
        <v>31180.59838434194</v>
      </c>
      <c r="M44" s="4">
        <v>14801.947088585874</v>
      </c>
      <c r="N44" s="4">
        <v>1701618.5016568075</v>
      </c>
      <c r="O44" s="4">
        <v>10746.668958761064</v>
      </c>
    </row>
    <row r="45" spans="1:15" ht="12.75">
      <c r="A45" s="11">
        <f t="shared" si="1"/>
        <v>38</v>
      </c>
      <c r="C45" s="3" t="s">
        <v>127</v>
      </c>
      <c r="D45" s="3">
        <f t="shared" si="4"/>
        <v>0</v>
      </c>
      <c r="E45" s="4">
        <f>SUM(F45:O45)</f>
        <v>4980249.900846624</v>
      </c>
      <c r="F45" s="4">
        <v>3873150.7413590224</v>
      </c>
      <c r="G45" s="4">
        <v>603302.5860472721</v>
      </c>
      <c r="H45" s="4">
        <v>178247.24970610178</v>
      </c>
      <c r="I45" s="4">
        <v>44279.54327479578</v>
      </c>
      <c r="J45" s="4">
        <v>53844.80917139872</v>
      </c>
      <c r="K45" s="4">
        <v>42643.237905448885</v>
      </c>
      <c r="L45" s="4">
        <v>15577.357620855968</v>
      </c>
      <c r="M45" s="4">
        <v>6675.259190936929</v>
      </c>
      <c r="N45" s="4">
        <v>160166.66016225572</v>
      </c>
      <c r="O45" s="4">
        <v>2362.456408535494</v>
      </c>
    </row>
    <row r="46" spans="1:15" ht="12.75">
      <c r="A46" s="11">
        <f t="shared" si="1"/>
        <v>39</v>
      </c>
      <c r="C46" s="3" t="s">
        <v>128</v>
      </c>
      <c r="D46" s="3">
        <f t="shared" si="4"/>
        <v>0</v>
      </c>
      <c r="E46" s="4">
        <f>SUM(F46:O46)</f>
        <v>21418042.098653123</v>
      </c>
      <c r="F46" s="4">
        <v>14756022.078893192</v>
      </c>
      <c r="G46" s="4">
        <v>2917628.6682873443</v>
      </c>
      <c r="H46" s="4">
        <v>1338365.815039425</v>
      </c>
      <c r="I46" s="4">
        <v>278425.5038028847</v>
      </c>
      <c r="J46" s="4">
        <v>457553.82152383076</v>
      </c>
      <c r="K46" s="4">
        <v>96480.22840053274</v>
      </c>
      <c r="L46" s="4">
        <v>15603.240763485974</v>
      </c>
      <c r="M46" s="4">
        <v>8126.687897648944</v>
      </c>
      <c r="N46" s="4">
        <v>1541451.8414945519</v>
      </c>
      <c r="O46" s="4">
        <v>8384.21255022557</v>
      </c>
    </row>
    <row r="47" spans="1:15" ht="12.75">
      <c r="A47" s="23">
        <f t="shared" si="1"/>
        <v>40</v>
      </c>
      <c r="B47" s="24"/>
      <c r="C47" s="24" t="s">
        <v>129</v>
      </c>
      <c r="D47" s="24">
        <f t="shared" si="4"/>
        <v>0</v>
      </c>
      <c r="E47" s="25">
        <f>+SUM(F47:O47)</f>
        <v>4637278.779995271</v>
      </c>
      <c r="F47" s="25">
        <v>3753731.891980502</v>
      </c>
      <c r="G47" s="25">
        <v>585376.3789135977</v>
      </c>
      <c r="H47" s="25">
        <v>172960.2215351817</v>
      </c>
      <c r="I47" s="25">
        <v>42966.158675171835</v>
      </c>
      <c r="J47" s="25">
        <v>48897.93232324115</v>
      </c>
      <c r="K47" s="25">
        <v>8910.678041684745</v>
      </c>
      <c r="L47" s="25">
        <v>15115.314426889412</v>
      </c>
      <c r="M47" s="25">
        <v>6477.262961267931</v>
      </c>
      <c r="N47" s="25">
        <v>609.0700802748435</v>
      </c>
      <c r="O47" s="25">
        <v>2233.8710574607094</v>
      </c>
    </row>
    <row r="48" spans="1:15" ht="12.75">
      <c r="A48" s="11">
        <f t="shared" si="1"/>
        <v>41</v>
      </c>
      <c r="D48" s="3">
        <f t="shared" si="4"/>
        <v>0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15" ht="12.75">
      <c r="A49" s="11">
        <f t="shared" si="1"/>
        <v>42</v>
      </c>
      <c r="C49" s="3" t="s">
        <v>130</v>
      </c>
      <c r="D49" s="3">
        <f t="shared" si="4"/>
        <v>0</v>
      </c>
      <c r="E49" s="4">
        <f>SUM(F49:O49)</f>
        <v>869783556.74591</v>
      </c>
      <c r="F49" s="4">
        <v>608648086.7426544</v>
      </c>
      <c r="G49" s="4">
        <v>116885446.21711929</v>
      </c>
      <c r="H49" s="4">
        <v>51520730.28408231</v>
      </c>
      <c r="I49" s="4">
        <v>10871276.917149685</v>
      </c>
      <c r="J49" s="4">
        <v>17462659.63157347</v>
      </c>
      <c r="K49" s="4">
        <v>4348214.967642523</v>
      </c>
      <c r="L49" s="4">
        <v>887993.8845021798</v>
      </c>
      <c r="M49" s="4">
        <v>431888.9092334085</v>
      </c>
      <c r="N49" s="4">
        <v>58377988.42382197</v>
      </c>
      <c r="O49" s="4">
        <v>349270.76813077874</v>
      </c>
    </row>
    <row r="50" spans="1:15" ht="12.75">
      <c r="A50" s="11">
        <f t="shared" si="1"/>
        <v>43</v>
      </c>
      <c r="C50" s="3" t="s">
        <v>131</v>
      </c>
      <c r="D50" s="3">
        <f t="shared" si="4"/>
        <v>0</v>
      </c>
      <c r="E50" s="4">
        <f>SUM(F50:O50)</f>
        <v>4190309.4579566773</v>
      </c>
      <c r="F50" s="4">
        <v>2919277.718905603</v>
      </c>
      <c r="G50" s="4">
        <v>565317.7074843987</v>
      </c>
      <c r="H50" s="4">
        <v>252111.2337326054</v>
      </c>
      <c r="I50" s="4">
        <v>52974.55723546731</v>
      </c>
      <c r="J50" s="4">
        <v>85671.31980117095</v>
      </c>
      <c r="K50" s="4">
        <v>20354.982147649083</v>
      </c>
      <c r="L50" s="4">
        <v>3927.3061732336896</v>
      </c>
      <c r="M50" s="4">
        <v>1940.220706839063</v>
      </c>
      <c r="N50" s="4">
        <v>287063.8685462194</v>
      </c>
      <c r="O50" s="4">
        <v>1670.5432234907196</v>
      </c>
    </row>
    <row r="51" spans="1:15" ht="12.75">
      <c r="A51" s="23">
        <f t="shared" si="1"/>
        <v>44</v>
      </c>
      <c r="B51" s="24"/>
      <c r="C51" s="24" t="s">
        <v>132</v>
      </c>
      <c r="D51" s="24">
        <f t="shared" si="4"/>
        <v>0</v>
      </c>
      <c r="E51" s="25">
        <f>+SUM(F51:O51)</f>
        <v>2287117.1656426056</v>
      </c>
      <c r="F51" s="25">
        <v>1672636.2940034135</v>
      </c>
      <c r="G51" s="25">
        <v>359863.69905585394</v>
      </c>
      <c r="H51" s="25">
        <v>163906.11113403554</v>
      </c>
      <c r="I51" s="25">
        <v>34180.96178798993</v>
      </c>
      <c r="J51" s="25">
        <v>52652.75111896111</v>
      </c>
      <c r="K51" s="25">
        <v>-1534.0399015977905</v>
      </c>
      <c r="L51" s="25">
        <v>2450.682377392098</v>
      </c>
      <c r="M51" s="25">
        <v>1225.9816289485718</v>
      </c>
      <c r="N51" s="25">
        <v>725.503529713651</v>
      </c>
      <c r="O51" s="25">
        <v>1009.2209078951464</v>
      </c>
    </row>
    <row r="52" spans="1:15" ht="12.75">
      <c r="A52" s="11">
        <f t="shared" si="1"/>
        <v>45</v>
      </c>
      <c r="D52" s="3">
        <f t="shared" si="4"/>
        <v>0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ht="12.75">
      <c r="A53" s="12">
        <f t="shared" si="1"/>
        <v>46</v>
      </c>
      <c r="B53" s="9"/>
      <c r="C53" s="9" t="s">
        <v>133</v>
      </c>
      <c r="D53" s="9">
        <f t="shared" si="4"/>
        <v>0</v>
      </c>
      <c r="E53" s="10">
        <f>SUM(E51,E47,E42,E39,E35)</f>
        <v>88556655.96786553</v>
      </c>
      <c r="F53" s="10">
        <f aca="true" t="shared" si="7" ref="F53:O53">SUM(F51,F47,F42,F39,F35)</f>
        <v>68075153.2907392</v>
      </c>
      <c r="G53" s="10">
        <f t="shared" si="7"/>
        <v>12400323.787178636</v>
      </c>
      <c r="H53" s="10">
        <f t="shared" si="7"/>
        <v>3596239.4003735464</v>
      </c>
      <c r="I53" s="10">
        <f t="shared" si="7"/>
        <v>839239.5708619076</v>
      </c>
      <c r="J53" s="10">
        <f t="shared" si="7"/>
        <v>1849316.011915577</v>
      </c>
      <c r="K53" s="10">
        <f t="shared" si="7"/>
        <v>828711.4496601401</v>
      </c>
      <c r="L53" s="10">
        <f t="shared" si="7"/>
        <v>365665.544593655</v>
      </c>
      <c r="M53" s="10">
        <f t="shared" si="7"/>
        <v>162864.20459747853</v>
      </c>
      <c r="N53" s="10">
        <f t="shared" si="7"/>
        <v>373778.2188827839</v>
      </c>
      <c r="O53" s="10">
        <f t="shared" si="7"/>
        <v>65364.48906261663</v>
      </c>
    </row>
    <row r="54" spans="1:15" ht="12.75">
      <c r="A54" s="11">
        <f t="shared" si="1"/>
        <v>47</v>
      </c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s="22" customFormat="1" ht="12.75">
      <c r="A55" s="11">
        <f t="shared" si="1"/>
        <v>48</v>
      </c>
      <c r="B55" s="3"/>
      <c r="C55" s="3" t="s">
        <v>134</v>
      </c>
      <c r="D55" s="3"/>
      <c r="E55" s="28">
        <f>SUM(F55:O55)</f>
        <v>12942060</v>
      </c>
      <c r="F55" s="28">
        <v>11433636</v>
      </c>
      <c r="G55" s="28">
        <v>1351380</v>
      </c>
      <c r="H55" s="28">
        <v>97272</v>
      </c>
      <c r="I55" s="28">
        <v>10104</v>
      </c>
      <c r="J55" s="28">
        <v>7968</v>
      </c>
      <c r="K55" s="28">
        <v>1164</v>
      </c>
      <c r="L55" s="28">
        <v>276</v>
      </c>
      <c r="M55" s="28">
        <v>204</v>
      </c>
      <c r="N55" s="28">
        <v>39912</v>
      </c>
      <c r="O55" s="28">
        <v>144</v>
      </c>
    </row>
    <row r="56" spans="1:15" ht="12.75">
      <c r="A56" s="11">
        <f t="shared" si="1"/>
        <v>49</v>
      </c>
      <c r="C56" s="3" t="s">
        <v>135</v>
      </c>
      <c r="E56" s="7">
        <v>0.06715</v>
      </c>
      <c r="F56" s="7">
        <v>0.06715</v>
      </c>
      <c r="G56" s="7">
        <v>0.06715</v>
      </c>
      <c r="H56" s="7">
        <v>0.06715</v>
      </c>
      <c r="I56" s="7">
        <v>0.06715</v>
      </c>
      <c r="J56" s="7">
        <v>0.06715</v>
      </c>
      <c r="K56" s="7">
        <v>0.06715</v>
      </c>
      <c r="L56" s="7">
        <v>0.06715</v>
      </c>
      <c r="M56" s="7">
        <v>0.06715</v>
      </c>
      <c r="N56" s="7">
        <v>0.06715</v>
      </c>
      <c r="O56" s="7">
        <v>0.06715</v>
      </c>
    </row>
    <row r="57" spans="1:15" ht="12.75">
      <c r="A57" s="11">
        <f t="shared" si="1"/>
        <v>50</v>
      </c>
      <c r="C57" s="3" t="s">
        <v>136</v>
      </c>
      <c r="E57" s="8">
        <v>0.620749</v>
      </c>
      <c r="F57" s="8">
        <v>0.620749</v>
      </c>
      <c r="G57" s="8">
        <v>0.620749</v>
      </c>
      <c r="H57" s="8">
        <v>0.620749</v>
      </c>
      <c r="I57" s="8">
        <v>0.620749</v>
      </c>
      <c r="J57" s="8">
        <v>0.620749</v>
      </c>
      <c r="K57" s="8">
        <v>0.620749</v>
      </c>
      <c r="L57" s="8">
        <v>0.620749</v>
      </c>
      <c r="M57" s="8">
        <v>0.620749</v>
      </c>
      <c r="N57" s="8">
        <v>0.620749</v>
      </c>
      <c r="O57" s="8">
        <v>0.620749</v>
      </c>
    </row>
    <row r="58" spans="1:15" ht="12.75">
      <c r="A58" s="11">
        <f t="shared" si="1"/>
        <v>51</v>
      </c>
      <c r="C58" s="3" t="s">
        <v>137</v>
      </c>
      <c r="E58" s="29">
        <v>0.65</v>
      </c>
      <c r="F58" s="29">
        <v>0.65</v>
      </c>
      <c r="G58" s="29">
        <v>0.65</v>
      </c>
      <c r="H58" s="29">
        <v>0.65</v>
      </c>
      <c r="I58" s="29">
        <v>0.65</v>
      </c>
      <c r="J58" s="29">
        <v>0.65</v>
      </c>
      <c r="K58" s="29">
        <v>0.65</v>
      </c>
      <c r="L58" s="29">
        <v>0.65</v>
      </c>
      <c r="M58" s="29">
        <v>0.65</v>
      </c>
      <c r="N58" s="29">
        <v>0.65</v>
      </c>
      <c r="O58" s="29">
        <v>0.65</v>
      </c>
    </row>
    <row r="59" spans="1:15" ht="12.75">
      <c r="A59" s="11">
        <f t="shared" si="1"/>
        <v>52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2.75">
      <c r="A60" s="30">
        <f t="shared" si="1"/>
        <v>53</v>
      </c>
      <c r="B60" s="1"/>
      <c r="C60" s="1" t="s">
        <v>138</v>
      </c>
      <c r="D60" s="1"/>
      <c r="E60" s="31">
        <f>+(E24*E56)/E57/E55</f>
        <v>3.9722634875039113</v>
      </c>
      <c r="F60" s="31">
        <f>+($F$24*$F$56)/$F$57/$F$55</f>
        <v>3.299422952245288</v>
      </c>
      <c r="G60" s="31">
        <f aca="true" t="shared" si="8" ref="G60:O60">+(G24*G56)/G57/G55</f>
        <v>5.9560507688847535</v>
      </c>
      <c r="H60" s="31">
        <f t="shared" si="8"/>
        <v>37.25007074316458</v>
      </c>
      <c r="I60" s="31">
        <f t="shared" si="8"/>
        <v>75.09899972626152</v>
      </c>
      <c r="J60" s="31">
        <f t="shared" si="8"/>
        <v>145.70309363811842</v>
      </c>
      <c r="K60" s="31">
        <f t="shared" si="8"/>
        <v>-30.45467330220031</v>
      </c>
      <c r="L60" s="31">
        <f t="shared" si="8"/>
        <v>217.18166025466232</v>
      </c>
      <c r="M60" s="31">
        <f t="shared" si="8"/>
        <v>144.70670641817551</v>
      </c>
      <c r="N60" s="31">
        <f t="shared" si="8"/>
        <v>0.39988638698762996</v>
      </c>
      <c r="O60" s="31">
        <f t="shared" si="8"/>
        <v>158.74097393280059</v>
      </c>
    </row>
    <row r="61" spans="1:15" ht="12.75">
      <c r="A61" s="30">
        <f t="shared" si="1"/>
        <v>54</v>
      </c>
      <c r="B61" s="1"/>
      <c r="C61" s="1" t="s">
        <v>139</v>
      </c>
      <c r="D61" s="1"/>
      <c r="E61" s="31">
        <f>+E53*E58/E57/E55</f>
        <v>7.164982396317249</v>
      </c>
      <c r="F61" s="31">
        <f aca="true" t="shared" si="9" ref="F61:O61">+F53*F58/F57/F55</f>
        <v>6.234499494353113</v>
      </c>
      <c r="G61" s="31">
        <f t="shared" si="9"/>
        <v>9.608439636200549</v>
      </c>
      <c r="H61" s="31">
        <f t="shared" si="9"/>
        <v>38.71311141512062</v>
      </c>
      <c r="I61" s="31">
        <f t="shared" si="9"/>
        <v>86.97410002371575</v>
      </c>
      <c r="J61" s="31">
        <f t="shared" si="9"/>
        <v>243.0295778775193</v>
      </c>
      <c r="K61" s="31">
        <f t="shared" si="9"/>
        <v>745.5000671800813</v>
      </c>
      <c r="L61" s="31">
        <f t="shared" si="9"/>
        <v>1387.3060689929248</v>
      </c>
      <c r="M61" s="31">
        <f>+M53*M58/M57/M55</f>
        <v>835.9740630567854</v>
      </c>
      <c r="N61" s="31">
        <f t="shared" si="9"/>
        <v>9.806359882407634</v>
      </c>
      <c r="O61" s="31">
        <f t="shared" si="9"/>
        <v>475.3097321262612</v>
      </c>
    </row>
    <row r="62" spans="1:15" ht="13.5" thickBot="1">
      <c r="A62" s="13">
        <f t="shared" si="1"/>
        <v>55</v>
      </c>
      <c r="B62" s="5"/>
      <c r="C62" s="5" t="s">
        <v>140</v>
      </c>
      <c r="D62" s="5"/>
      <c r="E62" s="32">
        <f>SUM(E60:E61)</f>
        <v>11.13724588382116</v>
      </c>
      <c r="F62" s="32">
        <f aca="true" t="shared" si="10" ref="F62:O62">SUM(F60:F61)</f>
        <v>9.5339224465984</v>
      </c>
      <c r="G62" s="32">
        <f t="shared" si="10"/>
        <v>15.564490405085301</v>
      </c>
      <c r="H62" s="32">
        <f t="shared" si="10"/>
        <v>75.9631821582852</v>
      </c>
      <c r="I62" s="32">
        <f t="shared" si="10"/>
        <v>162.07309974997727</v>
      </c>
      <c r="J62" s="32">
        <f t="shared" si="10"/>
        <v>388.7326715156377</v>
      </c>
      <c r="K62" s="32">
        <f t="shared" si="10"/>
        <v>715.045393877881</v>
      </c>
      <c r="L62" s="32">
        <f t="shared" si="10"/>
        <v>1604.4877292475871</v>
      </c>
      <c r="M62" s="32">
        <f t="shared" si="10"/>
        <v>980.6807694749609</v>
      </c>
      <c r="N62" s="32">
        <f t="shared" si="10"/>
        <v>10.206246269395264</v>
      </c>
      <c r="O62" s="32">
        <f t="shared" si="10"/>
        <v>634.0507060590618</v>
      </c>
    </row>
    <row r="63" ht="13.5" thickTop="1"/>
  </sheetData>
  <sheetProtection/>
  <mergeCells count="4">
    <mergeCell ref="A1:O1"/>
    <mergeCell ref="A2:O2"/>
    <mergeCell ref="A3:O3"/>
    <mergeCell ref="A4:O4"/>
  </mergeCells>
  <printOptions horizontalCentered="1"/>
  <pageMargins left="0.25" right="0.25" top="1" bottom="0.72" header="0.5" footer="0.46"/>
  <pageSetup fitToHeight="7" horizontalDpi="600" verticalDpi="600" orientation="landscape" pageOrder="overThenDown" scale="55" r:id="rId1"/>
  <headerFooter alignWithMargins="0">
    <oddHeader>&amp;CPuget Sound Energy
ELECTRIC COST OF SERVICE
Customer Charge Detail
Adjusted Test Year Twelve Months ended December 2010 @ Proforma Rev Requirement&amp;RDocket No. UE-111048
ECOS Model
Page &amp;P of &amp;N
Compliance Filing, Advice No. 2012-10</oddHeader>
    <oddFooter>&amp;RCOS Reports
&amp;A
Page 15 of 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PageLayoutView="0" workbookViewId="0" topLeftCell="A1">
      <selection activeCell="E287" sqref="E287"/>
    </sheetView>
  </sheetViews>
  <sheetFormatPr defaultColWidth="5.8515625" defaultRowHeight="12.75"/>
  <cols>
    <col min="1" max="1" width="8.57421875" style="3" bestFit="1" customWidth="1"/>
    <col min="2" max="2" width="33.8515625" style="3" bestFit="1" customWidth="1"/>
    <col min="3" max="3" width="18.28125" style="3" bestFit="1" customWidth="1"/>
    <col min="4" max="4" width="10.00390625" style="3" bestFit="1" customWidth="1"/>
    <col min="5" max="5" width="17.7109375" style="3" bestFit="1" customWidth="1"/>
    <col min="6" max="6" width="5.8515625" style="3" customWidth="1"/>
    <col min="7" max="7" width="15.57421875" style="3" bestFit="1" customWidth="1"/>
    <col min="8" max="8" width="9.8515625" style="3" bestFit="1" customWidth="1"/>
    <col min="9" max="9" width="15.00390625" style="3" bestFit="1" customWidth="1"/>
    <col min="10" max="16384" width="5.8515625" style="3" customWidth="1"/>
  </cols>
  <sheetData>
    <row r="1" ht="12.75">
      <c r="A1" s="1" t="str">
        <f>+'Ratebase Summary'!B1</f>
        <v>ELECTRIC ACCOUNT ALLOCATION</v>
      </c>
    </row>
    <row r="2" ht="12.75">
      <c r="A2" s="1" t="str">
        <f>+'Ratebase Summary'!B2</f>
        <v>Adjusted Test Year Twelve Months ended December 2010 @ Proforma Rev Requirement</v>
      </c>
    </row>
    <row r="3" ht="12.75">
      <c r="A3" s="1" t="s">
        <v>141</v>
      </c>
    </row>
    <row r="4" s="22" customFormat="1" ht="12.75">
      <c r="A4" s="3"/>
    </row>
    <row r="5" spans="2:9" s="22" customFormat="1" ht="26.25" customHeight="1">
      <c r="B5" s="3"/>
      <c r="C5" s="90"/>
      <c r="D5" s="90"/>
      <c r="E5" s="90"/>
      <c r="G5" s="90"/>
      <c r="H5" s="90"/>
      <c r="I5" s="90"/>
    </row>
    <row r="6" spans="1:9" s="1" customFormat="1" ht="12.75">
      <c r="A6" s="24" t="s">
        <v>142</v>
      </c>
      <c r="B6" s="24"/>
      <c r="C6" s="23"/>
      <c r="D6" s="91" t="s">
        <v>143</v>
      </c>
      <c r="E6" s="91"/>
      <c r="H6" s="88"/>
      <c r="I6" s="88"/>
    </row>
    <row r="7" spans="1:9" s="35" customFormat="1" ht="12.75">
      <c r="A7" s="33" t="s">
        <v>144</v>
      </c>
      <c r="B7" s="33" t="s">
        <v>93</v>
      </c>
      <c r="C7" s="34" t="s">
        <v>66</v>
      </c>
      <c r="D7" s="34" t="s">
        <v>145</v>
      </c>
      <c r="E7" s="34" t="s">
        <v>146</v>
      </c>
      <c r="G7" s="1"/>
      <c r="H7" s="1"/>
      <c r="I7" s="1"/>
    </row>
    <row r="8" spans="2:5" s="1" customFormat="1" ht="12.75">
      <c r="B8" s="1" t="s">
        <v>15</v>
      </c>
      <c r="C8" s="1" t="s">
        <v>16</v>
      </c>
      <c r="D8" s="1" t="s">
        <v>17</v>
      </c>
      <c r="E8" s="1" t="s">
        <v>18</v>
      </c>
    </row>
    <row r="9" spans="1:2" ht="12.75">
      <c r="A9" s="11">
        <v>1</v>
      </c>
      <c r="B9" s="1" t="s">
        <v>147</v>
      </c>
    </row>
    <row r="10" spans="1:5" ht="12.75">
      <c r="A10" s="11">
        <f aca="true" t="shared" si="0" ref="A10:A33">+A9+1</f>
        <v>2</v>
      </c>
      <c r="B10" s="3" t="s">
        <v>148</v>
      </c>
      <c r="C10" s="4">
        <f>SUM('Ratebase Summary'!E55)</f>
        <v>3456399344.4841638</v>
      </c>
      <c r="D10" s="36">
        <f>+E10/$C10</f>
        <v>0.35539357665594773</v>
      </c>
      <c r="E10" s="4">
        <f>SUM('Ratebase Summary'!E41:E45)</f>
        <v>1228382125.3875</v>
      </c>
    </row>
    <row r="11" spans="1:5" ht="12.75">
      <c r="A11" s="11">
        <f t="shared" si="0"/>
        <v>3</v>
      </c>
      <c r="B11" s="3" t="s">
        <v>149</v>
      </c>
      <c r="C11" s="4">
        <f>SUM('Ratebase Summary'!E117)</f>
        <v>-1214971006.0649974</v>
      </c>
      <c r="D11" s="36">
        <f>+E11/$C11</f>
        <v>0.3504642334719802</v>
      </c>
      <c r="E11" s="4">
        <f>SUM('Ratebase Summary'!E106:E110)</f>
        <v>-425803882.33124995</v>
      </c>
    </row>
    <row r="12" spans="1:5" ht="12.75">
      <c r="A12" s="11">
        <f t="shared" si="0"/>
        <v>4</v>
      </c>
      <c r="B12" s="3" t="s">
        <v>150</v>
      </c>
      <c r="C12" s="4">
        <f>+C14-C10-C11</f>
        <v>-152789274.89141822</v>
      </c>
      <c r="D12" s="36">
        <f>SUM(E10:E11)/SUM(C10:C11)</f>
        <v>0.358065537630479</v>
      </c>
      <c r="E12" s="4">
        <f>+C12*D12</f>
        <v>-54708573.85816671</v>
      </c>
    </row>
    <row r="13" spans="1:5" ht="12.75">
      <c r="A13" s="11">
        <f t="shared" si="0"/>
        <v>5</v>
      </c>
      <c r="B13" s="3" t="s">
        <v>151</v>
      </c>
      <c r="C13" s="4">
        <v>0</v>
      </c>
      <c r="D13" s="36">
        <f>+D12</f>
        <v>0.358065537630479</v>
      </c>
      <c r="E13" s="4">
        <f>+C13*D13</f>
        <v>0</v>
      </c>
    </row>
    <row r="14" spans="1:5" ht="12.75">
      <c r="A14" s="23">
        <f t="shared" si="0"/>
        <v>6</v>
      </c>
      <c r="B14" s="24" t="s">
        <v>152</v>
      </c>
      <c r="C14" s="25">
        <f>+#REF!</f>
        <v>2088639063.527748</v>
      </c>
      <c r="D14" s="37"/>
      <c r="E14" s="25">
        <f>SUM(E10:E13)</f>
        <v>747869669.1980834</v>
      </c>
    </row>
    <row r="15" spans="1:9" ht="12.75">
      <c r="A15" s="11">
        <f t="shared" si="0"/>
        <v>7</v>
      </c>
      <c r="C15" s="4"/>
      <c r="D15" s="36"/>
      <c r="E15" s="38"/>
      <c r="H15" s="22"/>
      <c r="I15" s="22"/>
    </row>
    <row r="16" spans="1:5" ht="12.75">
      <c r="A16" s="11">
        <f t="shared" si="0"/>
        <v>8</v>
      </c>
      <c r="B16" s="3" t="s">
        <v>153</v>
      </c>
      <c r="C16" s="39">
        <v>0.078</v>
      </c>
      <c r="D16" s="39"/>
      <c r="E16" s="39">
        <f>+C16</f>
        <v>0.078</v>
      </c>
    </row>
    <row r="17" spans="1:5" ht="12.75">
      <c r="A17" s="12">
        <f t="shared" si="0"/>
        <v>9</v>
      </c>
      <c r="B17" s="9" t="s">
        <v>154</v>
      </c>
      <c r="C17" s="10">
        <f>+C16*C14</f>
        <v>162913846.95516434</v>
      </c>
      <c r="D17" s="40"/>
      <c r="E17" s="10">
        <f>+E16*E14</f>
        <v>58333834.1974505</v>
      </c>
    </row>
    <row r="18" spans="1:9" ht="12.75">
      <c r="A18" s="11">
        <f t="shared" si="0"/>
        <v>10</v>
      </c>
      <c r="C18" s="4"/>
      <c r="D18" s="36"/>
      <c r="E18" s="4"/>
      <c r="G18" s="22"/>
      <c r="H18" s="22"/>
      <c r="I18" s="22"/>
    </row>
    <row r="19" spans="1:8" ht="12.75">
      <c r="A19" s="11">
        <f t="shared" si="0"/>
        <v>11</v>
      </c>
      <c r="B19" s="1" t="s">
        <v>155</v>
      </c>
      <c r="C19" s="4"/>
      <c r="D19" s="36"/>
      <c r="E19" s="4"/>
      <c r="G19" s="22"/>
      <c r="H19" s="22"/>
    </row>
    <row r="20" spans="1:8" ht="12.75">
      <c r="A20" s="11">
        <f t="shared" si="0"/>
        <v>12</v>
      </c>
      <c r="B20" s="3" t="s">
        <v>156</v>
      </c>
      <c r="C20" s="4">
        <v>406369391.20651</v>
      </c>
      <c r="D20" s="36"/>
      <c r="E20" s="4"/>
      <c r="H20" s="22"/>
    </row>
    <row r="21" spans="1:8" ht="12.75">
      <c r="A21" s="11">
        <f t="shared" si="0"/>
        <v>13</v>
      </c>
      <c r="B21" s="3" t="s">
        <v>157</v>
      </c>
      <c r="C21" s="4"/>
      <c r="D21" s="36"/>
      <c r="E21" s="4"/>
      <c r="H21" s="22"/>
    </row>
    <row r="22" spans="1:8" ht="12.75">
      <c r="A22" s="11">
        <f t="shared" si="0"/>
        <v>14</v>
      </c>
      <c r="B22" s="3" t="s">
        <v>158</v>
      </c>
      <c r="C22" s="4">
        <v>-94050635</v>
      </c>
      <c r="D22" s="36"/>
      <c r="E22" s="4"/>
      <c r="H22" s="22"/>
    </row>
    <row r="23" spans="1:8" ht="12.75">
      <c r="A23" s="11">
        <f t="shared" si="0"/>
        <v>15</v>
      </c>
      <c r="B23" s="3" t="s">
        <v>159</v>
      </c>
      <c r="C23" s="4">
        <v>-18137714.86212558</v>
      </c>
      <c r="D23" s="36"/>
      <c r="E23" s="4"/>
      <c r="H23" s="22"/>
    </row>
    <row r="24" spans="1:8" ht="12.75">
      <c r="A24" s="11">
        <f t="shared" si="0"/>
        <v>16</v>
      </c>
      <c r="B24" s="3" t="s">
        <v>72</v>
      </c>
      <c r="C24" s="4">
        <v>-46925162.9052885</v>
      </c>
      <c r="D24" s="36"/>
      <c r="E24" s="4"/>
      <c r="H24" s="22"/>
    </row>
    <row r="25" spans="1:8" ht="12.75">
      <c r="A25" s="41">
        <f t="shared" si="0"/>
        <v>17</v>
      </c>
      <c r="B25" s="42" t="s">
        <v>160</v>
      </c>
      <c r="C25" s="43">
        <f>SUM(C20:C24)</f>
        <v>247255878.4390959</v>
      </c>
      <c r="D25" s="36"/>
      <c r="E25" s="4"/>
      <c r="H25" s="22"/>
    </row>
    <row r="26" spans="1:8" ht="12.75">
      <c r="A26" s="11">
        <f t="shared" si="0"/>
        <v>18</v>
      </c>
      <c r="C26" s="4"/>
      <c r="D26" s="36"/>
      <c r="E26" s="4"/>
      <c r="H26" s="22"/>
    </row>
    <row r="27" spans="1:5" ht="12.75">
      <c r="A27" s="11">
        <f t="shared" si="0"/>
        <v>19</v>
      </c>
      <c r="B27" s="3" t="s">
        <v>161</v>
      </c>
      <c r="C27" s="4">
        <f>SUM('Expense Summary'!E85:E90,'Expense Summary'!E38:E47)</f>
        <v>81556922</v>
      </c>
      <c r="D27" s="36">
        <f>+E27/$C27</f>
        <v>0.1781856357943474</v>
      </c>
      <c r="E27" s="4">
        <f>SUM('Expense Summary'!E41,'Expense Summary'!E87)</f>
        <v>14532272</v>
      </c>
    </row>
    <row r="28" spans="1:5" ht="12.75">
      <c r="A28" s="11">
        <f t="shared" si="0"/>
        <v>20</v>
      </c>
      <c r="B28" s="3" t="s">
        <v>162</v>
      </c>
      <c r="C28" s="4">
        <f>+C29-C27</f>
        <v>84142034.43909591</v>
      </c>
      <c r="D28" s="36">
        <f>+D27</f>
        <v>0.1781856357943474</v>
      </c>
      <c r="E28" s="4">
        <f>+C28*D28</f>
        <v>14992901.90356018</v>
      </c>
    </row>
    <row r="29" spans="1:8" ht="12.75">
      <c r="A29" s="12">
        <f t="shared" si="0"/>
        <v>21</v>
      </c>
      <c r="B29" s="9" t="s">
        <v>156</v>
      </c>
      <c r="C29" s="10">
        <f>+C25-C27</f>
        <v>165698956.4390959</v>
      </c>
      <c r="D29" s="40"/>
      <c r="E29" s="10">
        <f>SUM(E27:E28)</f>
        <v>29525173.90356018</v>
      </c>
      <c r="H29" s="22"/>
    </row>
    <row r="30" spans="1:8" ht="12.75">
      <c r="A30" s="11">
        <f t="shared" si="0"/>
        <v>22</v>
      </c>
      <c r="C30" s="4"/>
      <c r="D30" s="36"/>
      <c r="E30" s="4"/>
      <c r="H30" s="22"/>
    </row>
    <row r="31" spans="1:8" ht="12.75">
      <c r="A31" s="12">
        <f t="shared" si="0"/>
        <v>23</v>
      </c>
      <c r="B31" s="9" t="s">
        <v>163</v>
      </c>
      <c r="C31" s="10">
        <f>+C29+C17</f>
        <v>328612803.3942603</v>
      </c>
      <c r="D31" s="40"/>
      <c r="E31" s="10">
        <f>+E29+E17</f>
        <v>87859008.10101068</v>
      </c>
      <c r="H31" s="22"/>
    </row>
    <row r="32" spans="1:9" ht="12.75">
      <c r="A32" s="11">
        <f t="shared" si="0"/>
        <v>24</v>
      </c>
      <c r="C32" s="4"/>
      <c r="D32" s="36"/>
      <c r="E32" s="4"/>
      <c r="G32" s="22"/>
      <c r="H32" s="22"/>
      <c r="I32" s="22"/>
    </row>
    <row r="33" spans="1:8" ht="13.5" thickBot="1">
      <c r="A33" s="13">
        <f t="shared" si="0"/>
        <v>25</v>
      </c>
      <c r="B33" s="5" t="s">
        <v>164</v>
      </c>
      <c r="C33" s="44">
        <f>+C29/SUM(C14)</f>
        <v>0.07933345657110687</v>
      </c>
      <c r="D33" s="44"/>
      <c r="E33" s="44">
        <f>ROUND(+E29/SUM(E14),4)</f>
        <v>0.0395</v>
      </c>
      <c r="H33" s="22"/>
    </row>
    <row r="34" spans="7:9" ht="13.5" thickTop="1">
      <c r="G34" s="22"/>
      <c r="H34" s="22"/>
      <c r="I34" s="22"/>
    </row>
    <row r="35" spans="7:9" ht="12.75">
      <c r="G35" s="22"/>
      <c r="H35" s="22"/>
      <c r="I35" s="22"/>
    </row>
  </sheetData>
  <sheetProtection/>
  <mergeCells count="4">
    <mergeCell ref="C5:E5"/>
    <mergeCell ref="G5:I5"/>
    <mergeCell ref="D6:E6"/>
    <mergeCell ref="H6:I6"/>
  </mergeCells>
  <printOptions horizontalCentered="1"/>
  <pageMargins left="0.25" right="0.25" top="1" bottom="0.72" header="0.5" footer="0.46"/>
  <pageSetup fitToHeight="4" horizontalDpi="600" verticalDpi="600" orientation="landscape" pageOrder="overThenDown" scale="75" r:id="rId1"/>
  <headerFooter alignWithMargins="0">
    <oddHeader>&amp;CPuget Sound Energy
ELECTRIC COST OF SERVICE
Schedule 40 Feeder Overhead
Adjusted Test Year Twelve Months ended December 2010 @ Proforma Rev Requirement&amp;RDocket No. UE-111048
ECOS Model
Page &amp;P of &amp;N
Compliance Filing, Advice No. 2012-10</oddHeader>
    <oddFooter>&amp;RCOS Reports
&amp;A
Page 16 of 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Rasanen</dc:creator>
  <cp:keywords/>
  <dc:description/>
  <cp:lastModifiedBy>jwalta</cp:lastModifiedBy>
  <cp:lastPrinted>2012-05-09T15:53:34Z</cp:lastPrinted>
  <dcterms:created xsi:type="dcterms:W3CDTF">2012-05-08T18:31:09Z</dcterms:created>
  <dcterms:modified xsi:type="dcterms:W3CDTF">2012-05-09T22:33:13Z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2012-05-09T00:00:00Z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