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rk_BkUp\20_pac\P35 - UE-230172 PPL WA GRC\dir\exh\"/>
    </mc:Choice>
  </mc:AlternateContent>
  <xr:revisionPtr revIDLastSave="0" documentId="13_ncr:1_{662B8711-47C7-4007-806E-A1F6CCD849C5}" xr6:coauthVersionLast="47" xr6:coauthVersionMax="47" xr10:uidLastSave="{00000000-0000-0000-0000-000000000000}"/>
  <bookViews>
    <workbookView xWindow="1125" yWindow="1125" windowWidth="21600" windowHeight="11100" tabRatio="716" activeTab="1" autoFilterDateGrouping="0" xr2:uid="{00000000-000D-0000-FFFF-FFFF00000000}"/>
  </bookViews>
  <sheets>
    <sheet name="Exh. BGM-4 (Consolidated)" sheetId="23" r:id="rId1"/>
    <sheet name="Exh. BGM-4 (Detail)" sheetId="21" r:id="rId2"/>
    <sheet name="A2 (NTO)" sheetId="22" r:id="rId3"/>
  </sheets>
  <externalReferences>
    <externalReference r:id="rId4"/>
    <externalReference r:id="rId5"/>
    <externalReference r:id="rId6"/>
    <externalReference r:id="rId7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_Jun09">" BS!$AI$7:$AI$1643"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localSheetId="2" hidden="1">{"annual",#N/A,FALSE,"Pro Forma";#N/A,#N/A,FALSE,"Golf Operations"}</definedName>
    <definedName name="_cd1" hidden="1">{"annual",#N/A,FALSE,"Pro Forma";#N/A,#N/A,FALSE,"Golf Operations"}</definedName>
    <definedName name="_Dist_Values" localSheetId="2" hidden="1">#REF!</definedName>
    <definedName name="_Dist_Values" hidden="1">#REF!</definedName>
    <definedName name="_Fill" localSheetId="2" hidden="1">#REF!</definedName>
    <definedName name="_Fill" hidden="1">#REF!</definedName>
    <definedName name="_xlnm._FilterDatabase" localSheetId="2" hidden="1">#REF!</definedName>
    <definedName name="_xlnm._FilterDatabase" hidden="1">#REF!</definedName>
    <definedName name="_gr1" localSheetId="2" hidden="1">{"three",#N/A,FALSE,"Capital";"four",#N/A,FALSE,"Capital"}</definedName>
    <definedName name="_gr1" hidden="1">{"three",#N/A,FALSE,"Capital";"four",#N/A,FALSE,"Capital"}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2" hidden="1">#REF!</definedName>
    <definedName name="_Key2" hidden="1">#REF!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Sort" localSheetId="2" hidden="1">#REF!</definedName>
    <definedName name="_Sort" hidden="1">#REF!</definedName>
    <definedName name="_Table2_Out" localSheetId="2" hidden="1">#REF!</definedName>
    <definedName name="_Table2_Out" hidden="1">#REF!</definedName>
    <definedName name="_wr1" localSheetId="2" hidden="1">{"Output-3Column",#N/A,FALSE,"Output"}</definedName>
    <definedName name="_wr1" hidden="1">{"Output-3Column",#N/A,FALSE,"Output"}</definedName>
    <definedName name="_wrn1" localSheetId="2" hidden="1">{"Inflation-BaseYear",#N/A,FALSE,"Inputs"}</definedName>
    <definedName name="_wrn1" hidden="1">{"Inflation-BaseYear",#N/A,FALSE,"Inputs"}</definedName>
    <definedName name="a" localSheetId="2" hidden="1">{"Print_Detail",#N/A,FALSE,"Redemption_Maturity Extract"}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localSheetId="2" hidden="1">#REF!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localSheetId="2" hidden="1">#REF!</definedName>
    <definedName name="ACwvu.cash._.flow." hidden="1">#REF!</definedName>
    <definedName name="ACwvu.combo." hidden="1">#REF!</definedName>
    <definedName name="ACwvu.full." localSheetId="2" hidden="1">#REF!</definedName>
    <definedName name="ACwvu.full." hidden="1">#REF!</definedName>
    <definedName name="ACwvu.offsite." localSheetId="2" hidden="1">#REF!</definedName>
    <definedName name="ACwvu.offsite." hidden="1">#REF!</definedName>
    <definedName name="ACwvu.onsite." localSheetId="2" hidden="1">#REF!</definedName>
    <definedName name="ACwvu.onsite." hidden="1">#REF!</definedName>
    <definedName name="anscount" hidden="1">2</definedName>
    <definedName name="AS2DocOpenMode">"AS2DocumentEdit"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localSheetId="2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i" localSheetId="2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NE_MESSAGES_HIDDEN" localSheetId="2" hidden="1">#REF!</definedName>
    <definedName name="BNE_MESSAGES_HIDDEN" hidden="1">#REF!</definedName>
    <definedName name="Button_1">"TradeSummary_Ken_Finicle_List"</definedName>
    <definedName name="CASE" localSheetId="0">#REF!</definedName>
    <definedName name="CASE" localSheetId="1">#REF!</definedName>
    <definedName name="CASE">#REF!</definedName>
    <definedName name="CASE_E" localSheetId="0">#REF!</definedName>
    <definedName name="CASE_E" localSheetId="1">#REF!</definedName>
    <definedName name="CASE_E">#REF!</definedName>
    <definedName name="CASE_GAS">#REF!</definedName>
    <definedName name="CBWorkbookPriority">-2060790043</definedName>
    <definedName name="cd" localSheetId="2" hidden="1">{"annual",#N/A,FALSE,"Pro Forma";#N/A,#N/A,FALSE,"Golf Operations"}</definedName>
    <definedName name="cd" hidden="1">{"annual",#N/A,FALSE,"Pro Forma";#N/A,#N/A,FALSE,"Golf Operations"}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 localSheetId="0">#REF!</definedName>
    <definedName name="Comp" localSheetId="1">#REF!</definedName>
    <definedName name="Comp">#REF!</definedName>
    <definedName name="Comp_E" localSheetId="0">#REF!</definedName>
    <definedName name="Comp_E" localSheetId="1">#REF!</definedName>
    <definedName name="Comp_E">#REF!</definedName>
    <definedName name="Comp_GAS">#REF!</definedName>
    <definedName name="Company">#REF!</definedName>
    <definedName name="Cost_Debt">#REF!</definedName>
    <definedName name="Cost_equity">#REF!</definedName>
    <definedName name="Cost_pref">#REF!</definedName>
    <definedName name="Cwvu.annual." localSheetId="2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2" hidden="1">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localSheetId="2" hidden="1">#REF!,#REF!,#REF!,#REF!,#REF!,#REF!,#REF!,#REF!,#REF!,#REF!,#REF!,#REF!,#REF!,#REF!,#REF!,#REF!,#REF!,#REF!,#REF!,#REF!,#REF!,#REF!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localSheetId="2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2" hidden="1">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localSheetId="2" hidden="1">#REF!</definedName>
    <definedName name="Cwvu.GREY_ALL." hidden="1">#REF!</definedName>
    <definedName name="dd" localSheetId="2" hidden="1">{"Print_Detail",#N/A,FALSE,"Redemption_Maturity Extract"}</definedName>
    <definedName name="dd" hidden="1">{"Print_Detail",#N/A,FALSE,"Redemption_Maturity Extract"}</definedName>
    <definedName name="ddd" localSheetId="2" hidden="1">{"Full",#N/A,FALSE,"Sec MTN B Summary"}</definedName>
    <definedName name="ddd" hidden="1">{"Full",#N/A,FALSE,"Sec MTN B Summary"}</definedName>
    <definedName name="dddd" localSheetId="2" hidden="1">{"RedPrem_InitRed View",#N/A,FALSE,"Sec MTN B Summary"}</definedName>
    <definedName name="dddd" hidden="1">{"RedPrem_InitRed View",#N/A,FALSE,"Sec MTN B Summary"}</definedName>
    <definedName name="dddddd" localSheetId="2" hidden="1">{"Pivot1",#N/A,FALSE,"Redemption_Maturity Extract"}</definedName>
    <definedName name="dddddd" hidden="1">{"Pivot1",#N/A,FALSE,"Redemption_Maturity Extract"}</definedName>
    <definedName name="dddddddd" localSheetId="2" hidden="1">{"Pivot2",#N/A,FALSE,"Redemption_Maturity Extract"}</definedName>
    <definedName name="dddddddd" hidden="1">{"Pivot2",#N/A,FALSE,"Redemption_Maturity Extract"}</definedName>
    <definedName name="DOCKETNUMBER" localSheetId="0">#REF!</definedName>
    <definedName name="DOCKETNUMBER" localSheetId="1">#REF!</definedName>
    <definedName name="DOCKETNUMBER">#REF!</definedName>
    <definedName name="DOCKETNUMBER_E" localSheetId="0">#REF!</definedName>
    <definedName name="DOCKETNUMBER_E" localSheetId="1">#REF!</definedName>
    <definedName name="DOCKETNUMBER_E">#REF!</definedName>
    <definedName name="DOCKETNUMBER_GAS">#REF!</definedName>
    <definedName name="DUDE" localSheetId="2" hidden="1">#REF!</definedName>
    <definedName name="DUDE" hidden="1">#REF!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localSheetId="2" hidden="1">{"ALL",#N/A,FALSE,"A"}</definedName>
    <definedName name="fffff" hidden="1">{"ALL",#N/A,FALSE,"A"}</definedName>
    <definedName name="first_day">#REF!</definedName>
    <definedName name="FIT" localSheetId="0">#REF!</definedName>
    <definedName name="FIT" localSheetId="1">#REF!</definedName>
    <definedName name="FIT">#REF!</definedName>
    <definedName name="FIT_E" localSheetId="0">#REF!</definedName>
    <definedName name="FIT_E" localSheetId="1">#REF!</definedName>
    <definedName name="FIT_E">#REF!</definedName>
    <definedName name="FIT_GAS">#REF!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2" hidden="1">{"ALL",#N/A,FALSE,"A"}</definedName>
    <definedName name="fsdfsad" hidden="1">{"ALL",#N/A,FALSE,"A"}</definedName>
    <definedName name="gr" localSheetId="2" hidden="1">{"three",#N/A,FALSE,"Capital";"four",#N/A,FALSE,"Capital"}</definedName>
    <definedName name="gr" hidden="1">{"three",#N/A,FALSE,"Capital";"four",#N/A,FALSE,"Capital"}</definedName>
    <definedName name="gross_up_factor" localSheetId="2">#REF!</definedName>
    <definedName name="gross_up_factor" localSheetId="0">#REF!</definedName>
    <definedName name="gross_up_factor" localSheetId="1">#REF!</definedName>
    <definedName name="gross_up_factor">#REF!</definedName>
    <definedName name="help" localSheetId="2" hidden="1">{"ALL",#N/A,FALSE,"A"}</definedName>
    <definedName name="help" hidden="1">{"ALL",#N/A,FALSE,"A"}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 localSheetId="2">{"'JAN99'!$A$1:$M$66"}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 localSheetId="0">#REF!</definedName>
    <definedName name="ID_Gas" localSheetId="1">#REF!</definedName>
    <definedName name="ID_Gas">#REF!</definedName>
    <definedName name="inctaxrate">0.4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IM" localSheetId="2" hidden="1">{#N/A,#N/A,FALSE,"Sheet5"}</definedName>
    <definedName name="JIM" hidden="1">{#N/A,#N/A,FALSE,"Sheet5"}</definedName>
    <definedName name="June" localSheetId="2" hidden="1">{"three",#N/A,FALSE,"Capital";"four",#N/A,FALSE,"Capital"}</definedName>
    <definedName name="June" hidden="1">{"three",#N/A,FALSE,"Capital";"four",#N/A,FALSE,"Capital"}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 localSheetId="2">#REF!</definedName>
    <definedName name="Overall_ROR" localSheetId="0">#REF!</definedName>
    <definedName name="Overall_ROR" localSheetId="1">#REF!</definedName>
    <definedName name="Overall_ROR">#REF!</definedName>
    <definedName name="Pal_Workbook_GUID" hidden="1">"VX3CWJGNQX2CCGI81U4N2V76"</definedName>
    <definedName name="Percent_common" localSheetId="2">#REF!</definedName>
    <definedName name="Percent_common" localSheetId="0">#REF!</definedName>
    <definedName name="Percent_common" localSheetId="1">#REF!</definedName>
    <definedName name="Percent_common">#REF!</definedName>
    <definedName name="Percent_debt">#REF!</definedName>
    <definedName name="Percent_pref">#REF!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localSheetId="2" hidden="1">{#N/A,#N/A,FALSE,"Sheet5"}</definedName>
    <definedName name="PPPPPPPPPPPPPPPP" hidden="1">{#N/A,#N/A,FALSE,"Sheet5"}</definedName>
    <definedName name="PricingInfo" hidden="1">#REF!</definedName>
    <definedName name="_xlnm.Print_Area" localSheetId="0">'Exh. BGM-4 (Consolidated)'!$A$1:$AE$35</definedName>
    <definedName name="_xlnm.Print_Area" localSheetId="1">'Exh. BGM-4 (Detail)'!$A$1:$AF$42</definedName>
    <definedName name="Print_for_Checking" localSheetId="0">#REF!:#REF!</definedName>
    <definedName name="Print_for_Checking" localSheetId="1">#REF!:#REF!</definedName>
    <definedName name="Print_for_Checking">#REF!:#REF!</definedName>
    <definedName name="_xlnm.Print_Titles" localSheetId="0">'Exh. BGM-4 (Consolidated)'!$A:$G,'Exh. BGM-4 (Consolidated)'!$2:$6</definedName>
    <definedName name="_xlnm.Print_Titles" localSheetId="1">'Exh. BGM-4 (Detail)'!$A:$H,'Exh. BGM-4 (Detail)'!$2:$6</definedName>
    <definedName name="RateCase">#REF!</definedName>
    <definedName name="Restated_Op_revenue" localSheetId="2">#REF!</definedName>
    <definedName name="Restated_Op_revenue" localSheetId="0">#REF!</definedName>
    <definedName name="Restated_Op_revenue" localSheetId="1">#REF!</definedName>
    <definedName name="Restated_Op_revenue">#REF!</definedName>
    <definedName name="Restated_rate_base" localSheetId="2">#REF!</definedName>
    <definedName name="Restated_rate_base" localSheetId="0">#REF!</definedName>
    <definedName name="Restated_rate_base" localSheetId="1">#REF!</definedName>
    <definedName name="Restated_rate_base">#REF!</definedName>
    <definedName name="Restated_ROE" localSheetId="2">#REF!</definedName>
    <definedName name="Restated_ROE" localSheetId="0">#REF!</definedName>
    <definedName name="Restated_ROE" localSheetId="1">#REF!</definedName>
    <definedName name="Restated_ROE">#REF!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C_Adjustment_Print" localSheetId="0">#REF!</definedName>
    <definedName name="RRC_Adjustment_Print" localSheetId="1">#REF!</definedName>
    <definedName name="RRC_Rate_Print" localSheetId="0">#REF!</definedName>
    <definedName name="RRC_Rate_Print" localSheetId="1">#REF!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localSheetId="2" hidden="1">#REF!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localSheetId="2" hidden="1">#REF!</definedName>
    <definedName name="Rwvu.cash._.flow." hidden="1">#REF!</definedName>
    <definedName name="Rwvu.combo." hidden="1">#REF!</definedName>
    <definedName name="Rwvu.offsite." localSheetId="2" hidden="1">#REF!</definedName>
    <definedName name="Rwvu.offsite." hidden="1">#REF!</definedName>
    <definedName name="Rwvu.onsite." localSheetId="2" hidden="1">#REF!</definedName>
    <definedName name="Rwvu.onsite." hidden="1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eval">0</definedName>
    <definedName name="solver_ntri">1000</definedName>
    <definedName name="solver_rsmp">1</definedName>
    <definedName name="solver_seed">0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localSheetId="2" hidden="1">{"YTD-Total",#N/A,FALSE,"Provision"}</definedName>
    <definedName name="standard1" hidden="1">{"YTD-Total",#N/A,FALSE,"Provision"}</definedName>
    <definedName name="Summary" localSheetId="2">#REF!</definedName>
    <definedName name="Summary" localSheetId="0">#REF!</definedName>
    <definedName name="Summary" localSheetId="1">#REF!</definedName>
    <definedName name="Summary">#REF!</definedName>
    <definedName name="Swvu.allocations." localSheetId="2" hidden="1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localSheetId="2" hidden="1">#REF!</definedName>
    <definedName name="Swvu.cash._.flow." hidden="1">#REF!</definedName>
    <definedName name="Swvu.combo." hidden="1">#REF!</definedName>
    <definedName name="Swvu.full." localSheetId="2" hidden="1">#REF!</definedName>
    <definedName name="Swvu.full." hidden="1">#REF!</definedName>
    <definedName name="Swvu.offsite." localSheetId="2" hidden="1">#REF!</definedName>
    <definedName name="Swvu.offsite." hidden="1">#REF!</definedName>
    <definedName name="Swvu.onsite." localSheetId="2" hidden="1">#REF!</definedName>
    <definedName name="Swvu.onsite." hidden="1">#REF!</definedName>
    <definedName name="TableName">"Dummy"</definedName>
    <definedName name="TEST">2000</definedName>
    <definedName name="TESTYEAR" localSheetId="0">#REF!</definedName>
    <definedName name="TESTYEAR" localSheetId="1">#REF!</definedName>
    <definedName name="TESTYEAR">#REF!</definedName>
    <definedName name="TESTYEAR_E" localSheetId="0">#REF!</definedName>
    <definedName name="TESTYEAR_E" localSheetId="1">#REF!</definedName>
    <definedName name="TESTYEAR_E">#REF!</definedName>
    <definedName name="TESTYEAR_GAS">#REF!</definedName>
    <definedName name="Title1">#REF!</definedName>
    <definedName name="Title2">#REF!</definedName>
    <definedName name="Title3">#REF!</definedName>
    <definedName name="Title8">#REF!</definedName>
    <definedName name="TP_Footer_User" hidden="1">"Dylan Moser"</definedName>
    <definedName name="TP_Footer_Version" hidden="1">"v4.00"</definedName>
    <definedName name="trth" localSheetId="2" hidden="1">{"ALL",#N/A,FALSE,"A"}</definedName>
    <definedName name="trth" hidden="1">{"ALL",#N/A,FALSE,"A"}</definedName>
    <definedName name="Unadj_Op_revenue" localSheetId="2">#REF!</definedName>
    <definedName name="Unadj_Op_revenue" localSheetId="0">#REF!</definedName>
    <definedName name="Unadj_Op_revenue" localSheetId="1">#REF!</definedName>
    <definedName name="Unadj_Op_revenue">#REF!</definedName>
    <definedName name="Unadj_rate_base" localSheetId="2">#REF!</definedName>
    <definedName name="Unadj_rate_base" localSheetId="0">#REF!</definedName>
    <definedName name="Unadj_rate_base" localSheetId="1">#REF!</definedName>
    <definedName name="Unadj_rate_base">#REF!</definedName>
    <definedName name="Unadj_ROE" localSheetId="2">#REF!</definedName>
    <definedName name="Unadj_ROE" localSheetId="0">#REF!</definedName>
    <definedName name="Unadj_ROE" localSheetId="1">#REF!</definedName>
    <definedName name="Unadj_ROE">#REF!</definedName>
    <definedName name="uncollectible_perc" localSheetId="2">#REF!</definedName>
    <definedName name="uncollectible_perc" localSheetId="0">#REF!</definedName>
    <definedName name="uncollectible_perc" localSheetId="1">#REF!</definedName>
    <definedName name="uncollectible_perc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cdv" localSheetId="2" hidden="1">#REF!</definedName>
    <definedName name="vcdv" hidden="1">#REF!</definedName>
    <definedName name="w" hidden="1">#REF!</definedName>
    <definedName name="WA_Gas" localSheetId="0">#REF!</definedName>
    <definedName name="WA_Gas" localSheetId="1">#REF!</definedName>
    <definedName name="WA_Gas">#REF!</definedName>
    <definedName name="WA_rev_tax_perc" localSheetId="2">#REF!</definedName>
    <definedName name="WA_rev_tax_perc" localSheetId="0">#REF!</definedName>
    <definedName name="WA_rev_tax_perc" localSheetId="1">#REF!</definedName>
    <definedName name="WA_rev_tax_perc">#REF!</definedName>
    <definedName name="Weighted_cost_debt" localSheetId="2">#REF!</definedName>
    <definedName name="Weighted_cost_debt" localSheetId="0">#REF!</definedName>
    <definedName name="Weighted_cost_debt" localSheetId="1">#REF!</definedName>
    <definedName name="Weighted_cost_debt">#REF!</definedName>
    <definedName name="Weighted_cost_equity">#REF!</definedName>
    <definedName name="Weighted_cost_pref" localSheetId="2">#REF!</definedName>
    <definedName name="Weighted_cost_pref" localSheetId="0">#REF!</definedName>
    <definedName name="Weighted_cost_pref" localSheetId="1">#REF!</definedName>
    <definedName name="Weighted_cost_pref">#REF!</definedName>
    <definedName name="wr" localSheetId="2" hidden="1">{"Output-3Column",#N/A,FALSE,"Output"}</definedName>
    <definedName name="wr" hidden="1">{"Output-3Column",#N/A,FALSE,"Output"}</definedName>
    <definedName name="wrn" localSheetId="2" hidden="1">{"Inflation-BaseYear",#N/A,FALSE,"Inputs"}</definedName>
    <definedName name="wrn" hidden="1">{"Inflation-BaseYear",#N/A,FALSE,"Inputs"}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{"ALL",#N/A,FALSE,"A"}</definedName>
    <definedName name="wrn.ALL." hidden="1">{"ALL",#N/A,FALSE,"A"}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2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2" hidden="1">{"annual",#N/A,FALSE,"Pro Forma"}</definedName>
    <definedName name="wrn.annual." hidden="1">{"annual",#N/A,FALSE,"Pro Forma"}</definedName>
    <definedName name="wrn.Annual._.Detail." localSheetId="2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2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2" hidden="1">{"annual hotel",#N/A,FALSE,"Hotel Development"}</definedName>
    <definedName name="wrn.Annual._.Hotel." hidden="1">{"annual hotel",#N/A,FALSE,"Hotel Development"}</definedName>
    <definedName name="wrn.Annual._.Land._.Sales." localSheetId="2" hidden="1">{"annual",#N/A,FALSE,"Land Sales"}</definedName>
    <definedName name="wrn.Annual._.Land._.Sales." hidden="1">{"annual",#N/A,FALSE,"Land Sales"}</definedName>
    <definedName name="wrn.Annual._.Report." localSheetId="2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2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2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2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2" hidden="1">{"ASSETS",#N/A,FALSE,"Assets"}</definedName>
    <definedName name="wrn.Assets." hidden="1">{"ASSETS",#N/A,FALSE,"Assets"}</definedName>
    <definedName name="wrn.ASSOC_CO." localSheetId="2" hidden="1">{"ASSC_CO",#N/A,FALSE,"A"}</definedName>
    <definedName name="wrn.ASSOC_CO." hidden="1">{"ASSC_CO",#N/A,FALSE,"A"}</definedName>
    <definedName name="wrn.BidCo." localSheetId="2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2" hidden="1">{"BS",#N/A,FALSE,"A"}</definedName>
    <definedName name="wrn.BS." hidden="1">{"BS",#N/A,FALSE,"A"}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2" hidden="1">{#N/A,#N/A,FALSE,"Sheet5"}</definedName>
    <definedName name="wrn.CASH." hidden="1">{#N/A,#N/A,FALSE,"Sheet5"}</definedName>
    <definedName name="wrn.Cash._.and._.Accrual." localSheetId="2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2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urrent._.Estimate." localSheetId="2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localSheetId="2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tail." localSheetId="2" hidden="1">{"Print_Detail",#N/A,FALSE,"Redemption_Maturity Extract"}</definedName>
    <definedName name="wrn.Detail." hidden="1">{"Print_Detail",#N/A,FALSE,"Redemption_Maturity Extract"}</definedName>
    <definedName name="wrn.Diane._.s._.Version." localSheetId="2" hidden="1">{"Full",#N/A,FALSE,"Sec MTN B Summary"}</definedName>
    <definedName name="wrn.Diane._.s._.Version." hidden="1">{"Full",#N/A,FALSE,"Sec MTN B Summary"}</definedName>
    <definedName name="wrn.Distribution._.Version." localSheetId="2" hidden="1">{"RedPrem_InitRed View",#N/A,FALSE,"Sec MTN B Summary"}</definedName>
    <definedName name="wrn.Distribution._.Version." hidden="1">{"RedPrem_InitRed View",#N/A,FALSE,"Sec MTN B Summary"}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2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hidden="1">{"FCB_ALL",#N/A,FALSE,"FCB"}</definedName>
    <definedName name="wrn.Financials." localSheetId="2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2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ull._.report." localSheetId="2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2" hidden="1">{"three",#N/A,FALSE,"Capital";"four",#N/A,FALSE,"Capital"}</definedName>
    <definedName name="wrn.greg." hidden="1">{"three",#N/A,FALSE,"Capital";"four",#N/A,FALSE,"Capital"}</definedName>
    <definedName name="wrn.III._.X._.Co._.Five._.Year._.Plan." localSheetId="2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2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2" hidden="1">{"IIIXCo FY 04 Plan",#N/A,FALSE,"Monthly Summary-IIIXIILP"}</definedName>
    <definedName name="wrn.IIIXCo._.FY._.2004._.Plan." hidden="1">{"IIIXCo FY 04 Plan",#N/A,FALSE,"Monthly Summary-IIIXIILP"}</definedName>
    <definedName name="wrn.Inputs." localSheetId="2" hidden="1">{"Inflation-BaseYear",#N/A,FALSE,"Inputs"}</definedName>
    <definedName name="wrn.Inputs." hidden="1">{"Inflation-BaseYear",#N/A,FALSE,"Inputs"}</definedName>
    <definedName name="wrn.Invested._.Capital." localSheetId="2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2" hidden="1">{"LIAB",#N/A,FALSE,"Liab"}</definedName>
    <definedName name="wrn.Liab." hidden="1">{"LIAB",#N/A,FALSE,"Liab"}</definedName>
    <definedName name="wrn.Monthly_Yr1." localSheetId="2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2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2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2" hidden="1">{"NW",#N/A,FALSE,"STMT"}</definedName>
    <definedName name="wrn.NetWorth." hidden="1">{"NW",#N/A,FALSE,"STMT"}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2" hidden="1">{"Pfd",#N/A,FALSE,"Pfd"}</definedName>
    <definedName name="wrn.Pfd." hidden="1">{"Pfd",#N/A,FALSE,"Pfd"}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2" hidden="1">{"Pivot1",#N/A,FALSE,"Redemption_Maturity Extract"}</definedName>
    <definedName name="wrn.Pivot1." hidden="1">{"Pivot1",#N/A,FALSE,"Redemption_Maturity Extract"}</definedName>
    <definedName name="wrn.Pivot2." localSheetId="2" hidden="1">{"Pivot2",#N/A,FALSE,"Redemption_Maturity Extract"}</definedName>
    <definedName name="wrn.Pivot2." hidden="1">{"Pivot2",#N/A,FALSE,"Redemption_Maturity Extract"}</definedName>
    <definedName name="wrn.Plan._.2004." localSheetId="2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All." localSheetId="2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quarterly." localSheetId="2" hidden="1">{"quarterly",#N/A,FALSE,"Pro Forma"}</definedName>
    <definedName name="wrn.quarterly." hidden="1">{"quarterly",#N/A,FALSE,"Pro Forma"}</definedName>
    <definedName name="wrn.Reformat._.only." localSheetId="2" hidden="1">{#N/A,#N/A,FALSE,"Dec 1999 mapping"}</definedName>
    <definedName name="wrn.Reformat._.only." hidden="1">{#N/A,#N/A,FALSE,"Dec 1999 mapping"}</definedName>
    <definedName name="wrn.Releases._.Cash._.Accrual." localSheetId="2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2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2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2" hidden="1">{"SCHED_B&amp;C",#N/A,FALSE,"A"}</definedName>
    <definedName name="wrn.SCHED._.BC." hidden="1">{"SCHED_B&amp;C",#N/A,FALSE,"A"}</definedName>
    <definedName name="wrn.SCHED._.DE." localSheetId="2" hidden="1">{"SCHED_D&amp;E",#N/A,FALSE,"A"}</definedName>
    <definedName name="wrn.SCHED._.DE." hidden="1">{"SCHED_D&amp;E",#N/A,FALSE,"A"}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2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2" hidden="1">{"SCHED_A",#N/A,FALSE,"A"}</definedName>
    <definedName name="wrn.SHEDA." hidden="1">{"SCHED_A",#N/A,FALSE,"A"}</definedName>
    <definedName name="wrn.STAND_ALONE_BOTH." localSheetId="2" hidden="1">{"FCB_ALL",#N/A,FALSE,"FCB";"GREY_ALL",#N/A,FALSE,"GREY"}</definedName>
    <definedName name="wrn.STAND_ALONE_BOTH." hidden="1">{"FCB_ALL",#N/A,FALSE,"FCB";"GREY_ALL",#N/A,FALSE,"GREY"}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ariff99." localSheetId="2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Wacc." localSheetId="2" hidden="1">{"Area1",#N/A,FALSE,"OREWACC";"Area2",#N/A,FALSE,"OREWACC"}</definedName>
    <definedName name="wrn.Wacc." hidden="1">{"Area1",#N/A,FALSE,"OREWACC";"Area2",#N/A,FALSE,"OREWACC"}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2" hidden="1">{"Output-BaseYear",#N/A,FALSE,"Output"}</definedName>
    <definedName name="wrng" hidden="1">{"Output-BaseYear",#N/A,FALSE,"Output"}</definedName>
    <definedName name="wrnh" localSheetId="2" hidden="1">{"Output-All",#N/A,FALSE,"Output"}</definedName>
    <definedName name="wrnh" hidden="1">{"Output-All",#N/A,FALSE,"Output"}</definedName>
    <definedName name="WUTC_reg_fee_perc" localSheetId="2">#REF!</definedName>
    <definedName name="WUTC_reg_fee_perc" localSheetId="0">#REF!</definedName>
    <definedName name="WUTC_reg_fee_perc" localSheetId="1">#REF!</definedName>
    <definedName name="WUTC_reg_fee_perc">#REF!</definedName>
    <definedName name="wvu.allocations." localSheetId="2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2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2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2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2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2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2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2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2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2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localSheetId="2" hidden="1">#REF!</definedName>
    <definedName name="xxx" hidden="1">#REF!</definedName>
    <definedName name="y" localSheetId="2" hidden="1">#REF!</definedName>
    <definedName name="y" hidden="1">#REF!</definedName>
    <definedName name="z" hidden="1">#REF!</definedName>
    <definedName name="Z_01844156_6462_4A28_9785_1A86F4D0C834_.wvu.PrintTitles" localSheetId="2" hidden="1">#REF!</definedName>
    <definedName name="Z_01844156_6462_4A28_9785_1A86F4D0C834_.wvu.PrintTitles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1" l="1"/>
  <c r="K7" i="23" s="1"/>
  <c r="J7" i="21"/>
  <c r="I7" i="23" s="1"/>
  <c r="D16" i="21" l="1"/>
  <c r="D17" i="21" s="1"/>
  <c r="D19" i="21"/>
  <c r="D20" i="21" s="1"/>
  <c r="D22" i="21"/>
  <c r="D23" i="21" s="1"/>
  <c r="D38" i="21"/>
  <c r="D39" i="21" s="1"/>
  <c r="AA34" i="23"/>
  <c r="AL23" i="23" l="1"/>
  <c r="AL22" i="23"/>
  <c r="AL21" i="23"/>
  <c r="AJ16" i="23"/>
  <c r="AL16" i="23" s="1"/>
  <c r="AL15" i="23"/>
  <c r="AL14" i="23"/>
  <c r="B10" i="23"/>
  <c r="M14" i="23" l="1"/>
  <c r="AL24" i="23"/>
  <c r="AL17" i="23"/>
  <c r="B11" i="23"/>
  <c r="B12" i="23" s="1"/>
  <c r="B13" i="23" l="1"/>
  <c r="B14" i="23" s="1"/>
  <c r="M29" i="23"/>
  <c r="M21" i="23"/>
  <c r="M16" i="23"/>
  <c r="M32" i="23"/>
  <c r="M30" i="23"/>
  <c r="M22" i="23"/>
  <c r="M17" i="23"/>
  <c r="M31" i="23"/>
  <c r="M23" i="23"/>
  <c r="M24" i="23"/>
  <c r="M25" i="23"/>
  <c r="M10" i="23"/>
  <c r="M15" i="23"/>
  <c r="M27" i="23"/>
  <c r="M19" i="23"/>
  <c r="M18" i="23"/>
  <c r="M12" i="23"/>
  <c r="M26" i="23"/>
  <c r="M11" i="23"/>
  <c r="M28" i="23"/>
  <c r="M20" i="23"/>
  <c r="M13" i="23"/>
  <c r="B15" i="23" l="1"/>
  <c r="B16" i="23" l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l="1"/>
  <c r="B30" i="23" s="1"/>
  <c r="B31" i="23" s="1"/>
  <c r="B32" i="23" s="1"/>
  <c r="B34" i="23" s="1"/>
  <c r="Z14" i="21" l="1"/>
  <c r="X14" i="21" s="1"/>
  <c r="S14" i="21" l="1"/>
  <c r="X19" i="21"/>
  <c r="Z19" i="21" s="1"/>
  <c r="AB16" i="21"/>
  <c r="AB17" i="21"/>
  <c r="AB22" i="21"/>
  <c r="S22" i="21" s="1"/>
  <c r="Z22" i="21"/>
  <c r="K9" i="22"/>
  <c r="Z23" i="21"/>
  <c r="X23" i="21" s="1"/>
  <c r="S20" i="21"/>
  <c r="G21" i="22"/>
  <c r="E22" i="22"/>
  <c r="F24" i="22" s="1"/>
  <c r="F22" i="22"/>
  <c r="E24" i="22"/>
  <c r="E31" i="22" s="1"/>
  <c r="E52" i="22"/>
  <c r="E54" i="22" s="1"/>
  <c r="F52" i="22"/>
  <c r="Z31" i="21" l="1"/>
  <c r="AB42" i="21"/>
  <c r="Q14" i="21"/>
  <c r="S16" i="21"/>
  <c r="G24" i="22"/>
  <c r="S19" i="21" s="1"/>
  <c r="Q22" i="21"/>
  <c r="Q19" i="21"/>
  <c r="Q23" i="21"/>
  <c r="E33" i="22"/>
  <c r="E39" i="22"/>
  <c r="G26" i="22"/>
  <c r="G31" i="22"/>
  <c r="F26" i="22"/>
  <c r="F31" i="22"/>
  <c r="F33" i="22" s="1"/>
  <c r="F8" i="22" s="1"/>
  <c r="G51" i="22"/>
  <c r="G52" i="22" s="1"/>
  <c r="G54" i="22" s="1"/>
  <c r="G56" i="22" s="1"/>
  <c r="G22" i="22"/>
  <c r="S17" i="21" s="1"/>
  <c r="F54" i="22"/>
  <c r="F56" i="22" s="1"/>
  <c r="E56" i="22"/>
  <c r="G33" i="22" l="1"/>
  <c r="G8" i="22" s="1"/>
  <c r="X20" i="21"/>
  <c r="Z20" i="21" s="1"/>
  <c r="Q20" i="21" s="1"/>
  <c r="E41" i="22"/>
  <c r="F39" i="22"/>
  <c r="F41" i="22" l="1"/>
  <c r="F9" i="22" s="1"/>
  <c r="G39" i="22"/>
  <c r="G41" i="22" s="1"/>
  <c r="G9" i="22" l="1"/>
  <c r="AB23" i="21"/>
  <c r="S23" i="21" s="1"/>
  <c r="S13" i="21" l="1"/>
  <c r="X39" i="21" l="1"/>
  <c r="Z39" i="21" s="1"/>
  <c r="Q39" i="21" s="1"/>
  <c r="S39" i="21"/>
  <c r="AK16" i="21"/>
  <c r="Z38" i="21"/>
  <c r="Q38" i="21" s="1"/>
  <c r="S38" i="21"/>
  <c r="S40" i="21" l="1"/>
  <c r="S34" i="21"/>
  <c r="S26" i="21"/>
  <c r="S21" i="21"/>
  <c r="S18" i="21"/>
  <c r="S10" i="21"/>
  <c r="S31" i="21"/>
  <c r="S30" i="21"/>
  <c r="S24" i="21"/>
  <c r="Z40" i="21"/>
  <c r="Q40" i="21" s="1"/>
  <c r="Z37" i="21"/>
  <c r="Q37" i="21" s="1"/>
  <c r="S37" i="21"/>
  <c r="Z36" i="21"/>
  <c r="S36" i="21"/>
  <c r="Z35" i="21"/>
  <c r="Q35" i="21" s="1"/>
  <c r="S35" i="21"/>
  <c r="Z34" i="21"/>
  <c r="Z33" i="21"/>
  <c r="S33" i="21"/>
  <c r="Z32" i="21"/>
  <c r="S32" i="21"/>
  <c r="AM23" i="21"/>
  <c r="Z30" i="21"/>
  <c r="Q30" i="21" s="1"/>
  <c r="AM22" i="21"/>
  <c r="Z29" i="21"/>
  <c r="S29" i="21"/>
  <c r="AM21" i="21"/>
  <c r="Z28" i="21"/>
  <c r="S28" i="21"/>
  <c r="Z27" i="21"/>
  <c r="Q27" i="21" s="1"/>
  <c r="S27" i="21"/>
  <c r="Z26" i="21"/>
  <c r="Q26" i="21" s="1"/>
  <c r="Z25" i="21"/>
  <c r="Q25" i="21" s="1"/>
  <c r="S25" i="21"/>
  <c r="Z24" i="21"/>
  <c r="Q24" i="21" s="1"/>
  <c r="AM16" i="21"/>
  <c r="Z21" i="21"/>
  <c r="Q21" i="21" s="1"/>
  <c r="AM15" i="21"/>
  <c r="Z18" i="21"/>
  <c r="AM14" i="21"/>
  <c r="Z15" i="21"/>
  <c r="S15" i="21"/>
  <c r="Z12" i="21"/>
  <c r="Q12" i="21" s="1"/>
  <c r="S12" i="21"/>
  <c r="Z11" i="21"/>
  <c r="S11" i="21"/>
  <c r="Z10" i="21"/>
  <c r="B10" i="21"/>
  <c r="Z13" i="21"/>
  <c r="K8" i="22" l="1"/>
  <c r="X13" i="21"/>
  <c r="Q13" i="21"/>
  <c r="AM24" i="21"/>
  <c r="Q32" i="21"/>
  <c r="Q36" i="21"/>
  <c r="Q33" i="21"/>
  <c r="Q34" i="21"/>
  <c r="Q31" i="21"/>
  <c r="Q29" i="21"/>
  <c r="Q28" i="21"/>
  <c r="Q15" i="21"/>
  <c r="Q18" i="21"/>
  <c r="Q11" i="21"/>
  <c r="Q10" i="21"/>
  <c r="AM17" i="21"/>
  <c r="N14" i="21" s="1"/>
  <c r="B11" i="21"/>
  <c r="U14" i="21" l="1"/>
  <c r="AD14" i="21" s="1"/>
  <c r="N16" i="21"/>
  <c r="N22" i="21"/>
  <c r="N19" i="21"/>
  <c r="U22" i="21"/>
  <c r="AD22" i="21" s="1"/>
  <c r="U19" i="21"/>
  <c r="AD19" i="21" s="1"/>
  <c r="G10" i="22"/>
  <c r="F10" i="22"/>
  <c r="N23" i="21"/>
  <c r="U23" i="21"/>
  <c r="N20" i="21"/>
  <c r="N17" i="21"/>
  <c r="U20" i="21"/>
  <c r="U13" i="21"/>
  <c r="N13" i="21"/>
  <c r="U30" i="21"/>
  <c r="N39" i="21"/>
  <c r="U39" i="21"/>
  <c r="N32" i="21"/>
  <c r="N31" i="21"/>
  <c r="U37" i="21"/>
  <c r="N38" i="21"/>
  <c r="U38" i="21"/>
  <c r="N27" i="21"/>
  <c r="U15" i="21"/>
  <c r="U12" i="21"/>
  <c r="N40" i="21"/>
  <c r="N10" i="21"/>
  <c r="N18" i="21"/>
  <c r="U33" i="21"/>
  <c r="U26" i="21"/>
  <c r="N30" i="21"/>
  <c r="U11" i="21"/>
  <c r="U34" i="21"/>
  <c r="N24" i="21"/>
  <c r="U18" i="21"/>
  <c r="U32" i="21"/>
  <c r="U27" i="21"/>
  <c r="U29" i="21"/>
  <c r="U35" i="21"/>
  <c r="N29" i="21"/>
  <c r="N12" i="21"/>
  <c r="U31" i="21"/>
  <c r="U21" i="21"/>
  <c r="N26" i="21"/>
  <c r="N36" i="21"/>
  <c r="N11" i="21"/>
  <c r="U24" i="21"/>
  <c r="N35" i="21"/>
  <c r="U25" i="21"/>
  <c r="U40" i="21"/>
  <c r="U36" i="21"/>
  <c r="N25" i="21"/>
  <c r="N15" i="21"/>
  <c r="N37" i="21"/>
  <c r="N34" i="21"/>
  <c r="U10" i="21"/>
  <c r="N28" i="21"/>
  <c r="U28" i="21"/>
  <c r="N21" i="21"/>
  <c r="N33" i="21"/>
  <c r="B12" i="21"/>
  <c r="B13" i="21" s="1"/>
  <c r="AD30" i="21" l="1"/>
  <c r="B14" i="21"/>
  <c r="B15" i="21" s="1"/>
  <c r="B16" i="21" s="1"/>
  <c r="AD23" i="21"/>
  <c r="AD20" i="21"/>
  <c r="AD33" i="21"/>
  <c r="AD37" i="21"/>
  <c r="AD39" i="21"/>
  <c r="AD10" i="21"/>
  <c r="AD40" i="21"/>
  <c r="AD13" i="21"/>
  <c r="AD32" i="21"/>
  <c r="AD24" i="21"/>
  <c r="AD18" i="21"/>
  <c r="AD31" i="21"/>
  <c r="AD12" i="21"/>
  <c r="AD15" i="21"/>
  <c r="AD34" i="21"/>
  <c r="AD11" i="21"/>
  <c r="AD27" i="21"/>
  <c r="AD38" i="21"/>
  <c r="AD26" i="21"/>
  <c r="AD29" i="21"/>
  <c r="AD36" i="21"/>
  <c r="AD28" i="21"/>
  <c r="AD21" i="21"/>
  <c r="AD35" i="21"/>
  <c r="AD25" i="21"/>
  <c r="B17" i="21" l="1"/>
  <c r="B18" i="21" s="1"/>
  <c r="B19" i="21" l="1"/>
  <c r="B20" i="21" s="1"/>
  <c r="B21" i="21" s="1"/>
  <c r="B22" i="21" l="1"/>
  <c r="B23" i="21" s="1"/>
  <c r="B24" i="21" s="1"/>
  <c r="B25" i="21" l="1"/>
  <c r="B26" i="21" l="1"/>
  <c r="B27" i="21" l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l="1"/>
  <c r="B39" i="21" l="1"/>
  <c r="B40" i="21" s="1"/>
  <c r="B42" i="21" s="1"/>
  <c r="R18" i="23" l="1" a="1"/>
  <c r="R18" i="23" s="1"/>
  <c r="R17" i="23" a="1"/>
  <c r="R17" i="23" s="1"/>
  <c r="R25" i="23" a="1"/>
  <c r="R25" i="23" s="1"/>
  <c r="R32" i="23" a="1"/>
  <c r="R32" i="23" s="1"/>
  <c r="R27" i="23" a="1"/>
  <c r="R27" i="23" s="1"/>
  <c r="R21" i="23" a="1"/>
  <c r="R21" i="23" s="1"/>
  <c r="R16" i="23" a="1"/>
  <c r="R16" i="23" s="1"/>
  <c r="R28" i="23" a="1"/>
  <c r="R28" i="23" s="1"/>
  <c r="R10" i="23" a="1"/>
  <c r="R10" i="23" s="1"/>
  <c r="R23" i="23" a="1"/>
  <c r="R23" i="23" s="1"/>
  <c r="R29" i="23" a="1"/>
  <c r="R29" i="23" s="1"/>
  <c r="R22" i="23" a="1"/>
  <c r="R22" i="23" s="1"/>
  <c r="R15" i="23" a="1"/>
  <c r="R15" i="23" s="1"/>
  <c r="R30" i="23" a="1"/>
  <c r="R30" i="23" s="1"/>
  <c r="R24" i="23" a="1"/>
  <c r="R24" i="23" s="1"/>
  <c r="R20" i="23" a="1"/>
  <c r="R20" i="23" s="1"/>
  <c r="R19" i="23" a="1"/>
  <c r="R19" i="23" s="1"/>
  <c r="R31" i="23" a="1"/>
  <c r="R31" i="23" s="1"/>
  <c r="R12" i="23" a="1"/>
  <c r="R12" i="23" s="1"/>
  <c r="R13" i="23" a="1"/>
  <c r="R13" i="23" s="1"/>
  <c r="R11" i="23" a="1"/>
  <c r="R11" i="23" s="1"/>
  <c r="R26" i="23" a="1"/>
  <c r="R26" i="23" s="1"/>
  <c r="R14" i="23" a="1"/>
  <c r="R14" i="23" s="1"/>
  <c r="L42" i="21" l="1"/>
  <c r="J42" i="21" l="1"/>
  <c r="I34" i="23"/>
  <c r="K34" i="23"/>
  <c r="N7" i="21"/>
  <c r="N42" i="21"/>
  <c r="N46" i="21" l="1"/>
  <c r="M7" i="23"/>
  <c r="M34" i="23"/>
  <c r="M38" i="23" s="1"/>
  <c r="S7" i="21" l="1"/>
  <c r="R7" i="23" l="1"/>
  <c r="R34" i="23" s="1"/>
  <c r="S42" i="21"/>
  <c r="Q7" i="21" l="1"/>
  <c r="P7" i="23" l="1"/>
  <c r="U7" i="21"/>
  <c r="T7" i="23" l="1"/>
  <c r="P10" i="23" l="1" a="1"/>
  <c r="P10" i="23"/>
  <c r="T10" i="23"/>
  <c r="W10" i="23"/>
  <c r="Y10" i="23"/>
  <c r="AC10" i="23"/>
  <c r="P11" i="23" a="1"/>
  <c r="P11" i="23"/>
  <c r="T11" i="23"/>
  <c r="W11" i="23"/>
  <c r="Y11" i="23"/>
  <c r="AC11" i="23"/>
  <c r="P12" i="23" a="1"/>
  <c r="P12" i="23"/>
  <c r="T12" i="23"/>
  <c r="W12" i="23"/>
  <c r="Y12" i="23"/>
  <c r="AC12" i="23"/>
  <c r="P13" i="23" a="1"/>
  <c r="P13" i="23"/>
  <c r="T13" i="23"/>
  <c r="W13" i="23"/>
  <c r="Y13" i="23"/>
  <c r="AC13" i="23"/>
  <c r="P14" i="23" a="1"/>
  <c r="P14" i="23"/>
  <c r="T14" i="23"/>
  <c r="W14" i="23"/>
  <c r="Y14" i="23"/>
  <c r="AC14" i="23"/>
  <c r="P15" i="23" a="1"/>
  <c r="P15" i="23"/>
  <c r="T15" i="23"/>
  <c r="W15" i="23"/>
  <c r="Y15" i="23"/>
  <c r="AC15" i="23"/>
  <c r="P16" i="23" a="1"/>
  <c r="P16" i="23"/>
  <c r="T16" i="23"/>
  <c r="W16" i="23"/>
  <c r="Y16" i="23"/>
  <c r="AC16" i="23"/>
  <c r="P17" i="23" a="1"/>
  <c r="P17" i="23"/>
  <c r="T17" i="23"/>
  <c r="W17" i="23"/>
  <c r="Y17" i="23"/>
  <c r="AC17" i="23"/>
  <c r="P18" i="23" a="1"/>
  <c r="P18" i="23"/>
  <c r="T18" i="23"/>
  <c r="W18" i="23"/>
  <c r="Y18" i="23"/>
  <c r="AC18" i="23"/>
  <c r="P19" i="23" a="1"/>
  <c r="P19" i="23"/>
  <c r="T19" i="23"/>
  <c r="W19" i="23"/>
  <c r="Y19" i="23"/>
  <c r="AC19" i="23"/>
  <c r="P20" i="23" a="1"/>
  <c r="P20" i="23"/>
  <c r="T20" i="23"/>
  <c r="W20" i="23"/>
  <c r="Y20" i="23"/>
  <c r="AC20" i="23"/>
  <c r="P21" i="23" a="1"/>
  <c r="P21" i="23"/>
  <c r="T21" i="23"/>
  <c r="W21" i="23"/>
  <c r="Y21" i="23"/>
  <c r="AC21" i="23"/>
  <c r="P22" i="23" a="1"/>
  <c r="P22" i="23"/>
  <c r="T22" i="23"/>
  <c r="W22" i="23"/>
  <c r="Y22" i="23"/>
  <c r="AC22" i="23"/>
  <c r="P23" i="23" a="1"/>
  <c r="P23" i="23"/>
  <c r="T23" i="23"/>
  <c r="W23" i="23"/>
  <c r="Y23" i="23"/>
  <c r="AC23" i="23"/>
  <c r="P24" i="23" a="1"/>
  <c r="P24" i="23"/>
  <c r="T24" i="23"/>
  <c r="W24" i="23"/>
  <c r="Y24" i="23"/>
  <c r="AC24" i="23"/>
  <c r="P25" i="23" a="1"/>
  <c r="P25" i="23"/>
  <c r="T25" i="23"/>
  <c r="W25" i="23"/>
  <c r="Y25" i="23"/>
  <c r="AC25" i="23"/>
  <c r="P26" i="23" a="1"/>
  <c r="P26" i="23"/>
  <c r="T26" i="23"/>
  <c r="W26" i="23"/>
  <c r="Y26" i="23"/>
  <c r="AC26" i="23"/>
  <c r="P27" i="23" a="1"/>
  <c r="P27" i="23"/>
  <c r="T27" i="23"/>
  <c r="W27" i="23"/>
  <c r="Y27" i="23"/>
  <c r="AC27" i="23"/>
  <c r="P28" i="23" a="1"/>
  <c r="P28" i="23"/>
  <c r="T28" i="23"/>
  <c r="W28" i="23"/>
  <c r="Y28" i="23"/>
  <c r="AC28" i="23"/>
  <c r="P29" i="23" a="1"/>
  <c r="P29" i="23"/>
  <c r="T29" i="23"/>
  <c r="W29" i="23"/>
  <c r="Y29" i="23"/>
  <c r="AC29" i="23"/>
  <c r="P30" i="23" a="1"/>
  <c r="P30" i="23"/>
  <c r="T30" i="23"/>
  <c r="W30" i="23"/>
  <c r="Y30" i="23"/>
  <c r="AC30" i="23"/>
  <c r="P31" i="23" a="1"/>
  <c r="P31" i="23"/>
  <c r="T31" i="23"/>
  <c r="W31" i="23"/>
  <c r="Y31" i="23"/>
  <c r="AC31" i="23"/>
  <c r="P32" i="23" a="1"/>
  <c r="P32" i="23"/>
  <c r="T32" i="23"/>
  <c r="W32" i="23"/>
  <c r="Y32" i="23"/>
  <c r="AC32" i="23"/>
  <c r="P34" i="23"/>
  <c r="T34" i="23"/>
  <c r="W34" i="23"/>
  <c r="Y34" i="23"/>
  <c r="AC34" i="23"/>
  <c r="Q16" i="21"/>
  <c r="U16" i="21"/>
  <c r="X16" i="21"/>
  <c r="Z16" i="21"/>
  <c r="AD16" i="21"/>
  <c r="Q17" i="21"/>
  <c r="U17" i="21"/>
  <c r="X17" i="21"/>
  <c r="Z17" i="21"/>
  <c r="AD17" i="21"/>
  <c r="Q42" i="21"/>
  <c r="U42" i="21"/>
  <c r="X42" i="21"/>
  <c r="Z42" i="21"/>
  <c r="AD42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<sst xmlns="http://schemas.openxmlformats.org/spreadsheetml/2006/main" count="287" uniqueCount="125">
  <si>
    <t>Depreciation</t>
  </si>
  <si>
    <t>Rate Base</t>
  </si>
  <si>
    <t>Total</t>
  </si>
  <si>
    <t>13.1</t>
  </si>
  <si>
    <t>13.2</t>
  </si>
  <si>
    <t>14.1</t>
  </si>
  <si>
    <t>Pro Forma Major Plant Additions - Year 2</t>
  </si>
  <si>
    <t>Pro Forma Depreciation &amp; Amortization Reserve - 
Year 2</t>
  </si>
  <si>
    <t>Pro Forma Depreciation &amp; Amortization Expense - 
Year 2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</si>
  <si>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</si>
  <si>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</si>
  <si>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</si>
  <si>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</si>
  <si>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</si>
  <si>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</si>
  <si>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</si>
  <si>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</si>
  <si>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</si>
  <si>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Property Taxes - 
Year 2</t>
  </si>
  <si>
    <t>15.2</t>
  </si>
  <si>
    <t>15.3</t>
  </si>
  <si>
    <t>15.4</t>
  </si>
  <si>
    <t>Permanent Schedule M Adjustment - Year 2</t>
  </si>
  <si>
    <t>15.5</t>
  </si>
  <si>
    <t>16.1</t>
  </si>
  <si>
    <t>Regulatory Assets &amp; Liabilities Amortization - Year 2</t>
  </si>
  <si>
    <t>Remove Deferred State Tax Expense &amp; Balance - 
Year 2</t>
  </si>
  <si>
    <t>16.2</t>
  </si>
  <si>
    <t>Klamath Hydroelectric Assets Amortization - Year 2</t>
  </si>
  <si>
    <t>15.6</t>
  </si>
  <si>
    <t>Interest True-Up - Year 2</t>
  </si>
  <si>
    <t>Wheeling Revenues - 
Year 2</t>
  </si>
  <si>
    <t xml:space="preserve">General Wage Increase (Pro Forma) - 
Year 2 </t>
  </si>
  <si>
    <t>Pryor Mountain REC Revenues - Year 2</t>
  </si>
  <si>
    <t>PowerTax ADIT Balance Adjustment - Year 2</t>
  </si>
  <si>
    <t>13.3</t>
  </si>
  <si>
    <t>14.10</t>
  </si>
  <si>
    <t>Major Transmission Capital Additions - 
Year 2</t>
  </si>
  <si>
    <t>Removal of TCJA Balances Adjustment - Year 2</t>
  </si>
  <si>
    <t>Pro Forma JB Units 3, 4 and Colstrip 4 Additions - 
Year 2</t>
  </si>
  <si>
    <t>Pro Forma JB Units 1 &amp; 2 Additions - Year 2</t>
  </si>
  <si>
    <t>Existing Coal-Fired Generation Assets - 
Year 2</t>
  </si>
  <si>
    <t>Jim Bridger Mine Rate Base - 
Year 2</t>
  </si>
  <si>
    <t>Decommissioning and Other Plant Closure Costs - 
Year 2</t>
  </si>
  <si>
    <t>PAC Filed @ AWEC RoR</t>
  </si>
  <si>
    <t>AWEC Proposed</t>
  </si>
  <si>
    <t>Impact of AWEC Adjustments</t>
  </si>
  <si>
    <t>Rev. Req. Parameters</t>
  </si>
  <si>
    <t>Sub</t>
  </si>
  <si>
    <t xml:space="preserve">Rev. Req. </t>
  </si>
  <si>
    <t>Pre-Tax</t>
  </si>
  <si>
    <t xml:space="preserve">Adj. </t>
  </si>
  <si>
    <t>Adj.</t>
  </si>
  <si>
    <t xml:space="preserve">Net Oper. </t>
  </si>
  <si>
    <t xml:space="preserve">Def. / </t>
  </si>
  <si>
    <t>Revenue Conversion</t>
  </si>
  <si>
    <t>Line</t>
  </si>
  <si>
    <t xml:space="preserve">No. </t>
  </si>
  <si>
    <t>Description</t>
  </si>
  <si>
    <t>Income</t>
  </si>
  <si>
    <t>(Suf.)</t>
  </si>
  <si>
    <t>Tax Rate</t>
  </si>
  <si>
    <t>Rev. Sens</t>
  </si>
  <si>
    <t>Adjustments:</t>
  </si>
  <si>
    <t>AWEC Cost of Capital</t>
  </si>
  <si>
    <t>Capital</t>
  </si>
  <si>
    <t>Weighted</t>
  </si>
  <si>
    <t>Preferred</t>
  </si>
  <si>
    <t>Common</t>
  </si>
  <si>
    <t>Filed Cost of Capital</t>
  </si>
  <si>
    <t>Component</t>
  </si>
  <si>
    <t>Structure</t>
  </si>
  <si>
    <t>Cost</t>
  </si>
  <si>
    <t>Total Debt</t>
  </si>
  <si>
    <t>Rate Year 2</t>
  </si>
  <si>
    <t>Confidential Wind Generation Captial Additions - 
Year 2</t>
  </si>
  <si>
    <t>Rate Year 2 Electric Revenue Requirement Summary ($000)</t>
  </si>
  <si>
    <t>Remove COVID Deferral</t>
  </si>
  <si>
    <t>Filed</t>
  </si>
  <si>
    <t>CoC Impact</t>
  </si>
  <si>
    <t>Fly Ash Deferral</t>
  </si>
  <si>
    <t>3.4</t>
  </si>
  <si>
    <t>Pole Attachment Revenues</t>
  </si>
  <si>
    <t>YoY Change</t>
  </si>
  <si>
    <t>Accum DIT</t>
  </si>
  <si>
    <t>Total DIT</t>
  </si>
  <si>
    <t>DIT</t>
  </si>
  <si>
    <t>MACRS (Assume 20-year avg)</t>
  </si>
  <si>
    <t>ADIT</t>
  </si>
  <si>
    <t>Accumulated Depr.</t>
  </si>
  <si>
    <t>Accum. Depreciation</t>
  </si>
  <si>
    <t>YoY Change (AVG)</t>
  </si>
  <si>
    <t>Gross Plant (AVG)</t>
  </si>
  <si>
    <t>Gross Plant (EOP)</t>
  </si>
  <si>
    <t>Additions (Adjustment)</t>
  </si>
  <si>
    <t>Factor SO</t>
  </si>
  <si>
    <t>Total Company</t>
  </si>
  <si>
    <t>Gross Plant</t>
  </si>
  <si>
    <t>Adjustment Calculation</t>
  </si>
  <si>
    <t>Cost of Capital</t>
  </si>
  <si>
    <t>Rev. Req. (Incr.)</t>
  </si>
  <si>
    <t>Conv. Factor</t>
  </si>
  <si>
    <t>NOI (Pre-Tax)</t>
  </si>
  <si>
    <t>Rate Year 3</t>
  </si>
  <si>
    <t>Adj. A2 North Temple Office</t>
  </si>
  <si>
    <t>Electric Rate Base Adjustment ($000)</t>
  </si>
  <si>
    <t>Remove North Temple Office</t>
  </si>
  <si>
    <t>A2</t>
  </si>
  <si>
    <t>A1</t>
  </si>
  <si>
    <t>Remove Projects &lt; $1 M</t>
  </si>
  <si>
    <t>PTC Rate Period Volumes</t>
  </si>
  <si>
    <t>A3</t>
  </si>
  <si>
    <t>A12</t>
  </si>
  <si>
    <t>A15</t>
  </si>
  <si>
    <t>A9</t>
  </si>
  <si>
    <t>Rate Year 2 Electric Revenue Requirement Summary ($000) With AWEC Adjustment Detail</t>
  </si>
  <si>
    <t>Rate Year 1 with price change</t>
  </si>
  <si>
    <t>Propose</t>
  </si>
  <si>
    <t>Oppose</t>
  </si>
  <si>
    <t>Rate Year 2 Results</t>
  </si>
  <si>
    <t>Update</t>
  </si>
  <si>
    <t xml:space="preserve">AWEC </t>
  </si>
  <si>
    <t>Position</t>
  </si>
  <si>
    <t>AWEC</t>
  </si>
  <si>
    <t>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</si>
</sst>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0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2" tint="-0.499984740745262"/>
      <name val="Times New Roman"/>
      <family val="1"/>
    </font>
    <font>
      <sz val="10"/>
      <color theme="2" tint="-0.499984740745262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5" applyFont="1"/>
    <xf numFmtId="0" fontId="5" fillId="0" borderId="0" xfId="5" applyFont="1"/>
    <xf numFmtId="0" fontId="6" fillId="0" borderId="0" xfId="5" applyFont="1"/>
    <xf numFmtId="0" fontId="5" fillId="0" borderId="0" xfId="5" applyFont="1" applyAlignment="1">
      <alignment horizontal="center"/>
    </xf>
    <xf numFmtId="0" fontId="6" fillId="0" borderId="4" xfId="5" applyFont="1" applyBorder="1"/>
    <xf numFmtId="0" fontId="7" fillId="0" borderId="0" xfId="5" applyFont="1"/>
    <xf numFmtId="0" fontId="5" fillId="0" borderId="1" xfId="5" applyFont="1" applyBorder="1"/>
    <xf numFmtId="0" fontId="8" fillId="0" borderId="1" xfId="5" applyFont="1" applyBorder="1"/>
    <xf numFmtId="0" fontId="4" fillId="0" borderId="1" xfId="5" applyFont="1" applyBorder="1"/>
    <xf numFmtId="0" fontId="9" fillId="0" borderId="1" xfId="5" applyFont="1" applyBorder="1" applyAlignment="1">
      <alignment horizontal="center"/>
    </xf>
    <xf numFmtId="0" fontId="7" fillId="0" borderId="1" xfId="5" applyFont="1" applyBorder="1"/>
    <xf numFmtId="0" fontId="6" fillId="0" borderId="1" xfId="5" applyFont="1" applyBorder="1"/>
    <xf numFmtId="0" fontId="4" fillId="0" borderId="0" xfId="5" applyFont="1" applyAlignment="1">
      <alignment horizontal="center"/>
    </xf>
    <xf numFmtId="164" fontId="5" fillId="0" borderId="0" xfId="5" applyNumberFormat="1" applyFont="1"/>
    <xf numFmtId="0" fontId="4" fillId="0" borderId="1" xfId="5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9" fontId="5" fillId="0" borderId="0" xfId="5" applyNumberFormat="1" applyFont="1"/>
    <xf numFmtId="2" fontId="4" fillId="0" borderId="0" xfId="5" quotePrefix="1" applyNumberFormat="1" applyFont="1"/>
    <xf numFmtId="41" fontId="4" fillId="0" borderId="0" xfId="5" applyNumberFormat="1" applyFont="1"/>
    <xf numFmtId="3" fontId="5" fillId="0" borderId="0" xfId="5" applyNumberFormat="1" applyFont="1"/>
    <xf numFmtId="10" fontId="5" fillId="0" borderId="0" xfId="5" applyNumberFormat="1" applyFont="1"/>
    <xf numFmtId="2" fontId="5" fillId="0" borderId="0" xfId="5" applyNumberFormat="1" applyFont="1"/>
    <xf numFmtId="41" fontId="5" fillId="0" borderId="0" xfId="5" applyNumberFormat="1" applyFont="1"/>
    <xf numFmtId="41" fontId="6" fillId="0" borderId="0" xfId="5" applyNumberFormat="1" applyFont="1"/>
    <xf numFmtId="0" fontId="5" fillId="2" borderId="5" xfId="5" applyFont="1" applyFill="1" applyBorder="1"/>
    <xf numFmtId="0" fontId="5" fillId="2" borderId="3" xfId="5" applyFont="1" applyFill="1" applyBorder="1" applyAlignment="1">
      <alignment horizontal="center"/>
    </xf>
    <xf numFmtId="0" fontId="5" fillId="2" borderId="6" xfId="5" applyFont="1" applyFill="1" applyBorder="1" applyAlignment="1">
      <alignment horizontal="center"/>
    </xf>
    <xf numFmtId="0" fontId="5" fillId="2" borderId="4" xfId="5" applyFont="1" applyFill="1" applyBorder="1"/>
    <xf numFmtId="10" fontId="5" fillId="2" borderId="0" xfId="5" applyNumberFormat="1" applyFont="1" applyFill="1"/>
    <xf numFmtId="10" fontId="5" fillId="2" borderId="7" xfId="6" applyNumberFormat="1" applyFont="1" applyFill="1" applyBorder="1"/>
    <xf numFmtId="10" fontId="5" fillId="2" borderId="1" xfId="5" applyNumberFormat="1" applyFont="1" applyFill="1" applyBorder="1"/>
    <xf numFmtId="0" fontId="5" fillId="2" borderId="8" xfId="5" applyFont="1" applyFill="1" applyBorder="1"/>
    <xf numFmtId="0" fontId="5" fillId="2" borderId="1" xfId="5" applyFont="1" applyFill="1" applyBorder="1"/>
    <xf numFmtId="10" fontId="5" fillId="2" borderId="9" xfId="6" applyNumberFormat="1" applyFont="1" applyFill="1" applyBorder="1"/>
    <xf numFmtId="0" fontId="5" fillId="2" borderId="3" xfId="5" applyFont="1" applyFill="1" applyBorder="1"/>
    <xf numFmtId="0" fontId="5" fillId="2" borderId="6" xfId="5" applyFont="1" applyFill="1" applyBorder="1"/>
    <xf numFmtId="0" fontId="5" fillId="2" borderId="10" xfId="5" applyFont="1" applyFill="1" applyBorder="1"/>
    <xf numFmtId="0" fontId="10" fillId="0" borderId="0" xfId="5" applyFont="1"/>
    <xf numFmtId="0" fontId="5" fillId="0" borderId="0" xfId="5" applyFont="1" applyAlignment="1">
      <alignment horizontal="right"/>
    </xf>
    <xf numFmtId="0" fontId="5" fillId="2" borderId="0" xfId="5" applyFont="1" applyFill="1"/>
    <xf numFmtId="0" fontId="5" fillId="2" borderId="7" xfId="5" applyFont="1" applyFill="1" applyBorder="1"/>
    <xf numFmtId="41" fontId="4" fillId="0" borderId="2" xfId="5" applyNumberFormat="1" applyFont="1" applyBorder="1"/>
    <xf numFmtId="41" fontId="11" fillId="0" borderId="0" xfId="5" applyNumberFormat="1" applyFont="1"/>
    <xf numFmtId="41" fontId="12" fillId="0" borderId="0" xfId="5" applyNumberFormat="1" applyFont="1" applyAlignment="1">
      <alignment horizontal="right"/>
    </xf>
    <xf numFmtId="0" fontId="13" fillId="0" borderId="0" xfId="5" applyFont="1"/>
    <xf numFmtId="2" fontId="13" fillId="0" borderId="0" xfId="5" applyNumberFormat="1" applyFont="1"/>
    <xf numFmtId="41" fontId="13" fillId="0" borderId="0" xfId="5" applyNumberFormat="1" applyFont="1"/>
    <xf numFmtId="0" fontId="14" fillId="0" borderId="0" xfId="5" applyFont="1"/>
    <xf numFmtId="41" fontId="14" fillId="0" borderId="0" xfId="5" applyNumberFormat="1" applyFont="1"/>
    <xf numFmtId="10" fontId="5" fillId="0" borderId="0" xfId="6" applyNumberFormat="1" applyFont="1" applyFill="1" applyBorder="1"/>
    <xf numFmtId="0" fontId="5" fillId="2" borderId="5" xfId="5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5" fillId="2" borderId="10" xfId="5" applyFont="1" applyFill="1" applyBorder="1" applyAlignment="1">
      <alignment horizontal="center"/>
    </xf>
    <xf numFmtId="0" fontId="5" fillId="2" borderId="8" xfId="5" applyFont="1" applyFill="1" applyBorder="1" applyAlignment="1">
      <alignment horizontal="left"/>
    </xf>
    <xf numFmtId="2" fontId="13" fillId="0" borderId="0" xfId="5" quotePrefix="1" applyNumberFormat="1" applyFont="1" applyAlignment="1">
      <alignment horizontal="center"/>
    </xf>
    <xf numFmtId="2" fontId="13" fillId="0" borderId="0" xfId="5" applyNumberFormat="1" applyFont="1" applyAlignment="1">
      <alignment horizontal="center"/>
    </xf>
    <xf numFmtId="0" fontId="6" fillId="0" borderId="0" xfId="5" applyFont="1" applyAlignment="1">
      <alignment horizontal="left" indent="1"/>
    </xf>
    <xf numFmtId="41" fontId="5" fillId="0" borderId="1" xfId="5" applyNumberFormat="1" applyFont="1" applyBorder="1"/>
    <xf numFmtId="43" fontId="5" fillId="0" borderId="0" xfId="5" applyNumberFormat="1" applyFont="1"/>
    <xf numFmtId="43" fontId="5" fillId="0" borderId="1" xfId="5" applyNumberFormat="1" applyFont="1" applyBorder="1"/>
    <xf numFmtId="41" fontId="6" fillId="0" borderId="1" xfId="5" applyNumberFormat="1" applyFont="1" applyBorder="1"/>
    <xf numFmtId="0" fontId="8" fillId="0" borderId="0" xfId="5" applyFont="1" applyAlignment="1">
      <alignment horizontal="center"/>
    </xf>
    <xf numFmtId="0" fontId="8" fillId="0" borderId="0" xfId="5" applyFont="1"/>
    <xf numFmtId="41" fontId="5" fillId="2" borderId="1" xfId="5" applyNumberFormat="1" applyFont="1" applyFill="1" applyBorder="1"/>
    <xf numFmtId="41" fontId="5" fillId="2" borderId="0" xfId="5" applyNumberFormat="1" applyFont="1" applyFill="1"/>
    <xf numFmtId="0" fontId="9" fillId="2" borderId="0" xfId="5" applyFont="1" applyFill="1" applyAlignment="1">
      <alignment horizontal="center"/>
    </xf>
    <xf numFmtId="2" fontId="5" fillId="0" borderId="0" xfId="5" quotePrefix="1" applyNumberFormat="1" applyFont="1" applyAlignment="1">
      <alignment horizontal="center"/>
    </xf>
  </cellXfs>
  <cellStyles count="7">
    <cellStyle name="Comma 2" xfId="2" xr:uid="{00000000-0005-0000-0000-000001000000}"/>
    <cellStyle name="Normal" xfId="0" builtinId="0"/>
    <cellStyle name="Normal 2" xfId="1" xr:uid="{00000000-0005-0000-0000-000003000000}"/>
    <cellStyle name="Normal 2 2 2 2 4" xfId="5" xr:uid="{7B1703B5-951A-4324-8809-10C078FDFF3C}"/>
    <cellStyle name="Normal 3" xfId="4" xr:uid="{00000000-0005-0000-0000-000004000000}"/>
    <cellStyle name="Percent 2" xfId="3" xr:uid="{00000000-0005-0000-0000-000006000000}"/>
    <cellStyle name="Percent 2 12" xfId="6" xr:uid="{95717758-E22C-4695-B31B-8EB1AC57D70C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exh\230172-AWEC-Mullins-Exh-BGM-3-09-14-2023.xlsx" TargetMode="External"/><Relationship Id="rId1" Type="http://schemas.openxmlformats.org/officeDocument/2006/relationships/externalLinkPath" Target="230172-AWEC-Mullins-Exh-BGM-3-09-14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wps\230172-AWEC-BGM-Pole%20Attachment%20Rev-09-14-2023.xlsx" TargetMode="External"/><Relationship Id="rId1" Type="http://schemas.openxmlformats.org/officeDocument/2006/relationships/externalLinkPath" Target="/wrk_BkUp/20_pac/P35%20-%20UE-230172%20PPL%20WA%20GRC/dir/wps/230172-AWEC-BGM-Pole%20Attachment%20Rev-09-14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exh\230172-AWEC-Mullins-Exh-BGM-9-09-14-2023.xlsx" TargetMode="External"/><Relationship Id="rId1" Type="http://schemas.openxmlformats.org/officeDocument/2006/relationships/externalLinkPath" Target="230172-AWEC-Mullins-Exh-BGM-9-09-14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rk_BkUp\20_pac\P35%20-%20UE-230172%20PPL%20WA%20GRC\dir\exh\230172-AWEC-Mullins-Exh-BGM-6-09-14-2023.xlsx" TargetMode="External"/><Relationship Id="rId1" Type="http://schemas.openxmlformats.org/officeDocument/2006/relationships/externalLinkPath" Target="230172-AWEC-Mullins-Exh-BGM-6-09-1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BGM-1"/>
      <sheetName val="Exh. BGM-3 (Consolidated)"/>
      <sheetName val="Exh. BGM-3 (Detail)"/>
      <sheetName val="A1 (Elect. Adj.)"/>
    </sheetNames>
    <sheetDataSet>
      <sheetData sheetId="0" refreshError="1"/>
      <sheetData sheetId="1" refreshError="1"/>
      <sheetData sheetId="2">
        <row r="88">
          <cell r="J88">
            <v>76149.364791666143</v>
          </cell>
          <cell r="L88">
            <v>1100424.3467003778</v>
          </cell>
          <cell r="Q88">
            <v>74312.329929865504</v>
          </cell>
          <cell r="S88">
            <v>1073877.6001425651</v>
          </cell>
        </row>
      </sheetData>
      <sheetData sheetId="3">
        <row r="41">
          <cell r="H41">
            <v>2676.2618348944488</v>
          </cell>
        </row>
        <row r="52">
          <cell r="H52">
            <v>-271.4964723232921</v>
          </cell>
        </row>
        <row r="71">
          <cell r="H71">
            <v>-60.254035454226525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tach AWEC 084"/>
    </sheetNames>
    <sheetDataSet>
      <sheetData sheetId="0">
        <row r="131">
          <cell r="E131">
            <v>-654233.00020896213</v>
          </cell>
        </row>
        <row r="134">
          <cell r="E134">
            <v>-247866.66140379175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llins Inflation Forecast"/>
      <sheetName val="PTC Rate"/>
      <sheetName val="PTC RY1"/>
      <sheetName val="PTC RY2"/>
      <sheetName val="PTC Disallowance"/>
    </sheetNames>
    <sheetDataSet>
      <sheetData sheetId="0" refreshError="1"/>
      <sheetData sheetId="1">
        <row r="46">
          <cell r="I46">
            <v>618267.158712</v>
          </cell>
        </row>
      </sheetData>
      <sheetData sheetId="2">
        <row r="47">
          <cell r="I47">
            <v>484667.25914400001</v>
          </cell>
        </row>
      </sheetData>
      <sheetData sheetId="3">
        <row r="47">
          <cell r="I47">
            <v>3480763.3884119997</v>
          </cell>
        </row>
      </sheetData>
      <sheetData sheetId="4">
        <row r="47">
          <cell r="I47">
            <v>278584.98822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J4">
            <v>-4755417.7470410671</v>
          </cell>
        </row>
        <row r="5">
          <cell r="J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26B9-04E8-4E00-98F0-AAA64264A98C}">
  <sheetPr codeName="Sheet14">
    <tabColor rgb="FF57AAB5"/>
  </sheetPr>
  <dimension ref="A1:AV41"/>
  <sheetViews>
    <sheetView zoomScaleNormal="100" zoomScaleSheetLayoutView="100" workbookViewId="0"/>
  </sheetViews>
  <sheetFormatPr defaultColWidth="9.140625" defaultRowHeight="12.75" x14ac:dyDescent="0.2"/>
  <cols>
    <col min="1" max="1" width="1.42578125" style="4" customWidth="1"/>
    <col min="2" max="2" width="3.28515625" style="4" customWidth="1"/>
    <col min="3" max="3" width="1.42578125" style="4" customWidth="1"/>
    <col min="4" max="4" width="3.42578125" style="4" customWidth="1"/>
    <col min="5" max="5" width="1.42578125" style="4" customWidth="1"/>
    <col min="6" max="6" width="48" style="4" bestFit="1" customWidth="1"/>
    <col min="7" max="8" width="1.42578125" style="5" customWidth="1"/>
    <col min="9" max="9" width="9.85546875" style="4" customWidth="1"/>
    <col min="10" max="10" width="1.42578125" style="4" customWidth="1"/>
    <col min="11" max="11" width="9.85546875" style="4" customWidth="1"/>
    <col min="12" max="12" width="1.42578125" style="4" customWidth="1"/>
    <col min="13" max="13" width="9.85546875" style="4" customWidth="1"/>
    <col min="14" max="14" width="1.42578125" style="5" customWidth="1"/>
    <col min="15" max="15" width="1.42578125" style="4" customWidth="1"/>
    <col min="16" max="16" width="9.85546875" style="4" customWidth="1"/>
    <col min="17" max="17" width="1.42578125" style="4" customWidth="1"/>
    <col min="18" max="18" width="9.85546875" style="4" customWidth="1"/>
    <col min="19" max="19" width="1.42578125" style="4" customWidth="1"/>
    <col min="20" max="20" width="9.85546875" style="4" customWidth="1"/>
    <col min="21" max="22" width="1.42578125" style="4" customWidth="1"/>
    <col min="23" max="23" width="9.85546875" style="5" customWidth="1"/>
    <col min="24" max="24" width="1.42578125" style="5" customWidth="1"/>
    <col min="25" max="25" width="9.85546875" style="5" customWidth="1"/>
    <col min="26" max="26" width="1.28515625" style="5" customWidth="1"/>
    <col min="27" max="27" width="9.85546875" style="5" customWidth="1"/>
    <col min="28" max="28" width="1.42578125" style="5" customWidth="1"/>
    <col min="29" max="29" width="9.85546875" style="5" customWidth="1"/>
    <col min="30" max="30" width="1.42578125" style="5" customWidth="1"/>
    <col min="31" max="31" width="7.7109375" style="5" bestFit="1" customWidth="1"/>
    <col min="32" max="32" width="17.42578125" style="5" customWidth="1"/>
    <col min="33" max="34" width="2.7109375" style="5" customWidth="1"/>
    <col min="35" max="35" width="21.140625" style="5" customWidth="1"/>
    <col min="36" max="38" width="11.85546875" style="4" customWidth="1"/>
    <col min="39" max="16384" width="9.140625" style="4"/>
  </cols>
  <sheetData>
    <row r="1" spans="1:48" x14ac:dyDescent="0.2">
      <c r="A1" s="3" t="s">
        <v>76</v>
      </c>
      <c r="B1" s="3"/>
      <c r="C1" s="3"/>
      <c r="E1" s="3"/>
      <c r="F1" s="3"/>
      <c r="I1" s="5"/>
      <c r="J1" s="3"/>
      <c r="K1" s="3"/>
      <c r="L1" s="3"/>
      <c r="M1" s="3"/>
      <c r="O1" s="3"/>
      <c r="P1" s="3"/>
      <c r="Q1" s="3"/>
      <c r="R1" s="3"/>
      <c r="S1" s="3"/>
      <c r="T1" s="3"/>
      <c r="X1" s="6"/>
      <c r="AH1" s="7"/>
      <c r="AJ1" s="5"/>
      <c r="AK1" s="5"/>
      <c r="AL1" s="5"/>
      <c r="AM1" s="5"/>
      <c r="AN1" s="5"/>
    </row>
    <row r="2" spans="1:48" x14ac:dyDescent="0.2">
      <c r="B2" s="3"/>
      <c r="C2" s="3"/>
      <c r="D2" s="3"/>
      <c r="E2" s="3"/>
      <c r="F2" s="3"/>
      <c r="H2" s="8"/>
      <c r="I2" s="9" t="s">
        <v>44</v>
      </c>
      <c r="J2" s="10"/>
      <c r="K2" s="10"/>
      <c r="L2" s="10"/>
      <c r="M2" s="10"/>
      <c r="O2" s="3"/>
      <c r="P2" s="9" t="s">
        <v>45</v>
      </c>
      <c r="Q2" s="11"/>
      <c r="R2" s="11"/>
      <c r="S2" s="11"/>
      <c r="T2" s="11"/>
      <c r="W2" s="9" t="s">
        <v>46</v>
      </c>
      <c r="X2" s="12"/>
      <c r="Y2" s="13"/>
      <c r="Z2" s="13"/>
      <c r="AA2" s="13"/>
      <c r="AB2" s="13"/>
      <c r="AC2" s="13"/>
      <c r="AD2" s="6"/>
      <c r="AE2" s="6"/>
      <c r="AF2" s="6"/>
      <c r="AH2" s="7"/>
      <c r="AI2" s="14" t="s">
        <v>47</v>
      </c>
      <c r="AJ2" s="14"/>
      <c r="AK2" s="14"/>
      <c r="AL2" s="14"/>
      <c r="AM2" s="5"/>
      <c r="AN2" s="5"/>
    </row>
    <row r="3" spans="1:48" x14ac:dyDescent="0.2">
      <c r="B3" s="3"/>
      <c r="C3" s="3"/>
      <c r="D3" s="3"/>
      <c r="E3" s="3"/>
      <c r="F3" s="3"/>
      <c r="I3" s="6"/>
      <c r="J3" s="6"/>
      <c r="K3" s="6"/>
      <c r="L3" s="6"/>
      <c r="M3" s="6" t="s">
        <v>49</v>
      </c>
      <c r="P3" s="6"/>
      <c r="Q3" s="6"/>
      <c r="R3" s="6"/>
      <c r="S3" s="6"/>
      <c r="T3" s="6" t="s">
        <v>49</v>
      </c>
      <c r="W3" s="6" t="s">
        <v>50</v>
      </c>
      <c r="X3" s="6"/>
      <c r="Y3" s="6"/>
      <c r="Z3" s="6"/>
      <c r="AA3" s="6"/>
      <c r="AB3" s="6"/>
      <c r="AC3" s="6" t="s">
        <v>49</v>
      </c>
      <c r="AD3" s="6"/>
      <c r="AE3" s="6"/>
      <c r="AF3" s="6"/>
      <c r="AH3" s="7"/>
      <c r="AI3" s="4"/>
    </row>
    <row r="4" spans="1:48" x14ac:dyDescent="0.2">
      <c r="B4" s="3"/>
      <c r="C4" s="3"/>
      <c r="D4" s="15" t="s">
        <v>51</v>
      </c>
      <c r="E4" s="3"/>
      <c r="F4" s="3"/>
      <c r="I4" s="6" t="s">
        <v>53</v>
      </c>
      <c r="J4" s="6"/>
      <c r="K4" s="6"/>
      <c r="L4" s="6"/>
      <c r="M4" s="6" t="s">
        <v>54</v>
      </c>
      <c r="P4" s="6" t="s">
        <v>53</v>
      </c>
      <c r="Q4" s="6"/>
      <c r="R4" s="6"/>
      <c r="S4" s="6"/>
      <c r="T4" s="6" t="s">
        <v>54</v>
      </c>
      <c r="W4" s="6" t="s">
        <v>53</v>
      </c>
      <c r="X4" s="6"/>
      <c r="Y4" s="6" t="s">
        <v>53</v>
      </c>
      <c r="Z4" s="6"/>
      <c r="AA4" s="6"/>
      <c r="AB4" s="6"/>
      <c r="AC4" s="6" t="s">
        <v>54</v>
      </c>
      <c r="AD4" s="6"/>
      <c r="AE4" s="6" t="s">
        <v>123</v>
      </c>
      <c r="AF4" s="6"/>
      <c r="AH4" s="7"/>
      <c r="AI4" s="4" t="s">
        <v>55</v>
      </c>
      <c r="AJ4" s="16">
        <v>0.75182000000000004</v>
      </c>
    </row>
    <row r="5" spans="1:48" x14ac:dyDescent="0.2">
      <c r="B5" s="17" t="s">
        <v>56</v>
      </c>
      <c r="C5" s="3"/>
      <c r="D5" s="17" t="s">
        <v>57</v>
      </c>
      <c r="E5" s="3"/>
      <c r="F5" s="11" t="s">
        <v>58</v>
      </c>
      <c r="I5" s="18" t="s">
        <v>59</v>
      </c>
      <c r="J5" s="6"/>
      <c r="K5" s="18" t="s">
        <v>1</v>
      </c>
      <c r="L5" s="6"/>
      <c r="M5" s="18" t="s">
        <v>60</v>
      </c>
      <c r="P5" s="18" t="s">
        <v>59</v>
      </c>
      <c r="Q5" s="6"/>
      <c r="R5" s="18" t="s">
        <v>1</v>
      </c>
      <c r="S5" s="6"/>
      <c r="T5" s="18" t="s">
        <v>60</v>
      </c>
      <c r="W5" s="18" t="s">
        <v>59</v>
      </c>
      <c r="X5" s="6"/>
      <c r="Y5" s="18" t="s">
        <v>59</v>
      </c>
      <c r="Z5" s="6"/>
      <c r="AA5" s="18" t="s">
        <v>1</v>
      </c>
      <c r="AB5" s="6"/>
      <c r="AC5" s="18" t="s">
        <v>60</v>
      </c>
      <c r="AD5" s="6"/>
      <c r="AE5" s="18" t="s">
        <v>122</v>
      </c>
      <c r="AF5" s="6"/>
      <c r="AH5" s="7"/>
      <c r="AI5" s="4" t="s">
        <v>61</v>
      </c>
      <c r="AJ5" s="19">
        <v>0.21</v>
      </c>
    </row>
    <row r="6" spans="1:48" x14ac:dyDescent="0.2">
      <c r="AE6" s="6"/>
      <c r="AF6" s="6"/>
      <c r="AH6" s="7"/>
      <c r="AI6" s="4" t="s">
        <v>62</v>
      </c>
    </row>
    <row r="7" spans="1:48" x14ac:dyDescent="0.2">
      <c r="B7" s="4">
        <v>1</v>
      </c>
      <c r="D7" s="20"/>
      <c r="E7" s="3"/>
      <c r="F7" s="3" t="s">
        <v>116</v>
      </c>
      <c r="I7" s="21">
        <f>+'Exh. BGM-4 (Detail)'!J7</f>
        <v>76149.364791666143</v>
      </c>
      <c r="J7" s="21"/>
      <c r="K7" s="21">
        <f>+'Exh. BGM-4 (Detail)'!L7</f>
        <v>1100424.3467003778</v>
      </c>
      <c r="L7" s="21"/>
      <c r="M7" s="21">
        <f>+($K7*$AL$17-$I7)/$AJ$4</f>
        <v>0</v>
      </c>
      <c r="O7" s="3"/>
      <c r="P7" s="21">
        <f>+'Exh. BGM-4 (Detail)'!Q7</f>
        <v>74312.329929865504</v>
      </c>
      <c r="Q7" s="21"/>
      <c r="R7" s="21">
        <f>+'Exh. BGM-4 (Detail)'!S7</f>
        <v>1073877.6001425651</v>
      </c>
      <c r="S7" s="21"/>
      <c r="T7" s="21">
        <f>+($R7*$AL$17-$P7)/$AJ$4</f>
        <v>0</v>
      </c>
      <c r="AE7" s="6"/>
      <c r="AF7" s="6"/>
      <c r="AH7" s="7"/>
      <c r="AI7" s="4"/>
      <c r="AS7" s="22"/>
      <c r="AT7" s="23"/>
      <c r="AU7" s="23"/>
      <c r="AV7" s="23"/>
    </row>
    <row r="8" spans="1:48" x14ac:dyDescent="0.2">
      <c r="D8" s="24"/>
      <c r="I8" s="25"/>
      <c r="J8" s="25"/>
      <c r="K8" s="25"/>
      <c r="L8" s="25"/>
      <c r="M8" s="25"/>
      <c r="P8" s="25"/>
      <c r="Q8" s="25"/>
      <c r="R8" s="25"/>
      <c r="S8" s="25"/>
      <c r="T8" s="25"/>
      <c r="AE8" s="6"/>
      <c r="AF8" s="6"/>
      <c r="AH8" s="7"/>
      <c r="AS8" s="22"/>
      <c r="AT8" s="23"/>
      <c r="AU8" s="23"/>
      <c r="AV8" s="23"/>
    </row>
    <row r="9" spans="1:48" x14ac:dyDescent="0.2">
      <c r="B9" s="8" t="s">
        <v>63</v>
      </c>
      <c r="D9" s="24"/>
      <c r="I9" s="25"/>
      <c r="J9" s="25"/>
      <c r="K9" s="25"/>
      <c r="L9" s="25"/>
      <c r="M9" s="25"/>
      <c r="P9" s="25"/>
      <c r="Q9" s="25"/>
      <c r="R9" s="25"/>
      <c r="S9" s="25"/>
      <c r="T9" s="25"/>
      <c r="AE9" s="6"/>
      <c r="AF9" s="6"/>
      <c r="AH9" s="7"/>
      <c r="AT9" s="23"/>
      <c r="AU9" s="23"/>
    </row>
    <row r="10" spans="1:48" x14ac:dyDescent="0.2">
      <c r="B10" s="4">
        <f t="shared" ref="B10:B32" ca="1" si="0">+MAX(OFFSET($B$7,0,0,ROW($B10)-ROW($B$7),1))+1</f>
        <v>2</v>
      </c>
      <c r="D10" s="1" t="s">
        <v>3</v>
      </c>
      <c r="F10" s="25" t="s">
        <v>31</v>
      </c>
      <c r="I10" s="25">
        <v>1818.1178591802361</v>
      </c>
      <c r="J10" s="25"/>
      <c r="K10" s="25">
        <v>0</v>
      </c>
      <c r="L10" s="25"/>
      <c r="M10" s="25">
        <f t="shared" ref="M10:M32" si="1">+($K10*$AL$17-$I10)/$AJ$4</f>
        <v>-2418.2887648376418</v>
      </c>
      <c r="P10" s="25" cm="1">
        <f t="array" aca="1" ref="P10" ca="1">+SUM('Exh. BGM-4 (Detail)'!Q$9:Q$41*('Exh. BGM-4 (Detail)'!$D$9:$D$41=$D10))</f>
        <v>1818.1178591802361</v>
      </c>
      <c r="Q10" s="25"/>
      <c r="R10" s="25" cm="1">
        <f t="array" ref="R10">+SUM('Exh. BGM-4 (Detail)'!S$9:S$41*('Exh. BGM-4 (Detail)'!$D$9:$D$41=$D10))</f>
        <v>0</v>
      </c>
      <c r="S10" s="25"/>
      <c r="T10" s="25">
        <f t="shared" ref="T10:T32" ca="1" si="2">+($R10*$AL$17-$P10)/$AJ$4</f>
        <v>-2418.2887648376418</v>
      </c>
      <c r="W10" s="25">
        <f ca="1">+P10-I10</f>
        <v>0</v>
      </c>
      <c r="X10" s="25"/>
      <c r="Y10" s="25">
        <f ca="1">+P10-I10</f>
        <v>0</v>
      </c>
      <c r="Z10" s="25"/>
      <c r="AA10" s="25">
        <v>0</v>
      </c>
      <c r="AB10" s="26"/>
      <c r="AC10" s="25">
        <f t="shared" ref="AC10:AC32" ca="1" si="3">+T10-M10</f>
        <v>0</v>
      </c>
      <c r="AE10" s="6"/>
      <c r="AF10" s="6"/>
      <c r="AH10" s="7"/>
    </row>
    <row r="11" spans="1:48" x14ac:dyDescent="0.2">
      <c r="B11" s="4">
        <f t="shared" ca="1" si="0"/>
        <v>3</v>
      </c>
      <c r="D11" s="1" t="s">
        <v>4</v>
      </c>
      <c r="F11" s="25" t="s">
        <v>32</v>
      </c>
      <c r="I11" s="25">
        <v>-478.24762333919779</v>
      </c>
      <c r="J11" s="25"/>
      <c r="K11" s="25">
        <v>0</v>
      </c>
      <c r="L11" s="25"/>
      <c r="M11" s="25">
        <f t="shared" si="1"/>
        <v>636.11984695698141</v>
      </c>
      <c r="P11" s="25" cm="1">
        <f t="array" aca="1" ref="P11" ca="1">+SUM('Exh. BGM-4 (Detail)'!Q$9:Q$41*('Exh. BGM-4 (Detail)'!$D$9:$D$41=$D11))</f>
        <v>-478.24762333919779</v>
      </c>
      <c r="Q11" s="25"/>
      <c r="R11" s="25" cm="1">
        <f t="array" ref="R11">+SUM('Exh. BGM-4 (Detail)'!S$9:S$41*('Exh. BGM-4 (Detail)'!$D$9:$D$41=$D11))</f>
        <v>0</v>
      </c>
      <c r="S11" s="25"/>
      <c r="T11" s="25">
        <f t="shared" ca="1" si="2"/>
        <v>636.11984695698141</v>
      </c>
      <c r="W11" s="25">
        <f t="shared" ref="W11:W32" ca="1" si="4">+P11-I11</f>
        <v>0</v>
      </c>
      <c r="X11" s="25"/>
      <c r="Y11" s="25">
        <f t="shared" ref="Y11:Y32" ca="1" si="5">+P11-I11</f>
        <v>0</v>
      </c>
      <c r="Z11" s="25"/>
      <c r="AA11" s="25">
        <v>0</v>
      </c>
      <c r="AB11" s="26"/>
      <c r="AC11" s="25">
        <f t="shared" ca="1" si="3"/>
        <v>0</v>
      </c>
      <c r="AE11" s="6"/>
      <c r="AF11" s="6"/>
      <c r="AH11" s="7"/>
    </row>
    <row r="12" spans="1:48" x14ac:dyDescent="0.2">
      <c r="B12" s="4">
        <f t="shared" ca="1" si="0"/>
        <v>4</v>
      </c>
      <c r="D12" s="1" t="s">
        <v>35</v>
      </c>
      <c r="F12" s="25" t="s">
        <v>33</v>
      </c>
      <c r="I12" s="25">
        <v>-158.50092953504793</v>
      </c>
      <c r="J12" s="25"/>
      <c r="K12" s="25">
        <v>0</v>
      </c>
      <c r="L12" s="25"/>
      <c r="M12" s="25">
        <f t="shared" si="1"/>
        <v>210.82297562587843</v>
      </c>
      <c r="P12" s="25" cm="1">
        <f t="array" aca="1" ref="P12" ca="1">+SUM('Exh. BGM-4 (Detail)'!Q$9:Q$41*('Exh. BGM-4 (Detail)'!$D$9:$D$41=$D12))</f>
        <v>-158.50092953504793</v>
      </c>
      <c r="Q12" s="25"/>
      <c r="R12" s="25" cm="1">
        <f t="array" ref="R12">+SUM('Exh. BGM-4 (Detail)'!S$9:S$41*('Exh. BGM-4 (Detail)'!$D$9:$D$41=$D12))</f>
        <v>0</v>
      </c>
      <c r="S12" s="25"/>
      <c r="T12" s="25">
        <f t="shared" ca="1" si="2"/>
        <v>210.82297562587843</v>
      </c>
      <c r="W12" s="25">
        <f t="shared" ca="1" si="4"/>
        <v>0</v>
      </c>
      <c r="X12" s="25"/>
      <c r="Y12" s="25">
        <f t="shared" ca="1" si="5"/>
        <v>0</v>
      </c>
      <c r="Z12" s="25"/>
      <c r="AA12" s="25">
        <v>0</v>
      </c>
      <c r="AB12" s="26"/>
      <c r="AC12" s="25">
        <f t="shared" ca="1" si="3"/>
        <v>0</v>
      </c>
      <c r="AE12" s="6"/>
      <c r="AF12" s="6"/>
      <c r="AH12" s="7"/>
      <c r="AI12" s="53" t="s">
        <v>64</v>
      </c>
      <c r="AJ12" s="28" t="s">
        <v>65</v>
      </c>
      <c r="AK12" s="28"/>
      <c r="AL12" s="29" t="s">
        <v>66</v>
      </c>
    </row>
    <row r="13" spans="1:48" x14ac:dyDescent="0.2">
      <c r="B13" s="4">
        <f t="shared" ca="1" si="0"/>
        <v>5</v>
      </c>
      <c r="D13" s="69" t="s">
        <v>81</v>
      </c>
      <c r="F13" s="25" t="s">
        <v>82</v>
      </c>
      <c r="I13" s="25">
        <v>0</v>
      </c>
      <c r="J13" s="25"/>
      <c r="K13" s="25">
        <v>0</v>
      </c>
      <c r="L13" s="25"/>
      <c r="M13" s="25">
        <f t="shared" si="1"/>
        <v>0</v>
      </c>
      <c r="P13" s="25" cm="1">
        <f t="array" aca="1" ref="P13" ca="1">+SUM('Exh. BGM-4 (Detail)'!Q$9:Q$41*('Exh. BGM-4 (Detail)'!$D$9:$D$41=$D13))</f>
        <v>186.3511133765987</v>
      </c>
      <c r="Q13" s="25"/>
      <c r="R13" s="25" cm="1">
        <f t="array" ref="R13">+SUM('Exh. BGM-4 (Detail)'!S$9:S$41*('Exh. BGM-4 (Detail)'!$D$9:$D$41=$D13))</f>
        <v>0</v>
      </c>
      <c r="S13" s="25"/>
      <c r="T13" s="25">
        <f t="shared" ca="1" si="2"/>
        <v>-247.86666140379171</v>
      </c>
      <c r="W13" s="25">
        <f t="shared" ca="1" si="4"/>
        <v>186.3511133765987</v>
      </c>
      <c r="X13" s="25"/>
      <c r="Y13" s="25">
        <f t="shared" ca="1" si="5"/>
        <v>186.3511133765987</v>
      </c>
      <c r="Z13" s="25"/>
      <c r="AA13" s="25">
        <v>0</v>
      </c>
      <c r="AB13" s="26"/>
      <c r="AC13" s="25">
        <f t="shared" ca="1" si="3"/>
        <v>-247.86666140379171</v>
      </c>
      <c r="AE13" s="6" t="s">
        <v>117</v>
      </c>
      <c r="AF13" s="6"/>
      <c r="AH13" s="7"/>
      <c r="AI13" s="56" t="s">
        <v>70</v>
      </c>
      <c r="AJ13" s="54" t="s">
        <v>71</v>
      </c>
      <c r="AK13" s="54" t="s">
        <v>72</v>
      </c>
      <c r="AL13" s="55" t="s">
        <v>72</v>
      </c>
    </row>
    <row r="14" spans="1:48" x14ac:dyDescent="0.2">
      <c r="B14" s="4">
        <f t="shared" ca="1" si="0"/>
        <v>6</v>
      </c>
      <c r="D14" s="69" t="s">
        <v>124</v>
      </c>
      <c r="F14" s="25" t="s">
        <v>110</v>
      </c>
      <c r="I14" s="25">
        <v>0</v>
      </c>
      <c r="J14" s="25"/>
      <c r="K14" s="25">
        <v>0</v>
      </c>
      <c r="L14" s="25"/>
      <c r="M14" s="25">
        <f t="shared" si="1"/>
        <v>0</v>
      </c>
      <c r="P14" s="25" cm="1">
        <f t="array" aca="1" ref="P14" ca="1">+SUM('Exh. BGM-4 (Detail)'!Q$9:Q$41*('Exh. BGM-4 (Detail)'!$D$9:$D$41=$D14))</f>
        <v>3480.7633884119996</v>
      </c>
      <c r="Q14" s="25"/>
      <c r="R14" s="25" cm="1">
        <f t="array" ref="R14">+SUM('Exh. BGM-4 (Detail)'!S$9:S$41*('Exh. BGM-4 (Detail)'!$D$9:$D$41=$D14))</f>
        <v>0</v>
      </c>
      <c r="S14" s="25"/>
      <c r="T14" s="25">
        <f t="shared" ca="1" si="2"/>
        <v>-4629.7829113511207</v>
      </c>
      <c r="W14" s="25">
        <f ca="1">+Y14/(1-AJ5)</f>
        <v>4406.0296055848094</v>
      </c>
      <c r="X14" s="25"/>
      <c r="Y14" s="25">
        <f t="shared" ca="1" si="5"/>
        <v>3480.7633884119996</v>
      </c>
      <c r="Z14" s="25"/>
      <c r="AA14" s="25">
        <v>0</v>
      </c>
      <c r="AB14" s="26"/>
      <c r="AC14" s="25">
        <f t="shared" ref="AC14" ca="1" si="6">+T14-M14</f>
        <v>-4629.7829113511207</v>
      </c>
      <c r="AE14" s="6" t="s">
        <v>118</v>
      </c>
      <c r="AF14" s="6"/>
      <c r="AH14" s="7"/>
      <c r="AI14" s="30" t="s">
        <v>73</v>
      </c>
      <c r="AJ14" s="31">
        <v>0.4899</v>
      </c>
      <c r="AK14" s="31">
        <v>4.7699999999999999E-2</v>
      </c>
      <c r="AL14" s="32">
        <f>+AJ14*AK14</f>
        <v>2.336823E-2</v>
      </c>
    </row>
    <row r="15" spans="1:48" x14ac:dyDescent="0.2">
      <c r="B15" s="4">
        <f t="shared" ca="1" si="0"/>
        <v>7</v>
      </c>
      <c r="D15" s="1" t="s">
        <v>5</v>
      </c>
      <c r="F15" s="25" t="s">
        <v>6</v>
      </c>
      <c r="I15" s="25">
        <v>-123.69640812281473</v>
      </c>
      <c r="J15" s="25"/>
      <c r="K15" s="25">
        <v>112345.97380883749</v>
      </c>
      <c r="L15" s="25"/>
      <c r="M15" s="25">
        <f t="shared" si="1"/>
        <v>10505.224383089526</v>
      </c>
      <c r="P15" s="25" cm="1">
        <f t="array" aca="1" ref="P15" ca="1">+SUM('Exh. BGM-4 (Detail)'!Q$9:Q$41*('Exh. BGM-4 (Detail)'!$D$9:$D$41=$D15))</f>
        <v>-123.69640812281473</v>
      </c>
      <c r="Q15" s="25"/>
      <c r="R15" s="25" cm="1">
        <f t="array" ref="R15">+SUM('Exh. BGM-4 (Detail)'!S$9:S$41*('Exh. BGM-4 (Detail)'!$D$9:$D$41=$D15))</f>
        <v>92998.046667388204</v>
      </c>
      <c r="S15" s="25"/>
      <c r="T15" s="25">
        <f t="shared" ca="1" si="2"/>
        <v>8724.3771614297002</v>
      </c>
      <c r="W15" s="25">
        <f t="shared" ca="1" si="4"/>
        <v>0</v>
      </c>
      <c r="X15" s="25"/>
      <c r="Y15" s="25">
        <f t="shared" ca="1" si="5"/>
        <v>0</v>
      </c>
      <c r="Z15" s="25"/>
      <c r="AA15" s="25">
        <v>0</v>
      </c>
      <c r="AB15" s="26"/>
      <c r="AC15" s="25">
        <f t="shared" ca="1" si="3"/>
        <v>-1780.8472216598257</v>
      </c>
      <c r="AE15" s="6" t="s">
        <v>118</v>
      </c>
      <c r="AF15" s="6"/>
      <c r="AH15" s="7"/>
      <c r="AI15" s="30" t="s">
        <v>67</v>
      </c>
      <c r="AJ15" s="31">
        <v>1E-4</v>
      </c>
      <c r="AK15" s="31">
        <v>6.7500000000000004E-2</v>
      </c>
      <c r="AL15" s="32">
        <f>+AJ15*AK15</f>
        <v>6.7500000000000006E-6</v>
      </c>
    </row>
    <row r="16" spans="1:48" x14ac:dyDescent="0.2">
      <c r="B16" s="4">
        <f t="shared" ca="1" si="0"/>
        <v>8</v>
      </c>
      <c r="D16" s="1" t="s">
        <v>9</v>
      </c>
      <c r="F16" s="25" t="s">
        <v>8</v>
      </c>
      <c r="I16" s="25">
        <v>-2989.8574393476993</v>
      </c>
      <c r="J16" s="25"/>
      <c r="K16" s="25">
        <v>0</v>
      </c>
      <c r="L16" s="25"/>
      <c r="M16" s="25">
        <f t="shared" si="1"/>
        <v>3976.8261543290937</v>
      </c>
      <c r="P16" s="25" cm="1">
        <f t="array" aca="1" ref="P16" ca="1">+SUM('Exh. BGM-4 (Detail)'!Q$9:Q$41*('Exh. BGM-4 (Detail)'!$D$9:$D$41=$D16))</f>
        <v>-2382.5360254268935</v>
      </c>
      <c r="Q16" s="25"/>
      <c r="R16" s="25" cm="1">
        <f t="array" ref="R16">+SUM('Exh. BGM-4 (Detail)'!S$9:S$41*('Exh. BGM-4 (Detail)'!$D$9:$D$41=$D16))</f>
        <v>0</v>
      </c>
      <c r="S16" s="25"/>
      <c r="T16" s="25">
        <f t="shared" ca="1" si="2"/>
        <v>3169.0245343657966</v>
      </c>
      <c r="W16" s="25">
        <f t="shared" ca="1" si="4"/>
        <v>607.32141392080575</v>
      </c>
      <c r="X16" s="25"/>
      <c r="Y16" s="25">
        <f t="shared" ca="1" si="5"/>
        <v>607.32141392080575</v>
      </c>
      <c r="Z16" s="25"/>
      <c r="AA16" s="25">
        <v>0</v>
      </c>
      <c r="AB16" s="26"/>
      <c r="AC16" s="25">
        <f t="shared" ca="1" si="3"/>
        <v>-807.80161996329707</v>
      </c>
      <c r="AE16" s="6" t="s">
        <v>118</v>
      </c>
      <c r="AF16" s="6"/>
      <c r="AH16" s="7"/>
      <c r="AI16" s="30" t="s">
        <v>68</v>
      </c>
      <c r="AJ16" s="33">
        <f>1-SUM(AJ12:AJ15)</f>
        <v>0.51</v>
      </c>
      <c r="AK16" s="31">
        <v>0.09</v>
      </c>
      <c r="AL16" s="32">
        <f>+AJ16*AK16</f>
        <v>4.5899999999999996E-2</v>
      </c>
    </row>
    <row r="17" spans="2:38" x14ac:dyDescent="0.2">
      <c r="B17" s="4">
        <f t="shared" ca="1" si="0"/>
        <v>9</v>
      </c>
      <c r="D17" s="1" t="s">
        <v>10</v>
      </c>
      <c r="F17" s="25" t="s">
        <v>7</v>
      </c>
      <c r="I17" s="25">
        <v>0</v>
      </c>
      <c r="J17" s="25"/>
      <c r="K17" s="25">
        <v>-47426.374488113695</v>
      </c>
      <c r="L17" s="25"/>
      <c r="M17" s="25">
        <f t="shared" si="1"/>
        <v>-4365.28040565224</v>
      </c>
      <c r="P17" s="25" cm="1">
        <f t="array" aca="1" ref="P17" ca="1">+SUM('Exh. BGM-4 (Detail)'!Q$9:Q$41*('Exh. BGM-4 (Detail)'!$D$9:$D$41=$D17))</f>
        <v>0</v>
      </c>
      <c r="Q17" s="25"/>
      <c r="R17" s="25" cm="1">
        <f t="array" ref="R17">+SUM('Exh. BGM-4 (Detail)'!S$9:S$41*('Exh. BGM-4 (Detail)'!$D$9:$D$41=$D17))</f>
        <v>-46805.312684831166</v>
      </c>
      <c r="S17" s="25"/>
      <c r="T17" s="25">
        <f t="shared" ca="1" si="2"/>
        <v>-4308.1158226574398</v>
      </c>
      <c r="W17" s="25">
        <f t="shared" ca="1" si="4"/>
        <v>0</v>
      </c>
      <c r="X17" s="25"/>
      <c r="Y17" s="25">
        <f t="shared" ca="1" si="5"/>
        <v>0</v>
      </c>
      <c r="Z17" s="25"/>
      <c r="AA17" s="25">
        <v>0</v>
      </c>
      <c r="AB17" s="26"/>
      <c r="AC17" s="25">
        <f t="shared" ca="1" si="3"/>
        <v>57.164582994800185</v>
      </c>
      <c r="AE17" s="6"/>
      <c r="AF17" s="6"/>
      <c r="AH17" s="7"/>
      <c r="AI17" s="34" t="s">
        <v>2</v>
      </c>
      <c r="AJ17" s="33">
        <v>1</v>
      </c>
      <c r="AK17" s="35"/>
      <c r="AL17" s="36">
        <f>+ROUNDDOWN(SUM(AL14:AL16),4)</f>
        <v>6.9199999999999998E-2</v>
      </c>
    </row>
    <row r="18" spans="2:38" x14ac:dyDescent="0.2">
      <c r="B18" s="4">
        <f t="shared" ca="1" si="0"/>
        <v>10</v>
      </c>
      <c r="D18" s="1" t="s">
        <v>11</v>
      </c>
      <c r="F18" s="25" t="s">
        <v>43</v>
      </c>
      <c r="I18" s="25">
        <v>0</v>
      </c>
      <c r="J18" s="25"/>
      <c r="K18" s="25">
        <v>-4474.7859431036777</v>
      </c>
      <c r="L18" s="25"/>
      <c r="M18" s="25">
        <f t="shared" si="1"/>
        <v>-411.87410186317794</v>
      </c>
      <c r="P18" s="25" cm="1">
        <f t="array" aca="1" ref="P18" ca="1">+SUM('Exh. BGM-4 (Detail)'!Q$9:Q$41*('Exh. BGM-4 (Detail)'!$D$9:$D$41=$D18))</f>
        <v>0</v>
      </c>
      <c r="Q18" s="25"/>
      <c r="R18" s="25" cm="1">
        <f t="array" ref="R18">+SUM('Exh. BGM-4 (Detail)'!S$9:S$41*('Exh. BGM-4 (Detail)'!$D$9:$D$41=$D18))</f>
        <v>-4474.7859431036777</v>
      </c>
      <c r="S18" s="25"/>
      <c r="T18" s="25">
        <f t="shared" ca="1" si="2"/>
        <v>-411.87410186317794</v>
      </c>
      <c r="W18" s="25">
        <f t="shared" ca="1" si="4"/>
        <v>0</v>
      </c>
      <c r="X18" s="25"/>
      <c r="Y18" s="25">
        <f t="shared" ca="1" si="5"/>
        <v>0</v>
      </c>
      <c r="Z18" s="25"/>
      <c r="AA18" s="25">
        <v>0</v>
      </c>
      <c r="AB18" s="26"/>
      <c r="AC18" s="25">
        <f t="shared" ca="1" si="3"/>
        <v>0</v>
      </c>
      <c r="AE18" s="6"/>
      <c r="AF18" s="6"/>
      <c r="AH18" s="7"/>
    </row>
    <row r="19" spans="2:38" x14ac:dyDescent="0.2">
      <c r="B19" s="4">
        <f t="shared" ca="1" si="0"/>
        <v>11</v>
      </c>
      <c r="D19" s="1" t="s">
        <v>12</v>
      </c>
      <c r="F19" s="25" t="s">
        <v>42</v>
      </c>
      <c r="I19" s="25">
        <v>0</v>
      </c>
      <c r="J19" s="25"/>
      <c r="K19" s="25">
        <v>-883.6076582111134</v>
      </c>
      <c r="L19" s="25"/>
      <c r="M19" s="25">
        <f t="shared" si="1"/>
        <v>-81.330172046778543</v>
      </c>
      <c r="P19" s="25" cm="1">
        <f t="array" aca="1" ref="P19" ca="1">+SUM('Exh. BGM-4 (Detail)'!Q$9:Q$41*('Exh. BGM-4 (Detail)'!$D$9:$D$41=$D19))</f>
        <v>0</v>
      </c>
      <c r="Q19" s="25"/>
      <c r="R19" s="25" cm="1">
        <f t="array" ref="R19">+SUM('Exh. BGM-4 (Detail)'!S$9:S$41*('Exh. BGM-4 (Detail)'!$D$9:$D$41=$D19))</f>
        <v>-883.6076582111134</v>
      </c>
      <c r="S19" s="25"/>
      <c r="T19" s="25">
        <f t="shared" ca="1" si="2"/>
        <v>-81.330172046778543</v>
      </c>
      <c r="W19" s="25">
        <f t="shared" ca="1" si="4"/>
        <v>0</v>
      </c>
      <c r="X19" s="25"/>
      <c r="Y19" s="25">
        <f t="shared" ca="1" si="5"/>
        <v>0</v>
      </c>
      <c r="Z19" s="25"/>
      <c r="AA19" s="25">
        <v>0</v>
      </c>
      <c r="AB19" s="26"/>
      <c r="AC19" s="25">
        <f t="shared" ca="1" si="3"/>
        <v>0</v>
      </c>
      <c r="AE19" s="6"/>
      <c r="AF19" s="6"/>
      <c r="AH19" s="7"/>
      <c r="AI19" s="53" t="s">
        <v>69</v>
      </c>
      <c r="AJ19" s="28" t="s">
        <v>65</v>
      </c>
      <c r="AK19" s="28"/>
      <c r="AL19" s="29" t="s">
        <v>66</v>
      </c>
    </row>
    <row r="20" spans="2:38" x14ac:dyDescent="0.2">
      <c r="B20" s="4">
        <f t="shared" ca="1" si="0"/>
        <v>12</v>
      </c>
      <c r="D20" s="1" t="s">
        <v>13</v>
      </c>
      <c r="F20" s="25" t="s">
        <v>41</v>
      </c>
      <c r="I20" s="25">
        <v>0</v>
      </c>
      <c r="J20" s="25"/>
      <c r="K20" s="25">
        <v>-2226.6092301684243</v>
      </c>
      <c r="L20" s="25"/>
      <c r="M20" s="25">
        <f t="shared" si="1"/>
        <v>-204.94447969946921</v>
      </c>
      <c r="P20" s="25" cm="1">
        <f t="array" aca="1" ref="P20" ca="1">+SUM('Exh. BGM-4 (Detail)'!Q$9:Q$41*('Exh. BGM-4 (Detail)'!$D$9:$D$41=$D20))</f>
        <v>0</v>
      </c>
      <c r="Q20" s="25"/>
      <c r="R20" s="25" cm="1">
        <f t="array" ref="R20">+SUM('Exh. BGM-4 (Detail)'!S$9:S$41*('Exh. BGM-4 (Detail)'!$D$9:$D$41=$D20))</f>
        <v>-2226.6092301684243</v>
      </c>
      <c r="S20" s="25"/>
      <c r="T20" s="25">
        <f t="shared" ca="1" si="2"/>
        <v>-204.94447969946921</v>
      </c>
      <c r="W20" s="25">
        <f t="shared" ca="1" si="4"/>
        <v>0</v>
      </c>
      <c r="X20" s="25"/>
      <c r="Y20" s="25">
        <f t="shared" ca="1" si="5"/>
        <v>0</v>
      </c>
      <c r="Z20" s="25"/>
      <c r="AA20" s="25">
        <v>0</v>
      </c>
      <c r="AB20" s="26"/>
      <c r="AC20" s="25">
        <f t="shared" ca="1" si="3"/>
        <v>0</v>
      </c>
      <c r="AE20" s="6"/>
      <c r="AF20" s="6"/>
      <c r="AH20" s="7"/>
      <c r="AI20" s="56" t="s">
        <v>70</v>
      </c>
      <c r="AJ20" s="54" t="s">
        <v>71</v>
      </c>
      <c r="AK20" s="54" t="s">
        <v>72</v>
      </c>
      <c r="AL20" s="55" t="s">
        <v>72</v>
      </c>
    </row>
    <row r="21" spans="2:38" x14ac:dyDescent="0.2">
      <c r="B21" s="4">
        <f t="shared" ca="1" si="0"/>
        <v>13</v>
      </c>
      <c r="D21" s="1" t="s">
        <v>14</v>
      </c>
      <c r="F21" s="25" t="s">
        <v>39</v>
      </c>
      <c r="I21" s="25">
        <v>-12.092008887911909</v>
      </c>
      <c r="J21" s="25"/>
      <c r="K21" s="25">
        <v>650.36923155417344</v>
      </c>
      <c r="L21" s="25"/>
      <c r="M21" s="25">
        <f t="shared" si="1"/>
        <v>75.945784511532963</v>
      </c>
      <c r="P21" s="25" cm="1">
        <f t="array" aca="1" ref="P21" ca="1">+SUM('Exh. BGM-4 (Detail)'!Q$9:Q$41*('Exh. BGM-4 (Detail)'!$D$9:$D$41=$D21))</f>
        <v>-12.092008887911909</v>
      </c>
      <c r="Q21" s="25"/>
      <c r="R21" s="25" cm="1">
        <f t="array" ref="R21">+SUM('Exh. BGM-4 (Detail)'!S$9:S$41*('Exh. BGM-4 (Detail)'!$D$9:$D$41=$D21))</f>
        <v>650.36923155417344</v>
      </c>
      <c r="S21" s="25"/>
      <c r="T21" s="25">
        <f t="shared" ca="1" si="2"/>
        <v>75.945784511532963</v>
      </c>
      <c r="W21" s="25">
        <f t="shared" ca="1" si="4"/>
        <v>0</v>
      </c>
      <c r="X21" s="25"/>
      <c r="Y21" s="25">
        <f t="shared" ca="1" si="5"/>
        <v>0</v>
      </c>
      <c r="Z21" s="25"/>
      <c r="AA21" s="25">
        <v>0</v>
      </c>
      <c r="AB21" s="26"/>
      <c r="AC21" s="25">
        <f t="shared" ca="1" si="3"/>
        <v>0</v>
      </c>
      <c r="AE21" s="6"/>
      <c r="AF21" s="6"/>
      <c r="AH21" s="7"/>
      <c r="AI21" s="30" t="s">
        <v>73</v>
      </c>
      <c r="AJ21" s="31">
        <v>0.48720000000000002</v>
      </c>
      <c r="AK21" s="31">
        <v>4.7699999999999999E-2</v>
      </c>
      <c r="AL21" s="32">
        <f>+AJ21*AK21</f>
        <v>2.323944E-2</v>
      </c>
    </row>
    <row r="22" spans="2:38" x14ac:dyDescent="0.2">
      <c r="B22" s="4">
        <f t="shared" ca="1" si="0"/>
        <v>14</v>
      </c>
      <c r="D22" s="1" t="s">
        <v>15</v>
      </c>
      <c r="F22" s="25" t="s">
        <v>40</v>
      </c>
      <c r="I22" s="25">
        <v>-19.059167514700494</v>
      </c>
      <c r="J22" s="25"/>
      <c r="K22" s="25">
        <v>1683.5460347273465</v>
      </c>
      <c r="L22" s="25"/>
      <c r="M22" s="25">
        <f t="shared" si="1"/>
        <v>180.30985224898629</v>
      </c>
      <c r="P22" s="25" cm="1">
        <f t="array" aca="1" ref="P22" ca="1">+SUM('Exh. BGM-4 (Detail)'!Q$9:Q$41*('Exh. BGM-4 (Detail)'!$D$9:$D$41=$D22))</f>
        <v>-19.059167514700494</v>
      </c>
      <c r="Q22" s="25"/>
      <c r="R22" s="25" cm="1">
        <f t="array" ref="R22">+SUM('Exh. BGM-4 (Detail)'!S$9:S$41*('Exh. BGM-4 (Detail)'!$D$9:$D$41=$D22))</f>
        <v>1683.5460347273465</v>
      </c>
      <c r="S22" s="25"/>
      <c r="T22" s="25">
        <f t="shared" ca="1" si="2"/>
        <v>180.30985224898629</v>
      </c>
      <c r="W22" s="25">
        <f t="shared" ca="1" si="4"/>
        <v>0</v>
      </c>
      <c r="X22" s="25"/>
      <c r="Y22" s="25">
        <f t="shared" ca="1" si="5"/>
        <v>0</v>
      </c>
      <c r="Z22" s="25"/>
      <c r="AA22" s="25">
        <v>0</v>
      </c>
      <c r="AB22" s="26"/>
      <c r="AC22" s="25">
        <f t="shared" ca="1" si="3"/>
        <v>0</v>
      </c>
      <c r="AE22" s="6"/>
      <c r="AF22" s="6"/>
      <c r="AH22" s="7"/>
      <c r="AI22" s="30" t="s">
        <v>67</v>
      </c>
      <c r="AJ22" s="31">
        <v>1E-4</v>
      </c>
      <c r="AK22" s="31">
        <v>6.7500000000000004E-2</v>
      </c>
      <c r="AL22" s="32">
        <f>+AJ22*AK22</f>
        <v>6.7500000000000006E-6</v>
      </c>
    </row>
    <row r="23" spans="2:38" x14ac:dyDescent="0.2">
      <c r="B23" s="4">
        <f t="shared" ca="1" si="0"/>
        <v>15</v>
      </c>
      <c r="D23" s="1" t="s">
        <v>16</v>
      </c>
      <c r="F23" s="25" t="s">
        <v>75</v>
      </c>
      <c r="I23" s="25">
        <v>-2196.4111301742096</v>
      </c>
      <c r="J23" s="25"/>
      <c r="K23" s="25">
        <v>55614.054067891593</v>
      </c>
      <c r="L23" s="25"/>
      <c r="M23" s="25">
        <f t="shared" si="1"/>
        <v>8040.3602879310301</v>
      </c>
      <c r="P23" s="25" cm="1">
        <f t="array" aca="1" ref="P23" ca="1">+SUM('Exh. BGM-4 (Detail)'!Q$9:Q$41*('Exh. BGM-4 (Detail)'!$D$9:$D$41=$D23))</f>
        <v>-2196.4111301742096</v>
      </c>
      <c r="Q23" s="25"/>
      <c r="R23" s="25" cm="1">
        <f t="array" ref="R23">+SUM('Exh. BGM-4 (Detail)'!S$9:S$41*('Exh. BGM-4 (Detail)'!$D$9:$D$41=$D23))</f>
        <v>55614.054067891593</v>
      </c>
      <c r="S23" s="25"/>
      <c r="T23" s="25">
        <f t="shared" ca="1" si="2"/>
        <v>8040.3602879310301</v>
      </c>
      <c r="W23" s="25">
        <f t="shared" ca="1" si="4"/>
        <v>0</v>
      </c>
      <c r="X23" s="25"/>
      <c r="Y23" s="25">
        <f t="shared" ca="1" si="5"/>
        <v>0</v>
      </c>
      <c r="Z23" s="25"/>
      <c r="AA23" s="25">
        <v>0</v>
      </c>
      <c r="AB23" s="26"/>
      <c r="AC23" s="25">
        <f t="shared" ca="1" si="3"/>
        <v>0</v>
      </c>
      <c r="AE23" s="6"/>
      <c r="AF23" s="6"/>
      <c r="AH23" s="7"/>
      <c r="AI23" s="30" t="s">
        <v>68</v>
      </c>
      <c r="AJ23" s="33">
        <v>0.51270000000000004</v>
      </c>
      <c r="AK23" s="31">
        <v>0.10299999999999999</v>
      </c>
      <c r="AL23" s="32">
        <f>+AJ23*AK23</f>
        <v>5.2808100000000004E-2</v>
      </c>
    </row>
    <row r="24" spans="2:38" x14ac:dyDescent="0.2">
      <c r="B24" s="4">
        <f t="shared" ca="1" si="0"/>
        <v>16</v>
      </c>
      <c r="D24" s="2" t="s">
        <v>36</v>
      </c>
      <c r="F24" s="25" t="s">
        <v>37</v>
      </c>
      <c r="I24" s="25">
        <v>-2212.0951537975511</v>
      </c>
      <c r="J24" s="25"/>
      <c r="K24" s="25">
        <v>161088.06375272371</v>
      </c>
      <c r="L24" s="25"/>
      <c r="M24" s="25">
        <f t="shared" si="1"/>
        <v>17769.39848033576</v>
      </c>
      <c r="P24" s="25" cm="1">
        <f t="array" aca="1" ref="P24" ca="1">+SUM('Exh. BGM-4 (Detail)'!Q$9:Q$41*('Exh. BGM-4 (Detail)'!$D$9:$D$41=$D24))</f>
        <v>-2212.0951537975511</v>
      </c>
      <c r="Q24" s="25"/>
      <c r="R24" s="25" cm="1">
        <f t="array" ref="R24">+SUM('Exh. BGM-4 (Detail)'!S$9:S$41*('Exh. BGM-4 (Detail)'!$D$9:$D$41=$D24))</f>
        <v>161088.06375272371</v>
      </c>
      <c r="S24" s="25"/>
      <c r="T24" s="25">
        <f t="shared" ca="1" si="2"/>
        <v>17769.39848033576</v>
      </c>
      <c r="W24" s="25">
        <f t="shared" ca="1" si="4"/>
        <v>0</v>
      </c>
      <c r="X24" s="25"/>
      <c r="Y24" s="25">
        <f t="shared" ca="1" si="5"/>
        <v>0</v>
      </c>
      <c r="Z24" s="25"/>
      <c r="AA24" s="25">
        <v>0</v>
      </c>
      <c r="AB24" s="26"/>
      <c r="AC24" s="25">
        <f t="shared" ca="1" si="3"/>
        <v>0</v>
      </c>
      <c r="AE24" s="6"/>
      <c r="AF24" s="6"/>
      <c r="AH24" s="7"/>
      <c r="AI24" s="34" t="s">
        <v>2</v>
      </c>
      <c r="AJ24" s="33">
        <v>1</v>
      </c>
      <c r="AK24" s="35"/>
      <c r="AL24" s="36">
        <f>+ROUNDDOWN(SUM(AL21:AL23),4)</f>
        <v>7.5999999999999998E-2</v>
      </c>
    </row>
    <row r="25" spans="2:38" ht="13.5" x14ac:dyDescent="0.25">
      <c r="B25" s="4">
        <f t="shared" ca="1" si="0"/>
        <v>17</v>
      </c>
      <c r="D25" s="1" t="s">
        <v>17</v>
      </c>
      <c r="F25" s="25" t="s">
        <v>30</v>
      </c>
      <c r="I25" s="25">
        <v>1254.5313190359489</v>
      </c>
      <c r="J25" s="25"/>
      <c r="K25" s="25">
        <v>0</v>
      </c>
      <c r="L25" s="25"/>
      <c r="M25" s="25">
        <f t="shared" si="1"/>
        <v>-1668.6591458539926</v>
      </c>
      <c r="P25" s="25" cm="1">
        <f t="array" aca="1" ref="P25" ca="1">+SUM('Exh. BGM-4 (Detail)'!Q$9:Q$41*('Exh. BGM-4 (Detail)'!$D$9:$D$41=$D25))</f>
        <v>1162.6324427916741</v>
      </c>
      <c r="Q25" s="25"/>
      <c r="R25" s="25" cm="1">
        <f t="array" ref="R25">+SUM('Exh. BGM-4 (Detail)'!S$9:S$41*('Exh. BGM-4 (Detail)'!$D$9:$D$41=$D25))</f>
        <v>0</v>
      </c>
      <c r="S25" s="25"/>
      <c r="T25" s="25">
        <f t="shared" ca="1" si="2"/>
        <v>-1546.4239349733632</v>
      </c>
      <c r="W25" s="25">
        <f t="shared" ca="1" si="4"/>
        <v>-91.898876244274788</v>
      </c>
      <c r="X25" s="25"/>
      <c r="Y25" s="25">
        <f t="shared" ca="1" si="5"/>
        <v>-91.898876244274788</v>
      </c>
      <c r="Z25" s="25"/>
      <c r="AA25" s="25">
        <v>0</v>
      </c>
      <c r="AB25" s="26"/>
      <c r="AC25" s="25">
        <f t="shared" ca="1" si="3"/>
        <v>122.23521088062944</v>
      </c>
      <c r="AE25" s="6" t="s">
        <v>120</v>
      </c>
      <c r="AF25" s="6"/>
      <c r="AH25" s="7"/>
      <c r="AI25" s="40"/>
      <c r="AK25" s="41"/>
      <c r="AL25" s="25"/>
    </row>
    <row r="26" spans="2:38" ht="13.5" x14ac:dyDescent="0.25">
      <c r="B26" s="4">
        <f t="shared" ca="1" si="0"/>
        <v>18</v>
      </c>
      <c r="D26" s="1" t="s">
        <v>19</v>
      </c>
      <c r="F26" s="25" t="s">
        <v>18</v>
      </c>
      <c r="I26" s="25">
        <v>-1487.3543300000001</v>
      </c>
      <c r="J26" s="25"/>
      <c r="K26" s="25">
        <v>0</v>
      </c>
      <c r="L26" s="25"/>
      <c r="M26" s="25">
        <f t="shared" si="1"/>
        <v>1978.3383389641137</v>
      </c>
      <c r="P26" s="25" cm="1">
        <f t="array" aca="1" ref="P26" ca="1">+SUM('Exh. BGM-4 (Detail)'!Q$9:Q$41*('Exh. BGM-4 (Detail)'!$D$9:$D$41=$D26))</f>
        <v>-1487.3543300000001</v>
      </c>
      <c r="Q26" s="25"/>
      <c r="R26" s="25" cm="1">
        <f t="array" ref="R26">+SUM('Exh. BGM-4 (Detail)'!S$9:S$41*('Exh. BGM-4 (Detail)'!$D$9:$D$41=$D26))</f>
        <v>0</v>
      </c>
      <c r="S26" s="25"/>
      <c r="T26" s="25">
        <f t="shared" ca="1" si="2"/>
        <v>1978.3383389641137</v>
      </c>
      <c r="W26" s="25">
        <f t="shared" ca="1" si="4"/>
        <v>0</v>
      </c>
      <c r="X26" s="25"/>
      <c r="Y26" s="25">
        <f t="shared" ca="1" si="5"/>
        <v>0</v>
      </c>
      <c r="Z26" s="25"/>
      <c r="AA26" s="25">
        <v>0</v>
      </c>
      <c r="AB26" s="26"/>
      <c r="AC26" s="25">
        <f t="shared" ca="1" si="3"/>
        <v>0</v>
      </c>
      <c r="AE26" s="6"/>
      <c r="AF26" s="6"/>
      <c r="AH26" s="7"/>
      <c r="AI26" s="40"/>
      <c r="AK26" s="41"/>
      <c r="AL26" s="25"/>
    </row>
    <row r="27" spans="2:38" x14ac:dyDescent="0.2">
      <c r="B27" s="4">
        <f t="shared" ca="1" si="0"/>
        <v>19</v>
      </c>
      <c r="D27" s="1" t="s">
        <v>20</v>
      </c>
      <c r="F27" s="25" t="s">
        <v>38</v>
      </c>
      <c r="I27" s="25">
        <v>0</v>
      </c>
      <c r="J27" s="25"/>
      <c r="K27" s="25">
        <v>2003.1475631538226</v>
      </c>
      <c r="L27" s="25"/>
      <c r="M27" s="25">
        <f t="shared" si="1"/>
        <v>184.37632860291626</v>
      </c>
      <c r="P27" s="25" cm="1">
        <f t="array" aca="1" ref="P27" ca="1">+SUM('Exh. BGM-4 (Detail)'!Q$9:Q$41*('Exh. BGM-4 (Detail)'!$D$9:$D$41=$D27))</f>
        <v>0</v>
      </c>
      <c r="Q27" s="25"/>
      <c r="R27" s="25" cm="1">
        <f t="array" ref="R27">+SUM('Exh. BGM-4 (Detail)'!S$9:S$41*('Exh. BGM-4 (Detail)'!$D$9:$D$41=$D27))</f>
        <v>2003.1475631538226</v>
      </c>
      <c r="S27" s="25"/>
      <c r="T27" s="25">
        <f t="shared" ca="1" si="2"/>
        <v>184.37632860291626</v>
      </c>
      <c r="W27" s="25">
        <f t="shared" ca="1" si="4"/>
        <v>0</v>
      </c>
      <c r="X27" s="25"/>
      <c r="Y27" s="25">
        <f t="shared" ca="1" si="5"/>
        <v>0</v>
      </c>
      <c r="Z27" s="25"/>
      <c r="AA27" s="25">
        <v>0</v>
      </c>
      <c r="AB27" s="26"/>
      <c r="AC27" s="25">
        <f t="shared" ca="1" si="3"/>
        <v>0</v>
      </c>
      <c r="AE27" s="6"/>
      <c r="AF27" s="6"/>
      <c r="AH27" s="7"/>
    </row>
    <row r="28" spans="2:38" x14ac:dyDescent="0.2">
      <c r="B28" s="4">
        <f t="shared" ca="1" si="0"/>
        <v>20</v>
      </c>
      <c r="D28" s="1" t="s">
        <v>21</v>
      </c>
      <c r="F28" s="25" t="s">
        <v>34</v>
      </c>
      <c r="I28" s="25">
        <v>-897.33974776876858</v>
      </c>
      <c r="J28" s="25"/>
      <c r="K28" s="25">
        <v>-24209.006120432052</v>
      </c>
      <c r="L28" s="25"/>
      <c r="M28" s="25">
        <f t="shared" si="1"/>
        <v>-1034.7203795657595</v>
      </c>
      <c r="P28" s="25" cm="1">
        <f t="array" aca="1" ref="P28" ca="1">+SUM('Exh. BGM-4 (Detail)'!Q$9:Q$41*('Exh. BGM-4 (Detail)'!$D$9:$D$41=$D28))</f>
        <v>-897.33974776876858</v>
      </c>
      <c r="Q28" s="25"/>
      <c r="R28" s="25" cm="1">
        <f t="array" ref="R28">+SUM('Exh. BGM-4 (Detail)'!S$9:S$41*('Exh. BGM-4 (Detail)'!$D$9:$D$41=$D28))</f>
        <v>-24209.006120432052</v>
      </c>
      <c r="S28" s="25"/>
      <c r="T28" s="25">
        <f t="shared" ca="1" si="2"/>
        <v>-1034.7203795657595</v>
      </c>
      <c r="W28" s="25">
        <f t="shared" ca="1" si="4"/>
        <v>0</v>
      </c>
      <c r="X28" s="25"/>
      <c r="Y28" s="25">
        <f t="shared" ca="1" si="5"/>
        <v>0</v>
      </c>
      <c r="Z28" s="25"/>
      <c r="AA28" s="25">
        <v>0</v>
      </c>
      <c r="AB28" s="26"/>
      <c r="AC28" s="25">
        <f t="shared" ca="1" si="3"/>
        <v>0</v>
      </c>
      <c r="AE28" s="6"/>
      <c r="AF28" s="6"/>
      <c r="AH28" s="7"/>
      <c r="AI28" s="4"/>
    </row>
    <row r="29" spans="2:38" x14ac:dyDescent="0.2">
      <c r="B29" s="4">
        <f t="shared" ca="1" si="0"/>
        <v>21</v>
      </c>
      <c r="D29" s="1" t="s">
        <v>23</v>
      </c>
      <c r="F29" s="25" t="s">
        <v>22</v>
      </c>
      <c r="I29" s="25">
        <v>0</v>
      </c>
      <c r="J29" s="25"/>
      <c r="K29" s="25">
        <v>0</v>
      </c>
      <c r="L29" s="25"/>
      <c r="M29" s="25">
        <f t="shared" si="1"/>
        <v>0</v>
      </c>
      <c r="P29" s="25" cm="1">
        <f t="array" aca="1" ref="P29" ca="1">+SUM('Exh. BGM-4 (Detail)'!Q$9:Q$41*('Exh. BGM-4 (Detail)'!$D$9:$D$41=$D29))</f>
        <v>0</v>
      </c>
      <c r="Q29" s="25"/>
      <c r="R29" s="25" cm="1">
        <f t="array" ref="R29">+SUM('Exh. BGM-4 (Detail)'!S$9:S$41*('Exh. BGM-4 (Detail)'!$D$9:$D$41=$D29))</f>
        <v>0</v>
      </c>
      <c r="S29" s="25"/>
      <c r="T29" s="25">
        <f t="shared" ca="1" si="2"/>
        <v>0</v>
      </c>
      <c r="W29" s="25">
        <f t="shared" ca="1" si="4"/>
        <v>0</v>
      </c>
      <c r="X29" s="25"/>
      <c r="Y29" s="25">
        <f t="shared" ca="1" si="5"/>
        <v>0</v>
      </c>
      <c r="Z29" s="25"/>
      <c r="AA29" s="25">
        <v>0</v>
      </c>
      <c r="AB29" s="26"/>
      <c r="AC29" s="25">
        <f t="shared" ca="1" si="3"/>
        <v>0</v>
      </c>
      <c r="AE29" s="6"/>
      <c r="AF29" s="6"/>
      <c r="AH29" s="7"/>
      <c r="AI29" s="4"/>
      <c r="AJ29" s="23"/>
      <c r="AK29" s="23"/>
      <c r="AL29" s="52"/>
    </row>
    <row r="30" spans="2:38" x14ac:dyDescent="0.2">
      <c r="B30" s="4">
        <f t="shared" ca="1" si="0"/>
        <v>22</v>
      </c>
      <c r="D30" s="1" t="s">
        <v>29</v>
      </c>
      <c r="F30" s="25" t="s">
        <v>26</v>
      </c>
      <c r="I30" s="25">
        <v>517.66399999999999</v>
      </c>
      <c r="J30" s="25"/>
      <c r="K30" s="25">
        <v>3265.3980000000001</v>
      </c>
      <c r="L30" s="25"/>
      <c r="M30" s="25">
        <f t="shared" si="1"/>
        <v>-387.98975605863103</v>
      </c>
      <c r="P30" s="25" cm="1">
        <f t="array" aca="1" ref="P30" ca="1">+SUM('Exh. BGM-4 (Detail)'!Q$9:Q$41*('Exh. BGM-4 (Detail)'!$D$9:$D$41=$D30))</f>
        <v>517.66399999999999</v>
      </c>
      <c r="Q30" s="25"/>
      <c r="R30" s="25" cm="1">
        <f t="array" ref="R30">+SUM('Exh. BGM-4 (Detail)'!S$9:S$41*('Exh. BGM-4 (Detail)'!$D$9:$D$41=$D30))</f>
        <v>3265.3980000000001</v>
      </c>
      <c r="S30" s="25"/>
      <c r="T30" s="25">
        <f t="shared" ca="1" si="2"/>
        <v>-387.98975605863103</v>
      </c>
      <c r="W30" s="25">
        <f t="shared" ca="1" si="4"/>
        <v>0</v>
      </c>
      <c r="X30" s="25"/>
      <c r="Y30" s="25">
        <f t="shared" ca="1" si="5"/>
        <v>0</v>
      </c>
      <c r="Z30" s="25"/>
      <c r="AA30" s="25">
        <v>0</v>
      </c>
      <c r="AB30" s="26"/>
      <c r="AC30" s="25">
        <f t="shared" ca="1" si="3"/>
        <v>0</v>
      </c>
      <c r="AE30" s="6"/>
      <c r="AF30" s="6"/>
      <c r="AH30" s="7"/>
      <c r="AI30" s="4"/>
      <c r="AJ30" s="23"/>
      <c r="AK30" s="23"/>
      <c r="AL30" s="52"/>
    </row>
    <row r="31" spans="2:38" x14ac:dyDescent="0.2">
      <c r="B31" s="4">
        <f t="shared" ca="1" si="0"/>
        <v>23</v>
      </c>
      <c r="D31" s="2" t="s">
        <v>24</v>
      </c>
      <c r="F31" s="25" t="s">
        <v>25</v>
      </c>
      <c r="I31" s="25">
        <v>5509.2650565951581</v>
      </c>
      <c r="J31" s="25"/>
      <c r="K31" s="25">
        <v>-311.49234512960948</v>
      </c>
      <c r="L31" s="25"/>
      <c r="M31" s="25">
        <f t="shared" si="1"/>
        <v>-7356.5751468145654</v>
      </c>
      <c r="P31" s="25" cm="1">
        <f t="array" aca="1" ref="P31" ca="1">+SUM('Exh. BGM-4 (Detail)'!Q$9:Q$41*('Exh. BGM-4 (Detail)'!$D$9:$D$41=$D31))</f>
        <v>-2413.9402259053368</v>
      </c>
      <c r="Q31" s="25"/>
      <c r="R31" s="25" cm="1">
        <f t="array" ref="R31">+SUM('Exh. BGM-4 (Detail)'!S$9:S$41*('Exh. BGM-4 (Detail)'!$D$9:$D$41=$D31))</f>
        <v>-311.49234512960948</v>
      </c>
      <c r="S31" s="25"/>
      <c r="T31" s="25">
        <f t="shared" ca="1" si="2"/>
        <v>3182.1246516750916</v>
      </c>
      <c r="W31" s="25">
        <f t="shared" ca="1" si="4"/>
        <v>-7923.2052825004948</v>
      </c>
      <c r="X31" s="25"/>
      <c r="Y31" s="25">
        <f t="shared" ca="1" si="5"/>
        <v>-7923.2052825004948</v>
      </c>
      <c r="Z31" s="25"/>
      <c r="AA31" s="25">
        <v>0</v>
      </c>
      <c r="AB31" s="26"/>
      <c r="AC31" s="25">
        <f t="shared" ca="1" si="3"/>
        <v>10538.699798489657</v>
      </c>
      <c r="AE31" s="6" t="s">
        <v>118</v>
      </c>
      <c r="AF31" s="6"/>
      <c r="AH31" s="7"/>
      <c r="AI31" s="4"/>
      <c r="AJ31" s="23"/>
      <c r="AK31" s="23"/>
      <c r="AL31" s="52"/>
    </row>
    <row r="32" spans="2:38" x14ac:dyDescent="0.2">
      <c r="B32" s="4">
        <f t="shared" ca="1" si="0"/>
        <v>24</v>
      </c>
      <c r="D32" s="2" t="s">
        <v>27</v>
      </c>
      <c r="F32" s="25" t="s">
        <v>28</v>
      </c>
      <c r="I32" s="25">
        <v>0</v>
      </c>
      <c r="J32" s="25"/>
      <c r="K32" s="25">
        <v>-57.462544820610859</v>
      </c>
      <c r="L32" s="25"/>
      <c r="M32" s="25">
        <f t="shared" si="1"/>
        <v>-5.2890427251021137</v>
      </c>
      <c r="P32" s="25" cm="1">
        <f t="array" aca="1" ref="P32" ca="1">+SUM('Exh. BGM-4 (Detail)'!Q$9:Q$41*('Exh. BGM-4 (Detail)'!$D$9:$D$41=$D32))</f>
        <v>0</v>
      </c>
      <c r="Q32" s="25"/>
      <c r="R32" s="25" cm="1">
        <f t="array" ref="R32">+SUM('Exh. BGM-4 (Detail)'!S$9:S$41*('Exh. BGM-4 (Detail)'!$D$9:$D$41=$D32))</f>
        <v>-57.462544820610859</v>
      </c>
      <c r="S32" s="25"/>
      <c r="T32" s="25">
        <f t="shared" ca="1" si="2"/>
        <v>-5.2890427251021137</v>
      </c>
      <c r="W32" s="25">
        <f t="shared" ca="1" si="4"/>
        <v>0</v>
      </c>
      <c r="X32" s="25"/>
      <c r="Y32" s="25">
        <f t="shared" ca="1" si="5"/>
        <v>0</v>
      </c>
      <c r="Z32" s="25"/>
      <c r="AA32" s="25">
        <v>0</v>
      </c>
      <c r="AB32" s="26"/>
      <c r="AC32" s="25">
        <f t="shared" ca="1" si="3"/>
        <v>0</v>
      </c>
      <c r="AE32" s="6"/>
      <c r="AF32" s="6"/>
      <c r="AH32" s="7"/>
      <c r="AI32" s="4"/>
      <c r="AJ32" s="23"/>
      <c r="AK32" s="23"/>
      <c r="AL32" s="52"/>
    </row>
    <row r="33" spans="2:38" x14ac:dyDescent="0.2">
      <c r="AE33" s="6"/>
      <c r="AF33" s="6"/>
      <c r="AH33" s="7"/>
      <c r="AI33" s="4"/>
      <c r="AJ33" s="23"/>
      <c r="AL33" s="52"/>
    </row>
    <row r="34" spans="2:38" ht="13.5" thickBot="1" x14ac:dyDescent="0.25">
      <c r="B34" s="4">
        <f ca="1">+MAX(OFFSET($B$7,0,0,ROW($B34)-ROW($B$7),1))+1</f>
        <v>25</v>
      </c>
      <c r="D34" s="24"/>
      <c r="F34" s="3" t="s">
        <v>119</v>
      </c>
      <c r="I34" s="44">
        <f>+SUM(I7:I33)</f>
        <v>74674.289087989586</v>
      </c>
      <c r="J34" s="25"/>
      <c r="K34" s="44">
        <f>+SUM(K7:K33)</f>
        <v>1357485.5608292867</v>
      </c>
      <c r="L34" s="25"/>
      <c r="M34" s="44">
        <f>+($K34*$AL$17-$I34)/$AJ$4</f>
        <v>25622.771037478447</v>
      </c>
      <c r="P34" s="44">
        <f ca="1">+SUM(P7:P33)</f>
        <v>69096.585983153593</v>
      </c>
      <c r="Q34" s="25"/>
      <c r="R34" s="44">
        <f>+SUM(R7:R33)</f>
        <v>1312211.9489333073</v>
      </c>
      <c r="S34" s="25"/>
      <c r="T34" s="44">
        <f ca="1">+($R34*$AL$17-$P34)/$AJ$4</f>
        <v>28874.572215465494</v>
      </c>
      <c r="U34" s="5"/>
      <c r="W34" s="44">
        <f ca="1">+SUM(W10:W32)</f>
        <v>-2815.402025862556</v>
      </c>
      <c r="X34" s="26"/>
      <c r="Y34" s="44">
        <f ca="1">+SUM(Y10:Y32)</f>
        <v>-3740.6682430353658</v>
      </c>
      <c r="Z34" s="25"/>
      <c r="AA34" s="44">
        <f>+SUM(AA10:AA32)</f>
        <v>0</v>
      </c>
      <c r="AB34" s="25"/>
      <c r="AC34" s="44">
        <f ca="1">+SUM(AC10:AC32)</f>
        <v>3251.8011779870503</v>
      </c>
      <c r="AF34" s="6"/>
      <c r="AH34" s="7"/>
      <c r="AI34" s="4"/>
      <c r="AK34" s="41"/>
      <c r="AL34" s="25"/>
    </row>
    <row r="35" spans="2:38" ht="13.5" thickTop="1" x14ac:dyDescent="0.2">
      <c r="D35" s="24"/>
      <c r="F35" s="3"/>
      <c r="I35" s="21"/>
      <c r="J35" s="25"/>
      <c r="K35" s="21"/>
      <c r="L35" s="25"/>
      <c r="M35" s="21"/>
      <c r="P35" s="21"/>
      <c r="Q35" s="25"/>
      <c r="R35" s="45"/>
      <c r="S35" s="46"/>
      <c r="T35" s="45"/>
      <c r="W35" s="21"/>
      <c r="X35" s="26"/>
      <c r="Y35" s="21"/>
      <c r="Z35" s="25"/>
      <c r="AA35" s="21"/>
      <c r="AB35" s="25"/>
      <c r="AC35" s="21"/>
      <c r="AF35" s="6"/>
      <c r="AH35" s="7"/>
    </row>
    <row r="36" spans="2:38" x14ac:dyDescent="0.2">
      <c r="M36" s="25"/>
      <c r="AF36" s="6"/>
      <c r="AH36" s="7"/>
    </row>
    <row r="37" spans="2:38" x14ac:dyDescent="0.2">
      <c r="K37" s="4" t="s">
        <v>78</v>
      </c>
      <c r="M37" s="25">
        <v>27947.817266730915</v>
      </c>
      <c r="AF37" s="6"/>
      <c r="AH37" s="7"/>
    </row>
    <row r="38" spans="2:38" x14ac:dyDescent="0.2">
      <c r="K38" s="4" t="s">
        <v>79</v>
      </c>
      <c r="M38" s="25">
        <f>+M34-M37</f>
        <v>-2325.046229252468</v>
      </c>
      <c r="AH38" s="7"/>
    </row>
    <row r="39" spans="2:38" x14ac:dyDescent="0.2">
      <c r="AF39" s="6"/>
      <c r="AH39" s="7"/>
      <c r="AL39" s="25"/>
    </row>
    <row r="40" spans="2:38" x14ac:dyDescent="0.2">
      <c r="AF40" s="6"/>
      <c r="AH40" s="7"/>
      <c r="AL40" s="25"/>
    </row>
    <row r="41" spans="2:38" x14ac:dyDescent="0.2">
      <c r="AF41" s="6"/>
      <c r="AH41" s="7"/>
    </row>
  </sheetData>
  <pageMargins left="0.25" right="0.25" top="0.75" bottom="0.75" header="0.3" footer="0.3"/>
  <pageSetup scale="95" pageOrder="overThenDown" orientation="landscape" r:id="rId1"/>
  <colBreaks count="1" manualBreakCount="1">
    <brk id="2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3D80-0DE6-46D1-82C6-9E152F1BC7A3}">
  <sheetPr codeName="Sheet1">
    <tabColor rgb="FF57AAB5"/>
  </sheetPr>
  <dimension ref="A1:AW46"/>
  <sheetViews>
    <sheetView tabSelected="1" zoomScaleNormal="100" zoomScaleSheetLayoutView="160" workbookViewId="0"/>
  </sheetViews>
  <sheetFormatPr defaultColWidth="9.140625" defaultRowHeight="12.75" x14ac:dyDescent="0.2"/>
  <cols>
    <col min="1" max="1" width="1.42578125" style="4" customWidth="1"/>
    <col min="2" max="2" width="3.28515625" style="4" customWidth="1"/>
    <col min="3" max="3" width="1.42578125" style="4" customWidth="1"/>
    <col min="4" max="4" width="3.85546875" style="4" customWidth="1"/>
    <col min="5" max="5" width="3.42578125" style="4" customWidth="1"/>
    <col min="6" max="6" width="1.42578125" style="4" customWidth="1"/>
    <col min="7" max="7" width="48" style="4" bestFit="1" customWidth="1"/>
    <col min="8" max="9" width="1.42578125" style="5" customWidth="1"/>
    <col min="10" max="10" width="10" style="4" customWidth="1"/>
    <col min="11" max="11" width="1.42578125" style="4" customWidth="1"/>
    <col min="12" max="12" width="10" style="4" customWidth="1"/>
    <col min="13" max="13" width="1.42578125" style="4" customWidth="1"/>
    <col min="14" max="14" width="10" style="4" customWidth="1"/>
    <col min="15" max="15" width="1.42578125" style="5" customWidth="1"/>
    <col min="16" max="16" width="1.42578125" style="4" customWidth="1"/>
    <col min="17" max="17" width="10" style="4" customWidth="1"/>
    <col min="18" max="18" width="1.42578125" style="4" customWidth="1"/>
    <col min="19" max="19" width="10" style="4" customWidth="1"/>
    <col min="20" max="20" width="1.42578125" style="4" customWidth="1"/>
    <col min="21" max="21" width="10" style="4" customWidth="1"/>
    <col min="22" max="23" width="1.42578125" style="4" customWidth="1"/>
    <col min="24" max="24" width="10" style="5" customWidth="1"/>
    <col min="25" max="25" width="1.42578125" style="5" customWidth="1"/>
    <col min="26" max="26" width="10" style="5" customWidth="1"/>
    <col min="27" max="27" width="1.28515625" style="5" customWidth="1"/>
    <col min="28" max="28" width="10" style="5" customWidth="1"/>
    <col min="29" max="29" width="1.42578125" style="5" customWidth="1"/>
    <col min="30" max="30" width="10" style="5" customWidth="1"/>
    <col min="31" max="31" width="1.42578125" style="5" customWidth="1"/>
    <col min="32" max="32" width="7.7109375" style="5" bestFit="1" customWidth="1"/>
    <col min="33" max="33" width="17.42578125" style="5" customWidth="1"/>
    <col min="34" max="35" width="2.7109375" style="5" customWidth="1"/>
    <col min="36" max="36" width="21.140625" style="5" customWidth="1"/>
    <col min="37" max="39" width="11.85546875" style="4" customWidth="1"/>
    <col min="40" max="16384" width="9.140625" style="4"/>
  </cols>
  <sheetData>
    <row r="1" spans="1:49" x14ac:dyDescent="0.2">
      <c r="A1" s="3" t="s">
        <v>115</v>
      </c>
      <c r="B1" s="3"/>
      <c r="C1" s="3"/>
      <c r="F1" s="3"/>
      <c r="G1" s="3"/>
      <c r="J1" s="5"/>
      <c r="K1" s="3"/>
      <c r="L1" s="3"/>
      <c r="M1" s="3"/>
      <c r="N1" s="3"/>
      <c r="P1" s="3"/>
      <c r="Q1" s="3"/>
      <c r="R1" s="3"/>
      <c r="S1" s="3"/>
      <c r="T1" s="3"/>
      <c r="U1" s="3"/>
      <c r="Y1" s="6"/>
      <c r="AI1" s="7"/>
      <c r="AK1" s="5"/>
      <c r="AL1" s="5"/>
      <c r="AM1" s="5"/>
      <c r="AN1" s="5"/>
      <c r="AO1" s="5"/>
    </row>
    <row r="2" spans="1:49" x14ac:dyDescent="0.2">
      <c r="B2" s="3"/>
      <c r="C2" s="3"/>
      <c r="D2" s="3"/>
      <c r="E2" s="3"/>
      <c r="F2" s="3"/>
      <c r="G2" s="3"/>
      <c r="I2" s="8"/>
      <c r="J2" s="9" t="s">
        <v>44</v>
      </c>
      <c r="K2" s="10"/>
      <c r="L2" s="10"/>
      <c r="M2" s="10"/>
      <c r="N2" s="10"/>
      <c r="P2" s="3"/>
      <c r="Q2" s="9" t="s">
        <v>45</v>
      </c>
      <c r="R2" s="11"/>
      <c r="S2" s="11"/>
      <c r="T2" s="11"/>
      <c r="U2" s="11"/>
      <c r="X2" s="9" t="s">
        <v>46</v>
      </c>
      <c r="Y2" s="12"/>
      <c r="Z2" s="13"/>
      <c r="AA2" s="13"/>
      <c r="AB2" s="13"/>
      <c r="AC2" s="13"/>
      <c r="AD2" s="13"/>
      <c r="AE2" s="6"/>
      <c r="AF2" s="6"/>
      <c r="AG2" s="6"/>
      <c r="AI2" s="7"/>
      <c r="AJ2" s="14" t="s">
        <v>47</v>
      </c>
      <c r="AK2" s="14"/>
      <c r="AL2" s="14"/>
      <c r="AM2" s="14"/>
      <c r="AN2" s="5"/>
      <c r="AO2" s="5"/>
    </row>
    <row r="3" spans="1:49" x14ac:dyDescent="0.2">
      <c r="B3" s="3"/>
      <c r="C3" s="3"/>
      <c r="D3" s="3"/>
      <c r="E3" s="3" t="s">
        <v>48</v>
      </c>
      <c r="F3" s="3"/>
      <c r="G3" s="3"/>
      <c r="J3" s="6"/>
      <c r="K3" s="6"/>
      <c r="L3" s="6"/>
      <c r="M3" s="6"/>
      <c r="N3" s="6" t="s">
        <v>49</v>
      </c>
      <c r="Q3" s="6"/>
      <c r="R3" s="6"/>
      <c r="S3" s="6"/>
      <c r="T3" s="6"/>
      <c r="U3" s="6" t="s">
        <v>49</v>
      </c>
      <c r="X3" s="6" t="s">
        <v>50</v>
      </c>
      <c r="Y3" s="6"/>
      <c r="Z3" s="6"/>
      <c r="AA3" s="6"/>
      <c r="AB3" s="6"/>
      <c r="AC3" s="6"/>
      <c r="AD3" s="6" t="s">
        <v>49</v>
      </c>
      <c r="AE3" s="6"/>
      <c r="AF3" s="6"/>
      <c r="AG3" s="6"/>
      <c r="AI3" s="7"/>
      <c r="AJ3" s="4"/>
    </row>
    <row r="4" spans="1:49" x14ac:dyDescent="0.2">
      <c r="B4" s="3"/>
      <c r="C4" s="3"/>
      <c r="D4" s="15" t="s">
        <v>51</v>
      </c>
      <c r="E4" s="15" t="s">
        <v>52</v>
      </c>
      <c r="F4" s="3"/>
      <c r="G4" s="3"/>
      <c r="J4" s="6" t="s">
        <v>53</v>
      </c>
      <c r="K4" s="6"/>
      <c r="L4" s="6"/>
      <c r="M4" s="6"/>
      <c r="N4" s="6" t="s">
        <v>54</v>
      </c>
      <c r="Q4" s="6" t="s">
        <v>53</v>
      </c>
      <c r="R4" s="6"/>
      <c r="S4" s="6"/>
      <c r="T4" s="6"/>
      <c r="U4" s="6" t="s">
        <v>54</v>
      </c>
      <c r="X4" s="6" t="s">
        <v>53</v>
      </c>
      <c r="Y4" s="6"/>
      <c r="Z4" s="6" t="s">
        <v>53</v>
      </c>
      <c r="AA4" s="6"/>
      <c r="AB4" s="6"/>
      <c r="AC4" s="6"/>
      <c r="AD4" s="6" t="s">
        <v>54</v>
      </c>
      <c r="AE4" s="6"/>
      <c r="AF4" s="6" t="s">
        <v>121</v>
      </c>
      <c r="AG4" s="6"/>
      <c r="AI4" s="7"/>
      <c r="AJ4" s="4" t="s">
        <v>55</v>
      </c>
      <c r="AK4" s="16">
        <v>0.75182000000000004</v>
      </c>
    </row>
    <row r="5" spans="1:49" x14ac:dyDescent="0.2">
      <c r="B5" s="11" t="s">
        <v>56</v>
      </c>
      <c r="C5" s="3"/>
      <c r="D5" s="17" t="s">
        <v>57</v>
      </c>
      <c r="E5" s="17" t="s">
        <v>57</v>
      </c>
      <c r="F5" s="3"/>
      <c r="G5" s="11" t="s">
        <v>58</v>
      </c>
      <c r="J5" s="18" t="s">
        <v>59</v>
      </c>
      <c r="K5" s="6"/>
      <c r="L5" s="18" t="s">
        <v>1</v>
      </c>
      <c r="M5" s="6"/>
      <c r="N5" s="18" t="s">
        <v>60</v>
      </c>
      <c r="Q5" s="18" t="s">
        <v>59</v>
      </c>
      <c r="R5" s="6"/>
      <c r="S5" s="18" t="s">
        <v>1</v>
      </c>
      <c r="T5" s="6"/>
      <c r="U5" s="18" t="s">
        <v>60</v>
      </c>
      <c r="X5" s="18" t="s">
        <v>59</v>
      </c>
      <c r="Y5" s="6"/>
      <c r="Z5" s="18" t="s">
        <v>59</v>
      </c>
      <c r="AA5" s="6"/>
      <c r="AB5" s="18" t="s">
        <v>1</v>
      </c>
      <c r="AC5" s="6"/>
      <c r="AD5" s="18" t="s">
        <v>60</v>
      </c>
      <c r="AE5" s="6"/>
      <c r="AF5" s="18" t="s">
        <v>122</v>
      </c>
      <c r="AG5" s="6"/>
      <c r="AI5" s="7"/>
      <c r="AJ5" s="4" t="s">
        <v>61</v>
      </c>
      <c r="AK5" s="19">
        <v>0.21</v>
      </c>
    </row>
    <row r="6" spans="1:49" x14ac:dyDescent="0.2">
      <c r="AF6" s="6"/>
      <c r="AG6" s="6"/>
      <c r="AI6" s="7"/>
      <c r="AJ6" s="4" t="s">
        <v>62</v>
      </c>
    </row>
    <row r="7" spans="1:49" x14ac:dyDescent="0.2">
      <c r="B7" s="4">
        <v>1</v>
      </c>
      <c r="D7" s="20"/>
      <c r="E7" s="20"/>
      <c r="F7" s="3"/>
      <c r="G7" s="3" t="s">
        <v>116</v>
      </c>
      <c r="J7" s="21">
        <f>+'[1]Exh. BGM-3 (Detail)'!$J$88</f>
        <v>76149.364791666143</v>
      </c>
      <c r="K7" s="21"/>
      <c r="L7" s="21">
        <f>+'[1]Exh. BGM-3 (Detail)'!$L$88</f>
        <v>1100424.3467003778</v>
      </c>
      <c r="M7" s="21"/>
      <c r="N7" s="21">
        <f>+($L7*$AM$17-$J7)/$AK$4</f>
        <v>0</v>
      </c>
      <c r="P7" s="3"/>
      <c r="Q7" s="21">
        <f>+'[1]Exh. BGM-3 (Detail)'!$Q$88</f>
        <v>74312.329929865504</v>
      </c>
      <c r="R7" s="21"/>
      <c r="S7" s="21">
        <f>+'[1]Exh. BGM-3 (Detail)'!$S$88</f>
        <v>1073877.6001425651</v>
      </c>
      <c r="T7" s="21"/>
      <c r="U7" s="21">
        <f>+($S7*$AM$17-$Q7)/$AK$4</f>
        <v>0</v>
      </c>
      <c r="AF7" s="6"/>
      <c r="AG7" s="6"/>
      <c r="AI7" s="7"/>
      <c r="AJ7" s="4"/>
      <c r="AT7" s="22"/>
      <c r="AU7" s="23"/>
      <c r="AV7" s="23"/>
      <c r="AW7" s="23"/>
    </row>
    <row r="8" spans="1:49" x14ac:dyDescent="0.2">
      <c r="D8" s="24"/>
      <c r="E8" s="24"/>
      <c r="J8" s="25"/>
      <c r="K8" s="25"/>
      <c r="L8" s="25"/>
      <c r="M8" s="25"/>
      <c r="N8" s="25"/>
      <c r="Q8" s="25"/>
      <c r="R8" s="25"/>
      <c r="S8" s="25"/>
      <c r="T8" s="25"/>
      <c r="U8" s="25"/>
      <c r="AF8" s="6"/>
      <c r="AG8" s="6"/>
      <c r="AI8" s="7"/>
      <c r="AT8" s="22"/>
      <c r="AU8" s="23"/>
      <c r="AV8" s="23"/>
      <c r="AW8" s="23"/>
    </row>
    <row r="9" spans="1:49" x14ac:dyDescent="0.2">
      <c r="B9" s="8" t="s">
        <v>63</v>
      </c>
      <c r="D9" s="24"/>
      <c r="E9" s="24"/>
      <c r="J9" s="25"/>
      <c r="K9" s="25"/>
      <c r="L9" s="25"/>
      <c r="M9" s="25"/>
      <c r="N9" s="25"/>
      <c r="Q9" s="25"/>
      <c r="R9" s="25"/>
      <c r="S9" s="25"/>
      <c r="T9" s="25"/>
      <c r="U9" s="25"/>
      <c r="AF9" s="6"/>
      <c r="AG9" s="6"/>
      <c r="AI9" s="7"/>
      <c r="AU9" s="23"/>
      <c r="AV9" s="23"/>
    </row>
    <row r="10" spans="1:49" x14ac:dyDescent="0.2">
      <c r="B10" s="4">
        <f t="shared" ref="B10:B40" ca="1" si="0">+MAX(OFFSET($B$7,0,0,ROW($B10)-ROW($B$7),1))+1</f>
        <v>2</v>
      </c>
      <c r="D10" s="1" t="s">
        <v>3</v>
      </c>
      <c r="G10" s="25" t="s">
        <v>31</v>
      </c>
      <c r="J10" s="25">
        <v>1818.1178591802361</v>
      </c>
      <c r="K10" s="25"/>
      <c r="L10" s="25">
        <v>0</v>
      </c>
      <c r="M10" s="25"/>
      <c r="N10" s="25">
        <f t="shared" ref="N10:N40" si="1">+($L10*$AM$17-$J10)/$AK$4</f>
        <v>-2418.2887648376418</v>
      </c>
      <c r="Q10" s="25">
        <f>+J10+Z10</f>
        <v>1818.1178591802361</v>
      </c>
      <c r="R10" s="25"/>
      <c r="S10" s="25">
        <f>+L10+AB10</f>
        <v>0</v>
      </c>
      <c r="T10" s="25"/>
      <c r="U10" s="25">
        <f t="shared" ref="U10:U40" si="2">+($S10*$AM$17-$Q10)/$AK$4</f>
        <v>-2418.2887648376418</v>
      </c>
      <c r="X10" s="25">
        <v>0</v>
      </c>
      <c r="Y10" s="25"/>
      <c r="Z10" s="25">
        <f>+X10*(1-$AK$5)</f>
        <v>0</v>
      </c>
      <c r="AA10" s="25"/>
      <c r="AB10" s="25">
        <v>0</v>
      </c>
      <c r="AC10" s="26"/>
      <c r="AD10" s="25">
        <f t="shared" ref="AD10:AD40" si="3">+U10-N10</f>
        <v>0</v>
      </c>
      <c r="AF10" s="6"/>
      <c r="AG10" s="6"/>
      <c r="AI10" s="7"/>
    </row>
    <row r="11" spans="1:49" x14ac:dyDescent="0.2">
      <c r="B11" s="4">
        <f t="shared" ca="1" si="0"/>
        <v>3</v>
      </c>
      <c r="D11" s="1" t="s">
        <v>4</v>
      </c>
      <c r="E11" s="24"/>
      <c r="G11" s="25" t="s">
        <v>32</v>
      </c>
      <c r="J11" s="25">
        <v>-478.24762333919779</v>
      </c>
      <c r="K11" s="25"/>
      <c r="L11" s="25">
        <v>0</v>
      </c>
      <c r="M11" s="25"/>
      <c r="N11" s="25">
        <f t="shared" si="1"/>
        <v>636.11984695698141</v>
      </c>
      <c r="Q11" s="25">
        <f t="shared" ref="Q11:Q40" si="4">+J11+Z11</f>
        <v>-478.24762333919779</v>
      </c>
      <c r="R11" s="25"/>
      <c r="S11" s="25">
        <f t="shared" ref="S11:S40" si="5">+L11+AB11</f>
        <v>0</v>
      </c>
      <c r="T11" s="25"/>
      <c r="U11" s="25">
        <f t="shared" si="2"/>
        <v>636.11984695698141</v>
      </c>
      <c r="X11" s="25">
        <v>0</v>
      </c>
      <c r="Y11" s="25"/>
      <c r="Z11" s="25">
        <f>+X11*(1-$AK$5)</f>
        <v>0</v>
      </c>
      <c r="AA11" s="25"/>
      <c r="AB11" s="25">
        <v>0</v>
      </c>
      <c r="AC11" s="26"/>
      <c r="AD11" s="25">
        <f t="shared" si="3"/>
        <v>0</v>
      </c>
      <c r="AF11" s="6"/>
      <c r="AG11" s="6"/>
      <c r="AI11" s="7"/>
    </row>
    <row r="12" spans="1:49" x14ac:dyDescent="0.2">
      <c r="B12" s="4">
        <f t="shared" ca="1" si="0"/>
        <v>4</v>
      </c>
      <c r="D12" s="1" t="s">
        <v>35</v>
      </c>
      <c r="E12" s="24"/>
      <c r="G12" s="25" t="s">
        <v>33</v>
      </c>
      <c r="J12" s="25">
        <v>-158.50092953504793</v>
      </c>
      <c r="K12" s="25"/>
      <c r="L12" s="25">
        <v>0</v>
      </c>
      <c r="M12" s="25"/>
      <c r="N12" s="25">
        <f t="shared" si="1"/>
        <v>210.82297562587843</v>
      </c>
      <c r="Q12" s="25">
        <f t="shared" si="4"/>
        <v>-158.50092953504793</v>
      </c>
      <c r="R12" s="25"/>
      <c r="S12" s="25">
        <f t="shared" si="5"/>
        <v>0</v>
      </c>
      <c r="T12" s="25"/>
      <c r="U12" s="25">
        <f t="shared" si="2"/>
        <v>210.82297562587843</v>
      </c>
      <c r="X12" s="25">
        <v>0</v>
      </c>
      <c r="Y12" s="25"/>
      <c r="Z12" s="25">
        <f>+X12*(1-$AK$5)</f>
        <v>0</v>
      </c>
      <c r="AA12" s="25"/>
      <c r="AB12" s="25">
        <v>0</v>
      </c>
      <c r="AC12" s="26"/>
      <c r="AD12" s="25">
        <f t="shared" si="3"/>
        <v>0</v>
      </c>
      <c r="AF12" s="6"/>
      <c r="AG12" s="6"/>
      <c r="AI12" s="7"/>
      <c r="AJ12" s="53" t="s">
        <v>64</v>
      </c>
      <c r="AK12" s="28" t="s">
        <v>65</v>
      </c>
      <c r="AL12" s="28"/>
      <c r="AM12" s="29" t="s">
        <v>66</v>
      </c>
    </row>
    <row r="13" spans="1:49" x14ac:dyDescent="0.2">
      <c r="B13" s="47">
        <f t="shared" ca="1" si="0"/>
        <v>5</v>
      </c>
      <c r="D13" s="57" t="s">
        <v>81</v>
      </c>
      <c r="E13" s="48" t="s">
        <v>113</v>
      </c>
      <c r="F13" s="47"/>
      <c r="G13" s="49" t="s">
        <v>82</v>
      </c>
      <c r="J13" s="49">
        <v>0</v>
      </c>
      <c r="K13" s="49"/>
      <c r="L13" s="49">
        <v>0</v>
      </c>
      <c r="M13" s="49"/>
      <c r="N13" s="49">
        <f t="shared" si="1"/>
        <v>0</v>
      </c>
      <c r="O13" s="50"/>
      <c r="P13" s="47"/>
      <c r="Q13" s="49">
        <f t="shared" ref="Q13" si="6">+J13+Z13</f>
        <v>186.3511133765987</v>
      </c>
      <c r="R13" s="49"/>
      <c r="S13" s="49">
        <f t="shared" ref="S13" si="7">+L13+AB13</f>
        <v>0</v>
      </c>
      <c r="T13" s="49"/>
      <c r="U13" s="49">
        <f t="shared" si="2"/>
        <v>-247.86666140379171</v>
      </c>
      <c r="V13" s="47"/>
      <c r="W13" s="47"/>
      <c r="X13" s="49">
        <f>+Z13/(1-AK5)</f>
        <v>235.88748528683379</v>
      </c>
      <c r="Y13" s="49"/>
      <c r="Z13" s="49">
        <f>-'[2]Attach AWEC 084'!$E$134/1000*(AK4)</f>
        <v>186.3511133765987</v>
      </c>
      <c r="AA13" s="49"/>
      <c r="AB13" s="49">
        <v>0</v>
      </c>
      <c r="AC13" s="51"/>
      <c r="AD13" s="49">
        <f t="shared" si="3"/>
        <v>-247.86666140379171</v>
      </c>
      <c r="AF13" s="6" t="s">
        <v>117</v>
      </c>
      <c r="AG13" s="6"/>
      <c r="AI13" s="7"/>
      <c r="AJ13" s="56" t="s">
        <v>70</v>
      </c>
      <c r="AK13" s="54" t="s">
        <v>71</v>
      </c>
      <c r="AL13" s="54" t="s">
        <v>72</v>
      </c>
      <c r="AM13" s="55" t="s">
        <v>72</v>
      </c>
    </row>
    <row r="14" spans="1:49" x14ac:dyDescent="0.2">
      <c r="B14" s="47">
        <f t="shared" ca="1" si="0"/>
        <v>6</v>
      </c>
      <c r="D14" s="57" t="s">
        <v>124</v>
      </c>
      <c r="E14" s="48" t="s">
        <v>114</v>
      </c>
      <c r="F14" s="47"/>
      <c r="G14" s="49" t="s">
        <v>110</v>
      </c>
      <c r="J14" s="49">
        <v>0</v>
      </c>
      <c r="K14" s="49"/>
      <c r="L14" s="49">
        <v>0</v>
      </c>
      <c r="M14" s="49"/>
      <c r="N14" s="49">
        <f t="shared" si="1"/>
        <v>0</v>
      </c>
      <c r="O14" s="50"/>
      <c r="P14" s="47"/>
      <c r="Q14" s="49">
        <f t="shared" ref="Q14" si="8">+J14+Z14</f>
        <v>3480.7633884119996</v>
      </c>
      <c r="R14" s="49"/>
      <c r="S14" s="49">
        <f t="shared" ref="S14" si="9">+L14+AB14</f>
        <v>0</v>
      </c>
      <c r="T14" s="49"/>
      <c r="U14" s="49">
        <f t="shared" si="2"/>
        <v>-4629.7829113511207</v>
      </c>
      <c r="V14" s="47"/>
      <c r="W14" s="47"/>
      <c r="X14" s="49">
        <f>+Z14/(1-$AK$5)</f>
        <v>4406.0296055848094</v>
      </c>
      <c r="Y14" s="49"/>
      <c r="Z14" s="49">
        <f>+'[3]PTC RY2'!$I$47/1000</f>
        <v>3480.7633884119996</v>
      </c>
      <c r="AA14" s="49"/>
      <c r="AB14" s="49">
        <v>0</v>
      </c>
      <c r="AC14" s="51"/>
      <c r="AD14" s="49">
        <f t="shared" si="3"/>
        <v>-4629.7829113511207</v>
      </c>
      <c r="AF14" s="6" t="s">
        <v>117</v>
      </c>
      <c r="AG14" s="6"/>
      <c r="AI14" s="7"/>
      <c r="AJ14" s="30" t="s">
        <v>73</v>
      </c>
      <c r="AK14" s="31">
        <v>0.4899</v>
      </c>
      <c r="AL14" s="31">
        <v>4.7699999999999999E-2</v>
      </c>
      <c r="AM14" s="32">
        <f>+AK14*AL14</f>
        <v>2.336823E-2</v>
      </c>
    </row>
    <row r="15" spans="1:49" x14ac:dyDescent="0.2">
      <c r="B15" s="4">
        <f t="shared" ca="1" si="0"/>
        <v>7</v>
      </c>
      <c r="D15" s="1" t="s">
        <v>5</v>
      </c>
      <c r="E15" s="24"/>
      <c r="G15" s="25" t="s">
        <v>6</v>
      </c>
      <c r="J15" s="25">
        <v>-123.69640812281473</v>
      </c>
      <c r="K15" s="25"/>
      <c r="L15" s="25">
        <v>112345.97380883749</v>
      </c>
      <c r="M15" s="25"/>
      <c r="N15" s="25">
        <f t="shared" si="1"/>
        <v>10505.224383089526</v>
      </c>
      <c r="Q15" s="25">
        <f t="shared" si="4"/>
        <v>-123.69640812281473</v>
      </c>
      <c r="R15" s="25"/>
      <c r="S15" s="25">
        <f t="shared" si="5"/>
        <v>112345.97380883749</v>
      </c>
      <c r="T15" s="25"/>
      <c r="U15" s="25">
        <f t="shared" si="2"/>
        <v>10505.224383089526</v>
      </c>
      <c r="X15" s="25">
        <v>0</v>
      </c>
      <c r="Y15" s="25"/>
      <c r="Z15" s="25">
        <f t="shared" ref="Z15:Z21" si="10">+X15*(1-$AK$5)</f>
        <v>0</v>
      </c>
      <c r="AA15" s="25"/>
      <c r="AB15" s="25">
        <v>0</v>
      </c>
      <c r="AC15" s="26"/>
      <c r="AD15" s="25">
        <f t="shared" si="3"/>
        <v>0</v>
      </c>
      <c r="AF15" s="6" t="s">
        <v>118</v>
      </c>
      <c r="AG15" s="6"/>
      <c r="AI15" s="7"/>
      <c r="AJ15" s="30" t="s">
        <v>67</v>
      </c>
      <c r="AK15" s="31">
        <v>1E-4</v>
      </c>
      <c r="AL15" s="31">
        <v>6.7500000000000004E-2</v>
      </c>
      <c r="AM15" s="32">
        <f>+AK15*AL15</f>
        <v>6.7500000000000006E-6</v>
      </c>
    </row>
    <row r="16" spans="1:49" x14ac:dyDescent="0.2">
      <c r="B16" s="47">
        <f t="shared" ca="1" si="0"/>
        <v>8</v>
      </c>
      <c r="D16" s="57" t="str">
        <f>+D15</f>
        <v>14.1</v>
      </c>
      <c r="E16" s="48" t="s">
        <v>108</v>
      </c>
      <c r="F16" s="47"/>
      <c r="G16" s="49" t="s">
        <v>109</v>
      </c>
      <c r="J16" s="49">
        <v>0</v>
      </c>
      <c r="K16" s="49"/>
      <c r="L16" s="49">
        <v>0</v>
      </c>
      <c r="M16" s="49"/>
      <c r="N16" s="49">
        <f t="shared" si="1"/>
        <v>0</v>
      </c>
      <c r="O16" s="50"/>
      <c r="P16" s="47"/>
      <c r="Q16" s="49">
        <f t="shared" ref="Q16" ca="1" si="11">+J16+Z16</f>
        <v>0</v>
      </c>
      <c r="R16" s="49"/>
      <c r="S16" s="49">
        <f t="shared" ref="S16" si="12">+L16+AB16</f>
        <v>-2676.2618348944488</v>
      </c>
      <c r="T16" s="49"/>
      <c r="U16" s="49">
        <f t="shared" ca="1" si="2"/>
        <v>-246.33199299658941</v>
      </c>
      <c r="V16" s="47"/>
      <c r="W16" s="47"/>
      <c r="X16" s="49">
        <f ca="1">+Z16/(1-AK6)</f>
        <v>0</v>
      </c>
      <c r="Y16" s="49"/>
      <c r="Z16" s="49">
        <f t="shared" ca="1" si="10"/>
        <v>0</v>
      </c>
      <c r="AA16" s="49"/>
      <c r="AB16" s="49">
        <f>-'[1]A1 (Elect. Adj.)'!$H$41</f>
        <v>-2676.2618348944488</v>
      </c>
      <c r="AC16" s="51"/>
      <c r="AD16" s="49">
        <f t="shared" ca="1" si="3"/>
        <v>-246.33199299658941</v>
      </c>
      <c r="AF16" s="6" t="s">
        <v>117</v>
      </c>
      <c r="AG16" s="6"/>
      <c r="AI16" s="7"/>
      <c r="AJ16" s="30" t="s">
        <v>68</v>
      </c>
      <c r="AK16" s="33">
        <f>1-SUM(AK12:AK15)</f>
        <v>0.51</v>
      </c>
      <c r="AL16" s="31">
        <v>0.09</v>
      </c>
      <c r="AM16" s="32">
        <f>+AK16*AL16</f>
        <v>4.5899999999999996E-2</v>
      </c>
    </row>
    <row r="17" spans="2:39" x14ac:dyDescent="0.2">
      <c r="B17" s="47">
        <f t="shared" ca="1" si="0"/>
        <v>9</v>
      </c>
      <c r="D17" s="57" t="str">
        <f>+D16</f>
        <v>14.1</v>
      </c>
      <c r="E17" s="48" t="s">
        <v>107</v>
      </c>
      <c r="F17" s="47"/>
      <c r="G17" s="49" t="s">
        <v>106</v>
      </c>
      <c r="J17" s="49">
        <v>0</v>
      </c>
      <c r="K17" s="49"/>
      <c r="L17" s="49">
        <v>0</v>
      </c>
      <c r="M17" s="49"/>
      <c r="N17" s="49">
        <f t="shared" si="1"/>
        <v>0</v>
      </c>
      <c r="O17" s="50"/>
      <c r="P17" s="47"/>
      <c r="Q17" s="49">
        <f t="shared" ca="1" si="4"/>
        <v>0</v>
      </c>
      <c r="R17" s="49"/>
      <c r="S17" s="49">
        <f t="shared" si="5"/>
        <v>-16671.665306554823</v>
      </c>
      <c r="T17" s="49"/>
      <c r="U17" s="49">
        <f t="shared" ca="1" si="2"/>
        <v>-1534.5152286632353</v>
      </c>
      <c r="V17" s="47"/>
      <c r="W17" s="47"/>
      <c r="X17" s="49">
        <f ca="1">+Z17/(1-AK7)</f>
        <v>0</v>
      </c>
      <c r="Y17" s="49"/>
      <c r="Z17" s="49">
        <f t="shared" ca="1" si="10"/>
        <v>0</v>
      </c>
      <c r="AA17" s="49"/>
      <c r="AB17" s="49">
        <f>-'A2 (NTO)'!G22</f>
        <v>-16671.665306554823</v>
      </c>
      <c r="AC17" s="51"/>
      <c r="AD17" s="49">
        <f t="shared" ca="1" si="3"/>
        <v>-1534.5152286632353</v>
      </c>
      <c r="AF17" s="6" t="s">
        <v>117</v>
      </c>
      <c r="AG17" s="6"/>
      <c r="AI17" s="7"/>
      <c r="AJ17" s="34" t="s">
        <v>2</v>
      </c>
      <c r="AK17" s="33">
        <v>1</v>
      </c>
      <c r="AL17" s="35"/>
      <c r="AM17" s="36">
        <f>+ROUNDDOWN(SUM(AM14:AM16),4)</f>
        <v>6.9199999999999998E-2</v>
      </c>
    </row>
    <row r="18" spans="2:39" x14ac:dyDescent="0.2">
      <c r="B18" s="4">
        <f t="shared" ca="1" si="0"/>
        <v>10</v>
      </c>
      <c r="D18" s="1" t="s">
        <v>9</v>
      </c>
      <c r="E18" s="24"/>
      <c r="G18" s="25" t="s">
        <v>8</v>
      </c>
      <c r="J18" s="25">
        <v>-2989.8574393476993</v>
      </c>
      <c r="K18" s="25"/>
      <c r="L18" s="25">
        <v>0</v>
      </c>
      <c r="M18" s="25"/>
      <c r="N18" s="25">
        <f t="shared" si="1"/>
        <v>3976.8261543290937</v>
      </c>
      <c r="Q18" s="25">
        <f t="shared" si="4"/>
        <v>-2989.8574393476993</v>
      </c>
      <c r="R18" s="25"/>
      <c r="S18" s="25">
        <f t="shared" si="5"/>
        <v>0</v>
      </c>
      <c r="T18" s="25"/>
      <c r="U18" s="25">
        <f t="shared" si="2"/>
        <v>3976.8261543290937</v>
      </c>
      <c r="X18" s="25">
        <v>0</v>
      </c>
      <c r="Y18" s="25"/>
      <c r="Z18" s="25">
        <f t="shared" si="10"/>
        <v>0</v>
      </c>
      <c r="AA18" s="25"/>
      <c r="AB18" s="25">
        <v>0</v>
      </c>
      <c r="AC18" s="26"/>
      <c r="AD18" s="25">
        <f t="shared" si="3"/>
        <v>0</v>
      </c>
      <c r="AF18" s="6" t="s">
        <v>118</v>
      </c>
      <c r="AG18" s="6"/>
      <c r="AI18" s="7"/>
    </row>
    <row r="19" spans="2:39" x14ac:dyDescent="0.2">
      <c r="B19" s="47">
        <f t="shared" ca="1" si="0"/>
        <v>11</v>
      </c>
      <c r="D19" s="57" t="str">
        <f>+D18</f>
        <v>14.2</v>
      </c>
      <c r="E19" s="48" t="s">
        <v>108</v>
      </c>
      <c r="F19" s="47"/>
      <c r="G19" s="49" t="s">
        <v>109</v>
      </c>
      <c r="J19" s="49">
        <v>0</v>
      </c>
      <c r="K19" s="49"/>
      <c r="L19" s="49">
        <v>0</v>
      </c>
      <c r="M19" s="49"/>
      <c r="N19" s="49">
        <f t="shared" si="1"/>
        <v>0</v>
      </c>
      <c r="O19" s="50"/>
      <c r="P19" s="47"/>
      <c r="Q19" s="49">
        <f t="shared" ref="Q19" si="13">+J19+Z19</f>
        <v>214.48221313540077</v>
      </c>
      <c r="R19" s="49"/>
      <c r="S19" s="49">
        <f t="shared" ref="S19" si="14">+L19+AB19</f>
        <v>0</v>
      </c>
      <c r="T19" s="49"/>
      <c r="U19" s="49">
        <f t="shared" si="2"/>
        <v>-285.28399501928754</v>
      </c>
      <c r="V19" s="47"/>
      <c r="W19" s="47"/>
      <c r="X19" s="49">
        <f>-'[1]A1 (Elect. Adj.)'!$H$52</f>
        <v>271.4964723232921</v>
      </c>
      <c r="Y19" s="49"/>
      <c r="Z19" s="49">
        <f t="shared" si="10"/>
        <v>214.48221313540077</v>
      </c>
      <c r="AA19" s="49"/>
      <c r="AB19" s="49">
        <v>0</v>
      </c>
      <c r="AC19" s="51"/>
      <c r="AD19" s="49">
        <f t="shared" si="3"/>
        <v>-285.28399501928754</v>
      </c>
      <c r="AF19" s="6" t="s">
        <v>117</v>
      </c>
      <c r="AG19" s="6"/>
      <c r="AI19" s="7"/>
      <c r="AJ19" s="53" t="s">
        <v>69</v>
      </c>
      <c r="AK19" s="28" t="s">
        <v>65</v>
      </c>
      <c r="AL19" s="28"/>
      <c r="AM19" s="29" t="s">
        <v>66</v>
      </c>
    </row>
    <row r="20" spans="2:39" x14ac:dyDescent="0.2">
      <c r="B20" s="47">
        <f t="shared" ca="1" si="0"/>
        <v>12</v>
      </c>
      <c r="D20" s="57" t="str">
        <f>+D19</f>
        <v>14.2</v>
      </c>
      <c r="E20" s="48" t="s">
        <v>107</v>
      </c>
      <c r="F20" s="47"/>
      <c r="G20" s="49" t="s">
        <v>106</v>
      </c>
      <c r="J20" s="49">
        <v>0</v>
      </c>
      <c r="K20" s="49"/>
      <c r="L20" s="49">
        <v>0</v>
      </c>
      <c r="M20" s="49"/>
      <c r="N20" s="49">
        <f t="shared" si="1"/>
        <v>0</v>
      </c>
      <c r="O20" s="50"/>
      <c r="P20" s="47"/>
      <c r="Q20" s="49">
        <f t="shared" si="4"/>
        <v>392.83920078540518</v>
      </c>
      <c r="R20" s="49"/>
      <c r="S20" s="49">
        <f t="shared" si="5"/>
        <v>0</v>
      </c>
      <c r="T20" s="49"/>
      <c r="U20" s="49">
        <f t="shared" si="2"/>
        <v>-522.51762494400941</v>
      </c>
      <c r="V20" s="47"/>
      <c r="W20" s="47"/>
      <c r="X20" s="49">
        <f>+'A2 (NTO)'!G31</f>
        <v>497.26481112076601</v>
      </c>
      <c r="Y20" s="49"/>
      <c r="Z20" s="49">
        <f t="shared" si="10"/>
        <v>392.83920078540518</v>
      </c>
      <c r="AA20" s="49"/>
      <c r="AB20" s="49">
        <v>0</v>
      </c>
      <c r="AC20" s="51"/>
      <c r="AD20" s="49">
        <f t="shared" si="3"/>
        <v>-522.51762494400941</v>
      </c>
      <c r="AF20" s="6" t="s">
        <v>117</v>
      </c>
      <c r="AG20" s="6"/>
      <c r="AI20" s="7"/>
      <c r="AJ20" s="56" t="s">
        <v>70</v>
      </c>
      <c r="AK20" s="54" t="s">
        <v>71</v>
      </c>
      <c r="AL20" s="54" t="s">
        <v>72</v>
      </c>
      <c r="AM20" s="55" t="s">
        <v>72</v>
      </c>
    </row>
    <row r="21" spans="2:39" x14ac:dyDescent="0.2">
      <c r="B21" s="4">
        <f t="shared" ca="1" si="0"/>
        <v>13</v>
      </c>
      <c r="D21" s="1" t="s">
        <v>10</v>
      </c>
      <c r="E21" s="24"/>
      <c r="G21" s="25" t="s">
        <v>7</v>
      </c>
      <c r="J21" s="25">
        <v>0</v>
      </c>
      <c r="K21" s="25"/>
      <c r="L21" s="25">
        <v>-47426.374488113695</v>
      </c>
      <c r="M21" s="25"/>
      <c r="N21" s="25">
        <f t="shared" si="1"/>
        <v>-4365.28040565224</v>
      </c>
      <c r="Q21" s="25">
        <f t="shared" si="4"/>
        <v>0</v>
      </c>
      <c r="R21" s="25"/>
      <c r="S21" s="25">
        <f t="shared" si="5"/>
        <v>-47426.374488113695</v>
      </c>
      <c r="T21" s="25"/>
      <c r="U21" s="25">
        <f t="shared" si="2"/>
        <v>-4365.28040565224</v>
      </c>
      <c r="X21" s="25">
        <v>0</v>
      </c>
      <c r="Y21" s="25"/>
      <c r="Z21" s="25">
        <f t="shared" si="10"/>
        <v>0</v>
      </c>
      <c r="AA21" s="25"/>
      <c r="AB21" s="25">
        <v>0</v>
      </c>
      <c r="AC21" s="26"/>
      <c r="AD21" s="25">
        <f t="shared" si="3"/>
        <v>0</v>
      </c>
      <c r="AF21" s="6" t="s">
        <v>118</v>
      </c>
      <c r="AG21" s="6"/>
      <c r="AI21" s="7"/>
      <c r="AJ21" s="30" t="s">
        <v>73</v>
      </c>
      <c r="AK21" s="31">
        <v>0.48720000000000002</v>
      </c>
      <c r="AL21" s="31">
        <v>4.7699999999999999E-2</v>
      </c>
      <c r="AM21" s="32">
        <f>+AK21*AL21</f>
        <v>2.323944E-2</v>
      </c>
    </row>
    <row r="22" spans="2:39" x14ac:dyDescent="0.2">
      <c r="B22" s="47">
        <f t="shared" ca="1" si="0"/>
        <v>14</v>
      </c>
      <c r="D22" s="57" t="str">
        <f>+D21</f>
        <v>14.3</v>
      </c>
      <c r="E22" s="48" t="s">
        <v>108</v>
      </c>
      <c r="F22" s="47"/>
      <c r="G22" s="49" t="s">
        <v>109</v>
      </c>
      <c r="J22" s="49">
        <v>0</v>
      </c>
      <c r="K22" s="49"/>
      <c r="L22" s="49">
        <v>0</v>
      </c>
      <c r="M22" s="49"/>
      <c r="N22" s="49">
        <f t="shared" si="1"/>
        <v>0</v>
      </c>
      <c r="O22" s="50"/>
      <c r="P22" s="47"/>
      <c r="Q22" s="49">
        <f t="shared" ref="Q22" si="15">+J22+Z22</f>
        <v>0</v>
      </c>
      <c r="R22" s="49"/>
      <c r="S22" s="49">
        <f t="shared" ref="S22" si="16">+L22+AB22</f>
        <v>331.75050777751864</v>
      </c>
      <c r="T22" s="49"/>
      <c r="U22" s="49">
        <f t="shared" si="2"/>
        <v>30.535414245702814</v>
      </c>
      <c r="V22" s="47"/>
      <c r="W22" s="47"/>
      <c r="X22" s="49">
        <v>0</v>
      </c>
      <c r="Y22" s="49"/>
      <c r="Z22" s="49">
        <f>247.867*(AK11)</f>
        <v>0</v>
      </c>
      <c r="AA22" s="49"/>
      <c r="AB22" s="49">
        <f>-'[1]A1 (Elect. Adj.)'!$H$52-'[1]A1 (Elect. Adj.)'!$H$71</f>
        <v>331.75050777751864</v>
      </c>
      <c r="AC22" s="51"/>
      <c r="AD22" s="49">
        <f t="shared" si="3"/>
        <v>30.535414245702814</v>
      </c>
      <c r="AF22" s="6" t="s">
        <v>117</v>
      </c>
      <c r="AG22" s="6"/>
      <c r="AI22" s="7"/>
      <c r="AJ22" s="30" t="s">
        <v>67</v>
      </c>
      <c r="AK22" s="31">
        <v>1E-4</v>
      </c>
      <c r="AL22" s="31">
        <v>6.7500000000000004E-2</v>
      </c>
      <c r="AM22" s="32">
        <f>+AK22*AL22</f>
        <v>6.7500000000000006E-6</v>
      </c>
    </row>
    <row r="23" spans="2:39" x14ac:dyDescent="0.2">
      <c r="B23" s="47">
        <f t="shared" ca="1" si="0"/>
        <v>15</v>
      </c>
      <c r="D23" s="57" t="str">
        <f>+D22</f>
        <v>14.3</v>
      </c>
      <c r="E23" s="48" t="s">
        <v>107</v>
      </c>
      <c r="F23" s="47"/>
      <c r="G23" s="49" t="s">
        <v>106</v>
      </c>
      <c r="J23" s="49">
        <v>0</v>
      </c>
      <c r="K23" s="49"/>
      <c r="L23" s="49">
        <v>0</v>
      </c>
      <c r="M23" s="49"/>
      <c r="N23" s="49">
        <f t="shared" si="1"/>
        <v>0</v>
      </c>
      <c r="O23" s="50"/>
      <c r="P23" s="47"/>
      <c r="Q23" s="49">
        <f t="shared" si="4"/>
        <v>0</v>
      </c>
      <c r="R23" s="49"/>
      <c r="S23" s="49">
        <f t="shared" si="5"/>
        <v>289.31129550501259</v>
      </c>
      <c r="T23" s="49"/>
      <c r="U23" s="49">
        <f t="shared" si="2"/>
        <v>26.629168749098017</v>
      </c>
      <c r="V23" s="47"/>
      <c r="W23" s="47"/>
      <c r="X23" s="49">
        <f>+Z23/(1-AK11)</f>
        <v>0</v>
      </c>
      <c r="Y23" s="49"/>
      <c r="Z23" s="49">
        <f>247.867*(AK10)</f>
        <v>0</v>
      </c>
      <c r="AA23" s="49"/>
      <c r="AB23" s="49">
        <f>-'A2 (NTO)'!G41-'A2 (NTO)'!G56</f>
        <v>289.31129550501259</v>
      </c>
      <c r="AC23" s="51"/>
      <c r="AD23" s="49">
        <f t="shared" si="3"/>
        <v>26.629168749098017</v>
      </c>
      <c r="AF23" s="6" t="s">
        <v>117</v>
      </c>
      <c r="AG23" s="6"/>
      <c r="AI23" s="7"/>
      <c r="AJ23" s="30" t="s">
        <v>68</v>
      </c>
      <c r="AK23" s="33">
        <v>0.51270000000000004</v>
      </c>
      <c r="AL23" s="31">
        <v>0.10299999999999999</v>
      </c>
      <c r="AM23" s="32">
        <f>+AK23*AL23</f>
        <v>5.2808100000000004E-2</v>
      </c>
    </row>
    <row r="24" spans="2:39" x14ac:dyDescent="0.2">
      <c r="B24" s="4">
        <f t="shared" ca="1" si="0"/>
        <v>16</v>
      </c>
      <c r="D24" s="1" t="s">
        <v>11</v>
      </c>
      <c r="E24" s="24"/>
      <c r="G24" s="25" t="s">
        <v>43</v>
      </c>
      <c r="J24" s="25">
        <v>0</v>
      </c>
      <c r="K24" s="25"/>
      <c r="L24" s="25">
        <v>-4474.7859431036777</v>
      </c>
      <c r="M24" s="25"/>
      <c r="N24" s="25">
        <f t="shared" si="1"/>
        <v>-411.87410186317794</v>
      </c>
      <c r="Q24" s="25">
        <f t="shared" si="4"/>
        <v>0</v>
      </c>
      <c r="R24" s="25"/>
      <c r="S24" s="25">
        <f t="shared" si="5"/>
        <v>-4474.7859431036777</v>
      </c>
      <c r="T24" s="25"/>
      <c r="U24" s="25">
        <f t="shared" si="2"/>
        <v>-411.87410186317794</v>
      </c>
      <c r="X24" s="25">
        <v>0</v>
      </c>
      <c r="Y24" s="25"/>
      <c r="Z24" s="25">
        <f t="shared" ref="Z24:Z40" si="17">+X24*(1-$AK$5)</f>
        <v>0</v>
      </c>
      <c r="AA24" s="25"/>
      <c r="AB24" s="25">
        <v>0</v>
      </c>
      <c r="AC24" s="26"/>
      <c r="AD24" s="25">
        <f t="shared" si="3"/>
        <v>0</v>
      </c>
      <c r="AF24" s="6"/>
      <c r="AG24" s="6"/>
      <c r="AI24" s="7"/>
      <c r="AJ24" s="34" t="s">
        <v>2</v>
      </c>
      <c r="AK24" s="33">
        <v>1</v>
      </c>
      <c r="AL24" s="35"/>
      <c r="AM24" s="36">
        <f>+ROUNDDOWN(SUM(AM21:AM23),4)</f>
        <v>7.5999999999999998E-2</v>
      </c>
    </row>
    <row r="25" spans="2:39" ht="13.5" x14ac:dyDescent="0.25">
      <c r="B25" s="4">
        <f t="shared" ca="1" si="0"/>
        <v>17</v>
      </c>
      <c r="D25" s="1" t="s">
        <v>12</v>
      </c>
      <c r="E25" s="24"/>
      <c r="G25" s="25" t="s">
        <v>42</v>
      </c>
      <c r="J25" s="25">
        <v>0</v>
      </c>
      <c r="K25" s="25"/>
      <c r="L25" s="25">
        <v>-883.6076582111134</v>
      </c>
      <c r="M25" s="25"/>
      <c r="N25" s="25">
        <f t="shared" si="1"/>
        <v>-81.330172046778543</v>
      </c>
      <c r="Q25" s="25">
        <f t="shared" si="4"/>
        <v>0</v>
      </c>
      <c r="R25" s="25"/>
      <c r="S25" s="25">
        <f t="shared" si="5"/>
        <v>-883.6076582111134</v>
      </c>
      <c r="T25" s="25"/>
      <c r="U25" s="25">
        <f t="shared" si="2"/>
        <v>-81.330172046778543</v>
      </c>
      <c r="X25" s="25">
        <v>0</v>
      </c>
      <c r="Y25" s="25"/>
      <c r="Z25" s="25">
        <f t="shared" si="17"/>
        <v>0</v>
      </c>
      <c r="AA25" s="25"/>
      <c r="AB25" s="25">
        <v>0</v>
      </c>
      <c r="AC25" s="26"/>
      <c r="AD25" s="25">
        <f t="shared" si="3"/>
        <v>0</v>
      </c>
      <c r="AF25" s="6"/>
      <c r="AG25" s="6"/>
      <c r="AI25" s="7"/>
      <c r="AJ25" s="40"/>
      <c r="AL25" s="41"/>
      <c r="AM25" s="25"/>
    </row>
    <row r="26" spans="2:39" ht="13.5" x14ac:dyDescent="0.25">
      <c r="B26" s="4">
        <f t="shared" ca="1" si="0"/>
        <v>18</v>
      </c>
      <c r="D26" s="1" t="s">
        <v>13</v>
      </c>
      <c r="E26" s="24"/>
      <c r="G26" s="25" t="s">
        <v>41</v>
      </c>
      <c r="J26" s="25">
        <v>0</v>
      </c>
      <c r="K26" s="25"/>
      <c r="L26" s="25">
        <v>-2226.6092301684243</v>
      </c>
      <c r="M26" s="25"/>
      <c r="N26" s="25">
        <f t="shared" si="1"/>
        <v>-204.94447969946921</v>
      </c>
      <c r="Q26" s="25">
        <f t="shared" si="4"/>
        <v>0</v>
      </c>
      <c r="R26" s="25"/>
      <c r="S26" s="25">
        <f t="shared" si="5"/>
        <v>-2226.6092301684243</v>
      </c>
      <c r="T26" s="25"/>
      <c r="U26" s="25">
        <f t="shared" si="2"/>
        <v>-204.94447969946921</v>
      </c>
      <c r="X26" s="25">
        <v>0</v>
      </c>
      <c r="Y26" s="25"/>
      <c r="Z26" s="25">
        <f t="shared" si="17"/>
        <v>0</v>
      </c>
      <c r="AA26" s="25"/>
      <c r="AB26" s="25">
        <v>0</v>
      </c>
      <c r="AC26" s="26"/>
      <c r="AD26" s="25">
        <f t="shared" si="3"/>
        <v>0</v>
      </c>
      <c r="AF26" s="6"/>
      <c r="AG26" s="6"/>
      <c r="AI26" s="7"/>
      <c r="AJ26" s="40"/>
      <c r="AL26" s="41"/>
      <c r="AM26" s="25"/>
    </row>
    <row r="27" spans="2:39" x14ac:dyDescent="0.2">
      <c r="B27" s="4">
        <f t="shared" ca="1" si="0"/>
        <v>19</v>
      </c>
      <c r="D27" s="1" t="s">
        <v>14</v>
      </c>
      <c r="E27" s="24"/>
      <c r="G27" s="25" t="s">
        <v>39</v>
      </c>
      <c r="J27" s="25">
        <v>-12.092008887911909</v>
      </c>
      <c r="K27" s="25"/>
      <c r="L27" s="25">
        <v>650.36923155417344</v>
      </c>
      <c r="M27" s="25"/>
      <c r="N27" s="25">
        <f t="shared" si="1"/>
        <v>75.945784511532963</v>
      </c>
      <c r="Q27" s="25">
        <f t="shared" si="4"/>
        <v>-12.092008887911909</v>
      </c>
      <c r="R27" s="25"/>
      <c r="S27" s="25">
        <f t="shared" si="5"/>
        <v>650.36923155417344</v>
      </c>
      <c r="T27" s="25"/>
      <c r="U27" s="25">
        <f t="shared" si="2"/>
        <v>75.945784511532963</v>
      </c>
      <c r="X27" s="25">
        <v>0</v>
      </c>
      <c r="Y27" s="25"/>
      <c r="Z27" s="25">
        <f t="shared" si="17"/>
        <v>0</v>
      </c>
      <c r="AA27" s="25"/>
      <c r="AB27" s="25">
        <v>0</v>
      </c>
      <c r="AC27" s="26"/>
      <c r="AD27" s="25">
        <f t="shared" si="3"/>
        <v>0</v>
      </c>
      <c r="AF27" s="6"/>
      <c r="AG27" s="6"/>
      <c r="AI27" s="7"/>
    </row>
    <row r="28" spans="2:39" x14ac:dyDescent="0.2">
      <c r="B28" s="4">
        <f t="shared" ca="1" si="0"/>
        <v>20</v>
      </c>
      <c r="D28" s="1" t="s">
        <v>15</v>
      </c>
      <c r="E28" s="24"/>
      <c r="G28" s="25" t="s">
        <v>40</v>
      </c>
      <c r="J28" s="25">
        <v>-19.059167514700494</v>
      </c>
      <c r="K28" s="25"/>
      <c r="L28" s="25">
        <v>1683.5460347273465</v>
      </c>
      <c r="M28" s="25"/>
      <c r="N28" s="25">
        <f t="shared" si="1"/>
        <v>180.30985224898629</v>
      </c>
      <c r="Q28" s="25">
        <f t="shared" si="4"/>
        <v>-19.059167514700494</v>
      </c>
      <c r="R28" s="25"/>
      <c r="S28" s="25">
        <f t="shared" si="5"/>
        <v>1683.5460347273465</v>
      </c>
      <c r="T28" s="25"/>
      <c r="U28" s="25">
        <f t="shared" si="2"/>
        <v>180.30985224898629</v>
      </c>
      <c r="X28" s="25">
        <v>0</v>
      </c>
      <c r="Y28" s="25"/>
      <c r="Z28" s="25">
        <f t="shared" si="17"/>
        <v>0</v>
      </c>
      <c r="AA28" s="25"/>
      <c r="AB28" s="25">
        <v>0</v>
      </c>
      <c r="AC28" s="26"/>
      <c r="AD28" s="25">
        <f t="shared" si="3"/>
        <v>0</v>
      </c>
      <c r="AF28" s="6"/>
      <c r="AG28" s="6"/>
      <c r="AI28" s="7"/>
      <c r="AJ28" s="4"/>
    </row>
    <row r="29" spans="2:39" x14ac:dyDescent="0.2">
      <c r="B29" s="4">
        <f t="shared" ca="1" si="0"/>
        <v>21</v>
      </c>
      <c r="D29" s="1" t="s">
        <v>16</v>
      </c>
      <c r="E29" s="24"/>
      <c r="G29" s="25" t="s">
        <v>75</v>
      </c>
      <c r="J29" s="25">
        <v>-2196.4111301742096</v>
      </c>
      <c r="K29" s="25"/>
      <c r="L29" s="25">
        <v>55614.054067891593</v>
      </c>
      <c r="M29" s="25"/>
      <c r="N29" s="25">
        <f t="shared" si="1"/>
        <v>8040.3602879310301</v>
      </c>
      <c r="Q29" s="25">
        <f t="shared" si="4"/>
        <v>-2196.4111301742096</v>
      </c>
      <c r="R29" s="25"/>
      <c r="S29" s="25">
        <f t="shared" si="5"/>
        <v>55614.054067891593</v>
      </c>
      <c r="T29" s="25"/>
      <c r="U29" s="25">
        <f t="shared" si="2"/>
        <v>8040.3602879310301</v>
      </c>
      <c r="X29" s="25">
        <v>0</v>
      </c>
      <c r="Y29" s="25"/>
      <c r="Z29" s="25">
        <f t="shared" si="17"/>
        <v>0</v>
      </c>
      <c r="AA29" s="25"/>
      <c r="AB29" s="25">
        <v>0</v>
      </c>
      <c r="AC29" s="26"/>
      <c r="AD29" s="25">
        <f t="shared" si="3"/>
        <v>0</v>
      </c>
      <c r="AF29" s="6"/>
      <c r="AG29" s="6"/>
      <c r="AI29" s="7"/>
      <c r="AJ29" s="4"/>
      <c r="AK29" s="23"/>
      <c r="AL29" s="23"/>
      <c r="AM29" s="52"/>
    </row>
    <row r="30" spans="2:39" x14ac:dyDescent="0.2">
      <c r="B30" s="4">
        <f t="shared" ca="1" si="0"/>
        <v>22</v>
      </c>
      <c r="D30" s="2" t="s">
        <v>36</v>
      </c>
      <c r="E30" s="24"/>
      <c r="G30" s="25" t="s">
        <v>37</v>
      </c>
      <c r="J30" s="25">
        <v>-2212.0951537975511</v>
      </c>
      <c r="K30" s="25"/>
      <c r="L30" s="25">
        <v>161088.06375272371</v>
      </c>
      <c r="M30" s="25"/>
      <c r="N30" s="25">
        <f t="shared" si="1"/>
        <v>17769.39848033576</v>
      </c>
      <c r="Q30" s="25">
        <f t="shared" si="4"/>
        <v>-2212.0951537975511</v>
      </c>
      <c r="R30" s="25"/>
      <c r="S30" s="25">
        <f t="shared" si="5"/>
        <v>161088.06375272371</v>
      </c>
      <c r="T30" s="25"/>
      <c r="U30" s="25">
        <f t="shared" si="2"/>
        <v>17769.39848033576</v>
      </c>
      <c r="X30" s="25">
        <v>0</v>
      </c>
      <c r="Y30" s="25"/>
      <c r="Z30" s="25">
        <f t="shared" si="17"/>
        <v>0</v>
      </c>
      <c r="AA30" s="25"/>
      <c r="AB30" s="25">
        <v>0</v>
      </c>
      <c r="AC30" s="26"/>
      <c r="AD30" s="25">
        <f t="shared" si="3"/>
        <v>0</v>
      </c>
      <c r="AF30" s="6"/>
      <c r="AG30" s="6"/>
      <c r="AI30" s="7"/>
      <c r="AJ30" s="4"/>
      <c r="AK30" s="23"/>
      <c r="AL30" s="23"/>
      <c r="AM30" s="52"/>
    </row>
    <row r="31" spans="2:39" x14ac:dyDescent="0.2">
      <c r="B31" s="4">
        <f t="shared" ca="1" si="0"/>
        <v>23</v>
      </c>
      <c r="D31" s="1" t="s">
        <v>17</v>
      </c>
      <c r="E31" s="24"/>
      <c r="G31" s="25" t="s">
        <v>30</v>
      </c>
      <c r="J31" s="25">
        <v>1254.5313190359489</v>
      </c>
      <c r="K31" s="25"/>
      <c r="L31" s="25">
        <v>0</v>
      </c>
      <c r="M31" s="25"/>
      <c r="N31" s="25">
        <f t="shared" si="1"/>
        <v>-1668.6591458539926</v>
      </c>
      <c r="Q31" s="25">
        <f t="shared" si="4"/>
        <v>1162.6324427916741</v>
      </c>
      <c r="R31" s="25"/>
      <c r="S31" s="25">
        <f t="shared" si="5"/>
        <v>0</v>
      </c>
      <c r="T31" s="25"/>
      <c r="U31" s="25">
        <f t="shared" si="2"/>
        <v>-1546.4239349733632</v>
      </c>
      <c r="X31" s="25">
        <v>0</v>
      </c>
      <c r="Y31" s="25"/>
      <c r="Z31" s="25">
        <f>+SUM(AB10:AB30,AB32:AB40)*AM14*AK5</f>
        <v>-91.898876244274703</v>
      </c>
      <c r="AA31" s="25"/>
      <c r="AB31" s="25">
        <v>0</v>
      </c>
      <c r="AC31" s="26"/>
      <c r="AD31" s="25">
        <f t="shared" si="3"/>
        <v>122.23521088062944</v>
      </c>
      <c r="AF31" s="6" t="s">
        <v>120</v>
      </c>
      <c r="AG31" s="6"/>
      <c r="AI31" s="7"/>
      <c r="AJ31" s="4"/>
      <c r="AK31" s="23"/>
      <c r="AL31" s="23"/>
      <c r="AM31" s="52"/>
    </row>
    <row r="32" spans="2:39" x14ac:dyDescent="0.2">
      <c r="B32" s="4">
        <f t="shared" ca="1" si="0"/>
        <v>24</v>
      </c>
      <c r="D32" s="1" t="s">
        <v>19</v>
      </c>
      <c r="E32" s="24"/>
      <c r="G32" s="25" t="s">
        <v>18</v>
      </c>
      <c r="J32" s="25">
        <v>-1487.3543300000001</v>
      </c>
      <c r="K32" s="25"/>
      <c r="L32" s="25">
        <v>0</v>
      </c>
      <c r="M32" s="25"/>
      <c r="N32" s="25">
        <f t="shared" si="1"/>
        <v>1978.3383389641137</v>
      </c>
      <c r="Q32" s="25">
        <f t="shared" si="4"/>
        <v>-1487.3543300000001</v>
      </c>
      <c r="R32" s="25"/>
      <c r="S32" s="25">
        <f t="shared" si="5"/>
        <v>0</v>
      </c>
      <c r="T32" s="25"/>
      <c r="U32" s="25">
        <f t="shared" si="2"/>
        <v>1978.3383389641137</v>
      </c>
      <c r="X32" s="25">
        <v>0</v>
      </c>
      <c r="Y32" s="25"/>
      <c r="Z32" s="25">
        <f t="shared" si="17"/>
        <v>0</v>
      </c>
      <c r="AA32" s="25"/>
      <c r="AB32" s="25">
        <v>0</v>
      </c>
      <c r="AC32" s="26"/>
      <c r="AD32" s="25">
        <f t="shared" si="3"/>
        <v>0</v>
      </c>
      <c r="AF32" s="6"/>
      <c r="AG32" s="6"/>
      <c r="AI32" s="7"/>
      <c r="AJ32" s="4"/>
      <c r="AK32" s="23"/>
      <c r="AL32" s="23"/>
      <c r="AM32" s="52"/>
    </row>
    <row r="33" spans="2:39" x14ac:dyDescent="0.2">
      <c r="B33" s="4">
        <f t="shared" ca="1" si="0"/>
        <v>25</v>
      </c>
      <c r="D33" s="1" t="s">
        <v>20</v>
      </c>
      <c r="E33" s="24"/>
      <c r="G33" s="25" t="s">
        <v>38</v>
      </c>
      <c r="J33" s="25">
        <v>0</v>
      </c>
      <c r="K33" s="25"/>
      <c r="L33" s="25">
        <v>2003.1475631538226</v>
      </c>
      <c r="M33" s="25"/>
      <c r="N33" s="25">
        <f t="shared" si="1"/>
        <v>184.37632860291626</v>
      </c>
      <c r="Q33" s="25">
        <f t="shared" si="4"/>
        <v>0</v>
      </c>
      <c r="R33" s="25"/>
      <c r="S33" s="25">
        <f t="shared" si="5"/>
        <v>2003.1475631538226</v>
      </c>
      <c r="T33" s="25"/>
      <c r="U33" s="25">
        <f t="shared" si="2"/>
        <v>184.37632860291626</v>
      </c>
      <c r="X33" s="25">
        <v>0</v>
      </c>
      <c r="Y33" s="25"/>
      <c r="Z33" s="25">
        <f t="shared" si="17"/>
        <v>0</v>
      </c>
      <c r="AA33" s="25"/>
      <c r="AB33" s="25">
        <v>0</v>
      </c>
      <c r="AC33" s="26"/>
      <c r="AD33" s="25">
        <f t="shared" si="3"/>
        <v>0</v>
      </c>
      <c r="AF33" s="6"/>
      <c r="AG33" s="6"/>
      <c r="AI33" s="7"/>
      <c r="AJ33" s="4"/>
      <c r="AK33" s="23"/>
      <c r="AM33" s="52"/>
    </row>
    <row r="34" spans="2:39" x14ac:dyDescent="0.2">
      <c r="B34" s="4">
        <f t="shared" ca="1" si="0"/>
        <v>26</v>
      </c>
      <c r="D34" s="1" t="s">
        <v>21</v>
      </c>
      <c r="E34" s="24"/>
      <c r="G34" s="25" t="s">
        <v>34</v>
      </c>
      <c r="J34" s="25">
        <v>-897.33974776876858</v>
      </c>
      <c r="K34" s="25"/>
      <c r="L34" s="25">
        <v>-24209.006120432052</v>
      </c>
      <c r="M34" s="25"/>
      <c r="N34" s="25">
        <f t="shared" si="1"/>
        <v>-1034.7203795657595</v>
      </c>
      <c r="Q34" s="25">
        <f t="shared" si="4"/>
        <v>-897.33974776876858</v>
      </c>
      <c r="R34" s="25"/>
      <c r="S34" s="25">
        <f t="shared" si="5"/>
        <v>-24209.006120432052</v>
      </c>
      <c r="T34" s="25"/>
      <c r="U34" s="25">
        <f t="shared" si="2"/>
        <v>-1034.7203795657595</v>
      </c>
      <c r="X34" s="25">
        <v>0</v>
      </c>
      <c r="Y34" s="25"/>
      <c r="Z34" s="25">
        <f t="shared" si="17"/>
        <v>0</v>
      </c>
      <c r="AA34" s="25"/>
      <c r="AB34" s="25">
        <v>0</v>
      </c>
      <c r="AC34" s="26"/>
      <c r="AD34" s="25">
        <f t="shared" si="3"/>
        <v>0</v>
      </c>
      <c r="AF34" s="6"/>
      <c r="AG34" s="6"/>
      <c r="AI34" s="7"/>
      <c r="AJ34" s="4"/>
      <c r="AL34" s="41"/>
      <c r="AM34" s="25"/>
    </row>
    <row r="35" spans="2:39" x14ac:dyDescent="0.2">
      <c r="B35" s="4">
        <f t="shared" ca="1" si="0"/>
        <v>27</v>
      </c>
      <c r="D35" s="1" t="s">
        <v>23</v>
      </c>
      <c r="E35" s="24"/>
      <c r="G35" s="25" t="s">
        <v>22</v>
      </c>
      <c r="J35" s="25">
        <v>0</v>
      </c>
      <c r="K35" s="25"/>
      <c r="L35" s="25">
        <v>0</v>
      </c>
      <c r="M35" s="25"/>
      <c r="N35" s="25">
        <f t="shared" si="1"/>
        <v>0</v>
      </c>
      <c r="Q35" s="25">
        <f t="shared" si="4"/>
        <v>0</v>
      </c>
      <c r="R35" s="25"/>
      <c r="S35" s="25">
        <f t="shared" si="5"/>
        <v>0</v>
      </c>
      <c r="T35" s="25"/>
      <c r="U35" s="25">
        <f t="shared" si="2"/>
        <v>0</v>
      </c>
      <c r="X35" s="25">
        <v>0</v>
      </c>
      <c r="Y35" s="25"/>
      <c r="Z35" s="25">
        <f t="shared" si="17"/>
        <v>0</v>
      </c>
      <c r="AA35" s="25"/>
      <c r="AB35" s="25">
        <v>0</v>
      </c>
      <c r="AC35" s="26"/>
      <c r="AD35" s="25">
        <f t="shared" si="3"/>
        <v>0</v>
      </c>
      <c r="AF35" s="6"/>
      <c r="AG35" s="6"/>
      <c r="AI35" s="7"/>
    </row>
    <row r="36" spans="2:39" x14ac:dyDescent="0.2">
      <c r="B36" s="4">
        <f t="shared" ca="1" si="0"/>
        <v>28</v>
      </c>
      <c r="D36" s="1" t="s">
        <v>29</v>
      </c>
      <c r="E36" s="24"/>
      <c r="G36" s="25" t="s">
        <v>26</v>
      </c>
      <c r="J36" s="25">
        <v>517.66399999999999</v>
      </c>
      <c r="K36" s="25"/>
      <c r="L36" s="25">
        <v>3265.3980000000001</v>
      </c>
      <c r="M36" s="25"/>
      <c r="N36" s="25">
        <f t="shared" si="1"/>
        <v>-387.98975605863103</v>
      </c>
      <c r="Q36" s="25">
        <f t="shared" si="4"/>
        <v>517.66399999999999</v>
      </c>
      <c r="R36" s="25"/>
      <c r="S36" s="25">
        <f t="shared" si="5"/>
        <v>3265.3980000000001</v>
      </c>
      <c r="T36" s="25"/>
      <c r="U36" s="25">
        <f t="shared" si="2"/>
        <v>-387.98975605863103</v>
      </c>
      <c r="X36" s="25">
        <v>0</v>
      </c>
      <c r="Y36" s="25"/>
      <c r="Z36" s="25">
        <f t="shared" si="17"/>
        <v>0</v>
      </c>
      <c r="AA36" s="25"/>
      <c r="AB36" s="25">
        <v>0</v>
      </c>
      <c r="AC36" s="26"/>
      <c r="AD36" s="25">
        <f t="shared" si="3"/>
        <v>0</v>
      </c>
      <c r="AF36" s="6"/>
      <c r="AG36" s="6"/>
      <c r="AI36" s="7"/>
    </row>
    <row r="37" spans="2:39" x14ac:dyDescent="0.2">
      <c r="B37" s="4">
        <f t="shared" ca="1" si="0"/>
        <v>29</v>
      </c>
      <c r="D37" s="2" t="s">
        <v>24</v>
      </c>
      <c r="E37" s="24"/>
      <c r="G37" s="25" t="s">
        <v>25</v>
      </c>
      <c r="J37" s="25">
        <v>5509.2650565951581</v>
      </c>
      <c r="K37" s="25"/>
      <c r="L37" s="25">
        <v>-311.49234512960948</v>
      </c>
      <c r="M37" s="25"/>
      <c r="N37" s="25">
        <f t="shared" si="1"/>
        <v>-7356.5751468145654</v>
      </c>
      <c r="Q37" s="25">
        <f t="shared" si="4"/>
        <v>5509.2650565951581</v>
      </c>
      <c r="R37" s="25"/>
      <c r="S37" s="25">
        <f t="shared" si="5"/>
        <v>-311.49234512960948</v>
      </c>
      <c r="T37" s="25"/>
      <c r="U37" s="25">
        <f t="shared" si="2"/>
        <v>-7356.5751468145654</v>
      </c>
      <c r="X37" s="25">
        <v>0</v>
      </c>
      <c r="Y37" s="25"/>
      <c r="Z37" s="25">
        <f t="shared" si="17"/>
        <v>0</v>
      </c>
      <c r="AA37" s="25"/>
      <c r="AB37" s="25">
        <v>0</v>
      </c>
      <c r="AC37" s="26"/>
      <c r="AD37" s="25">
        <f t="shared" si="3"/>
        <v>0</v>
      </c>
      <c r="AF37" s="6" t="s">
        <v>118</v>
      </c>
      <c r="AG37" s="6"/>
      <c r="AI37" s="7"/>
    </row>
    <row r="38" spans="2:39" x14ac:dyDescent="0.2">
      <c r="B38" s="47">
        <f t="shared" ca="1" si="0"/>
        <v>30</v>
      </c>
      <c r="D38" s="58" t="str">
        <f>+D37</f>
        <v>16.1</v>
      </c>
      <c r="E38" s="48" t="s">
        <v>112</v>
      </c>
      <c r="F38" s="47"/>
      <c r="G38" s="49" t="s">
        <v>77</v>
      </c>
      <c r="J38" s="49">
        <v>0</v>
      </c>
      <c r="K38" s="49"/>
      <c r="L38" s="49">
        <v>0</v>
      </c>
      <c r="M38" s="49"/>
      <c r="N38" s="49">
        <f t="shared" si="1"/>
        <v>0</v>
      </c>
      <c r="O38" s="50"/>
      <c r="P38" s="47"/>
      <c r="Q38" s="49">
        <f t="shared" si="4"/>
        <v>-4166.4252623380517</v>
      </c>
      <c r="R38" s="49"/>
      <c r="S38" s="49">
        <f t="shared" si="5"/>
        <v>0</v>
      </c>
      <c r="T38" s="49"/>
      <c r="U38" s="49">
        <f t="shared" si="2"/>
        <v>5541.7856166875736</v>
      </c>
      <c r="V38" s="47"/>
      <c r="W38" s="47"/>
      <c r="X38" s="49">
        <v>-5273.9560282760149</v>
      </c>
      <c r="Y38" s="49"/>
      <c r="Z38" s="49">
        <f t="shared" si="17"/>
        <v>-4166.4252623380517</v>
      </c>
      <c r="AA38" s="49"/>
      <c r="AB38" s="49">
        <v>0</v>
      </c>
      <c r="AC38" s="51"/>
      <c r="AD38" s="49">
        <f t="shared" si="3"/>
        <v>5541.7856166875736</v>
      </c>
      <c r="AF38" s="6" t="s">
        <v>117</v>
      </c>
      <c r="AI38" s="7"/>
    </row>
    <row r="39" spans="2:39" x14ac:dyDescent="0.2">
      <c r="B39" s="47">
        <f t="shared" ca="1" si="0"/>
        <v>31</v>
      </c>
      <c r="D39" s="58" t="str">
        <f>+D38</f>
        <v>16.1</v>
      </c>
      <c r="E39" s="48" t="s">
        <v>111</v>
      </c>
      <c r="F39" s="47"/>
      <c r="G39" s="49" t="s">
        <v>80</v>
      </c>
      <c r="J39" s="49">
        <v>0</v>
      </c>
      <c r="K39" s="49"/>
      <c r="L39" s="49">
        <v>0</v>
      </c>
      <c r="M39" s="49"/>
      <c r="N39" s="49">
        <f t="shared" si="1"/>
        <v>0</v>
      </c>
      <c r="O39" s="50"/>
      <c r="P39" s="47"/>
      <c r="Q39" s="49">
        <f t="shared" ref="Q39" si="18">+J39+Z39</f>
        <v>-3756.7800201624432</v>
      </c>
      <c r="R39" s="49"/>
      <c r="S39" s="49">
        <f t="shared" ref="S39" si="19">+L39+AB39</f>
        <v>0</v>
      </c>
      <c r="T39" s="49"/>
      <c r="U39" s="49">
        <f t="shared" si="2"/>
        <v>4996.9141818020844</v>
      </c>
      <c r="V39" s="47"/>
      <c r="W39" s="47"/>
      <c r="X39" s="49">
        <f>-([4]Sheet1!$J$5-[4]Sheet1!$J$4)/1000</f>
        <v>-4755.4177470410668</v>
      </c>
      <c r="Y39" s="49"/>
      <c r="Z39" s="49">
        <f t="shared" si="17"/>
        <v>-3756.7800201624432</v>
      </c>
      <c r="AA39" s="49"/>
      <c r="AB39" s="49">
        <v>0</v>
      </c>
      <c r="AC39" s="51"/>
      <c r="AD39" s="49">
        <f t="shared" si="3"/>
        <v>4996.9141818020844</v>
      </c>
      <c r="AF39" s="6" t="s">
        <v>117</v>
      </c>
      <c r="AG39" s="6"/>
      <c r="AI39" s="7"/>
      <c r="AM39" s="25"/>
    </row>
    <row r="40" spans="2:39" x14ac:dyDescent="0.2">
      <c r="B40" s="4">
        <f t="shared" ca="1" si="0"/>
        <v>32</v>
      </c>
      <c r="D40" s="2" t="s">
        <v>27</v>
      </c>
      <c r="E40" s="24"/>
      <c r="G40" s="25" t="s">
        <v>28</v>
      </c>
      <c r="J40" s="25">
        <v>0</v>
      </c>
      <c r="K40" s="25"/>
      <c r="L40" s="25">
        <v>-57.462544820610859</v>
      </c>
      <c r="M40" s="25"/>
      <c r="N40" s="25">
        <f t="shared" si="1"/>
        <v>-5.2890427251021137</v>
      </c>
      <c r="Q40" s="25">
        <f t="shared" si="4"/>
        <v>0</v>
      </c>
      <c r="R40" s="25"/>
      <c r="S40" s="25">
        <f t="shared" si="5"/>
        <v>-57.462544820610859</v>
      </c>
      <c r="T40" s="25"/>
      <c r="U40" s="25">
        <f t="shared" si="2"/>
        <v>-5.2890427251021137</v>
      </c>
      <c r="X40" s="25">
        <v>0</v>
      </c>
      <c r="Y40" s="25"/>
      <c r="Z40" s="25">
        <f t="shared" si="17"/>
        <v>0</v>
      </c>
      <c r="AA40" s="25"/>
      <c r="AB40" s="25">
        <v>0</v>
      </c>
      <c r="AC40" s="26"/>
      <c r="AD40" s="25">
        <f t="shared" si="3"/>
        <v>0</v>
      </c>
      <c r="AF40" s="6"/>
      <c r="AG40" s="6"/>
      <c r="AI40" s="7"/>
      <c r="AM40" s="25"/>
    </row>
    <row r="41" spans="2:39" x14ac:dyDescent="0.2">
      <c r="AF41" s="6"/>
      <c r="AG41" s="6"/>
      <c r="AI41" s="7"/>
    </row>
    <row r="42" spans="2:39" ht="13.5" thickBot="1" x14ac:dyDescent="0.25">
      <c r="B42" s="4">
        <f ca="1">+MAX(OFFSET($B$7,0,0,ROW($B42)-ROW($B$7),1))+1</f>
        <v>33</v>
      </c>
      <c r="D42" s="24"/>
      <c r="E42" s="24"/>
      <c r="G42" s="3" t="s">
        <v>119</v>
      </c>
      <c r="J42" s="44">
        <f>+SUM(J7:J41)</f>
        <v>74674.289087989586</v>
      </c>
      <c r="K42" s="25"/>
      <c r="L42" s="44">
        <f>+SUM(L7:L41)</f>
        <v>1357485.5608292867</v>
      </c>
      <c r="M42" s="25"/>
      <c r="N42" s="44">
        <f>+($L42*$AM$17-$J42)/$AK$4</f>
        <v>25622.771037478447</v>
      </c>
      <c r="Q42" s="44">
        <f ca="1">+SUM(Q7:Q41)</f>
        <v>69096.585983153578</v>
      </c>
      <c r="R42" s="25"/>
      <c r="S42" s="44">
        <f>+SUM(S7:S41)</f>
        <v>1312211.9489333073</v>
      </c>
      <c r="T42" s="25"/>
      <c r="U42" s="44">
        <f ca="1">+($S42*$AM$17-$Q42)/$AK$4</f>
        <v>28874.572215465512</v>
      </c>
      <c r="V42" s="5"/>
      <c r="X42" s="44">
        <f ca="1">+SUM(X9:X41)</f>
        <v>-4618.6954010013797</v>
      </c>
      <c r="Y42" s="26"/>
      <c r="Z42" s="44">
        <f ca="1">+SUM(Z9:Z41)</f>
        <v>-3740.6682430353658</v>
      </c>
      <c r="AA42" s="25"/>
      <c r="AB42" s="44">
        <f>+SUM(AB9:AB41)</f>
        <v>-18726.865338166739</v>
      </c>
      <c r="AC42" s="25"/>
      <c r="AD42" s="44">
        <f ca="1">+SUM(AD9:AD41)</f>
        <v>3251.8011779870549</v>
      </c>
    </row>
    <row r="43" spans="2:39" ht="13.5" thickTop="1" x14ac:dyDescent="0.2">
      <c r="D43" s="24"/>
      <c r="E43" s="24"/>
      <c r="G43" s="3"/>
      <c r="J43" s="21"/>
      <c r="K43" s="25"/>
      <c r="L43" s="21"/>
      <c r="M43" s="25"/>
      <c r="N43" s="21"/>
      <c r="Q43" s="21"/>
      <c r="R43" s="25"/>
      <c r="S43" s="45"/>
      <c r="T43" s="46"/>
      <c r="U43" s="45"/>
      <c r="X43" s="21"/>
      <c r="Y43" s="26"/>
      <c r="Z43" s="21"/>
      <c r="AA43" s="25"/>
      <c r="AB43" s="21"/>
      <c r="AC43" s="25"/>
      <c r="AD43" s="21"/>
    </row>
    <row r="44" spans="2:39" x14ac:dyDescent="0.2">
      <c r="N44" s="25"/>
    </row>
    <row r="45" spans="2:39" x14ac:dyDescent="0.2">
      <c r="L45" s="4" t="s">
        <v>78</v>
      </c>
      <c r="N45" s="25">
        <v>27947.817266730915</v>
      </c>
    </row>
    <row r="46" spans="2:39" x14ac:dyDescent="0.2">
      <c r="L46" s="4" t="s">
        <v>79</v>
      </c>
      <c r="N46" s="25">
        <f>+N42-N45</f>
        <v>-2325.046229252468</v>
      </c>
    </row>
  </sheetData>
  <pageMargins left="0.25" right="0.25" top="0.75" bottom="0.75" header="0.3" footer="0.3"/>
  <pageSetup scale="95" orientation="landscape" r:id="rId1"/>
  <colBreaks count="1" manualBreakCount="1">
    <brk id="22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EF69-EB2E-4D99-B574-79CA4A6DC5FF}">
  <sheetPr codeName="Sheet3"/>
  <dimension ref="A1:K56"/>
  <sheetViews>
    <sheetView topLeftCell="A4" zoomScale="130" zoomScaleNormal="130" workbookViewId="0">
      <selection activeCell="G19" sqref="G19"/>
    </sheetView>
  </sheetViews>
  <sheetFormatPr defaultColWidth="8.7109375" defaultRowHeight="12.75" x14ac:dyDescent="0.2"/>
  <cols>
    <col min="1" max="2" width="2.140625" style="4" customWidth="1"/>
    <col min="3" max="3" width="16.42578125" style="4" customWidth="1"/>
    <col min="4" max="4" width="2.42578125" style="4" customWidth="1"/>
    <col min="5" max="7" width="13.85546875" style="4" customWidth="1"/>
    <col min="8" max="8" width="2.140625" style="4" customWidth="1"/>
    <col min="9" max="10" width="8.7109375" style="4"/>
    <col min="11" max="11" width="15.42578125" style="4" customWidth="1"/>
    <col min="12" max="16384" width="8.7109375" style="4"/>
  </cols>
  <sheetData>
    <row r="1" spans="1:11" x14ac:dyDescent="0.2">
      <c r="A1" s="4" t="s">
        <v>105</v>
      </c>
    </row>
    <row r="2" spans="1:11" x14ac:dyDescent="0.2">
      <c r="A2" s="4" t="s">
        <v>104</v>
      </c>
    </row>
    <row r="6" spans="1:11" x14ac:dyDescent="0.2">
      <c r="D6" s="27"/>
      <c r="E6" s="37"/>
      <c r="F6" s="37"/>
      <c r="G6" s="37"/>
      <c r="H6" s="38"/>
    </row>
    <row r="7" spans="1:11" x14ac:dyDescent="0.2">
      <c r="D7" s="30"/>
      <c r="E7" s="67"/>
      <c r="F7" s="68" t="s">
        <v>74</v>
      </c>
      <c r="G7" s="68" t="s">
        <v>103</v>
      </c>
      <c r="H7" s="43"/>
    </row>
    <row r="8" spans="1:11" x14ac:dyDescent="0.2">
      <c r="D8" s="30"/>
      <c r="E8" s="42" t="s">
        <v>102</v>
      </c>
      <c r="F8" s="67">
        <f>-F33</f>
        <v>0</v>
      </c>
      <c r="G8" s="67">
        <f>-G33</f>
        <v>-497.26481112076601</v>
      </c>
      <c r="H8" s="43"/>
      <c r="J8" s="4" t="s">
        <v>101</v>
      </c>
      <c r="K8" s="4">
        <f>+'Exh. BGM-4 (Detail)'!AK4</f>
        <v>0.75182000000000004</v>
      </c>
    </row>
    <row r="9" spans="1:11" x14ac:dyDescent="0.2">
      <c r="D9" s="30"/>
      <c r="E9" s="42" t="s">
        <v>1</v>
      </c>
      <c r="F9" s="66">
        <f>+F26+F41+F56</f>
        <v>0</v>
      </c>
      <c r="G9" s="66">
        <f>+G26+G41+G56</f>
        <v>8046.5213577723989</v>
      </c>
      <c r="H9" s="43"/>
      <c r="J9" s="4" t="s">
        <v>61</v>
      </c>
      <c r="K9" s="19">
        <f>+'Exh. BGM-4 (Detail)'!AK5</f>
        <v>0.21</v>
      </c>
    </row>
    <row r="10" spans="1:11" x14ac:dyDescent="0.2">
      <c r="D10" s="30"/>
      <c r="E10" s="42" t="s">
        <v>100</v>
      </c>
      <c r="F10" s="67">
        <f>+(F$9*$K$10-F$8*(1-$K$9))/$K$8</f>
        <v>0</v>
      </c>
      <c r="G10" s="67">
        <f>+(G$9*$K$10-G$8*(1-$K$9))/$K$8</f>
        <v>1293.1136954922958</v>
      </c>
      <c r="H10" s="43"/>
      <c r="J10" s="4" t="s">
        <v>99</v>
      </c>
      <c r="K10" s="23">
        <v>7.2000000000000008E-2</v>
      </c>
    </row>
    <row r="11" spans="1:11" x14ac:dyDescent="0.2">
      <c r="D11" s="34"/>
      <c r="E11" s="66"/>
      <c r="F11" s="66"/>
      <c r="G11" s="66"/>
      <c r="H11" s="39"/>
    </row>
    <row r="15" spans="1:11" x14ac:dyDescent="0.2">
      <c r="B15" s="65" t="s">
        <v>98</v>
      </c>
      <c r="E15" s="64">
        <v>2023</v>
      </c>
      <c r="F15" s="64">
        <v>2024</v>
      </c>
      <c r="G15" s="64">
        <v>2025</v>
      </c>
    </row>
    <row r="17" spans="2:7" x14ac:dyDescent="0.2">
      <c r="B17" s="3" t="s">
        <v>97</v>
      </c>
    </row>
    <row r="18" spans="2:7" ht="5.45" customHeight="1" x14ac:dyDescent="0.2">
      <c r="B18" s="3"/>
      <c r="E18" s="25"/>
      <c r="F18" s="25"/>
      <c r="G18" s="25"/>
    </row>
    <row r="19" spans="2:7" x14ac:dyDescent="0.2">
      <c r="B19" s="3"/>
      <c r="C19" s="4" t="s">
        <v>96</v>
      </c>
      <c r="E19" s="25"/>
      <c r="F19" s="25"/>
      <c r="G19" s="25">
        <v>235323.23576999997</v>
      </c>
    </row>
    <row r="20" spans="2:7" x14ac:dyDescent="0.2">
      <c r="B20" s="3"/>
      <c r="C20" s="4" t="s">
        <v>95</v>
      </c>
      <c r="E20" s="25"/>
      <c r="F20" s="25"/>
      <c r="G20" s="19">
        <v>7.0845810240555085E-2</v>
      </c>
    </row>
    <row r="21" spans="2:7" x14ac:dyDescent="0.2">
      <c r="B21" s="3"/>
      <c r="C21" s="4" t="s">
        <v>94</v>
      </c>
      <c r="E21" s="60">
        <v>0</v>
      </c>
      <c r="F21" s="60">
        <v>0</v>
      </c>
      <c r="G21" s="60">
        <f>+G19*G20</f>
        <v>16671.665306554823</v>
      </c>
    </row>
    <row r="22" spans="2:7" x14ac:dyDescent="0.2">
      <c r="B22" s="3"/>
      <c r="C22" s="4" t="s">
        <v>93</v>
      </c>
      <c r="E22" s="25">
        <f>+E21</f>
        <v>0</v>
      </c>
      <c r="F22" s="25">
        <f>+E22+F21</f>
        <v>0</v>
      </c>
      <c r="G22" s="25">
        <f>+F22+G21</f>
        <v>16671.665306554823</v>
      </c>
    </row>
    <row r="23" spans="2:7" ht="5.45" customHeight="1" x14ac:dyDescent="0.2">
      <c r="B23" s="3"/>
      <c r="E23" s="25"/>
      <c r="F23" s="25"/>
      <c r="G23" s="25"/>
    </row>
    <row r="24" spans="2:7" x14ac:dyDescent="0.2">
      <c r="B24" s="3"/>
      <c r="C24" s="4" t="s">
        <v>92</v>
      </c>
      <c r="E24" s="25">
        <f>+E22/2</f>
        <v>0</v>
      </c>
      <c r="F24" s="25">
        <f>+E22+F21/2</f>
        <v>0</v>
      </c>
      <c r="G24" s="25">
        <f>+F22+G21/2</f>
        <v>8335.8326532774117</v>
      </c>
    </row>
    <row r="25" spans="2:7" ht="5.45" customHeight="1" x14ac:dyDescent="0.2">
      <c r="B25" s="3"/>
      <c r="C25" s="59"/>
      <c r="E25" s="63"/>
      <c r="F25" s="63"/>
      <c r="G25" s="63"/>
    </row>
    <row r="26" spans="2:7" x14ac:dyDescent="0.2">
      <c r="B26" s="3"/>
      <c r="C26" s="59" t="s">
        <v>91</v>
      </c>
      <c r="E26" s="26">
        <v>0</v>
      </c>
      <c r="F26" s="26">
        <f>+F24-E24</f>
        <v>0</v>
      </c>
      <c r="G26" s="26">
        <f>+G24-F24</f>
        <v>8335.8326532774117</v>
      </c>
    </row>
    <row r="27" spans="2:7" x14ac:dyDescent="0.2">
      <c r="B27" s="3"/>
    </row>
    <row r="28" spans="2:7" x14ac:dyDescent="0.2">
      <c r="B28" s="3"/>
    </row>
    <row r="29" spans="2:7" x14ac:dyDescent="0.2">
      <c r="B29" s="3"/>
    </row>
    <row r="30" spans="2:7" x14ac:dyDescent="0.2">
      <c r="B30" s="3"/>
      <c r="C30" s="4" t="s">
        <v>0</v>
      </c>
    </row>
    <row r="31" spans="2:7" x14ac:dyDescent="0.2">
      <c r="B31" s="3"/>
      <c r="C31" s="23">
        <v>5.9653886036838286E-2</v>
      </c>
      <c r="E31" s="25">
        <f>+E24*$C31</f>
        <v>0</v>
      </c>
      <c r="F31" s="25">
        <f>+F24*$C31</f>
        <v>0</v>
      </c>
      <c r="G31" s="25">
        <f>+G24*$C31</f>
        <v>497.26481112076601</v>
      </c>
    </row>
    <row r="32" spans="2:7" ht="5.45" customHeight="1" x14ac:dyDescent="0.2">
      <c r="B32" s="3"/>
      <c r="C32" s="59"/>
      <c r="E32" s="60"/>
      <c r="F32" s="60"/>
      <c r="G32" s="60"/>
    </row>
    <row r="33" spans="2:7" x14ac:dyDescent="0.2">
      <c r="B33" s="3"/>
      <c r="C33" s="59" t="s">
        <v>83</v>
      </c>
      <c r="E33" s="25">
        <f>+E31</f>
        <v>0</v>
      </c>
      <c r="F33" s="25">
        <f>+F31-E31</f>
        <v>0</v>
      </c>
      <c r="G33" s="25">
        <f>+G31-F31</f>
        <v>497.26481112076601</v>
      </c>
    </row>
    <row r="34" spans="2:7" x14ac:dyDescent="0.2">
      <c r="B34" s="3"/>
    </row>
    <row r="35" spans="2:7" x14ac:dyDescent="0.2">
      <c r="B35" s="3"/>
    </row>
    <row r="36" spans="2:7" x14ac:dyDescent="0.2">
      <c r="B36" s="3"/>
    </row>
    <row r="37" spans="2:7" x14ac:dyDescent="0.2">
      <c r="B37" s="3" t="s">
        <v>90</v>
      </c>
      <c r="E37" s="25"/>
      <c r="F37" s="25"/>
      <c r="G37" s="25"/>
    </row>
    <row r="38" spans="2:7" ht="5.45" customHeight="1" x14ac:dyDescent="0.2">
      <c r="B38" s="3"/>
      <c r="E38" s="25"/>
      <c r="F38" s="25"/>
      <c r="G38" s="25"/>
    </row>
    <row r="39" spans="2:7" x14ac:dyDescent="0.2">
      <c r="B39" s="3"/>
      <c r="C39" s="4" t="s">
        <v>89</v>
      </c>
      <c r="E39" s="25">
        <f>-E31</f>
        <v>0</v>
      </c>
      <c r="F39" s="25">
        <f>+E39-F31</f>
        <v>0</v>
      </c>
      <c r="G39" s="25">
        <f>+F39-G31</f>
        <v>-497.26481112076601</v>
      </c>
    </row>
    <row r="40" spans="2:7" ht="5.45" customHeight="1" x14ac:dyDescent="0.2">
      <c r="B40" s="3"/>
      <c r="C40" s="59"/>
      <c r="E40" s="60"/>
      <c r="F40" s="60"/>
      <c r="G40" s="60"/>
    </row>
    <row r="41" spans="2:7" x14ac:dyDescent="0.2">
      <c r="B41" s="3"/>
      <c r="C41" s="59" t="s">
        <v>83</v>
      </c>
      <c r="E41" s="25">
        <f>+E39</f>
        <v>0</v>
      </c>
      <c r="F41" s="25">
        <f>+F39-E39</f>
        <v>0</v>
      </c>
      <c r="G41" s="25">
        <f>+G39-F39</f>
        <v>-497.26481112076601</v>
      </c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 t="s">
        <v>88</v>
      </c>
    </row>
    <row r="46" spans="2:7" ht="5.45" customHeight="1" x14ac:dyDescent="0.2">
      <c r="B46" s="3"/>
    </row>
    <row r="47" spans="2:7" x14ac:dyDescent="0.2">
      <c r="B47" s="3"/>
      <c r="C47" s="4" t="s">
        <v>87</v>
      </c>
    </row>
    <row r="48" spans="2:7" x14ac:dyDescent="0.2">
      <c r="B48" s="3"/>
      <c r="C48" s="4">
        <v>2025</v>
      </c>
      <c r="E48" s="23"/>
      <c r="F48" s="23"/>
      <c r="G48" s="16">
        <v>2.5641025641025598E-4</v>
      </c>
    </row>
    <row r="49" spans="2:7" ht="5.45" customHeight="1" x14ac:dyDescent="0.2">
      <c r="B49" s="3"/>
    </row>
    <row r="50" spans="2:7" x14ac:dyDescent="0.2">
      <c r="B50" s="3"/>
      <c r="C50" s="4" t="s">
        <v>86</v>
      </c>
    </row>
    <row r="51" spans="2:7" x14ac:dyDescent="0.2">
      <c r="B51" s="3"/>
      <c r="C51" s="4">
        <v>2025</v>
      </c>
      <c r="E51" s="9"/>
      <c r="F51" s="9"/>
      <c r="G51" s="62">
        <f>+($C$31-G48)*$G$21*0.21</f>
        <v>207.95351561575339</v>
      </c>
    </row>
    <row r="52" spans="2:7" x14ac:dyDescent="0.2">
      <c r="B52" s="3"/>
      <c r="C52" s="4" t="s">
        <v>85</v>
      </c>
      <c r="E52" s="61">
        <f>+SUM(E51:E51)</f>
        <v>0</v>
      </c>
      <c r="F52" s="61">
        <f>+SUM(F51:F51)</f>
        <v>0</v>
      </c>
      <c r="G52" s="61">
        <f>+SUM(G51:G51)</f>
        <v>207.95351561575339</v>
      </c>
    </row>
    <row r="53" spans="2:7" ht="5.45" customHeight="1" x14ac:dyDescent="0.2">
      <c r="B53" s="3"/>
      <c r="E53" s="61"/>
      <c r="F53" s="61"/>
      <c r="G53" s="61"/>
    </row>
    <row r="54" spans="2:7" x14ac:dyDescent="0.2">
      <c r="B54" s="3"/>
      <c r="C54" s="4" t="s">
        <v>84</v>
      </c>
      <c r="E54" s="61">
        <f>+E52</f>
        <v>0</v>
      </c>
      <c r="F54" s="61">
        <f>+F52+E54</f>
        <v>0</v>
      </c>
      <c r="G54" s="61">
        <f>+G52+F54</f>
        <v>207.95351561575339</v>
      </c>
    </row>
    <row r="55" spans="2:7" ht="5.45" customHeight="1" x14ac:dyDescent="0.2">
      <c r="B55" s="3"/>
      <c r="C55" s="59"/>
      <c r="E55" s="60"/>
      <c r="F55" s="60"/>
      <c r="G55" s="60"/>
    </row>
    <row r="56" spans="2:7" x14ac:dyDescent="0.2">
      <c r="B56" s="3"/>
      <c r="C56" s="59" t="s">
        <v>83</v>
      </c>
      <c r="E56" s="25">
        <f>+E54</f>
        <v>0</v>
      </c>
      <c r="F56" s="25">
        <f>+F54-E54</f>
        <v>0</v>
      </c>
      <c r="G56" s="25">
        <f>+G54-F54</f>
        <v>207.95351561575339</v>
      </c>
    </row>
  </sheetData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05AB54-46C1-40A6-ABD7-7B5605143D56}"/>
</file>

<file path=customXml/itemProps2.xml><?xml version="1.0" encoding="utf-8"?>
<ds:datastoreItem xmlns:ds="http://schemas.openxmlformats.org/officeDocument/2006/customXml" ds:itemID="{90BA30D5-C01A-4749-A15C-8B0E1BA01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5FCFAF-D882-4C30-A1C2-4AC4BB5E2226}"/>
</file>

<file path=customXml/itemProps4.xml><?xml version="1.0" encoding="utf-8"?>
<ds:datastoreItem xmlns:ds="http://schemas.openxmlformats.org/officeDocument/2006/customXml" ds:itemID="{5FFDF1CD-3BAD-4DF8-A68C-CFAACA19125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Exh. BGM-4 (Consolidated)</vt:lpstr>
      <vt:lpstr>Exh. BGM-4 (Detail)</vt:lpstr>
      <vt:lpstr>A2 (NTO)</vt:lpstr>
      <vt:lpstr>'Exh. BGM-4 (Consolidated)'!Print_Area</vt:lpstr>
      <vt:lpstr>'Exh. BGM-4 (Detail)'!Print_Area</vt:lpstr>
      <vt:lpstr>'Exh. BGM-4 (Consolidated)'!Print_Titles</vt:lpstr>
      <vt:lpstr>'Exh. BGM-4 (Detail)'!Print_Titles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Bradley Mullins</cp:lastModifiedBy>
  <cp:lastPrinted>2023-09-14T12:31:27Z</cp:lastPrinted>
  <dcterms:created xsi:type="dcterms:W3CDTF">2009-02-17T19:17:29Z</dcterms:created>
  <dcterms:modified xsi:type="dcterms:W3CDTF">2023-09-14T14:44:51Z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