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rk_BkUp\20_pac\P35 - UE-230172 PPL WA GRC\dir\exh\"/>
    </mc:Choice>
  </mc:AlternateContent>
  <xr:revisionPtr revIDLastSave="0" documentId="13_ncr:1_{47636557-374F-42E5-81DC-17112DAD6190}" xr6:coauthVersionLast="47" xr6:coauthVersionMax="47" xr10:uidLastSave="{00000000-0000-0000-0000-000000000000}"/>
  <bookViews>
    <workbookView xWindow="780" yWindow="780" windowWidth="21600" windowHeight="11100" tabRatio="777" xr2:uid="{00000000-000D-0000-FFFF-FFFF00000000}"/>
  </bookViews>
  <sheets>
    <sheet name="Table BGM-1" sheetId="19" r:id="rId1"/>
    <sheet name="Exh. BGM-3 (Consolidated)" sheetId="23" r:id="rId2"/>
    <sheet name="Exh. BGM-3 (Detail)" sheetId="18" r:id="rId3"/>
    <sheet name="A1 (Elect. Adj.)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_Jun09">" BS!$AI$7:$AI$1643"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localSheetId="3" hidden="1">{"annual",#N/A,FALSE,"Pro Forma";#N/A,#N/A,FALSE,"Golf Operations"}</definedName>
    <definedName name="_cd1" hidden="1">{"annual",#N/A,FALSE,"Pro Forma";#N/A,#N/A,FALSE,"Golf Operations"}</definedName>
    <definedName name="_Dist_Values" localSheetId="3" hidden="1">#REF!</definedName>
    <definedName name="_Dist_Values" hidden="1">#REF!</definedName>
    <definedName name="_Fill" localSheetId="3" hidden="1">#REF!</definedName>
    <definedName name="_Fill" hidden="1">#REF!</definedName>
    <definedName name="_xlnm._FilterDatabase" localSheetId="3" hidden="1">#REF!</definedName>
    <definedName name="_xlnm._FilterDatabase" hidden="1">#REF!</definedName>
    <definedName name="_gr1" localSheetId="3" hidden="1">{"three",#N/A,FALSE,"Capital";"four",#N/A,FALSE,"Capital"}</definedName>
    <definedName name="_gr1" hidden="1">{"three",#N/A,FALSE,"Capital";"four",#N/A,FALSE,"Capital"}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3" hidden="1">#REF!</definedName>
    <definedName name="_Key2" hidden="1">#REF!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ort" localSheetId="3" hidden="1">#REF!</definedName>
    <definedName name="_Sort" hidden="1">#REF!</definedName>
    <definedName name="_Table2_Out" localSheetId="3" hidden="1">#REF!</definedName>
    <definedName name="_Table2_Out" hidden="1">#REF!</definedName>
    <definedName name="_wr1" localSheetId="3" hidden="1">{"Output-3Column",#N/A,FALSE,"Output"}</definedName>
    <definedName name="_wr1" hidden="1">{"Output-3Column",#N/A,FALSE,"Output"}</definedName>
    <definedName name="_wrn1" localSheetId="3" hidden="1">{"Inflation-BaseYear",#N/A,FALSE,"Inputs"}</definedName>
    <definedName name="_wrn1" hidden="1">{"Inflation-BaseYear",#N/A,FALSE,"Inputs"}</definedName>
    <definedName name="a" localSheetId="3" hidden="1">{"Print_Detail",#N/A,FALSE,"Redemption_Maturity Extract"}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localSheetId="3" hidden="1">#REF!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localSheetId="3" hidden="1">#REF!</definedName>
    <definedName name="ACwvu.cash._.flow." hidden="1">#REF!</definedName>
    <definedName name="ACwvu.combo." hidden="1">#REF!</definedName>
    <definedName name="ACwvu.full." localSheetId="3" hidden="1">#REF!</definedName>
    <definedName name="ACwvu.full." hidden="1">#REF!</definedName>
    <definedName name="ACwvu.offsite." localSheetId="3" hidden="1">#REF!</definedName>
    <definedName name="ACwvu.offsite." hidden="1">#REF!</definedName>
    <definedName name="ACwvu.onsite." localSheetId="3" hidden="1">#REF!</definedName>
    <definedName name="ACwvu.onsite." hidden="1">#REF!</definedName>
    <definedName name="anscount" hidden="1">2</definedName>
    <definedName name="AS2DocOpenMode">"AS2DocumentEdit"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rora_Prices">"Monthly Price Summary'!$C$4:$H$63"</definedName>
    <definedName name="b" localSheetId="3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i" localSheetId="3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BNE_MESSAGES_HIDDEN" localSheetId="3" hidden="1">#REF!</definedName>
    <definedName name="BNE_MESSAGES_HIDDEN" hidden="1">#REF!</definedName>
    <definedName name="Button_1">"TradeSummary_Ken_Finicle_List"</definedName>
    <definedName name="CASE" localSheetId="1">#REF!</definedName>
    <definedName name="CASE" localSheetId="2">#REF!</definedName>
    <definedName name="CASE">#REF!</definedName>
    <definedName name="CASE_E" localSheetId="1">#REF!</definedName>
    <definedName name="CASE_E" localSheetId="2">#REF!</definedName>
    <definedName name="CASE_E">#REF!</definedName>
    <definedName name="CASE_GAS">#REF!</definedName>
    <definedName name="CBWorkbookPriority">-2060790043</definedName>
    <definedName name="cd" localSheetId="3" hidden="1">{"annual",#N/A,FALSE,"Pro Forma";#N/A,#N/A,FALSE,"Golf Operations"}</definedName>
    <definedName name="cd" hidden="1">{"annual",#N/A,FALSE,"Pro Forma";#N/A,#N/A,FALSE,"Golf Operations"}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>"533dd5ee-2992-4878-a6fe-10c93711618f"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 localSheetId="1">#REF!</definedName>
    <definedName name="Comp" localSheetId="2">#REF!</definedName>
    <definedName name="Comp">#REF!</definedName>
    <definedName name="Comp_E" localSheetId="1">#REF!</definedName>
    <definedName name="Comp_E" localSheetId="2">#REF!</definedName>
    <definedName name="Comp_E">#REF!</definedName>
    <definedName name="Comp_GAS">#REF!</definedName>
    <definedName name="Company">#REF!</definedName>
    <definedName name="Cost_Debt">#REF!</definedName>
    <definedName name="Cost_equity">#REF!</definedName>
    <definedName name="Cost_pref">#REF!</definedName>
    <definedName name="Cwvu.annual." localSheetId="3" hidden="1">#REF!,#REF!,#REF!,#REF!,#REF!,#REF!,#REF!,#REF!,#REF!,#REF!,#REF!,#REF!,#REF!,#REF!,#REF!,#REF!,#REF!,#REF!,#REF!,#REF!,#REF!,#REF!,#REF!,#REF!</definedName>
    <definedName name="Cwvu.annual." hidden="1">#REF!,#REF!,#REF!,#REF!,#REF!,#REF!,#REF!,#REF!,#REF!,#REF!,#REF!,#REF!,#REF!,#REF!,#REF!,#REF!,#REF!,#REF!,#REF!,#REF!,#REF!,#REF!,#REF!,#REF!</definedName>
    <definedName name="Cwvu.annual._.hotel." localSheetId="3" hidden="1">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localSheetId="3" hidden="1">#REF!,#REF!,#REF!,#REF!,#REF!,#REF!,#REF!,#REF!,#REF!,#REF!,#REF!,#REF!,#REF!,#REF!,#REF!,#REF!,#REF!,#REF!,#REF!,#REF!,#REF!,#REF!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localSheetId="3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localSheetId="3" hidden="1">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localSheetId="3" hidden="1">#REF!</definedName>
    <definedName name="Cwvu.GREY_ALL." hidden="1">#REF!</definedName>
    <definedName name="dd" localSheetId="3" hidden="1">{"Print_Detail",#N/A,FALSE,"Redemption_Maturity Extract"}</definedName>
    <definedName name="dd" hidden="1">{"Print_Detail",#N/A,FALSE,"Redemption_Maturity Extract"}</definedName>
    <definedName name="ddd" localSheetId="3" hidden="1">{"Full",#N/A,FALSE,"Sec MTN B Summary"}</definedName>
    <definedName name="ddd" hidden="1">{"Full",#N/A,FALSE,"Sec MTN B Summary"}</definedName>
    <definedName name="dddd" localSheetId="3" hidden="1">{"RedPrem_InitRed View",#N/A,FALSE,"Sec MTN B Summary"}</definedName>
    <definedName name="dddd" hidden="1">{"RedPrem_InitRed View",#N/A,FALSE,"Sec MTN B Summary"}</definedName>
    <definedName name="dddddd" localSheetId="3" hidden="1">{"Pivot1",#N/A,FALSE,"Redemption_Maturity Extract"}</definedName>
    <definedName name="dddddd" hidden="1">{"Pivot1",#N/A,FALSE,"Redemption_Maturity Extract"}</definedName>
    <definedName name="dddddddd" localSheetId="3" hidden="1">{"Pivot2",#N/A,FALSE,"Redemption_Maturity Extract"}</definedName>
    <definedName name="dddddddd" hidden="1">{"Pivot2",#N/A,FALSE,"Redemption_Maturity Extract"}</definedName>
    <definedName name="DOCKETNUMBER" localSheetId="1">#REF!</definedName>
    <definedName name="DOCKETNUMBER" localSheetId="2">#REF!</definedName>
    <definedName name="DOCKETNUMBER">#REF!</definedName>
    <definedName name="DOCKETNUMBER_E" localSheetId="1">#REF!</definedName>
    <definedName name="DOCKETNUMBER_E" localSheetId="2">#REF!</definedName>
    <definedName name="DOCKETNUMBER_E">#REF!</definedName>
    <definedName name="DOCKETNUMBER_GAS">#REF!</definedName>
    <definedName name="DUDE" localSheetId="3" hidden="1">#REF!</definedName>
    <definedName name="DUDE" hidden="1">#REF!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localSheetId="3" hidden="1">{"ALL",#N/A,FALSE,"A"}</definedName>
    <definedName name="fffff" hidden="1">{"ALL",#N/A,FALSE,"A"}</definedName>
    <definedName name="first_day">#REF!</definedName>
    <definedName name="FIT" localSheetId="1">#REF!</definedName>
    <definedName name="FIT" localSheetId="2">#REF!</definedName>
    <definedName name="FIT">#REF!</definedName>
    <definedName name="FIT_E" localSheetId="1">#REF!</definedName>
    <definedName name="FIT_E" localSheetId="2">#REF!</definedName>
    <definedName name="FIT_E">#REF!</definedName>
    <definedName name="FIT_GAS">#REF!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localSheetId="3" hidden="1">{"ALL",#N/A,FALSE,"A"}</definedName>
    <definedName name="fsdfsad" hidden="1">{"ALL",#N/A,FALSE,"A"}</definedName>
    <definedName name="gr" localSheetId="3" hidden="1">{"three",#N/A,FALSE,"Capital";"four",#N/A,FALSE,"Capital"}</definedName>
    <definedName name="gr" hidden="1">{"three",#N/A,FALSE,"Capital";"four",#N/A,FALSE,"Capital"}</definedName>
    <definedName name="gross_up_factor">#REF!</definedName>
    <definedName name="help" localSheetId="3" hidden="1">{"ALL",#N/A,FALSE,"A"}</definedName>
    <definedName name="help" hidden="1">{"ALL",#N/A,FALSE,"A"}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>1252</definedName>
    <definedName name="HTML_Control" localSheetId="3">{"'JAN99'!$A$1:$M$66"}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D_Gas" localSheetId="1">#REF!</definedName>
    <definedName name="ID_Gas" localSheetId="2">#REF!</definedName>
    <definedName name="ID_Gas">#REF!</definedName>
    <definedName name="inctaxrate">0.4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JIM" localSheetId="3" hidden="1">{#N/A,#N/A,FALSE,"Sheet5"}</definedName>
    <definedName name="JIM" hidden="1">{#N/A,#N/A,FALSE,"Sheet5"}</definedName>
    <definedName name="June" localSheetId="3" hidden="1">{"three",#N/A,FALSE,"Capital";"four",#N/A,FALSE,"Capital"}</definedName>
    <definedName name="June" hidden="1">{"three",#N/A,FALSE,"Capital";"four",#N/A,FALSE,"Capital"}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#REF!</definedName>
    <definedName name="Pal_Workbook_GUID" hidden="1">"VX3CWJGNQX2CCGI81U4N2V76"</definedName>
    <definedName name="Percent_common">#REF!</definedName>
    <definedName name="Percent_debt">#REF!</definedName>
    <definedName name="Percent_pref">#REF!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localSheetId="3" hidden="1">{#N/A,#N/A,FALSE,"Sheet5"}</definedName>
    <definedName name="PPPPPPPPPPPPPPPP" hidden="1">{#N/A,#N/A,FALSE,"Sheet5"}</definedName>
    <definedName name="PricingInfo" hidden="1">#REF!</definedName>
    <definedName name="_xlnm.Print_Area" localSheetId="3">'A1 (Elect. Adj.)'!$A$1:$J$72</definedName>
    <definedName name="_xlnm.Print_Area" localSheetId="1">'Exh. BGM-3 (Consolidated)'!$A$1:$AE$71</definedName>
    <definedName name="_xlnm.Print_Area" localSheetId="2">'Exh. BGM-3 (Detail)'!$A$1:$AF$88</definedName>
    <definedName name="Print_for_Checking" localSheetId="1">#REF!:#REF!</definedName>
    <definedName name="Print_for_Checking" localSheetId="2">#REF!:#REF!</definedName>
    <definedName name="Print_for_Checking">#REF!:#REF!</definedName>
    <definedName name="_xlnm.Print_Titles" localSheetId="1">'Exh. BGM-3 (Consolidated)'!$A:$G,'Exh. BGM-3 (Consolidated)'!$2:$6</definedName>
    <definedName name="_xlnm.Print_Titles" localSheetId="2">'Exh. BGM-3 (Detail)'!$A:$H,'Exh. BGM-3 (Detail)'!$2:$6</definedName>
    <definedName name="RateCase">#REF!</definedName>
    <definedName name="Restated_Op_revenue">#REF!</definedName>
    <definedName name="Restated_rate_base">#REF!</definedName>
    <definedName name="Restated_ROE">#REF!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C_Adjustment_Print" localSheetId="1">#REF!</definedName>
    <definedName name="RRC_Adjustment_Print" localSheetId="2">#REF!</definedName>
    <definedName name="RRC_Rate_Print" localSheetId="1">#REF!</definedName>
    <definedName name="RRC_Rate_Print" localSheetId="2">#REF!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localSheetId="3" hidden="1">#REF!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localSheetId="3" hidden="1">#REF!</definedName>
    <definedName name="Rwvu.cash._.flow." hidden="1">#REF!</definedName>
    <definedName name="Rwvu.combo." hidden="1">#REF!</definedName>
    <definedName name="Rwvu.offsite." localSheetId="3" hidden="1">#REF!</definedName>
    <definedName name="Rwvu.offsite." hidden="1">#REF!</definedName>
    <definedName name="Rwvu.onsite." localSheetId="3" hidden="1">#REF!</definedName>
    <definedName name="Rwvu.onsite." hidden="1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eval">0</definedName>
    <definedName name="solver_ntri">1000</definedName>
    <definedName name="solver_rsmp">1</definedName>
    <definedName name="solver_seed">0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localSheetId="3" hidden="1">{"YTD-Total",#N/A,FALSE,"Provision"}</definedName>
    <definedName name="standard1" hidden="1">{"YTD-Total",#N/A,FALSE,"Provision"}</definedName>
    <definedName name="Summary" localSheetId="3">#REF!</definedName>
    <definedName name="Summary" localSheetId="1">#REF!</definedName>
    <definedName name="Summary" localSheetId="2">#REF!</definedName>
    <definedName name="Summary">#REF!</definedName>
    <definedName name="Swvu.allocations." localSheetId="3" hidden="1">#REF!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localSheetId="3" hidden="1">#REF!</definedName>
    <definedName name="Swvu.cash._.flow." hidden="1">#REF!</definedName>
    <definedName name="Swvu.combo." hidden="1">#REF!</definedName>
    <definedName name="Swvu.full." localSheetId="3" hidden="1">#REF!</definedName>
    <definedName name="Swvu.full." hidden="1">#REF!</definedName>
    <definedName name="Swvu.offsite." localSheetId="3" hidden="1">#REF!</definedName>
    <definedName name="Swvu.offsite." hidden="1">#REF!</definedName>
    <definedName name="Swvu.onsite." localSheetId="3" hidden="1">#REF!</definedName>
    <definedName name="Swvu.onsite." hidden="1">#REF!</definedName>
    <definedName name="TableName">"Dummy"</definedName>
    <definedName name="TEST">2000</definedName>
    <definedName name="TESTYEAR" localSheetId="1">#REF!</definedName>
    <definedName name="TESTYEAR" localSheetId="2">#REF!</definedName>
    <definedName name="TESTYEAR">#REF!</definedName>
    <definedName name="TESTYEAR_E" localSheetId="1">#REF!</definedName>
    <definedName name="TESTYEAR_E" localSheetId="2">#REF!</definedName>
    <definedName name="TESTYEAR_E">#REF!</definedName>
    <definedName name="TESTYEAR_GAS">#REF!</definedName>
    <definedName name="Title1">#REF!</definedName>
    <definedName name="Title2">#REF!</definedName>
    <definedName name="Title3">#REF!</definedName>
    <definedName name="Title8">#REF!</definedName>
    <definedName name="TP_Footer_User" hidden="1">"Dylan Moser"</definedName>
    <definedName name="TP_Footer_Version" hidden="1">"v4.00"</definedName>
    <definedName name="trth" localSheetId="3" hidden="1">{"ALL",#N/A,FALSE,"A"}</definedName>
    <definedName name="trth" hidden="1">{"ALL",#N/A,FALSE,"A"}</definedName>
    <definedName name="Unadj_Op_revenue">#REF!</definedName>
    <definedName name="Unadj_rate_base">#REF!</definedName>
    <definedName name="Unadj_ROE">#REF!</definedName>
    <definedName name="uncollectible_perc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cdv" localSheetId="3" hidden="1">#REF!</definedName>
    <definedName name="vcdv" hidden="1">#REF!</definedName>
    <definedName name="w" hidden="1">#REF!</definedName>
    <definedName name="WA_Gas" localSheetId="1">#REF!</definedName>
    <definedName name="WA_Gas" localSheetId="2">#REF!</definedName>
    <definedName name="WA_Gas">#REF!</definedName>
    <definedName name="WA_rev_tax_perc">#REF!</definedName>
    <definedName name="Weighted_cost_debt">#REF!</definedName>
    <definedName name="Weighted_cost_equity">#REF!</definedName>
    <definedName name="Weighted_cost_pref">#REF!</definedName>
    <definedName name="wr" localSheetId="3" hidden="1">{"Output-3Column",#N/A,FALSE,"Output"}</definedName>
    <definedName name="wr" hidden="1">{"Output-3Column",#N/A,FALSE,"Output"}</definedName>
    <definedName name="wrn" localSheetId="3" hidden="1">{"Inflation-BaseYear",#N/A,FALSE,"Inputs"}</definedName>
    <definedName name="wrn" hidden="1">{"Inflation-BaseYear",#N/A,FALSE,"Inputs"}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3" hidden="1">{"ALL",#N/A,FALSE,"A"}</definedName>
    <definedName name="wrn.ALL." hidden="1">{"ALL",#N/A,FALSE,"A"}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3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3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localSheetId="3" hidden="1">{"annual",#N/A,FALSE,"Pro Forma"}</definedName>
    <definedName name="wrn.annual." hidden="1">{"annual",#N/A,FALSE,"Pro Forma"}</definedName>
    <definedName name="wrn.Annual._.Detail." localSheetId="3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3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3" hidden="1">{"annual hotel",#N/A,FALSE,"Hotel Development"}</definedName>
    <definedName name="wrn.Annual._.Hotel." hidden="1">{"annual hotel",#N/A,FALSE,"Hotel Development"}</definedName>
    <definedName name="wrn.Annual._.Land._.Sales." localSheetId="3" hidden="1">{"annual",#N/A,FALSE,"Land Sales"}</definedName>
    <definedName name="wrn.Annual._.Land._.Sales." hidden="1">{"annual",#N/A,FALSE,"Land Sales"}</definedName>
    <definedName name="wrn.Annual._.Report." localSheetId="3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3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3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localSheetId="3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localSheetId="3" hidden="1">{"ASSETS",#N/A,FALSE,"Assets"}</definedName>
    <definedName name="wrn.Assets." hidden="1">{"ASSETS",#N/A,FALSE,"Assets"}</definedName>
    <definedName name="wrn.ASSOC_CO." localSheetId="3" hidden="1">{"ASSC_CO",#N/A,FALSE,"A"}</definedName>
    <definedName name="wrn.ASSOC_CO." hidden="1">{"ASSC_CO",#N/A,FALSE,"A"}</definedName>
    <definedName name="wrn.BidCo." localSheetId="3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S." localSheetId="3" hidden="1">{"BS",#N/A,FALSE,"A"}</definedName>
    <definedName name="wrn.BS." hidden="1">{"BS",#N/A,FALSE,"A"}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localSheetId="3" hidden="1">{#N/A,#N/A,FALSE,"Sheet5"}</definedName>
    <definedName name="wrn.CASH." hidden="1">{#N/A,#N/A,FALSE,"Sheet5"}</definedName>
    <definedName name="wrn.Cash._.and._.Accrual." localSheetId="3" hidden="1">{"a_cash",#N/A,FALSE,"Summary";"a_accrual",#N/A,FALSE,"Summary"}</definedName>
    <definedName name="wrn.Cash._.and._.Accrual." hidden="1">{"a_cash",#N/A,FALSE,"Summary";"a_accrual",#N/A,FALSE,"Summary"}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localSheetId="3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urrent._.Estimate." localSheetId="3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localSheetId="3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tail." localSheetId="3" hidden="1">{"Print_Detail",#N/A,FALSE,"Redemption_Maturity Extract"}</definedName>
    <definedName name="wrn.Detail." hidden="1">{"Print_Detail",#N/A,FALSE,"Redemption_Maturity Extract"}</definedName>
    <definedName name="wrn.Diane._.s._.Version." localSheetId="3" hidden="1">{"Full",#N/A,FALSE,"Sec MTN B Summary"}</definedName>
    <definedName name="wrn.Diane._.s._.Version." hidden="1">{"Full",#N/A,FALSE,"Sec MTN B Summary"}</definedName>
    <definedName name="wrn.Distribution._.Version." localSheetId="3" hidden="1">{"RedPrem_InitRed View",#N/A,FALSE,"Sec MTN B Summary"}</definedName>
    <definedName name="wrn.Distribution._.Version." hidden="1">{"RedPrem_InitRed View",#N/A,FALSE,"Sec MTN B Summary"}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localSheetId="3" hidden="1">{"FCB_ALL",#N/A,FALSE,"FCB"}</definedName>
    <definedName name="wrn.FCB." hidden="1">{"FCB_ALL",#N/A,FALSE,"FCB"}</definedName>
    <definedName name="wrn.fcb2" localSheetId="3" hidden="1">{"FCB_ALL",#N/A,FALSE,"FCB"}</definedName>
    <definedName name="wrn.fcb2" hidden="1">{"FCB_ALL",#N/A,FALSE,"FCB"}</definedName>
    <definedName name="wrn.Financials." localSheetId="3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ve._.Year._.Test." localSheetId="3" hidden="1">{"Five Year Plan",#N/A,TRUE,"Monthly Summary-IIIXIILP";"Five Year Plan",#N/A,TRUE,"Cash Flow"}</definedName>
    <definedName name="wrn.Five._.Year._.Test." hidden="1">{"Five Year Plan",#N/A,TRUE,"Monthly Summary-IIIXIILP";"Five Year Plan",#N/A,TRUE,"Cash Flow"}</definedName>
    <definedName name="wrn.full._.report." localSheetId="3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localSheetId="3" hidden="1">{"three",#N/A,FALSE,"Capital";"four",#N/A,FALSE,"Capital"}</definedName>
    <definedName name="wrn.greg." hidden="1">{"three",#N/A,FALSE,"Capital";"four",#N/A,FALSE,"Capital"}</definedName>
    <definedName name="wrn.III._.X._.Co._.Five._.Year._.Plan." localSheetId="3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localSheetId="3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localSheetId="3" hidden="1">{"IIIXCo FY 04 Plan",#N/A,FALSE,"Monthly Summary-IIIXIILP"}</definedName>
    <definedName name="wrn.IIIXCo._.FY._.2004._.Plan." hidden="1">{"IIIXCo FY 04 Plan",#N/A,FALSE,"Monthly Summary-IIIXIILP"}</definedName>
    <definedName name="wrn.Inputs." localSheetId="3" hidden="1">{"Inflation-BaseYear",#N/A,FALSE,"Inputs"}</definedName>
    <definedName name="wrn.Inputs." hidden="1">{"Inflation-BaseYear",#N/A,FALSE,"Inputs"}</definedName>
    <definedName name="wrn.Invested._.Capital." localSheetId="3" hidden="1">{#N/A,#N/A,FALSE,"Invested Capital-Total";#N/A,#N/A,FALSE,"Invested Capital-SEI";#N/A,#N/A,FALSE,"Invested Capital-Utah";#N/A,#N/A,FALSE,"Invested Capital-Raton"}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localSheetId="3" hidden="1">{"LIAB",#N/A,FALSE,"Liab"}</definedName>
    <definedName name="wrn.Liab." hidden="1">{"LIAB",#N/A,FALSE,"Liab"}</definedName>
    <definedName name="wrn.Monthly_Yr1." localSheetId="3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3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3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localSheetId="3" hidden="1">{"NW",#N/A,FALSE,"STMT"}</definedName>
    <definedName name="wrn.NetWorth." hidden="1">{"NW",#N/A,FALSE,"STMT"}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localSheetId="3" hidden="1">{"Output-3Column",#N/A,FALSE,"Output"}</definedName>
    <definedName name="wrn.Output3Column." hidden="1">{"Output-3Column",#N/A,FALSE,"Output"}</definedName>
    <definedName name="wrn.OutputAll." localSheetId="3" hidden="1">{"Output-All",#N/A,FALSE,"Output"}</definedName>
    <definedName name="wrn.OutputAll." hidden="1">{"Output-All",#N/A,FALSE,"Output"}</definedName>
    <definedName name="wrn.OutputBaseYear." localSheetId="3" hidden="1">{"Output-BaseYear",#N/A,FALSE,"Output"}</definedName>
    <definedName name="wrn.OutputBaseYear." hidden="1">{"Output-BaseYear",#N/A,FALSE,"Output"}</definedName>
    <definedName name="wrn.OutputMin." localSheetId="3" hidden="1">{"Output-Min",#N/A,FALSE,"Output"}</definedName>
    <definedName name="wrn.OutputMin." hidden="1">{"Output-Min",#N/A,FALSE,"Output"}</definedName>
    <definedName name="wrn.OutputPercent." localSheetId="3" hidden="1">{"Output%",#N/A,FALSE,"Output"}</definedName>
    <definedName name="wrn.OutputPercent." hidden="1">{"Output%",#N/A,FALSE,"Output"}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d." localSheetId="3" hidden="1">{"Pfd",#N/A,FALSE,"Pfd"}</definedName>
    <definedName name="wrn.Pfd." hidden="1">{"Pfd",#N/A,FALSE,"Pfd"}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ivot1." localSheetId="3" hidden="1">{"Pivot1",#N/A,FALSE,"Redemption_Maturity Extract"}</definedName>
    <definedName name="wrn.Pivot1." hidden="1">{"Pivot1",#N/A,FALSE,"Redemption_Maturity Extract"}</definedName>
    <definedName name="wrn.Pivot2." localSheetId="3" hidden="1">{"Pivot2",#N/A,FALSE,"Redemption_Maturity Extract"}</definedName>
    <definedName name="wrn.Pivot2." hidden="1">{"Pivot2",#N/A,FALSE,"Redemption_Maturity Extract"}</definedName>
    <definedName name="wrn.Plan._.2004." localSheetId="3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intAll." localSheetId="3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quarterly." localSheetId="3" hidden="1">{"quarterly",#N/A,FALSE,"Pro Forma"}</definedName>
    <definedName name="wrn.quarterly." hidden="1">{"quarterly",#N/A,FALSE,"Pro Forma"}</definedName>
    <definedName name="wrn.Reformat._.only." localSheetId="3" hidden="1">{#N/A,#N/A,FALSE,"Dec 1999 mapping"}</definedName>
    <definedName name="wrn.Reformat._.only." hidden="1">{#N/A,#N/A,FALSE,"Dec 1999 mapping"}</definedName>
    <definedName name="wrn.Releases._.Cash._.Accrual." localSheetId="3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3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" localSheetId="3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d._.Debt." localSheetId="3" hidden="1">{"a_sales",#N/A,FALSE,"Summary";"a_debt",#N/A,FALSE,"Summary"}</definedName>
    <definedName name="wrn.Sales._.and._.Debt." hidden="1">{"a_sales",#N/A,FALSE,"Summary";"a_debt",#N/A,FALSE,"Summary"}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localSheetId="3" hidden="1">{"SCHED_B&amp;C",#N/A,FALSE,"A"}</definedName>
    <definedName name="wrn.SCHED._.BC." hidden="1">{"SCHED_B&amp;C",#N/A,FALSE,"A"}</definedName>
    <definedName name="wrn.SCHED._.DE." localSheetId="3" hidden="1">{"SCHED_D&amp;E",#N/A,FALSE,"A"}</definedName>
    <definedName name="wrn.SCHED._.DE." hidden="1">{"SCHED_D&amp;E",#N/A,FALSE,"A"}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localSheetId="3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.SHEDA." localSheetId="3" hidden="1">{"SCHED_A",#N/A,FALSE,"A"}</definedName>
    <definedName name="wrn.SHEDA." hidden="1">{"SCHED_A",#N/A,FALSE,"A"}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ariff99." localSheetId="3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Wacc." localSheetId="3" hidden="1">{"Area1",#N/A,FALSE,"OREWACC";"Area2",#N/A,FALSE,"OREWACC"}</definedName>
    <definedName name="wrn.Wacc." hidden="1">{"Area1",#N/A,FALSE,"OREWACC";"Area2",#N/A,FALSE,"OREWACC"}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localSheetId="3" hidden="1">{"Output-BaseYear",#N/A,FALSE,"Output"}</definedName>
    <definedName name="wrng" hidden="1">{"Output-BaseYear",#N/A,FALSE,"Output"}</definedName>
    <definedName name="wrnh" localSheetId="3" hidden="1">{"Output-All",#N/A,FALSE,"Output"}</definedName>
    <definedName name="wrnh" hidden="1">{"Output-All",#N/A,FALSE,"Output"}</definedName>
    <definedName name="WUTC_reg_fee_perc">#REF!</definedName>
    <definedName name="wvu.allocations." localSheetId="3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3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3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3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3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3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3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3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3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3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localSheetId="3" hidden="1">#REF!</definedName>
    <definedName name="xxx" hidden="1">#REF!</definedName>
    <definedName name="y" localSheetId="3" hidden="1">#REF!</definedName>
    <definedName name="y" hidden="1">#REF!</definedName>
    <definedName name="z" hidden="1">#REF!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3" l="1"/>
  <c r="AM17" i="18"/>
  <c r="AL24" i="23"/>
  <c r="AL23" i="23"/>
  <c r="AL22" i="23"/>
  <c r="AJ16" i="23"/>
  <c r="AL16" i="23" s="1"/>
  <c r="AL15" i="23"/>
  <c r="AL14" i="23"/>
  <c r="B10" i="23"/>
  <c r="H26" i="19"/>
  <c r="H25" i="19"/>
  <c r="S19" i="18"/>
  <c r="S69" i="18"/>
  <c r="Z69" i="18"/>
  <c r="Q69" i="18" s="1"/>
  <c r="D69" i="18"/>
  <c r="AL25" i="23" l="1"/>
  <c r="AL17" i="23"/>
  <c r="B11" i="23"/>
  <c r="AB67" i="18"/>
  <c r="AB86" i="18" s="1"/>
  <c r="M30" i="23" l="1"/>
  <c r="M31" i="23"/>
  <c r="M33" i="23"/>
  <c r="M12" i="23"/>
  <c r="M24" i="23"/>
  <c r="M28" i="23"/>
  <c r="M49" i="23"/>
  <c r="M25" i="23"/>
  <c r="M59" i="23"/>
  <c r="M22" i="23"/>
  <c r="M64" i="23"/>
  <c r="M34" i="23"/>
  <c r="M57" i="23"/>
  <c r="M26" i="23"/>
  <c r="M55" i="23"/>
  <c r="M51" i="23"/>
  <c r="M29" i="23"/>
  <c r="M36" i="23"/>
  <c r="M50" i="23"/>
  <c r="M58" i="23"/>
  <c r="M42" i="23"/>
  <c r="M32" i="23"/>
  <c r="M21" i="23"/>
  <c r="M65" i="23"/>
  <c r="M13" i="23"/>
  <c r="M16" i="23"/>
  <c r="M52" i="23"/>
  <c r="M37" i="23"/>
  <c r="M11" i="23"/>
  <c r="M10" i="23"/>
  <c r="M41" i="23"/>
  <c r="M48" i="23"/>
  <c r="M44" i="23"/>
  <c r="M14" i="23"/>
  <c r="M53" i="23"/>
  <c r="M17" i="23"/>
  <c r="M54" i="23"/>
  <c r="M39" i="23"/>
  <c r="M27" i="23"/>
  <c r="M60" i="23"/>
  <c r="M20" i="23"/>
  <c r="M38" i="23"/>
  <c r="M62" i="23"/>
  <c r="M46" i="23"/>
  <c r="M23" i="23"/>
  <c r="M43" i="23"/>
  <c r="M56" i="23"/>
  <c r="M15" i="23"/>
  <c r="M18" i="23"/>
  <c r="M19" i="23"/>
  <c r="M40" i="23"/>
  <c r="M61" i="23"/>
  <c r="M66" i="23"/>
  <c r="M63" i="23"/>
  <c r="M47" i="23"/>
  <c r="M35" i="23"/>
  <c r="M45" i="23"/>
  <c r="B12" i="23"/>
  <c r="I7" i="23" l="1"/>
  <c r="K7" i="23"/>
  <c r="B13" i="23"/>
  <c r="B14" i="23" s="1"/>
  <c r="B15" i="23" l="1"/>
  <c r="B16" i="23" l="1"/>
  <c r="B17" i="23" s="1"/>
  <c r="B18" i="23" l="1"/>
  <c r="B19" i="23" l="1"/>
  <c r="B20" i="23" s="1"/>
  <c r="B21" i="23" l="1"/>
  <c r="B22" i="23" s="1"/>
  <c r="B23" i="23" l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9" i="23" s="1"/>
  <c r="H20" i="19" l="1"/>
  <c r="H19" i="19"/>
  <c r="H16" i="19"/>
  <c r="X32" i="18"/>
  <c r="S33" i="18" l="1"/>
  <c r="Z32" i="18"/>
  <c r="Q32" i="18" s="1"/>
  <c r="S32" i="18"/>
  <c r="AB62" i="18" l="1"/>
  <c r="Z48" i="18"/>
  <c r="S48" i="18"/>
  <c r="X33" i="18" l="1"/>
  <c r="Z33" i="18" s="1"/>
  <c r="Q33" i="18" s="1"/>
  <c r="Z46" i="18" l="1"/>
  <c r="X46" i="18" s="1"/>
  <c r="Z47" i="18" l="1"/>
  <c r="X47" i="18" s="1"/>
  <c r="AQ31" i="18" l="1"/>
  <c r="AR31" i="18" s="1"/>
  <c r="AQ30" i="18"/>
  <c r="AR30" i="18" s="1"/>
  <c r="AR32" i="18" l="1"/>
  <c r="X30" i="18" s="1"/>
  <c r="AQ32" i="18"/>
  <c r="S47" i="18" l="1"/>
  <c r="Q47" i="18"/>
  <c r="S46" i="18"/>
  <c r="Q46" i="18"/>
  <c r="D46" i="18"/>
  <c r="F11" i="19"/>
  <c r="H17" i="19"/>
  <c r="H15" i="19"/>
  <c r="X38" i="18"/>
  <c r="Z38" i="18" s="1"/>
  <c r="Q38" i="18" s="1"/>
  <c r="AB40" i="18"/>
  <c r="S40" i="18" s="1"/>
  <c r="S62" i="18"/>
  <c r="H21" i="22" a="1"/>
  <c r="H21" i="22" s="1"/>
  <c r="H34" i="22" s="1"/>
  <c r="G21" i="22" a="1"/>
  <c r="G21" i="22" s="1"/>
  <c r="G34" i="22" s="1"/>
  <c r="F21" i="22" a="1"/>
  <c r="F21" i="22" s="1"/>
  <c r="E21" i="22" a="1"/>
  <c r="E21" i="22" s="1"/>
  <c r="H20" i="22" a="1"/>
  <c r="H20" i="22" s="1"/>
  <c r="G20" i="22" a="1"/>
  <c r="G20" i="22" s="1"/>
  <c r="F20" i="22" a="1"/>
  <c r="F20" i="22" s="1"/>
  <c r="E20" i="22" a="1"/>
  <c r="E20" i="22" s="1"/>
  <c r="H19" i="22" a="1"/>
  <c r="H19" i="22" s="1"/>
  <c r="G19" i="22" a="1"/>
  <c r="G19" i="22" s="1"/>
  <c r="F19" i="22" a="1"/>
  <c r="F19" i="22" s="1"/>
  <c r="E19" i="22" a="1"/>
  <c r="E19" i="22" s="1"/>
  <c r="H18" i="22" a="1"/>
  <c r="H18" i="22" s="1"/>
  <c r="G18" i="22" a="1"/>
  <c r="G18" i="22" s="1"/>
  <c r="F18" i="22" a="1"/>
  <c r="F18" i="22" s="1"/>
  <c r="F31" i="22" s="1"/>
  <c r="E18" i="22" a="1"/>
  <c r="E18" i="22" s="1"/>
  <c r="E31" i="22" s="1"/>
  <c r="Z62" i="18"/>
  <c r="Q62" i="18" s="1"/>
  <c r="D62" i="18"/>
  <c r="Z40" i="18"/>
  <c r="Q40" i="18" s="1"/>
  <c r="D40" i="18"/>
  <c r="S38" i="18"/>
  <c r="D38" i="18"/>
  <c r="F25" i="22"/>
  <c r="G25" i="22" s="1"/>
  <c r="H25" i="22" s="1"/>
  <c r="F28" i="22"/>
  <c r="G28" i="22" s="1"/>
  <c r="H28" i="22" s="1"/>
  <c r="F27" i="22"/>
  <c r="G27" i="22" s="1"/>
  <c r="H27" i="22" s="1"/>
  <c r="F26" i="22"/>
  <c r="G26" i="22" s="1"/>
  <c r="H26" i="22" s="1"/>
  <c r="D47" i="18" l="1"/>
  <c r="D48" i="18" s="1"/>
  <c r="H31" i="22"/>
  <c r="G31" i="22"/>
  <c r="H32" i="22"/>
  <c r="H33" i="22"/>
  <c r="F34" i="22"/>
  <c r="G33" i="22"/>
  <c r="E34" i="22"/>
  <c r="F33" i="22"/>
  <c r="E33" i="22"/>
  <c r="E32" i="22"/>
  <c r="G32" i="22"/>
  <c r="F32" i="22"/>
  <c r="H22" i="22"/>
  <c r="G22" i="22"/>
  <c r="F22" i="22"/>
  <c r="E22" i="22"/>
  <c r="E36" i="22" l="1"/>
  <c r="F63" i="22" s="1"/>
  <c r="F36" i="22"/>
  <c r="G64" i="22" s="1"/>
  <c r="G36" i="22"/>
  <c r="G65" i="22" s="1"/>
  <c r="H36" i="22"/>
  <c r="H66" i="22" s="1"/>
  <c r="H64" i="22"/>
  <c r="E63" i="22" l="1"/>
  <c r="E67" i="22" s="1"/>
  <c r="E69" i="22" s="1"/>
  <c r="E71" i="22" s="1"/>
  <c r="H63" i="22"/>
  <c r="E37" i="22"/>
  <c r="F39" i="22" s="1"/>
  <c r="F44" i="22" s="1"/>
  <c r="G63" i="22"/>
  <c r="G67" i="22" s="1"/>
  <c r="H65" i="22"/>
  <c r="F64" i="22"/>
  <c r="F67" i="22" s="1"/>
  <c r="F69" i="22" s="1"/>
  <c r="H67" i="22"/>
  <c r="F37" i="22" l="1"/>
  <c r="E39" i="22"/>
  <c r="E41" i="22"/>
  <c r="F71" i="22"/>
  <c r="G69" i="22"/>
  <c r="G71" i="22" s="1"/>
  <c r="H69" i="22"/>
  <c r="H71" i="22" s="1"/>
  <c r="F41" i="22" l="1"/>
  <c r="E44" i="22"/>
  <c r="G37" i="22"/>
  <c r="G39" i="22"/>
  <c r="H39" i="22" l="1"/>
  <c r="H37" i="22"/>
  <c r="G44" i="22"/>
  <c r="G46" i="22" s="1"/>
  <c r="G41" i="22"/>
  <c r="E46" i="22"/>
  <c r="F46" i="22"/>
  <c r="F7" i="22" s="1"/>
  <c r="E50" i="22"/>
  <c r="F50" i="22" l="1"/>
  <c r="E52" i="22"/>
  <c r="H41" i="22"/>
  <c r="H44" i="22"/>
  <c r="H46" i="22" s="1"/>
  <c r="G7" i="22" s="1"/>
  <c r="G50" i="22" l="1"/>
  <c r="F52" i="22"/>
  <c r="H50" i="22" l="1"/>
  <c r="H52" i="22" s="1"/>
  <c r="G8" i="22" s="1"/>
  <c r="G9" i="22" s="1"/>
  <c r="G52" i="22"/>
  <c r="F8" i="22" s="1"/>
  <c r="F9" i="22" s="1"/>
  <c r="H22" i="19" l="1"/>
  <c r="H23" i="19"/>
  <c r="S67" i="18"/>
  <c r="R36" i="23" s="1" a="1"/>
  <c r="R36" i="23" s="1"/>
  <c r="AB66" i="18"/>
  <c r="S66" i="18" s="1"/>
  <c r="S13" i="18"/>
  <c r="Z67" i="18"/>
  <c r="Q67" i="18" s="1"/>
  <c r="Z66" i="18"/>
  <c r="Q66" i="18" s="1"/>
  <c r="D66" i="18"/>
  <c r="D67" i="18" s="1"/>
  <c r="S76" i="18"/>
  <c r="Z76" i="18"/>
  <c r="Q76" i="18" s="1"/>
  <c r="D75" i="18"/>
  <c r="H14" i="19"/>
  <c r="S31" i="18"/>
  <c r="X58" i="18" l="1"/>
  <c r="AM24" i="18"/>
  <c r="AM23" i="18"/>
  <c r="AM22" i="18"/>
  <c r="AK16" i="18"/>
  <c r="AM16" i="18" s="1"/>
  <c r="AM15" i="18"/>
  <c r="AM14" i="18"/>
  <c r="AM25" i="18" l="1"/>
  <c r="D58" i="18" l="1"/>
  <c r="D59" i="18" s="1"/>
  <c r="S58" i="18"/>
  <c r="Z58" i="18"/>
  <c r="Q58" i="18" s="1"/>
  <c r="Z59" i="18"/>
  <c r="Q59" i="18" s="1"/>
  <c r="S59" i="18"/>
  <c r="H13" i="19"/>
  <c r="Z30" i="18"/>
  <c r="Q30" i="18" s="1"/>
  <c r="S30" i="18"/>
  <c r="D30" i="18"/>
  <c r="D31" i="18" s="1"/>
  <c r="D32" i="18" s="1"/>
  <c r="D33" i="18" s="1"/>
  <c r="Z52" i="18" l="1"/>
  <c r="Q52" i="18" s="1"/>
  <c r="Z53" i="18"/>
  <c r="Z54" i="18"/>
  <c r="Q54" i="18" s="1"/>
  <c r="Z55" i="18"/>
  <c r="Q55" i="18" s="1"/>
  <c r="Z56" i="18"/>
  <c r="Q56" i="18" s="1"/>
  <c r="Z57" i="18"/>
  <c r="Q57" i="18" s="1"/>
  <c r="Z60" i="18"/>
  <c r="S11" i="18"/>
  <c r="S16" i="18"/>
  <c r="S20" i="18"/>
  <c r="S24" i="18"/>
  <c r="S44" i="18"/>
  <c r="S51" i="18"/>
  <c r="S60" i="18"/>
  <c r="S65" i="18"/>
  <c r="S71" i="18"/>
  <c r="S12" i="18"/>
  <c r="S14" i="18"/>
  <c r="S15" i="18"/>
  <c r="S21" i="18"/>
  <c r="S22" i="18"/>
  <c r="S23" i="18"/>
  <c r="S25" i="18"/>
  <c r="S28" i="18"/>
  <c r="S29" i="18"/>
  <c r="S34" i="18"/>
  <c r="S36" i="18"/>
  <c r="S37" i="18"/>
  <c r="S41" i="18"/>
  <c r="S42" i="18"/>
  <c r="S45" i="18"/>
  <c r="S49" i="18"/>
  <c r="S50" i="18"/>
  <c r="S53" i="18"/>
  <c r="S54" i="18"/>
  <c r="S55" i="18"/>
  <c r="S56" i="18"/>
  <c r="S57" i="18"/>
  <c r="S61" i="18"/>
  <c r="Q63" i="18"/>
  <c r="S68" i="18"/>
  <c r="S70" i="18"/>
  <c r="S72" i="18"/>
  <c r="S77" i="18"/>
  <c r="S78" i="18"/>
  <c r="S80" i="18"/>
  <c r="S81" i="18"/>
  <c r="Q82" i="18"/>
  <c r="N19" i="18"/>
  <c r="Z13" i="18" l="1"/>
  <c r="N69" i="18"/>
  <c r="U69" i="18"/>
  <c r="AD69" i="18" s="1"/>
  <c r="L26" i="19" s="1"/>
  <c r="F26" i="19" s="1"/>
  <c r="N33" i="18"/>
  <c r="U32" i="18"/>
  <c r="N32" i="18"/>
  <c r="U33" i="18"/>
  <c r="AD33" i="18" s="1"/>
  <c r="L16" i="19" s="1"/>
  <c r="F16" i="19" s="1"/>
  <c r="N48" i="18"/>
  <c r="N47" i="18"/>
  <c r="N46" i="18"/>
  <c r="U46" i="18"/>
  <c r="AD46" i="18" s="1"/>
  <c r="L17" i="19" s="1"/>
  <c r="F17" i="19" s="1"/>
  <c r="U47" i="18"/>
  <c r="N40" i="18"/>
  <c r="N38" i="18"/>
  <c r="N62" i="18"/>
  <c r="U38" i="18"/>
  <c r="U40" i="18"/>
  <c r="U62" i="18"/>
  <c r="N13" i="18"/>
  <c r="U67" i="18"/>
  <c r="N66" i="18"/>
  <c r="N67" i="18"/>
  <c r="U66" i="18"/>
  <c r="N31" i="18"/>
  <c r="N76" i="18"/>
  <c r="N75" i="18"/>
  <c r="U76" i="18"/>
  <c r="S35" i="18"/>
  <c r="S79" i="18"/>
  <c r="S82" i="18"/>
  <c r="S39" i="18"/>
  <c r="S27" i="18"/>
  <c r="S74" i="18"/>
  <c r="AB75" i="18" s="1"/>
  <c r="S75" i="18" s="1"/>
  <c r="S64" i="18"/>
  <c r="S43" i="18"/>
  <c r="S26" i="18"/>
  <c r="S18" i="18"/>
  <c r="Q53" i="18"/>
  <c r="S73" i="18"/>
  <c r="S63" i="18"/>
  <c r="S83" i="18"/>
  <c r="S52" i="18"/>
  <c r="S17" i="18"/>
  <c r="Q60" i="18"/>
  <c r="AD32" i="18" l="1"/>
  <c r="L15" i="19" s="1"/>
  <c r="F15" i="19" s="1"/>
  <c r="AD47" i="18"/>
  <c r="L18" i="19" s="1"/>
  <c r="F18" i="19" s="1"/>
  <c r="AD62" i="18"/>
  <c r="AD40" i="18"/>
  <c r="AD66" i="18"/>
  <c r="L22" i="19" s="1"/>
  <c r="F22" i="19" s="1"/>
  <c r="AD38" i="18"/>
  <c r="L10" i="19" s="1"/>
  <c r="F10" i="19" s="1"/>
  <c r="AD76" i="18"/>
  <c r="X13" i="18"/>
  <c r="Q13" i="18"/>
  <c r="AD67" i="18"/>
  <c r="N59" i="18"/>
  <c r="N58" i="18"/>
  <c r="U58" i="18"/>
  <c r="U59" i="18"/>
  <c r="N30" i="18"/>
  <c r="U30" i="18"/>
  <c r="U57" i="18"/>
  <c r="U53" i="18"/>
  <c r="U60" i="18"/>
  <c r="U63" i="18"/>
  <c r="U82" i="18"/>
  <c r="U54" i="18"/>
  <c r="N44" i="18"/>
  <c r="N55" i="18"/>
  <c r="N68" i="18"/>
  <c r="N78" i="18"/>
  <c r="N83" i="18"/>
  <c r="N45" i="18"/>
  <c r="N56" i="18"/>
  <c r="N70" i="18"/>
  <c r="N79" i="18"/>
  <c r="N41" i="18"/>
  <c r="N74" i="18"/>
  <c r="N42" i="18"/>
  <c r="U55" i="18"/>
  <c r="N43" i="18"/>
  <c r="N49" i="18"/>
  <c r="N57" i="18"/>
  <c r="N71" i="18"/>
  <c r="N80" i="18"/>
  <c r="N52" i="18"/>
  <c r="N64" i="18"/>
  <c r="N65" i="18"/>
  <c r="N50" i="18"/>
  <c r="N60" i="18"/>
  <c r="N72" i="18"/>
  <c r="N81" i="18"/>
  <c r="N54" i="18"/>
  <c r="N51" i="18"/>
  <c r="N61" i="18"/>
  <c r="N73" i="18"/>
  <c r="N82" i="18"/>
  <c r="N63" i="18"/>
  <c r="N53" i="18"/>
  <c r="N77" i="18"/>
  <c r="U56" i="18"/>
  <c r="U52" i="18"/>
  <c r="N17" i="18"/>
  <c r="N11" i="18"/>
  <c r="N27" i="18"/>
  <c r="N39" i="18"/>
  <c r="N35" i="18"/>
  <c r="N12" i="18"/>
  <c r="N29" i="18"/>
  <c r="N14" i="18"/>
  <c r="N37" i="18"/>
  <c r="N15" i="18"/>
  <c r="N16" i="18"/>
  <c r="N25" i="18"/>
  <c r="N24" i="18"/>
  <c r="N36" i="18"/>
  <c r="N22" i="18"/>
  <c r="N28" i="18"/>
  <c r="N34" i="18"/>
  <c r="N23" i="18"/>
  <c r="N20" i="18"/>
  <c r="N18" i="18"/>
  <c r="N26" i="18"/>
  <c r="N21" i="18"/>
  <c r="B10" i="18"/>
  <c r="S10" i="18"/>
  <c r="Z10" i="18"/>
  <c r="Q10" i="18" s="1"/>
  <c r="Z11" i="18"/>
  <c r="Q11" i="18" s="1"/>
  <c r="U11" i="18" s="1"/>
  <c r="Z12" i="18"/>
  <c r="Q12" i="18" s="1"/>
  <c r="U12" i="18" s="1"/>
  <c r="Z14" i="18"/>
  <c r="Q14" i="18" s="1"/>
  <c r="U14" i="18" s="1"/>
  <c r="Z15" i="18"/>
  <c r="Q15" i="18" s="1"/>
  <c r="U15" i="18" s="1"/>
  <c r="Z16" i="18"/>
  <c r="Q16" i="18" s="1"/>
  <c r="U16" i="18" s="1"/>
  <c r="Z17" i="18"/>
  <c r="Q17" i="18" s="1"/>
  <c r="U17" i="18" s="1"/>
  <c r="Z18" i="18"/>
  <c r="Q18" i="18" s="1"/>
  <c r="U18" i="18" s="1"/>
  <c r="Z20" i="18"/>
  <c r="Q20" i="18" s="1"/>
  <c r="U20" i="18" s="1"/>
  <c r="Z21" i="18"/>
  <c r="Q21" i="18" s="1"/>
  <c r="U21" i="18" s="1"/>
  <c r="Z22" i="18"/>
  <c r="Q22" i="18" s="1"/>
  <c r="U22" i="18" s="1"/>
  <c r="Z23" i="18"/>
  <c r="Q23" i="18" s="1"/>
  <c r="U23" i="18" s="1"/>
  <c r="Z24" i="18"/>
  <c r="Q24" i="18" s="1"/>
  <c r="U24" i="18" s="1"/>
  <c r="Z25" i="18"/>
  <c r="Q25" i="18" s="1"/>
  <c r="U25" i="18" s="1"/>
  <c r="Z26" i="18"/>
  <c r="Q26" i="18" s="1"/>
  <c r="U26" i="18" s="1"/>
  <c r="Z27" i="18"/>
  <c r="Q27" i="18" s="1"/>
  <c r="U27" i="18" s="1"/>
  <c r="Z28" i="18"/>
  <c r="Q28" i="18" s="1"/>
  <c r="U28" i="18" s="1"/>
  <c r="Z29" i="18"/>
  <c r="Q29" i="18" s="1"/>
  <c r="U29" i="18" s="1"/>
  <c r="Z34" i="18"/>
  <c r="Q34" i="18" s="1"/>
  <c r="U34" i="18" s="1"/>
  <c r="Z35" i="18"/>
  <c r="Q35" i="18" s="1"/>
  <c r="U35" i="18" s="1"/>
  <c r="Z36" i="18"/>
  <c r="Q36" i="18" s="1"/>
  <c r="U36" i="18" s="1"/>
  <c r="Z37" i="18"/>
  <c r="Q37" i="18" s="1"/>
  <c r="U37" i="18" s="1"/>
  <c r="Z39" i="18"/>
  <c r="Q39" i="18" s="1"/>
  <c r="U39" i="18" s="1"/>
  <c r="Z41" i="18"/>
  <c r="Q41" i="18" s="1"/>
  <c r="U41" i="18" s="1"/>
  <c r="Z42" i="18"/>
  <c r="Q42" i="18" s="1"/>
  <c r="U42" i="18" s="1"/>
  <c r="Z44" i="18"/>
  <c r="Q44" i="18" s="1"/>
  <c r="U44" i="18" s="1"/>
  <c r="Z45" i="18"/>
  <c r="Q45" i="18" s="1"/>
  <c r="U45" i="18" s="1"/>
  <c r="Z49" i="18"/>
  <c r="Q49" i="18" s="1"/>
  <c r="U49" i="18" s="1"/>
  <c r="Z50" i="18"/>
  <c r="Q50" i="18" s="1"/>
  <c r="U50" i="18" s="1"/>
  <c r="Z51" i="18"/>
  <c r="Q51" i="18" s="1"/>
  <c r="U51" i="18" s="1"/>
  <c r="Z61" i="18"/>
  <c r="Q61" i="18" s="1"/>
  <c r="U61" i="18" s="1"/>
  <c r="Z64" i="18"/>
  <c r="Q64" i="18" s="1"/>
  <c r="U64" i="18" s="1"/>
  <c r="Z65" i="18"/>
  <c r="Q65" i="18" s="1"/>
  <c r="U65" i="18" s="1"/>
  <c r="Z68" i="18"/>
  <c r="Q68" i="18" s="1"/>
  <c r="U68" i="18" s="1"/>
  <c r="Z70" i="18"/>
  <c r="Q70" i="18" s="1"/>
  <c r="U70" i="18" s="1"/>
  <c r="Z71" i="18"/>
  <c r="Q71" i="18" s="1"/>
  <c r="U71" i="18" s="1"/>
  <c r="Z72" i="18"/>
  <c r="Q72" i="18" s="1"/>
  <c r="U72" i="18" s="1"/>
  <c r="Z73" i="18"/>
  <c r="Q73" i="18" s="1"/>
  <c r="U73" i="18" s="1"/>
  <c r="Z74" i="18"/>
  <c r="Q74" i="18" s="1"/>
  <c r="Z75" i="18" s="1"/>
  <c r="X75" i="18" s="1"/>
  <c r="Z77" i="18"/>
  <c r="Q77" i="18" s="1"/>
  <c r="U77" i="18" s="1"/>
  <c r="Z78" i="18"/>
  <c r="Q78" i="18" s="1"/>
  <c r="U78" i="18" s="1"/>
  <c r="Z79" i="18"/>
  <c r="Q79" i="18" s="1"/>
  <c r="U79" i="18" s="1"/>
  <c r="Z80" i="18"/>
  <c r="Q80" i="18" s="1"/>
  <c r="U80" i="18" s="1"/>
  <c r="Z81" i="18"/>
  <c r="Q81" i="18" s="1"/>
  <c r="U81" i="18" s="1"/>
  <c r="X82" i="18"/>
  <c r="Z83" i="18"/>
  <c r="Q83" i="18" s="1"/>
  <c r="U83" i="18" s="1"/>
  <c r="U13" i="18" l="1"/>
  <c r="AD13" i="18" s="1"/>
  <c r="R63" i="23" a="1"/>
  <c r="R63" i="23" s="1"/>
  <c r="R59" i="23" a="1"/>
  <c r="R59" i="23" s="1"/>
  <c r="R55" i="23" a="1"/>
  <c r="R55" i="23" s="1"/>
  <c r="R51" i="23" a="1"/>
  <c r="R51" i="23" s="1"/>
  <c r="R47" i="23" a="1"/>
  <c r="R47" i="23" s="1"/>
  <c r="R43" i="23" a="1"/>
  <c r="R43" i="23" s="1"/>
  <c r="R39" i="23" a="1"/>
  <c r="R39" i="23" s="1"/>
  <c r="R35" i="23" a="1"/>
  <c r="R35" i="23" s="1"/>
  <c r="R31" i="23" a="1"/>
  <c r="R31" i="23" s="1"/>
  <c r="R27" i="23" a="1"/>
  <c r="R27" i="23" s="1"/>
  <c r="R23" i="23" a="1"/>
  <c r="R23" i="23" s="1"/>
  <c r="R19" i="23" a="1"/>
  <c r="R19" i="23" s="1"/>
  <c r="R15" i="23" a="1"/>
  <c r="R15" i="23" s="1"/>
  <c r="R11" i="23" a="1"/>
  <c r="R11" i="23" s="1"/>
  <c r="R53" i="23" a="1"/>
  <c r="R53" i="23" s="1"/>
  <c r="R37" i="23" a="1"/>
  <c r="R37" i="23" s="1"/>
  <c r="R13" i="23" a="1"/>
  <c r="R13" i="23" s="1"/>
  <c r="R65" i="23" a="1"/>
  <c r="R65" i="23" s="1"/>
  <c r="R45" i="23" a="1"/>
  <c r="R45" i="23" s="1"/>
  <c r="R17" i="23" a="1"/>
  <c r="R17" i="23" s="1"/>
  <c r="R66" i="23" a="1"/>
  <c r="R66" i="23" s="1"/>
  <c r="R62" i="23" a="1"/>
  <c r="R62" i="23" s="1"/>
  <c r="R58" i="23" a="1"/>
  <c r="R58" i="23" s="1"/>
  <c r="R54" i="23" a="1"/>
  <c r="R54" i="23" s="1"/>
  <c r="R50" i="23" a="1"/>
  <c r="R50" i="23" s="1"/>
  <c r="R46" i="23" a="1"/>
  <c r="R46" i="23" s="1"/>
  <c r="R42" i="23" a="1"/>
  <c r="R42" i="23" s="1"/>
  <c r="R38" i="23" a="1"/>
  <c r="R38" i="23" s="1"/>
  <c r="R34" i="23" a="1"/>
  <c r="R34" i="23" s="1"/>
  <c r="R30" i="23" a="1"/>
  <c r="R30" i="23" s="1"/>
  <c r="R26" i="23" a="1"/>
  <c r="R26" i="23" s="1"/>
  <c r="R22" i="23" a="1"/>
  <c r="R22" i="23" s="1"/>
  <c r="R18" i="23" a="1"/>
  <c r="R18" i="23" s="1"/>
  <c r="R14" i="23" a="1"/>
  <c r="R14" i="23" s="1"/>
  <c r="R10" i="23" a="1"/>
  <c r="R10" i="23" s="1"/>
  <c r="R61" i="23" a="1"/>
  <c r="R61" i="23" s="1"/>
  <c r="R49" i="23" a="1"/>
  <c r="R49" i="23" s="1"/>
  <c r="R29" i="23" a="1"/>
  <c r="R29" i="23" s="1"/>
  <c r="R57" i="23" a="1"/>
  <c r="R57" i="23" s="1"/>
  <c r="R41" i="23" a="1"/>
  <c r="R41" i="23" s="1"/>
  <c r="R21" i="23" a="1"/>
  <c r="R21" i="23" s="1"/>
  <c r="R64" i="23" a="1"/>
  <c r="R64" i="23" s="1"/>
  <c r="R60" i="23" a="1"/>
  <c r="R60" i="23" s="1"/>
  <c r="R56" i="23" a="1"/>
  <c r="R56" i="23" s="1"/>
  <c r="R52" i="23" a="1"/>
  <c r="R52" i="23" s="1"/>
  <c r="R48" i="23" a="1"/>
  <c r="R48" i="23" s="1"/>
  <c r="R44" i="23" a="1"/>
  <c r="R44" i="23" s="1"/>
  <c r="R40" i="23" a="1"/>
  <c r="R40" i="23" s="1"/>
  <c r="R32" i="23" a="1"/>
  <c r="R32" i="23" s="1"/>
  <c r="R28" i="23" a="1"/>
  <c r="R28" i="23" s="1"/>
  <c r="R24" i="23" a="1"/>
  <c r="R24" i="23" s="1"/>
  <c r="R20" i="23" a="1"/>
  <c r="R20" i="23" s="1"/>
  <c r="R16" i="23" a="1"/>
  <c r="R16" i="23" s="1"/>
  <c r="R12" i="23" a="1"/>
  <c r="R12" i="23" s="1"/>
  <c r="R33" i="23" a="1"/>
  <c r="R33" i="23" s="1"/>
  <c r="R25" i="23" a="1"/>
  <c r="R25" i="23" s="1"/>
  <c r="AD30" i="18"/>
  <c r="L13" i="19" s="1"/>
  <c r="F13" i="19" s="1"/>
  <c r="AD59" i="18"/>
  <c r="L21" i="19" s="1"/>
  <c r="F21" i="19" s="1"/>
  <c r="L23" i="19"/>
  <c r="F23" i="19" s="1"/>
  <c r="U74" i="18"/>
  <c r="Q75" i="18"/>
  <c r="U75" i="18" s="1"/>
  <c r="AD75" i="18" s="1"/>
  <c r="L20" i="19" s="1"/>
  <c r="F20" i="19" s="1"/>
  <c r="AD58" i="18"/>
  <c r="L12" i="19" s="1"/>
  <c r="F12" i="19" s="1"/>
  <c r="AD57" i="18"/>
  <c r="AD52" i="18"/>
  <c r="AD54" i="18"/>
  <c r="AD60" i="18"/>
  <c r="AD56" i="18"/>
  <c r="AD55" i="18"/>
  <c r="AD53" i="18"/>
  <c r="B11" i="18"/>
  <c r="B12" i="18" s="1"/>
  <c r="N10" i="18"/>
  <c r="L24" i="19" l="1"/>
  <c r="F24" i="19" s="1"/>
  <c r="AA26" i="23"/>
  <c r="AA16" i="23"/>
  <c r="AA48" i="23"/>
  <c r="AA29" i="23"/>
  <c r="AA30" i="23"/>
  <c r="AA62" i="23"/>
  <c r="AA11" i="23"/>
  <c r="AA43" i="23"/>
  <c r="AA44" i="23"/>
  <c r="AA20" i="23"/>
  <c r="AA15" i="23"/>
  <c r="AA24" i="23"/>
  <c r="AA56" i="23"/>
  <c r="AA61" i="23"/>
  <c r="AA38" i="23"/>
  <c r="AA17" i="23"/>
  <c r="AA19" i="23"/>
  <c r="AA51" i="23"/>
  <c r="AA57" i="23"/>
  <c r="AA52" i="23"/>
  <c r="AA47" i="23"/>
  <c r="AA28" i="23"/>
  <c r="AA60" i="23"/>
  <c r="AA10" i="23"/>
  <c r="AA42" i="23"/>
  <c r="AA45" i="23"/>
  <c r="AA23" i="23"/>
  <c r="AA55" i="23"/>
  <c r="AA12" i="23"/>
  <c r="AA39" i="23"/>
  <c r="AA66" i="23"/>
  <c r="AA32" i="23"/>
  <c r="AA64" i="23"/>
  <c r="AA14" i="23"/>
  <c r="AA46" i="23"/>
  <c r="AA65" i="23"/>
  <c r="AA27" i="23"/>
  <c r="AA59" i="23"/>
  <c r="AA58" i="23"/>
  <c r="AA49" i="23"/>
  <c r="AA25" i="23"/>
  <c r="AA36" i="23"/>
  <c r="AA21" i="23"/>
  <c r="AA18" i="23"/>
  <c r="AA50" i="23"/>
  <c r="AA13" i="23"/>
  <c r="AA31" i="23"/>
  <c r="AA63" i="23"/>
  <c r="AA53" i="23"/>
  <c r="AA34" i="23"/>
  <c r="AA33" i="23"/>
  <c r="AA40" i="23"/>
  <c r="AA41" i="23"/>
  <c r="AA22" i="23"/>
  <c r="AA54" i="23"/>
  <c r="AA37" i="23"/>
  <c r="AA35" i="23"/>
  <c r="B13" i="18"/>
  <c r="AD61" i="18"/>
  <c r="AD29" i="18"/>
  <c r="AD41" i="18"/>
  <c r="AD70" i="18"/>
  <c r="AD77" i="18"/>
  <c r="AD49" i="18"/>
  <c r="AD71" i="18"/>
  <c r="AD23" i="18"/>
  <c r="AD73" i="18"/>
  <c r="AD16" i="18"/>
  <c r="AD83" i="18"/>
  <c r="AD24" i="18"/>
  <c r="AD82" i="18"/>
  <c r="AD17" i="18"/>
  <c r="AD79" i="18"/>
  <c r="AD35" i="18"/>
  <c r="AD81" i="18"/>
  <c r="AD14" i="18"/>
  <c r="AD74" i="18"/>
  <c r="AD28" i="18"/>
  <c r="AD36" i="18"/>
  <c r="AD51" i="18"/>
  <c r="AD45" i="18"/>
  <c r="U10" i="18"/>
  <c r="AD10" i="18" s="1"/>
  <c r="AD50" i="18"/>
  <c r="AD42" i="18"/>
  <c r="AD44" i="18"/>
  <c r="AD27" i="18"/>
  <c r="AA69" i="23" l="1"/>
  <c r="AD25" i="18"/>
  <c r="AD18" i="18"/>
  <c r="AD39" i="18"/>
  <c r="AD78" i="18"/>
  <c r="AD26" i="18"/>
  <c r="AD37" i="18"/>
  <c r="AD64" i="18"/>
  <c r="AD22" i="18"/>
  <c r="AD11" i="18"/>
  <c r="AD65" i="18"/>
  <c r="AD72" i="18"/>
  <c r="AD63" i="18"/>
  <c r="AD21" i="18"/>
  <c r="AD20" i="18"/>
  <c r="AD68" i="18"/>
  <c r="AD12" i="18"/>
  <c r="AD34" i="18"/>
  <c r="AD15" i="18"/>
  <c r="AD80" i="18"/>
  <c r="B14" i="18" l="1"/>
  <c r="B15" i="18" l="1"/>
  <c r="B16" i="18" s="1"/>
  <c r="B17" i="18" l="1"/>
  <c r="B18" i="18" s="1"/>
  <c r="B19" i="18" l="1"/>
  <c r="B20" i="18" s="1"/>
  <c r="B21" i="18" s="1"/>
  <c r="B22" i="18" l="1"/>
  <c r="B23" i="18" l="1"/>
  <c r="B24" i="18" l="1"/>
  <c r="B25" i="18" s="1"/>
  <c r="B26" i="18" l="1"/>
  <c r="B27" i="18" s="1"/>
  <c r="B28" i="18" s="1"/>
  <c r="B29" i="18" s="1"/>
  <c r="B30" i="18" l="1"/>
  <c r="B31" i="18" l="1"/>
  <c r="B32" i="18" l="1"/>
  <c r="B33" i="18" s="1"/>
  <c r="B34" i="18" l="1"/>
  <c r="B35" i="18" s="1"/>
  <c r="B36" i="18" s="1"/>
  <c r="B37" i="18" s="1"/>
  <c r="B38" i="18" l="1"/>
  <c r="B39" i="18" s="1"/>
  <c r="B40" i="18" s="1"/>
  <c r="B41" i="18" l="1"/>
  <c r="B42" i="18" s="1"/>
  <c r="B43" i="18" s="1"/>
  <c r="B44" i="18" s="1"/>
  <c r="B45" i="18" s="1"/>
  <c r="B46" i="18" s="1"/>
  <c r="B47" i="18" s="1"/>
  <c r="B48" i="18" s="1"/>
  <c r="B49" i="18" l="1"/>
  <c r="B50" i="18" s="1"/>
  <c r="B51" i="18" l="1"/>
  <c r="B52" i="18" s="1"/>
  <c r="B53" i="18" s="1"/>
  <c r="B54" i="18" l="1"/>
  <c r="B55" i="18" s="1"/>
  <c r="B56" i="18" l="1"/>
  <c r="B57" i="18" l="1"/>
  <c r="B58" i="18" l="1"/>
  <c r="B59" i="18" l="1"/>
  <c r="B60" i="18" l="1"/>
  <c r="B61" i="18" s="1"/>
  <c r="B62" i="18" l="1"/>
  <c r="B63" i="18" l="1"/>
  <c r="B64" i="18" s="1"/>
  <c r="B65" i="18" s="1"/>
  <c r="B66" i="18" s="1"/>
  <c r="B67" i="18" s="1"/>
  <c r="B68" i="18" s="1"/>
  <c r="B69" i="18" l="1"/>
  <c r="B70" i="18" s="1"/>
  <c r="B71" i="18" l="1"/>
  <c r="B72" i="18" s="1"/>
  <c r="B73" i="18" s="1"/>
  <c r="B74" i="18" s="1"/>
  <c r="B75" i="18" l="1"/>
  <c r="B76" i="18" s="1"/>
  <c r="B77" i="18" s="1"/>
  <c r="B78" i="18" s="1"/>
  <c r="B79" i="18" s="1"/>
  <c r="B80" i="18" s="1"/>
  <c r="B81" i="18" s="1"/>
  <c r="B82" i="18" s="1"/>
  <c r="B83" i="18" s="1"/>
  <c r="B86" i="18" l="1"/>
  <c r="R7" i="23" l="1"/>
  <c r="K69" i="23"/>
  <c r="I69" i="23" l="1"/>
  <c r="M69" i="23" s="1"/>
  <c r="P7" i="23"/>
  <c r="K71" i="23"/>
  <c r="M7" i="23"/>
  <c r="T7" i="23"/>
  <c r="R69" i="23"/>
  <c r="S7" i="18"/>
  <c r="L86" i="18"/>
  <c r="M75" i="23" l="1"/>
  <c r="I71" i="23"/>
  <c r="T71" i="23" s="1"/>
  <c r="R71" i="23"/>
  <c r="Q7" i="18"/>
  <c r="U7" i="18" s="1"/>
  <c r="J86" i="18"/>
  <c r="N86" i="18" s="1"/>
  <c r="L88" i="18"/>
  <c r="N7" i="18"/>
  <c r="S86" i="18"/>
  <c r="S88" i="18" s="1"/>
  <c r="M71" i="23" l="1"/>
  <c r="N92" i="18"/>
  <c r="J88" i="18"/>
  <c r="L6" i="19"/>
  <c r="L9" i="19" s="1"/>
  <c r="F9" i="19" s="1"/>
  <c r="N88" i="18" l="1"/>
  <c r="U88" i="18"/>
  <c r="X31" i="18" l="1"/>
  <c r="Z31" i="18" l="1"/>
  <c r="Q31" i="18" l="1"/>
  <c r="U31" i="18" s="1"/>
  <c r="AD31" i="18" s="1"/>
  <c r="Q48" i="18"/>
  <c r="U48" i="18" s="1"/>
  <c r="AD48" i="18" s="1"/>
  <c r="X48" i="18"/>
  <c r="X86" i="18" s="1"/>
  <c r="Z19" i="18"/>
  <c r="Q19" i="18" s="1"/>
  <c r="L14" i="19" l="1"/>
  <c r="F14" i="19" s="1"/>
  <c r="L19" i="19"/>
  <c r="F19" i="19" s="1"/>
  <c r="U19" i="18"/>
  <c r="AD19" i="18" s="1"/>
  <c r="L25" i="19" s="1"/>
  <c r="F25" i="19" s="1"/>
  <c r="Z43" i="18" l="1"/>
  <c r="Q43" i="18" l="1"/>
  <c r="P12" i="23" s="1" a="1"/>
  <c r="P12" i="23" s="1"/>
  <c r="T12" i="23" s="1"/>
  <c r="AC12" i="23" s="1"/>
  <c r="Z86" i="18"/>
  <c r="P39" i="23" a="1"/>
  <c r="P39" i="23" s="1"/>
  <c r="T39" i="23" s="1"/>
  <c r="AC39" i="23" s="1"/>
  <c r="P22" i="23" a="1"/>
  <c r="P22" i="23" s="1"/>
  <c r="T22" i="23" s="1"/>
  <c r="AC22" i="23" s="1"/>
  <c r="P44" i="23" a="1"/>
  <c r="P44" i="23" s="1"/>
  <c r="Y44" i="23" s="1"/>
  <c r="W44" i="23" s="1"/>
  <c r="P36" i="23" a="1"/>
  <c r="P36" i="23" s="1"/>
  <c r="Y36" i="23" s="1"/>
  <c r="W36" i="23" s="1"/>
  <c r="U43" i="18"/>
  <c r="AD43" i="18" s="1"/>
  <c r="P45" i="23" a="1"/>
  <c r="P45" i="23" s="1"/>
  <c r="P25" i="23" a="1"/>
  <c r="P25" i="23" s="1"/>
  <c r="P20" i="23" a="1"/>
  <c r="P20" i="23" s="1"/>
  <c r="P66" i="23" a="1"/>
  <c r="P66" i="23" s="1"/>
  <c r="P32" i="23" a="1"/>
  <c r="P32" i="23" s="1"/>
  <c r="P60" i="23" a="1"/>
  <c r="P60" i="23" s="1"/>
  <c r="P13" i="23" a="1"/>
  <c r="P13" i="23" s="1"/>
  <c r="P37" i="23" a="1"/>
  <c r="P37" i="23" s="1"/>
  <c r="P27" i="23" a="1"/>
  <c r="P27" i="23" s="1"/>
  <c r="P38" i="23" a="1"/>
  <c r="P38" i="23" s="1"/>
  <c r="P65" i="23" a="1"/>
  <c r="P65" i="23" s="1"/>
  <c r="P35" i="23" a="1"/>
  <c r="P35" i="23" s="1"/>
  <c r="P58" i="23" a="1"/>
  <c r="P58" i="23" s="1"/>
  <c r="P11" i="23" a="1"/>
  <c r="P11" i="23" s="1"/>
  <c r="P19" i="23" a="1"/>
  <c r="P19" i="23" s="1"/>
  <c r="P28" i="23" a="1"/>
  <c r="P28" i="23" s="1"/>
  <c r="P52" i="23" a="1"/>
  <c r="P52" i="23" s="1"/>
  <c r="P16" i="23" a="1"/>
  <c r="P16" i="23" s="1"/>
  <c r="P55" i="23" a="1"/>
  <c r="P55" i="23" s="1"/>
  <c r="P62" i="23" a="1"/>
  <c r="P62" i="23" s="1"/>
  <c r="P30" i="23" a="1"/>
  <c r="P30" i="23" s="1"/>
  <c r="P61" i="23" a="1"/>
  <c r="P61" i="23" s="1"/>
  <c r="P29" i="23" a="1"/>
  <c r="P29" i="23" s="1"/>
  <c r="P63" i="23" a="1"/>
  <c r="P63" i="23" s="1"/>
  <c r="P59" i="23" a="1"/>
  <c r="P59" i="23" s="1"/>
  <c r="P48" i="23" a="1"/>
  <c r="P48" i="23" s="1"/>
  <c r="P50" i="23" a="1"/>
  <c r="P50" i="23" s="1"/>
  <c r="P53" i="23" a="1"/>
  <c r="P53" i="23" s="1"/>
  <c r="P34" i="23" a="1"/>
  <c r="P34" i="23" s="1"/>
  <c r="P54" i="23" a="1"/>
  <c r="P54" i="23" s="1"/>
  <c r="P31" i="23" a="1"/>
  <c r="P31" i="23" s="1"/>
  <c r="P43" i="23" a="1"/>
  <c r="P43" i="23" s="1"/>
  <c r="P33" i="23" a="1"/>
  <c r="P33" i="23" s="1"/>
  <c r="P21" i="23" a="1"/>
  <c r="P21" i="23" s="1"/>
  <c r="P18" i="23" a="1"/>
  <c r="P18" i="23" s="1"/>
  <c r="P57" i="23" a="1"/>
  <c r="P57" i="23" s="1"/>
  <c r="P41" i="23" a="1"/>
  <c r="P41" i="23" s="1"/>
  <c r="P23" i="23" a="1"/>
  <c r="P23" i="23" s="1"/>
  <c r="P47" i="23" a="1"/>
  <c r="P47" i="23" s="1"/>
  <c r="P26" i="23" a="1"/>
  <c r="P26" i="23" s="1"/>
  <c r="P40" i="23" a="1"/>
  <c r="P40" i="23" s="1"/>
  <c r="P10" i="23" a="1"/>
  <c r="P10" i="23" s="1"/>
  <c r="P64" i="23" a="1"/>
  <c r="P64" i="23" s="1"/>
  <c r="P51" i="23" a="1"/>
  <c r="P51" i="23" s="1"/>
  <c r="P49" i="23" a="1"/>
  <c r="P49" i="23" s="1"/>
  <c r="P46" i="23" a="1"/>
  <c r="P46" i="23" s="1"/>
  <c r="P42" i="23" a="1"/>
  <c r="P42" i="23" s="1"/>
  <c r="P17" i="23" a="1"/>
  <c r="P17" i="23" s="1"/>
  <c r="P15" i="23" a="1"/>
  <c r="P15" i="23" s="1"/>
  <c r="P56" i="23" a="1"/>
  <c r="P56" i="23" s="1"/>
  <c r="P14" i="23" a="1"/>
  <c r="P14" i="23" s="1"/>
  <c r="Q86" i="18"/>
  <c r="U86" i="18" s="1"/>
  <c r="P24" i="23" a="1"/>
  <c r="P24" i="23" s="1"/>
  <c r="T36" i="23" l="1"/>
  <c r="AC36" i="23" s="1"/>
  <c r="Y12" i="23"/>
  <c r="W12" i="23" s="1"/>
  <c r="L27" i="19"/>
  <c r="F27" i="19" s="1"/>
  <c r="F29" i="19" s="1"/>
  <c r="F31" i="19" s="1"/>
  <c r="AD86" i="18"/>
  <c r="Y22" i="23"/>
  <c r="W22" i="23" s="1"/>
  <c r="T44" i="23"/>
  <c r="AC44" i="23" s="1"/>
  <c r="Y39" i="23"/>
  <c r="W39" i="23" s="1"/>
  <c r="T28" i="23"/>
  <c r="AC28" i="23" s="1"/>
  <c r="Y28" i="23"/>
  <c r="W28" i="23" s="1"/>
  <c r="Y10" i="23"/>
  <c r="T10" i="23"/>
  <c r="AC10" i="23" s="1"/>
  <c r="P69" i="23"/>
  <c r="T69" i="23" s="1"/>
  <c r="P71" i="23" s="1"/>
  <c r="Y21" i="23"/>
  <c r="W21" i="23" s="1"/>
  <c r="T21" i="23"/>
  <c r="AC21" i="23" s="1"/>
  <c r="Y48" i="23"/>
  <c r="W48" i="23" s="1"/>
  <c r="T48" i="23"/>
  <c r="AC48" i="23" s="1"/>
  <c r="T16" i="23"/>
  <c r="AC16" i="23" s="1"/>
  <c r="Y16" i="23"/>
  <c r="W16" i="23" s="1"/>
  <c r="Y38" i="23"/>
  <c r="W38" i="23" s="1"/>
  <c r="T38" i="23"/>
  <c r="AC38" i="23" s="1"/>
  <c r="T25" i="23"/>
  <c r="AC25" i="23" s="1"/>
  <c r="Y25" i="23"/>
  <c r="W25" i="23" s="1"/>
  <c r="T56" i="23"/>
  <c r="AC56" i="23" s="1"/>
  <c r="Y56" i="23"/>
  <c r="W56" i="23" s="1"/>
  <c r="Y15" i="23"/>
  <c r="W15" i="23" s="1"/>
  <c r="T15" i="23"/>
  <c r="AC15" i="23" s="1"/>
  <c r="Y40" i="23"/>
  <c r="W40" i="23" s="1"/>
  <c r="T40" i="23"/>
  <c r="AC40" i="23" s="1"/>
  <c r="Y33" i="23"/>
  <c r="W33" i="23" s="1"/>
  <c r="T33" i="23"/>
  <c r="AC33" i="23" s="1"/>
  <c r="T59" i="23"/>
  <c r="AC59" i="23" s="1"/>
  <c r="Y59" i="23"/>
  <c r="W59" i="23" s="1"/>
  <c r="Y52" i="23"/>
  <c r="W52" i="23" s="1"/>
  <c r="T52" i="23"/>
  <c r="AC52" i="23" s="1"/>
  <c r="Y27" i="23"/>
  <c r="W27" i="23" s="1"/>
  <c r="T27" i="23"/>
  <c r="AC27" i="23" s="1"/>
  <c r="Y45" i="23"/>
  <c r="W45" i="23" s="1"/>
  <c r="T45" i="23"/>
  <c r="AC45" i="23" s="1"/>
  <c r="Y37" i="23"/>
  <c r="W37" i="23" s="1"/>
  <c r="T37" i="23"/>
  <c r="AC37" i="23" s="1"/>
  <c r="T29" i="23"/>
  <c r="AC29" i="23" s="1"/>
  <c r="Y29" i="23"/>
  <c r="W29" i="23" s="1"/>
  <c r="T13" i="23"/>
  <c r="AC13" i="23" s="1"/>
  <c r="Y13" i="23"/>
  <c r="W13" i="23" s="1"/>
  <c r="Y63" i="23"/>
  <c r="W63" i="23" s="1"/>
  <c r="T63" i="23"/>
  <c r="AC63" i="23" s="1"/>
  <c r="T19" i="23"/>
  <c r="AC19" i="23" s="1"/>
  <c r="Y19" i="23"/>
  <c r="W19" i="23" s="1"/>
  <c r="T46" i="23"/>
  <c r="AC46" i="23" s="1"/>
  <c r="Y46" i="23"/>
  <c r="W46" i="23" s="1"/>
  <c r="Y23" i="23"/>
  <c r="W23" i="23" s="1"/>
  <c r="T23" i="23"/>
  <c r="AC23" i="23" s="1"/>
  <c r="Y54" i="23"/>
  <c r="W54" i="23" s="1"/>
  <c r="T54" i="23"/>
  <c r="AC54" i="23" s="1"/>
  <c r="Y61" i="23"/>
  <c r="W61" i="23" s="1"/>
  <c r="T61" i="23"/>
  <c r="AC61" i="23" s="1"/>
  <c r="Y11" i="23"/>
  <c r="W11" i="23" s="1"/>
  <c r="T11" i="23"/>
  <c r="AC11" i="23" s="1"/>
  <c r="T60" i="23"/>
  <c r="AC60" i="23" s="1"/>
  <c r="Y60" i="23"/>
  <c r="W60" i="23" s="1"/>
  <c r="Y17" i="23"/>
  <c r="W17" i="23" s="1"/>
  <c r="T17" i="23"/>
  <c r="AC17" i="23" s="1"/>
  <c r="T47" i="23"/>
  <c r="AC47" i="23" s="1"/>
  <c r="Y47" i="23"/>
  <c r="W47" i="23" s="1"/>
  <c r="Y24" i="23"/>
  <c r="W24" i="23" s="1"/>
  <c r="T24" i="23"/>
  <c r="AC24" i="23" s="1"/>
  <c r="Y41" i="23"/>
  <c r="W41" i="23" s="1"/>
  <c r="T41" i="23"/>
  <c r="AC41" i="23" s="1"/>
  <c r="T34" i="23"/>
  <c r="AC34" i="23" s="1"/>
  <c r="Y34" i="23"/>
  <c r="W34" i="23" s="1"/>
  <c r="T30" i="23"/>
  <c r="AC30" i="23" s="1"/>
  <c r="Y30" i="23"/>
  <c r="W30" i="23" s="1"/>
  <c r="T58" i="23"/>
  <c r="AC58" i="23" s="1"/>
  <c r="Y58" i="23"/>
  <c r="W58" i="23" s="1"/>
  <c r="Y32" i="23"/>
  <c r="W32" i="23" s="1"/>
  <c r="T32" i="23"/>
  <c r="AC32" i="23" s="1"/>
  <c r="Y43" i="23"/>
  <c r="W43" i="23" s="1"/>
  <c r="T43" i="23"/>
  <c r="AC43" i="23" s="1"/>
  <c r="T31" i="23"/>
  <c r="AC31" i="23" s="1"/>
  <c r="Y31" i="23"/>
  <c r="W31" i="23" s="1"/>
  <c r="T49" i="23"/>
  <c r="AC49" i="23" s="1"/>
  <c r="Y49" i="23"/>
  <c r="W49" i="23" s="1"/>
  <c r="F34" i="19"/>
  <c r="Q88" i="18"/>
  <c r="Y51" i="23"/>
  <c r="W51" i="23" s="1"/>
  <c r="T51" i="23"/>
  <c r="AC51" i="23" s="1"/>
  <c r="T57" i="23"/>
  <c r="AC57" i="23" s="1"/>
  <c r="Y57" i="23"/>
  <c r="W57" i="23" s="1"/>
  <c r="T53" i="23"/>
  <c r="AC53" i="23" s="1"/>
  <c r="Y53" i="23"/>
  <c r="W53" i="23" s="1"/>
  <c r="T62" i="23"/>
  <c r="AC62" i="23" s="1"/>
  <c r="Y62" i="23"/>
  <c r="W62" i="23" s="1"/>
  <c r="T35" i="23"/>
  <c r="AC35" i="23" s="1"/>
  <c r="Y35" i="23"/>
  <c r="W35" i="23" s="1"/>
  <c r="Y66" i="23"/>
  <c r="W66" i="23" s="1"/>
  <c r="T66" i="23"/>
  <c r="AC66" i="23" s="1"/>
  <c r="Y26" i="23"/>
  <c r="W26" i="23" s="1"/>
  <c r="T26" i="23"/>
  <c r="AC26" i="23" s="1"/>
  <c r="T42" i="23"/>
  <c r="AC42" i="23" s="1"/>
  <c r="Y42" i="23"/>
  <c r="W42" i="23" s="1"/>
  <c r="Y14" i="23"/>
  <c r="W14" i="23" s="1"/>
  <c r="T14" i="23"/>
  <c r="AC14" i="23" s="1"/>
  <c r="Y64" i="23"/>
  <c r="W64" i="23" s="1"/>
  <c r="T64" i="23"/>
  <c r="AC64" i="23" s="1"/>
  <c r="Y18" i="23"/>
  <c r="W18" i="23" s="1"/>
  <c r="T18" i="23"/>
  <c r="AC18" i="23" s="1"/>
  <c r="Y50" i="23"/>
  <c r="W50" i="23" s="1"/>
  <c r="T50" i="23"/>
  <c r="AC50" i="23" s="1"/>
  <c r="Y55" i="23"/>
  <c r="W55" i="23" s="1"/>
  <c r="T55" i="23"/>
  <c r="AC55" i="23" s="1"/>
  <c r="Y65" i="23"/>
  <c r="W65" i="23" s="1"/>
  <c r="T65" i="23"/>
  <c r="AC65" i="23" s="1"/>
  <c r="Y20" i="23"/>
  <c r="W20" i="23" s="1"/>
  <c r="T20" i="23"/>
  <c r="AC20" i="23" s="1"/>
  <c r="W10" i="23" l="1"/>
  <c r="W69" i="23" s="1"/>
  <c r="Y69" i="23"/>
  <c r="AC69" i="23"/>
  <c r="N21" i="19" l="1"/>
  <c r="H21" i="19" s="1"/>
  <c r="N18" i="19" l="1"/>
  <c r="H18" i="19" s="1"/>
  <c r="N12" i="19" l="1"/>
  <c r="H12" i="19" s="1"/>
  <c r="N24" i="19"/>
  <c r="H24" i="19" s="1"/>
  <c r="N27" i="19"/>
  <c r="H27" i="19" s="1"/>
  <c r="N6" i="19" l="1"/>
  <c r="N9" i="19" s="1"/>
  <c r="H9" i="19" s="1"/>
  <c r="H10" i="19" l="1"/>
  <c r="N10" i="19"/>
  <c r="H11" i="19"/>
  <c r="N11" i="19"/>
  <c r="H29" i="19"/>
  <c r="H31" i="19"/>
  <c r="H34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<sst xmlns="http://schemas.openxmlformats.org/spreadsheetml/2006/main" count="693" uniqueCount="275">
  <si>
    <t>3.1</t>
  </si>
  <si>
    <t>4.1</t>
  </si>
  <si>
    <t>3.2</t>
  </si>
  <si>
    <t>3.3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</si>
  <si>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</si>
  <si>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</si>
  <si>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</si>
  <si>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</si>
  <si>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</si>
  <si>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</si>
  <si>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</si>
  <si>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</si>
  <si>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</si>
  <si>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</si>
  <si>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</si>
  <si>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</si>
  <si>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</si>
  <si>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</si>
  <si>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</si>
  <si>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</si>
  <si>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</si>
  <si>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</si>
  <si>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</si>
  <si>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</si>
  <si>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</si>
  <si>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</si>
  <si>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</si>
  <si>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4.8</t>
  </si>
  <si>
    <t>7.5</t>
  </si>
  <si>
    <t>7.6</t>
  </si>
  <si>
    <t>5.2</t>
  </si>
  <si>
    <t>PacifiCorp</t>
  </si>
  <si>
    <t>Depreciation</t>
  </si>
  <si>
    <t>Customer Service Deposits</t>
  </si>
  <si>
    <t>Temperature Normalization</t>
  </si>
  <si>
    <t>Remove Non-Recurring Entries</t>
  </si>
  <si>
    <t>Customer Advances for Construction</t>
  </si>
  <si>
    <t>Total Adjustments</t>
  </si>
  <si>
    <t>Rate Base</t>
  </si>
  <si>
    <t>4.9</t>
  </si>
  <si>
    <t>4.10</t>
  </si>
  <si>
    <t>Insurance Expense</t>
  </si>
  <si>
    <t>8.10</t>
  </si>
  <si>
    <t>Total</t>
  </si>
  <si>
    <t>Advertising</t>
  </si>
  <si>
    <t>6.2</t>
  </si>
  <si>
    <t>8.11</t>
  </si>
  <si>
    <t>6.3</t>
  </si>
  <si>
    <t>Investor Supplied Working Capital</t>
  </si>
  <si>
    <t>6.4</t>
  </si>
  <si>
    <t>Revenue Normalizing</t>
  </si>
  <si>
    <t>General Wage Increase (Annualizing)</t>
  </si>
  <si>
    <t>Revenue-Sensitive/ Uncollectible Expense</t>
  </si>
  <si>
    <t>7.9</t>
  </si>
  <si>
    <t>Miscellaneous Expense &amp; Revenue</t>
  </si>
  <si>
    <t>Memberships &amp; Subscriptions</t>
  </si>
  <si>
    <t>4.11</t>
  </si>
  <si>
    <t>4.12</t>
  </si>
  <si>
    <t>4.13</t>
  </si>
  <si>
    <t>5.3</t>
  </si>
  <si>
    <t>5.4</t>
  </si>
  <si>
    <t>7.10</t>
  </si>
  <si>
    <t>Wyoming Wind Generation Tax</t>
  </si>
  <si>
    <t>Miscellaneous Rate Base</t>
  </si>
  <si>
    <t>9.1</t>
  </si>
  <si>
    <t>Environmental Remediation</t>
  </si>
  <si>
    <t>Wheeling Revenue - 
Year 1</t>
  </si>
  <si>
    <t>Pension Related Non-Service Expense</t>
  </si>
  <si>
    <t>Legal 
Expenses</t>
  </si>
  <si>
    <t>Payment Services Fees</t>
  </si>
  <si>
    <t>Pryor Mountain REC Revenues</t>
  </si>
  <si>
    <t>Pro Forma Depreciation &amp; Amortization Reserves - Year 1</t>
  </si>
  <si>
    <t>End-of-Period Reserves - Historical</t>
  </si>
  <si>
    <t>Decommissioning &amp; Other Plant Closure Costs - Year 1</t>
  </si>
  <si>
    <t>Property Tax Expense - Year 1</t>
  </si>
  <si>
    <t>Interest True Up - Year 1</t>
  </si>
  <si>
    <t>Production Tax Credit - Year 1</t>
  </si>
  <si>
    <t>PowerTax ADIT Balance - Year 1</t>
  </si>
  <si>
    <t>Permanent Schedule M Adjustment - Year 1</t>
  </si>
  <si>
    <t>Remove Deferred State Tax Expense &amp; Balance - Year 1</t>
  </si>
  <si>
    <t>End-of-Period Plant Balances - Historical</t>
  </si>
  <si>
    <t>Pro Forma Major Plant Additions - Year 1</t>
  </si>
  <si>
    <t>Labor Day Wildfire Restoration Capital Removal</t>
  </si>
  <si>
    <t>WIJAM Transmission Reallocation</t>
  </si>
  <si>
    <t>Klamath Hydroelectric Assets Transfer - Year 1</t>
  </si>
  <si>
    <t>10.1</t>
  </si>
  <si>
    <t>Removal of Coal-Fired Generation Assets</t>
  </si>
  <si>
    <t>10.2</t>
  </si>
  <si>
    <t>10.3</t>
  </si>
  <si>
    <t>10.4</t>
  </si>
  <si>
    <t>Jim Bridger Mine Rate Base - Year 1</t>
  </si>
  <si>
    <t>10.5</t>
  </si>
  <si>
    <t>Existing Coal-Fired Generation Assets - Year 1</t>
  </si>
  <si>
    <t>10.6</t>
  </si>
  <si>
    <t>10.7</t>
  </si>
  <si>
    <t>10.8</t>
  </si>
  <si>
    <t>5.5</t>
  </si>
  <si>
    <t>AURORA Access Fees</t>
  </si>
  <si>
    <t>Incremental O&amp;M Expenses</t>
  </si>
  <si>
    <t>8.12</t>
  </si>
  <si>
    <t>Major Transmission Capital Addtions - Year 1</t>
  </si>
  <si>
    <t>General Wage Increase
(Pro Forma) - Year 1</t>
  </si>
  <si>
    <t>Net Power Costs (Restating)</t>
  </si>
  <si>
    <t>WRAP Fees</t>
  </si>
  <si>
    <t>Pro Forma Depreciation &amp; Amortization Expense - 
Year 1</t>
  </si>
  <si>
    <t>Washington Public Utility Tax Adjustment</t>
  </si>
  <si>
    <t>Removal of TCJA Deferred Balances Adjustment</t>
  </si>
  <si>
    <t>Washington Low Income Tax Credit</t>
  </si>
  <si>
    <t>Regulatory Assets/ Liabilities Amortization - Year 1</t>
  </si>
  <si>
    <t>Production Factor - Year 1</t>
  </si>
  <si>
    <t>Net Power Costs (Pro Forma) - 
Year 1</t>
  </si>
  <si>
    <t>Jim Bridger SCRs Removal</t>
  </si>
  <si>
    <t>Colstrip Unit 3 Removal</t>
  </si>
  <si>
    <t>Fly Ash Revenues - Year 1</t>
  </si>
  <si>
    <t>Pro Forma JB Units 3, 4 and Colstrip 4 Additions - 
Year 1</t>
  </si>
  <si>
    <t>Pro Forma JB Units 1 &amp; 2 Additions - Year 1</t>
  </si>
  <si>
    <t>Confidential Wind Capital Additions - Year 1</t>
  </si>
  <si>
    <t>Rate Year 1 Results</t>
  </si>
  <si>
    <t>Common</t>
  </si>
  <si>
    <t>Total Debt</t>
  </si>
  <si>
    <t>Cost</t>
  </si>
  <si>
    <t>Structure</t>
  </si>
  <si>
    <t>Component</t>
  </si>
  <si>
    <t>Weighted</t>
  </si>
  <si>
    <t>Capital</t>
  </si>
  <si>
    <t>Filed Cost of Capital</t>
  </si>
  <si>
    <t>AWEC Cost of Capital</t>
  </si>
  <si>
    <t>Rate Year 2</t>
  </si>
  <si>
    <t>Rate Year 1</t>
  </si>
  <si>
    <t>Rev. Sens</t>
  </si>
  <si>
    <t>(Suf.)</t>
  </si>
  <si>
    <t>Tax Rate</t>
  </si>
  <si>
    <t>Income</t>
  </si>
  <si>
    <t>Description</t>
  </si>
  <si>
    <t xml:space="preserve">No. </t>
  </si>
  <si>
    <t>Line</t>
  </si>
  <si>
    <t xml:space="preserve">Def. / </t>
  </si>
  <si>
    <t>Revenue Conversion</t>
  </si>
  <si>
    <t xml:space="preserve">Net Oper. </t>
  </si>
  <si>
    <t xml:space="preserve">Adj. </t>
  </si>
  <si>
    <t xml:space="preserve">Rev. Req. </t>
  </si>
  <si>
    <t>Pre-Tax</t>
  </si>
  <si>
    <t>Rev. Req. Parameters</t>
  </si>
  <si>
    <t>Impact of AWEC Adjustments</t>
  </si>
  <si>
    <t>AWEC Proposed</t>
  </si>
  <si>
    <t>Preferred</t>
  </si>
  <si>
    <t>Adjustments:</t>
  </si>
  <si>
    <t>PAC Filed @ AWEC RoR</t>
  </si>
  <si>
    <t>Rate Year 1 Electric Revenue Requirement Summary ($000)</t>
  </si>
  <si>
    <t>Per Book Results (Y/E Jun. 2022)</t>
  </si>
  <si>
    <t>Sub</t>
  </si>
  <si>
    <t>Adj.</t>
  </si>
  <si>
    <t>Rate Year 1 Results W/Price Change</t>
  </si>
  <si>
    <t>Remove BCC Post-2023 Recl. &amp; Depr.</t>
  </si>
  <si>
    <t>PacifiCorp Filed</t>
  </si>
  <si>
    <t>Adjustments</t>
  </si>
  <si>
    <t>North Temple Office</t>
  </si>
  <si>
    <t>Projects Less Than $1M</t>
  </si>
  <si>
    <t>Fly Ash Deferral</t>
  </si>
  <si>
    <t>BCC Post-2023 Recl. &amp; Depr</t>
  </si>
  <si>
    <t>A4</t>
  </si>
  <si>
    <t>Cost of Capital (Kaufman)</t>
  </si>
  <si>
    <t>Production Factor Adjustment</t>
  </si>
  <si>
    <t>Remove COVID Deferral</t>
  </si>
  <si>
    <t>CoC Impact</t>
  </si>
  <si>
    <t>Washington Balancing Adjustment</t>
  </si>
  <si>
    <t>Remove Production Factor Adj.</t>
  </si>
  <si>
    <t>COVID Deferral</t>
  </si>
  <si>
    <t>Remove Other A/P</t>
  </si>
  <si>
    <t>3.4</t>
  </si>
  <si>
    <t>Pole Attachment Revenues</t>
  </si>
  <si>
    <t>ISWC-Pension Settlement</t>
  </si>
  <si>
    <t>Pole Attachment Revenue</t>
  </si>
  <si>
    <t>ISWC - Pension Settlement</t>
  </si>
  <si>
    <t>Electric Rate Base Adjustment ($000)</t>
  </si>
  <si>
    <t>NOI (Pre-Tax)</t>
  </si>
  <si>
    <t>Conv. Factor</t>
  </si>
  <si>
    <t>Rev. Req. (Incr.)</t>
  </si>
  <si>
    <t>Cost of Capital</t>
  </si>
  <si>
    <t>Adjustment Calculation</t>
  </si>
  <si>
    <t>Gross Plant</t>
  </si>
  <si>
    <t>Additions (Adjustment)</t>
  </si>
  <si>
    <t>Gross Plant (EOP)</t>
  </si>
  <si>
    <t>Gross Plant (AMA)</t>
  </si>
  <si>
    <t>YoY Change (AMA)</t>
  </si>
  <si>
    <t>YoY Change</t>
  </si>
  <si>
    <t>Accum. Depreciation</t>
  </si>
  <si>
    <t>Accumulated Depr.</t>
  </si>
  <si>
    <t>ADIT</t>
  </si>
  <si>
    <t>MACRS (Assume 20-year avg)</t>
  </si>
  <si>
    <t>DIT</t>
  </si>
  <si>
    <t>Total DIT</t>
  </si>
  <si>
    <t>Accum DIT</t>
  </si>
  <si>
    <t>Factor</t>
  </si>
  <si>
    <t>Adj. A1 Remove Project Less than $1 Million</t>
  </si>
  <si>
    <t>Projects Less Than $1million</t>
  </si>
  <si>
    <t>CAGE</t>
  </si>
  <si>
    <t>Various</t>
  </si>
  <si>
    <t>N/A</t>
  </si>
  <si>
    <t>CAGEN/A</t>
  </si>
  <si>
    <t>CAGW</t>
  </si>
  <si>
    <t>Programmatic</t>
  </si>
  <si>
    <t>CAGWProgrammatic</t>
  </si>
  <si>
    <t>Specific</t>
  </si>
  <si>
    <t>CAGWSpecific</t>
  </si>
  <si>
    <t>SG-WProgrammatic</t>
  </si>
  <si>
    <t>SG-USpecific</t>
  </si>
  <si>
    <t>SG-UProgrammatic</t>
  </si>
  <si>
    <t>SG-PSpecific</t>
  </si>
  <si>
    <t>SG-PProgrammatic</t>
  </si>
  <si>
    <t>SG</t>
  </si>
  <si>
    <t>SGSpecific</t>
  </si>
  <si>
    <t>CA</t>
  </si>
  <si>
    <t>SGProgrammatic</t>
  </si>
  <si>
    <t>ID</t>
  </si>
  <si>
    <t>360-373</t>
  </si>
  <si>
    <t>CAN/A</t>
  </si>
  <si>
    <t>WA</t>
  </si>
  <si>
    <t>IDN/A</t>
  </si>
  <si>
    <t>WYP</t>
  </si>
  <si>
    <t>WASpecific</t>
  </si>
  <si>
    <t>OR</t>
  </si>
  <si>
    <t>WYPN/A</t>
  </si>
  <si>
    <t>UT</t>
  </si>
  <si>
    <t>ORN/A</t>
  </si>
  <si>
    <t>SO</t>
  </si>
  <si>
    <t>UTN/A</t>
  </si>
  <si>
    <t>SOSpecific</t>
  </si>
  <si>
    <t>SOProgrammatic</t>
  </si>
  <si>
    <t>WAProgrammatic</t>
  </si>
  <si>
    <t>Total Company By Factor</t>
  </si>
  <si>
    <t>Total Total-Company</t>
  </si>
  <si>
    <t>Washington Allocated</t>
  </si>
  <si>
    <t>Remove Projects &lt; $1 M</t>
  </si>
  <si>
    <t>A1</t>
  </si>
  <si>
    <t>Market Caps</t>
  </si>
  <si>
    <t>Adjusted</t>
  </si>
  <si>
    <t>A2</t>
  </si>
  <si>
    <t>A3</t>
  </si>
  <si>
    <t>A5</t>
  </si>
  <si>
    <t>A6</t>
  </si>
  <si>
    <t>A7</t>
  </si>
  <si>
    <t>A8</t>
  </si>
  <si>
    <t>A9</t>
  </si>
  <si>
    <t>A10</t>
  </si>
  <si>
    <t>A11</t>
  </si>
  <si>
    <t>A12</t>
  </si>
  <si>
    <t>Washington Balancing Adj.</t>
  </si>
  <si>
    <t>PTC Rate Year Volumes</t>
  </si>
  <si>
    <t>PTC Rate</t>
  </si>
  <si>
    <t>PTC Rate Period Volumes</t>
  </si>
  <si>
    <t>A13</t>
  </si>
  <si>
    <t>BCC</t>
  </si>
  <si>
    <t xml:space="preserve">Washington </t>
  </si>
  <si>
    <t xml:space="preserve">BCC Coal Recl.  Derp.  Calculation </t>
  </si>
  <si>
    <t>PTC Disallowance</t>
  </si>
  <si>
    <t>Ozone Transport Rule</t>
  </si>
  <si>
    <t xml:space="preserve">Filed Rev. Def. </t>
  </si>
  <si>
    <t>A14</t>
  </si>
  <si>
    <t>PTC Disallowance Removal</t>
  </si>
  <si>
    <t>A15</t>
  </si>
  <si>
    <t>PTC Rate at 3.0 Cents/KWh</t>
  </si>
  <si>
    <t>2022 Fire Litigation Exp. (Kaufman)</t>
  </si>
  <si>
    <t>Two-Year Injuries and Damages (Kaufman)</t>
  </si>
  <si>
    <t>Fire Litigation Exp. (Kaufman)</t>
  </si>
  <si>
    <t>Two-Year Inj. &amp; Dam. (Kaufman)</t>
  </si>
  <si>
    <t>A16</t>
  </si>
  <si>
    <t>A17</t>
  </si>
  <si>
    <t>Oppose</t>
  </si>
  <si>
    <t>Proposed</t>
  </si>
  <si>
    <t>Rate Year 1 Electric Revenue Requirement Summary ($000) With AWEC Adjustment Detail</t>
  </si>
  <si>
    <t xml:space="preserve">Interest Synchronization </t>
  </si>
  <si>
    <t>Update</t>
  </si>
  <si>
    <t>AWEC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</si>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</sst>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[$-409]mmm\-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color theme="2" tint="-0.499984740745262"/>
      <name val="Times New Roman"/>
      <family val="1"/>
    </font>
    <font>
      <sz val="10"/>
      <color theme="2" tint="-0.499984740745262"/>
      <name val="Times New Roman"/>
      <family val="1"/>
    </font>
    <font>
      <sz val="10"/>
      <color rgb="FFC00000"/>
      <name val="Times New Roman"/>
      <family val="1"/>
    </font>
    <font>
      <i/>
      <sz val="10"/>
      <color rgb="FFC00000"/>
      <name val="Times New Roman"/>
      <family val="1"/>
    </font>
    <font>
      <i/>
      <u/>
      <sz val="10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5" applyFont="1"/>
    <xf numFmtId="0" fontId="6" fillId="0" borderId="0" xfId="5" applyFont="1"/>
    <xf numFmtId="41" fontId="7" fillId="0" borderId="0" xfId="5" applyNumberFormat="1" applyFont="1"/>
    <xf numFmtId="41" fontId="5" fillId="0" borderId="0" xfId="5" applyNumberFormat="1" applyFont="1"/>
    <xf numFmtId="0" fontId="6" fillId="0" borderId="4" xfId="5" applyFont="1" applyBorder="1"/>
    <xf numFmtId="0" fontId="5" fillId="0" borderId="0" xfId="5" applyFont="1" applyAlignment="1">
      <alignment horizontal="center"/>
    </xf>
    <xf numFmtId="41" fontId="6" fillId="0" borderId="0" xfId="5" applyNumberFormat="1" applyFont="1"/>
    <xf numFmtId="41" fontId="8" fillId="0" borderId="0" xfId="5" applyNumberFormat="1" applyFont="1"/>
    <xf numFmtId="41" fontId="9" fillId="0" borderId="0" xfId="5" applyNumberFormat="1" applyFont="1" applyAlignment="1">
      <alignment horizontal="right"/>
    </xf>
    <xf numFmtId="0" fontId="7" fillId="0" borderId="0" xfId="5" applyFont="1"/>
    <xf numFmtId="2" fontId="5" fillId="0" borderId="0" xfId="5" applyNumberFormat="1" applyFont="1"/>
    <xf numFmtId="41" fontId="7" fillId="0" borderId="2" xfId="5" applyNumberFormat="1" applyFont="1" applyBorder="1"/>
    <xf numFmtId="41" fontId="7" fillId="0" borderId="3" xfId="5" applyNumberFormat="1" applyFont="1" applyBorder="1"/>
    <xf numFmtId="41" fontId="5" fillId="0" borderId="3" xfId="5" applyNumberFormat="1" applyFont="1" applyBorder="1"/>
    <xf numFmtId="0" fontId="10" fillId="0" borderId="0" xfId="5" applyFont="1" applyAlignment="1">
      <alignment horizontal="center"/>
    </xf>
    <xf numFmtId="41" fontId="10" fillId="0" borderId="0" xfId="5" applyNumberFormat="1" applyFont="1"/>
    <xf numFmtId="41" fontId="11" fillId="0" borderId="0" xfId="5" applyNumberFormat="1" applyFont="1"/>
    <xf numFmtId="0" fontId="10" fillId="0" borderId="0" xfId="5" applyFont="1"/>
    <xf numFmtId="0" fontId="11" fillId="0" borderId="0" xfId="5" applyFont="1"/>
    <xf numFmtId="0" fontId="12" fillId="0" borderId="0" xfId="5" applyFont="1"/>
    <xf numFmtId="41" fontId="13" fillId="0" borderId="0" xfId="5" applyNumberFormat="1" applyFont="1"/>
    <xf numFmtId="0" fontId="14" fillId="0" borderId="0" xfId="5" applyFont="1"/>
    <xf numFmtId="0" fontId="5" fillId="0" borderId="0" xfId="5" applyFont="1" applyAlignment="1">
      <alignment horizontal="right"/>
    </xf>
    <xf numFmtId="165" fontId="5" fillId="0" borderId="0" xfId="5" applyNumberFormat="1" applyFont="1"/>
    <xf numFmtId="0" fontId="5" fillId="2" borderId="1" xfId="5" applyFont="1" applyFill="1" applyBorder="1"/>
    <xf numFmtId="10" fontId="5" fillId="2" borderId="1" xfId="5" applyNumberFormat="1" applyFont="1" applyFill="1" applyBorder="1"/>
    <xf numFmtId="0" fontId="5" fillId="2" borderId="6" xfId="5" applyFont="1" applyFill="1" applyBorder="1"/>
    <xf numFmtId="10" fontId="5" fillId="2" borderId="0" xfId="5" applyNumberFormat="1" applyFont="1" applyFill="1"/>
    <xf numFmtId="0" fontId="5" fillId="2" borderId="4" xfId="5" applyFont="1" applyFill="1" applyBorder="1"/>
    <xf numFmtId="10" fontId="5" fillId="2" borderId="7" xfId="6" applyNumberFormat="1" applyFont="1" applyFill="1" applyBorder="1"/>
    <xf numFmtId="0" fontId="5" fillId="2" borderId="8" xfId="5" applyFont="1" applyFill="1" applyBorder="1"/>
    <xf numFmtId="0" fontId="5" fillId="2" borderId="3" xfId="5" applyFont="1" applyFill="1" applyBorder="1"/>
    <xf numFmtId="0" fontId="5" fillId="2" borderId="9" xfId="5" applyFont="1" applyFill="1" applyBorder="1"/>
    <xf numFmtId="0" fontId="15" fillId="0" borderId="0" xfId="5" applyFont="1"/>
    <xf numFmtId="0" fontId="5" fillId="2" borderId="5" xfId="5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5" fillId="2" borderId="8" xfId="5" applyFont="1" applyFill="1" applyBorder="1" applyAlignment="1">
      <alignment horizontal="center"/>
    </xf>
    <xf numFmtId="0" fontId="5" fillId="2" borderId="3" xfId="5" applyFont="1" applyFill="1" applyBorder="1" applyAlignment="1">
      <alignment horizontal="center"/>
    </xf>
    <xf numFmtId="10" fontId="5" fillId="0" borderId="0" xfId="5" applyNumberFormat="1" applyFont="1"/>
    <xf numFmtId="3" fontId="5" fillId="0" borderId="0" xfId="5" applyNumberFormat="1" applyFont="1"/>
    <xf numFmtId="5" fontId="7" fillId="0" borderId="0" xfId="5" applyNumberFormat="1" applyFont="1"/>
    <xf numFmtId="2" fontId="7" fillId="0" borderId="0" xfId="5" quotePrefix="1" applyNumberFormat="1" applyFont="1"/>
    <xf numFmtId="0" fontId="5" fillId="0" borderId="1" xfId="5" applyFont="1" applyBorder="1" applyAlignment="1">
      <alignment horizontal="center"/>
    </xf>
    <xf numFmtId="9" fontId="5" fillId="0" borderId="0" xfId="5" applyNumberFormat="1" applyFont="1"/>
    <xf numFmtId="0" fontId="7" fillId="0" borderId="1" xfId="5" applyFont="1" applyBorder="1"/>
    <xf numFmtId="0" fontId="7" fillId="0" borderId="1" xfId="5" applyFont="1" applyBorder="1" applyAlignment="1">
      <alignment horizontal="center"/>
    </xf>
    <xf numFmtId="0" fontId="7" fillId="0" borderId="0" xfId="5" applyFont="1" applyAlignment="1">
      <alignment horizontal="center"/>
    </xf>
    <xf numFmtId="0" fontId="6" fillId="0" borderId="1" xfId="5" applyFont="1" applyBorder="1"/>
    <xf numFmtId="0" fontId="12" fillId="0" borderId="1" xfId="5" applyFont="1" applyBorder="1"/>
    <xf numFmtId="0" fontId="16" fillId="0" borderId="1" xfId="5" applyFont="1" applyBorder="1" applyAlignment="1">
      <alignment horizontal="center"/>
    </xf>
    <xf numFmtId="0" fontId="5" fillId="0" borderId="1" xfId="5" applyFont="1" applyBorder="1"/>
    <xf numFmtId="0" fontId="17" fillId="0" borderId="1" xfId="5" applyFont="1" applyBorder="1"/>
    <xf numFmtId="10" fontId="5" fillId="2" borderId="10" xfId="6" applyNumberFormat="1" applyFont="1" applyFill="1" applyBorder="1"/>
    <xf numFmtId="0" fontId="5" fillId="2" borderId="0" xfId="5" applyFont="1" applyFill="1"/>
    <xf numFmtId="0" fontId="13" fillId="0" borderId="0" xfId="5" applyFont="1"/>
    <xf numFmtId="41" fontId="14" fillId="0" borderId="0" xfId="5" applyNumberFormat="1" applyFont="1"/>
    <xf numFmtId="2" fontId="13" fillId="0" borderId="0" xfId="5" applyNumberFormat="1" applyFont="1"/>
    <xf numFmtId="41" fontId="0" fillId="0" borderId="0" xfId="0" applyNumberFormat="1"/>
    <xf numFmtId="10" fontId="5" fillId="0" borderId="0" xfId="6" applyNumberFormat="1" applyFont="1" applyFill="1" applyBorder="1"/>
    <xf numFmtId="0" fontId="5" fillId="0" borderId="0" xfId="5" applyFont="1" applyAlignment="1">
      <alignment horizontal="right" indent="1"/>
    </xf>
    <xf numFmtId="0" fontId="5" fillId="2" borderId="9" xfId="5" applyFont="1" applyFill="1" applyBorder="1" applyAlignment="1">
      <alignment horizontal="center"/>
    </xf>
    <xf numFmtId="0" fontId="5" fillId="2" borderId="6" xfId="5" applyFont="1" applyFill="1" applyBorder="1" applyAlignment="1">
      <alignment horizontal="left"/>
    </xf>
    <xf numFmtId="2" fontId="13" fillId="0" borderId="0" xfId="5" quotePrefix="1" applyNumberFormat="1" applyFont="1"/>
    <xf numFmtId="41" fontId="5" fillId="2" borderId="1" xfId="5" applyNumberFormat="1" applyFont="1" applyFill="1" applyBorder="1"/>
    <xf numFmtId="0" fontId="17" fillId="0" borderId="0" xfId="5" applyFont="1"/>
    <xf numFmtId="0" fontId="17" fillId="0" borderId="0" xfId="5" applyFont="1" applyAlignment="1">
      <alignment horizontal="center"/>
    </xf>
    <xf numFmtId="41" fontId="5" fillId="0" borderId="1" xfId="5" applyNumberFormat="1" applyFont="1" applyBorder="1"/>
    <xf numFmtId="0" fontId="6" fillId="0" borderId="0" xfId="5" applyFont="1" applyAlignment="1">
      <alignment horizontal="left" indent="1"/>
    </xf>
    <xf numFmtId="41" fontId="6" fillId="0" borderId="1" xfId="5" applyNumberFormat="1" applyFont="1" applyBorder="1"/>
    <xf numFmtId="43" fontId="5" fillId="0" borderId="0" xfId="5" applyNumberFormat="1" applyFont="1"/>
    <xf numFmtId="43" fontId="5" fillId="0" borderId="1" xfId="5" applyNumberFormat="1" applyFont="1" applyBorder="1"/>
    <xf numFmtId="0" fontId="3" fillId="0" borderId="0" xfId="7" applyFont="1"/>
    <xf numFmtId="0" fontId="3" fillId="0" borderId="0" xfId="7" applyFont="1" applyAlignment="1">
      <alignment horizontal="center"/>
    </xf>
    <xf numFmtId="166" fontId="3" fillId="0" borderId="0" xfId="8" applyNumberFormat="1" applyAlignment="1">
      <alignment horizontal="center" vertical="top"/>
    </xf>
    <xf numFmtId="164" fontId="3" fillId="0" borderId="0" xfId="7" applyNumberFormat="1" applyFont="1"/>
    <xf numFmtId="164" fontId="3" fillId="0" borderId="0" xfId="9" applyNumberFormat="1" applyFont="1" applyFill="1"/>
    <xf numFmtId="41" fontId="7" fillId="0" borderId="1" xfId="5" applyNumberFormat="1" applyFont="1" applyBorder="1"/>
    <xf numFmtId="0" fontId="3" fillId="0" borderId="0" xfId="7" applyFont="1" applyAlignment="1">
      <alignment horizontal="right"/>
    </xf>
    <xf numFmtId="41" fontId="5" fillId="2" borderId="0" xfId="5" applyNumberFormat="1" applyFont="1" applyFill="1"/>
    <xf numFmtId="0" fontId="16" fillId="2" borderId="0" xfId="5" applyFont="1" applyFill="1" applyAlignment="1">
      <alignment horizontal="center"/>
    </xf>
    <xf numFmtId="0" fontId="16" fillId="2" borderId="7" xfId="5" applyFont="1" applyFill="1" applyBorder="1" applyAlignment="1">
      <alignment horizontal="center"/>
    </xf>
    <xf numFmtId="41" fontId="5" fillId="2" borderId="7" xfId="5" applyNumberFormat="1" applyFont="1" applyFill="1" applyBorder="1"/>
    <xf numFmtId="41" fontId="5" fillId="2" borderId="5" xfId="5" applyNumberFormat="1" applyFont="1" applyFill="1" applyBorder="1"/>
    <xf numFmtId="0" fontId="5" fillId="2" borderId="9" xfId="0" applyFont="1" applyFill="1" applyBorder="1"/>
    <xf numFmtId="0" fontId="5" fillId="2" borderId="3" xfId="0" applyFont="1" applyFill="1" applyBorder="1"/>
    <xf numFmtId="0" fontId="5" fillId="2" borderId="8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41" fontId="5" fillId="2" borderId="0" xfId="0" applyNumberFormat="1" applyFont="1" applyFill="1"/>
    <xf numFmtId="0" fontId="5" fillId="2" borderId="7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5" xfId="0" applyFont="1" applyFill="1" applyBorder="1"/>
    <xf numFmtId="0" fontId="5" fillId="2" borderId="0" xfId="0" applyFont="1" applyFill="1" applyAlignment="1">
      <alignment horizontal="center"/>
    </xf>
    <xf numFmtId="0" fontId="7" fillId="2" borderId="0" xfId="0" applyFont="1" applyFill="1"/>
    <xf numFmtId="41" fontId="7" fillId="2" borderId="0" xfId="0" applyNumberFormat="1" applyFont="1" applyFill="1"/>
    <xf numFmtId="0" fontId="5" fillId="3" borderId="0" xfId="0" applyFont="1" applyFill="1"/>
    <xf numFmtId="41" fontId="5" fillId="3" borderId="0" xfId="0" applyNumberFormat="1" applyFont="1" applyFill="1"/>
    <xf numFmtId="0" fontId="5" fillId="3" borderId="0" xfId="0" applyFont="1" applyFill="1" applyAlignment="1">
      <alignment horizontal="center"/>
    </xf>
    <xf numFmtId="0" fontId="7" fillId="3" borderId="0" xfId="0" applyFont="1" applyFill="1"/>
    <xf numFmtId="41" fontId="7" fillId="3" borderId="0" xfId="0" applyNumberFormat="1" applyFont="1" applyFill="1"/>
    <xf numFmtId="0" fontId="7" fillId="3" borderId="0" xfId="0" applyFont="1" applyFill="1" applyAlignment="1">
      <alignment horizontal="left"/>
    </xf>
    <xf numFmtId="41" fontId="7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 applyAlignment="1">
      <alignment horizontal="center"/>
    </xf>
    <xf numFmtId="0" fontId="18" fillId="0" borderId="0" xfId="5" applyFont="1"/>
    <xf numFmtId="3" fontId="18" fillId="0" borderId="0" xfId="5" applyNumberFormat="1" applyFont="1"/>
    <xf numFmtId="41" fontId="18" fillId="0" borderId="0" xfId="5" applyNumberFormat="1" applyFont="1"/>
    <xf numFmtId="43" fontId="5" fillId="0" borderId="0" xfId="5" applyNumberFormat="1" applyFont="1" applyAlignment="1">
      <alignment horizontal="center"/>
    </xf>
    <xf numFmtId="2" fontId="5" fillId="0" borderId="0" xfId="5" quotePrefix="1" applyNumberFormat="1" applyFont="1"/>
    <xf numFmtId="0" fontId="7" fillId="2" borderId="0" xfId="0" applyFont="1" applyFill="1" applyAlignment="1">
      <alignment horizontal="left"/>
    </xf>
  </cellXfs>
  <cellStyles count="10">
    <cellStyle name="Comma 2" xfId="2" xr:uid="{00000000-0005-0000-0000-000001000000}"/>
    <cellStyle name="Comma 5" xfId="9" xr:uid="{8EC34403-3A9D-4305-B40D-B73428BFC2E5}"/>
    <cellStyle name="Normal" xfId="0" builtinId="0"/>
    <cellStyle name="Normal 2" xfId="1" xr:uid="{00000000-0005-0000-0000-000003000000}"/>
    <cellStyle name="Normal 2 2 2 2 4" xfId="5" xr:uid="{CF2EF441-CC50-44C7-9824-4827DD749DC6}"/>
    <cellStyle name="Normal 3" xfId="4" xr:uid="{00000000-0005-0000-0000-000004000000}"/>
    <cellStyle name="Normal 4 2" xfId="8" xr:uid="{B8A69423-52EC-41B5-98E4-CC9FA03BA0F1}"/>
    <cellStyle name="Normal 7" xfId="7" xr:uid="{67A47F87-C79F-47F6-AA89-8105E4145F71}"/>
    <cellStyle name="Percent 2" xfId="3" xr:uid="{00000000-0005-0000-0000-000006000000}"/>
    <cellStyle name="Percent 2 12" xfId="6" xr:uid="{7FE6CC72-1C9A-4C1D-ADEF-560CD5B88C5A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exh\230172-AWEC-Mullins-Exh-BGM-4-09-14-2023.xlsx" TargetMode="External"/><Relationship Id="rId1" Type="http://schemas.openxmlformats.org/officeDocument/2006/relationships/externalLinkPath" Target="230172-AWEC-Mullins-Exh-BGM-4-09-14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wps\230172-AWEC-BGM-Pole%20Attachment%20Rev-09-14-2023.xlsx" TargetMode="External"/><Relationship Id="rId1" Type="http://schemas.openxmlformats.org/officeDocument/2006/relationships/externalLinkPath" Target="/wrk_BkUp/20_pac/P35%20-%20UE-230172%20PPL%20WA%20GRC/dir/wps/230172-AWEC-BGM-Pole%20Attachment%20Rev-09-14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exh\230172-AWEC-Mullins-Exh-BGM-8-09-14-2023%20(C).xlsx" TargetMode="External"/><Relationship Id="rId1" Type="http://schemas.openxmlformats.org/officeDocument/2006/relationships/externalLinkPath" Target="230172-AWEC-Mullins-Exh-BGM-8-09-14-2023%20(C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wps\230172-AWEC-BGM-MarketCaps-09-14-2023.xlsx" TargetMode="External"/><Relationship Id="rId1" Type="http://schemas.openxmlformats.org/officeDocument/2006/relationships/externalLinkPath" Target="/wrk_BkUp/20_pac/P35%20-%20UE-230172%20PPL%20WA%20GRC/dir/wps/230172-AWEC-BGM-MarketCaps-09-14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wps\230172-AWEC-BGM-OTR-09-14-2023.xlsx" TargetMode="External"/><Relationship Id="rId1" Type="http://schemas.openxmlformats.org/officeDocument/2006/relationships/externalLinkPath" Target="/wrk_BkUp/20_pac/P35%20-%20UE-230172%20PPL%20WA%20GRC/dir/wps/230172-AWEC-BGM-OTR-09-14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exh\230172-AWEC-Mullins-Exh-BGM-9-09-14-2023.xlsx" TargetMode="External"/><Relationship Id="rId1" Type="http://schemas.openxmlformats.org/officeDocument/2006/relationships/externalLinkPath" Target="230172-AWEC-Mullins-Exh-BGM-9-09-14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exh\230172-AWEC-Mullins-Exh-BGM-6-09-14-2023.xlsx" TargetMode="External"/><Relationship Id="rId1" Type="http://schemas.openxmlformats.org/officeDocument/2006/relationships/externalLinkPath" Target="230172-AWEC-Mullins-Exh-BGM-6-09-14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wps\230172-AWEC-BGM-ISWC%20Pension%20Settlement-09-14-2023.xlsx" TargetMode="External"/><Relationship Id="rId1" Type="http://schemas.openxmlformats.org/officeDocument/2006/relationships/externalLinkPath" Target="/wrk_BkUp/20_pac/P35%20-%20UE-230172%20PPL%20WA%20GRC/dir/wps/230172-AWEC-BGM-ISWC%20Pension%20Settlement-09-1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h. BGM-4 (Consolidated)"/>
      <sheetName val="Exh. BGM-4 (Detail)"/>
      <sheetName val="A2 (NTO)"/>
    </sheetNames>
    <sheetDataSet>
      <sheetData sheetId="0"/>
      <sheetData sheetId="1">
        <row r="13">
          <cell r="AD13">
            <v>-247.86666140379171</v>
          </cell>
        </row>
        <row r="14">
          <cell r="AD14">
            <v>-4629.7829113511207</v>
          </cell>
        </row>
        <row r="16">
          <cell r="AD16">
            <v>-246.33199299658941</v>
          </cell>
        </row>
        <row r="17">
          <cell r="AD17">
            <v>-1534.5152286632353</v>
          </cell>
        </row>
        <row r="19">
          <cell r="AD19">
            <v>-285.28399501928754</v>
          </cell>
        </row>
        <row r="20">
          <cell r="AD20">
            <v>-522.51762494400941</v>
          </cell>
        </row>
        <row r="22">
          <cell r="AD22">
            <v>30.535414245702814</v>
          </cell>
        </row>
        <row r="23">
          <cell r="AD23">
            <v>26.629168749098017</v>
          </cell>
        </row>
        <row r="31">
          <cell r="AD31">
            <v>122.23521088062944</v>
          </cell>
        </row>
        <row r="38">
          <cell r="AD38">
            <v>5541.7856166875736</v>
          </cell>
        </row>
        <row r="39">
          <cell r="AD39">
            <v>4996.9141818020844</v>
          </cell>
        </row>
        <row r="42">
          <cell r="N42">
            <v>25622.771037478447</v>
          </cell>
          <cell r="U42">
            <v>28874.572215465512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tach AWEC 084"/>
    </sheetNames>
    <sheetDataSet>
      <sheetData sheetId="0">
        <row r="131">
          <cell r="E131">
            <v>-654233.00020896213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t position balancing"/>
      <sheetName val="Unused Gas Dispatch"/>
      <sheetName val="Reserves"/>
      <sheetName val="Gas Details"/>
      <sheetName val="Hourly Value of WA Load"/>
      <sheetName val="_Query_Hourly SysBal Purchases"/>
      <sheetName val="_Query_Hourly SysBal Sales"/>
      <sheetName val="Filed NPC (Not Updated)-&gt;"/>
      <sheetName val="Summary"/>
      <sheetName val="WA NPC"/>
      <sheetName val="WA Details"/>
      <sheetName val="WA NPC before balancing"/>
      <sheetName val="Monthly NPC (total sys)"/>
      <sheetName val="FuelAllocation"/>
      <sheetName val="Other NPCs"/>
      <sheetName val="Index"/>
      <sheetName val="Index_2"/>
    </sheetNames>
    <sheetDataSet>
      <sheetData sheetId="0">
        <row r="55">
          <cell r="D55">
            <v>5069557.2321112603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A NPC"/>
      <sheetName val="Net position balancing"/>
      <sheetName val="WA Details"/>
      <sheetName val="WA NPC before balancing"/>
      <sheetName val="Monthly NPC (total sys)"/>
      <sheetName val="FuelAllocation"/>
      <sheetName val="Other NPCs"/>
      <sheetName val="Index"/>
      <sheetName val="Index_2"/>
    </sheetNames>
    <sheetDataSet>
      <sheetData sheetId="0" refreshError="1"/>
      <sheetData sheetId="1">
        <row r="285">
          <cell r="D285">
            <v>325438.12009739876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A NPC"/>
      <sheetName val="Net position balancing"/>
      <sheetName val="WA Details"/>
      <sheetName val="WA NPC before balancing"/>
      <sheetName val="Monthly NPC (total sys)"/>
      <sheetName val="FuelAllocation"/>
      <sheetName val="Other NPCs"/>
      <sheetName val="Index"/>
      <sheetName val="Index_2"/>
    </sheetNames>
    <sheetDataSet>
      <sheetData sheetId="0" refreshError="1"/>
      <sheetData sheetId="1">
        <row r="285">
          <cell r="D285">
            <v>-7787457.396926254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llins Inflation Forecast"/>
      <sheetName val="PTC Rate"/>
      <sheetName val="PTC RY1"/>
      <sheetName val="PTC RY2"/>
      <sheetName val="PTC Disallowance"/>
    </sheetNames>
    <sheetDataSet>
      <sheetData sheetId="0" refreshError="1"/>
      <sheetData sheetId="1">
        <row r="46">
          <cell r="I46">
            <v>618267.158712</v>
          </cell>
        </row>
      </sheetData>
      <sheetData sheetId="2">
        <row r="47">
          <cell r="I47">
            <v>484667.25914400001</v>
          </cell>
        </row>
      </sheetData>
      <sheetData sheetId="3">
        <row r="47">
          <cell r="I47">
            <v>3480763.3884119997</v>
          </cell>
        </row>
      </sheetData>
      <sheetData sheetId="4">
        <row r="47">
          <cell r="I47">
            <v>278584.98822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J4">
            <v>-4755417.7470410671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WC"/>
    </sheetNames>
    <sheetDataSet>
      <sheetData sheetId="0">
        <row r="2040">
          <cell r="Y2040">
            <v>-16725883.221812725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8D61-F393-435B-8634-12C8D080C135}">
  <sheetPr codeName="Sheet13"/>
  <dimension ref="B3:N34"/>
  <sheetViews>
    <sheetView tabSelected="1" topLeftCell="A8" workbookViewId="0">
      <selection activeCell="F31" sqref="F31"/>
    </sheetView>
  </sheetViews>
  <sheetFormatPr defaultRowHeight="12.75" x14ac:dyDescent="0.2"/>
  <cols>
    <col min="2" max="2" width="2.28515625" customWidth="1"/>
    <col min="3" max="3" width="5" customWidth="1"/>
    <col min="4" max="4" width="25" customWidth="1"/>
    <col min="5" max="5" width="2.28515625" customWidth="1"/>
    <col min="6" max="6" width="11.85546875" bestFit="1" customWidth="1"/>
    <col min="7" max="7" width="2.28515625" customWidth="1"/>
    <col min="8" max="8" width="11.28515625" bestFit="1" customWidth="1"/>
    <col min="9" max="9" width="2.28515625" customWidth="1"/>
    <col min="12" max="12" width="10.85546875" bestFit="1" customWidth="1"/>
  </cols>
  <sheetData>
    <row r="3" spans="2:14" ht="7.5" customHeight="1" x14ac:dyDescent="0.2">
      <c r="B3" s="84"/>
      <c r="C3" s="85"/>
      <c r="D3" s="85"/>
      <c r="E3" s="85"/>
      <c r="F3" s="85"/>
      <c r="G3" s="85"/>
      <c r="H3" s="85"/>
      <c r="I3" s="86"/>
    </row>
    <row r="4" spans="2:14" x14ac:dyDescent="0.2">
      <c r="B4" s="87"/>
      <c r="C4" s="88"/>
      <c r="D4" s="88"/>
      <c r="E4" s="88"/>
      <c r="F4" s="103" t="s">
        <v>128</v>
      </c>
      <c r="G4" s="104"/>
      <c r="H4" s="103" t="s">
        <v>127</v>
      </c>
      <c r="I4" s="90"/>
    </row>
    <row r="5" spans="2:14" ht="7.5" customHeight="1" x14ac:dyDescent="0.2">
      <c r="B5" s="87"/>
      <c r="C5" s="88"/>
      <c r="D5" s="88"/>
      <c r="E5" s="88"/>
      <c r="F5" s="94"/>
      <c r="G5" s="94"/>
      <c r="H5" s="94"/>
      <c r="I5" s="90"/>
    </row>
    <row r="6" spans="2:14" x14ac:dyDescent="0.2">
      <c r="B6" s="87"/>
      <c r="C6" s="95" t="s">
        <v>154</v>
      </c>
      <c r="D6" s="95"/>
      <c r="E6" s="95"/>
      <c r="F6" s="96">
        <v>26763219.068381723</v>
      </c>
      <c r="G6" s="96"/>
      <c r="H6" s="96">
        <v>27947817.266730916</v>
      </c>
      <c r="I6" s="90"/>
      <c r="L6" s="58">
        <f>+'Exh. BGM-3 (Detail)'!N86</f>
        <v>16770.604447327514</v>
      </c>
      <c r="N6" s="58">
        <f>+'[1]Exh. BGM-4 (Detail)'!$N$42</f>
        <v>25622.771037478447</v>
      </c>
    </row>
    <row r="7" spans="2:14" ht="7.5" customHeight="1" x14ac:dyDescent="0.2">
      <c r="B7" s="87"/>
      <c r="C7" s="88"/>
      <c r="D7" s="88"/>
      <c r="E7" s="88"/>
      <c r="F7" s="89"/>
      <c r="G7" s="89"/>
      <c r="H7" s="89"/>
      <c r="I7" s="90"/>
    </row>
    <row r="8" spans="2:14" x14ac:dyDescent="0.2">
      <c r="B8" s="87"/>
      <c r="C8" s="88" t="s">
        <v>155</v>
      </c>
      <c r="D8" s="88"/>
      <c r="E8" s="88"/>
      <c r="F8" s="88"/>
      <c r="G8" s="88"/>
      <c r="H8" s="88"/>
      <c r="I8" s="90"/>
    </row>
    <row r="9" spans="2:14" x14ac:dyDescent="0.2">
      <c r="B9" s="87"/>
      <c r="C9" s="97"/>
      <c r="D9" s="97" t="s">
        <v>161</v>
      </c>
      <c r="E9" s="97"/>
      <c r="F9" s="98">
        <f t="shared" ref="F9:F24" si="0">+L9*1000</f>
        <v>-9992614.6210542098</v>
      </c>
      <c r="G9" s="98"/>
      <c r="H9" s="98">
        <f t="shared" ref="H9:H20" si="1">+N9*1000</f>
        <v>-2325046.2292524679</v>
      </c>
      <c r="I9" s="90"/>
      <c r="L9" s="58">
        <f>+L6-F6/1000</f>
        <v>-9992.6146210542101</v>
      </c>
      <c r="M9" s="58"/>
      <c r="N9" s="58">
        <f>+N6-H6/1000</f>
        <v>-2325.046229252468</v>
      </c>
    </row>
    <row r="10" spans="2:14" x14ac:dyDescent="0.2">
      <c r="B10" s="87"/>
      <c r="C10" s="94" t="s">
        <v>234</v>
      </c>
      <c r="D10" s="88" t="s">
        <v>157</v>
      </c>
      <c r="E10" s="88"/>
      <c r="F10" s="89">
        <f t="shared" si="0"/>
        <v>-714511.70336514758</v>
      </c>
      <c r="G10" s="89"/>
      <c r="H10" s="89">
        <f t="shared" ca="1" si="1"/>
        <v>-501080.57377017412</v>
      </c>
      <c r="I10" s="90"/>
      <c r="L10" s="58">
        <f>+'Exh. BGM-3 (Detail)'!AD38+'Exh. BGM-3 (Detail)'!AD40+'Exh. BGM-3 (Detail)'!AD62</f>
        <v>-714.51170336514758</v>
      </c>
      <c r="M10" s="58"/>
      <c r="N10" s="58">
        <f ca="1">+'[1]Exh. BGM-4 (Detail)'!$AD$16+'[1]Exh. BGM-4 (Detail)'!$AD$19+'[1]Exh. BGM-4 (Detail)'!$AD$22</f>
        <v>-501.08057377017411</v>
      </c>
    </row>
    <row r="11" spans="2:14" x14ac:dyDescent="0.2">
      <c r="B11" s="87"/>
      <c r="C11" s="99" t="s">
        <v>237</v>
      </c>
      <c r="D11" s="97" t="s">
        <v>156</v>
      </c>
      <c r="E11" s="97"/>
      <c r="F11" s="98">
        <f t="shared" si="0"/>
        <v>0</v>
      </c>
      <c r="G11" s="98"/>
      <c r="H11" s="98">
        <f t="shared" ca="1" si="1"/>
        <v>-2030403.6848581468</v>
      </c>
      <c r="I11" s="90"/>
      <c r="L11" s="58">
        <v>0</v>
      </c>
      <c r="M11" s="58"/>
      <c r="N11" s="58">
        <f ca="1">+'[1]Exh. BGM-4 (Detail)'!$AD$17+'[1]Exh. BGM-4 (Detail)'!$AD$20+'[1]Exh. BGM-4 (Detail)'!$AD$23</f>
        <v>-2030.4036848581468</v>
      </c>
    </row>
    <row r="12" spans="2:14" x14ac:dyDescent="0.2">
      <c r="B12" s="87"/>
      <c r="C12" s="94" t="s">
        <v>238</v>
      </c>
      <c r="D12" s="88" t="s">
        <v>158</v>
      </c>
      <c r="E12" s="88"/>
      <c r="F12" s="89">
        <f t="shared" si="0"/>
        <v>-4996914.1818020847</v>
      </c>
      <c r="G12" s="89"/>
      <c r="H12" s="89">
        <f t="shared" si="1"/>
        <v>4996914.1818020847</v>
      </c>
      <c r="I12" s="90"/>
      <c r="L12" s="58">
        <f>+'Exh. BGM-3 (Detail)'!AD58</f>
        <v>-4996.9141818020844</v>
      </c>
      <c r="M12" s="58"/>
      <c r="N12" s="58">
        <f>+'[1]Exh. BGM-4 (Detail)'!$AD$39</f>
        <v>4996.9141818020844</v>
      </c>
    </row>
    <row r="13" spans="2:14" x14ac:dyDescent="0.2">
      <c r="B13" s="87"/>
      <c r="C13" s="99" t="s">
        <v>160</v>
      </c>
      <c r="D13" s="97" t="s">
        <v>159</v>
      </c>
      <c r="E13" s="97"/>
      <c r="F13" s="98">
        <f t="shared" si="0"/>
        <v>-6491783.00111931</v>
      </c>
      <c r="G13" s="98"/>
      <c r="H13" s="98">
        <f t="shared" si="1"/>
        <v>0</v>
      </c>
      <c r="I13" s="90"/>
      <c r="L13" s="58">
        <f>+'Exh. BGM-3 (Detail)'!AD30</f>
        <v>-6491.78300111931</v>
      </c>
      <c r="M13" s="58"/>
      <c r="N13" s="58"/>
    </row>
    <row r="14" spans="2:14" x14ac:dyDescent="0.2">
      <c r="B14" s="87"/>
      <c r="C14" s="94" t="s">
        <v>239</v>
      </c>
      <c r="D14" s="88" t="s">
        <v>247</v>
      </c>
      <c r="E14" s="88"/>
      <c r="F14" s="89">
        <f t="shared" si="0"/>
        <v>-5327006.7481151009</v>
      </c>
      <c r="G14" s="89"/>
      <c r="H14" s="89">
        <f t="shared" si="1"/>
        <v>0</v>
      </c>
      <c r="I14" s="90"/>
      <c r="L14" s="58">
        <f>+'Exh. BGM-3 (Detail)'!AD31</f>
        <v>-5327.0067481151009</v>
      </c>
      <c r="M14" s="58"/>
      <c r="N14" s="58"/>
    </row>
    <row r="15" spans="2:14" x14ac:dyDescent="0.2">
      <c r="B15" s="87"/>
      <c r="C15" s="99" t="s">
        <v>240</v>
      </c>
      <c r="D15" s="97" t="s">
        <v>235</v>
      </c>
      <c r="E15" s="97"/>
      <c r="F15" s="98">
        <f t="shared" si="0"/>
        <v>341964.98480613047</v>
      </c>
      <c r="G15" s="98"/>
      <c r="H15" s="98">
        <f t="shared" si="1"/>
        <v>0</v>
      </c>
      <c r="I15" s="90"/>
      <c r="L15" s="58">
        <f>+'Exh. BGM-3 (Detail)'!AD32</f>
        <v>341.96498480613047</v>
      </c>
      <c r="M15" s="58"/>
      <c r="N15" s="58"/>
    </row>
    <row r="16" spans="2:14" x14ac:dyDescent="0.2">
      <c r="B16" s="87"/>
      <c r="C16" s="94" t="s">
        <v>241</v>
      </c>
      <c r="D16" s="88" t="s">
        <v>256</v>
      </c>
      <c r="E16" s="88"/>
      <c r="F16" s="89">
        <f t="shared" si="0"/>
        <v>-8182931.2116886228</v>
      </c>
      <c r="G16" s="89"/>
      <c r="H16" s="89">
        <f t="shared" si="1"/>
        <v>0</v>
      </c>
      <c r="I16" s="90"/>
      <c r="L16" s="58">
        <f>+'Exh. BGM-3 (Detail)'!AD33</f>
        <v>-8182.9312116886231</v>
      </c>
      <c r="M16" s="58"/>
      <c r="N16" s="58"/>
    </row>
    <row r="17" spans="2:14" x14ac:dyDescent="0.2">
      <c r="B17" s="87"/>
      <c r="C17" s="99" t="s">
        <v>242</v>
      </c>
      <c r="D17" s="97" t="s">
        <v>261</v>
      </c>
      <c r="E17" s="97"/>
      <c r="F17" s="98">
        <f t="shared" si="0"/>
        <v>-822360.61651991156</v>
      </c>
      <c r="G17" s="98"/>
      <c r="H17" s="98">
        <f t="shared" si="1"/>
        <v>0</v>
      </c>
      <c r="I17" s="90"/>
      <c r="L17" s="58">
        <f>+'Exh. BGM-3 (Detail)'!AD46</f>
        <v>-822.36061651991156</v>
      </c>
      <c r="M17" s="58"/>
      <c r="N17" s="58"/>
    </row>
    <row r="18" spans="2:14" x14ac:dyDescent="0.2">
      <c r="B18" s="87"/>
      <c r="C18" s="94" t="s">
        <v>243</v>
      </c>
      <c r="D18" s="88" t="s">
        <v>250</v>
      </c>
      <c r="E18" s="88"/>
      <c r="F18" s="89">
        <f t="shared" si="0"/>
        <v>-644658.64055758028</v>
      </c>
      <c r="G18" s="89"/>
      <c r="H18" s="89">
        <f t="shared" si="1"/>
        <v>-4629782.911351121</v>
      </c>
      <c r="I18" s="90"/>
      <c r="L18" s="58">
        <f>+'Exh. BGM-3 (Detail)'!AD47</f>
        <v>-644.65864055758027</v>
      </c>
      <c r="M18" s="58"/>
      <c r="N18" s="58">
        <f>+'[1]Exh. BGM-4 (Detail)'!$AD$14</f>
        <v>-4629.7829113511207</v>
      </c>
    </row>
    <row r="19" spans="2:14" x14ac:dyDescent="0.2">
      <c r="B19" s="87"/>
      <c r="C19" s="99" t="s">
        <v>244</v>
      </c>
      <c r="D19" s="97" t="s">
        <v>259</v>
      </c>
      <c r="E19" s="97"/>
      <c r="F19" s="98">
        <f t="shared" si="0"/>
        <v>-370547.45580059057</v>
      </c>
      <c r="G19" s="98"/>
      <c r="H19" s="98">
        <f t="shared" si="1"/>
        <v>0</v>
      </c>
      <c r="I19" s="90"/>
      <c r="L19" s="58">
        <f>+'Exh. BGM-3 (Detail)'!AD48</f>
        <v>-370.54745580059057</v>
      </c>
      <c r="M19" s="58"/>
      <c r="N19" s="58"/>
    </row>
    <row r="20" spans="2:14" x14ac:dyDescent="0.2">
      <c r="B20" s="87"/>
      <c r="C20" s="94" t="s">
        <v>245</v>
      </c>
      <c r="D20" s="88" t="s">
        <v>162</v>
      </c>
      <c r="E20" s="88"/>
      <c r="F20" s="89">
        <f t="shared" si="0"/>
        <v>-1120584.1494421544</v>
      </c>
      <c r="G20" s="89"/>
      <c r="H20" s="89">
        <f t="shared" si="1"/>
        <v>0</v>
      </c>
      <c r="I20" s="90"/>
      <c r="L20" s="58">
        <f>+'Exh. BGM-3 (Detail)'!AD75</f>
        <v>-1120.5841494421545</v>
      </c>
      <c r="M20" s="58"/>
      <c r="N20" s="58"/>
    </row>
    <row r="21" spans="2:14" x14ac:dyDescent="0.2">
      <c r="B21" s="87"/>
      <c r="C21" s="99" t="s">
        <v>246</v>
      </c>
      <c r="D21" s="97" t="s">
        <v>167</v>
      </c>
      <c r="E21" s="97"/>
      <c r="F21" s="98">
        <f t="shared" si="0"/>
        <v>-5541785.6166875735</v>
      </c>
      <c r="G21" s="98"/>
      <c r="H21" s="98">
        <f t="shared" ref="H21:H26" si="2">+N21*1000</f>
        <v>5541785.6166875735</v>
      </c>
      <c r="I21" s="90"/>
      <c r="L21" s="58">
        <f>+'Exh. BGM-3 (Detail)'!AD59</f>
        <v>-5541.7856166875736</v>
      </c>
      <c r="M21" s="58"/>
      <c r="N21" s="58">
        <f>+'[1]Exh. BGM-4 (Detail)'!$AD$38</f>
        <v>5541.7856166875736</v>
      </c>
    </row>
    <row r="22" spans="2:14" x14ac:dyDescent="0.2">
      <c r="B22" s="87"/>
      <c r="C22" s="94" t="s">
        <v>251</v>
      </c>
      <c r="D22" s="88" t="s">
        <v>168</v>
      </c>
      <c r="E22" s="88"/>
      <c r="F22" s="89">
        <f t="shared" si="0"/>
        <v>-386953.84161102388</v>
      </c>
      <c r="G22" s="89"/>
      <c r="H22" s="89">
        <f t="shared" si="2"/>
        <v>0</v>
      </c>
      <c r="I22" s="90"/>
      <c r="L22" s="58">
        <f>+'Exh. BGM-3 (Detail)'!$AD$66</f>
        <v>-386.9538416110239</v>
      </c>
      <c r="M22" s="58"/>
      <c r="N22" s="58"/>
    </row>
    <row r="23" spans="2:14" x14ac:dyDescent="0.2">
      <c r="B23" s="87"/>
      <c r="C23" s="99" t="s">
        <v>258</v>
      </c>
      <c r="D23" s="97" t="s">
        <v>171</v>
      </c>
      <c r="E23" s="97"/>
      <c r="F23" s="98">
        <f t="shared" si="0"/>
        <v>-1539505.6249493768</v>
      </c>
      <c r="G23" s="98"/>
      <c r="H23" s="98">
        <f t="shared" si="2"/>
        <v>0</v>
      </c>
      <c r="I23" s="90"/>
      <c r="L23" s="58">
        <f>+'Exh. BGM-3 (Detail)'!$AD$67</f>
        <v>-1539.5056249493769</v>
      </c>
      <c r="M23" s="58"/>
      <c r="N23" s="58"/>
    </row>
    <row r="24" spans="2:14" x14ac:dyDescent="0.2">
      <c r="B24" s="87"/>
      <c r="C24" s="94" t="s">
        <v>260</v>
      </c>
      <c r="D24" s="88" t="s">
        <v>172</v>
      </c>
      <c r="E24" s="88"/>
      <c r="F24" s="89">
        <f t="shared" si="0"/>
        <v>-654233.00020896213</v>
      </c>
      <c r="G24" s="89"/>
      <c r="H24" s="89">
        <f t="shared" si="2"/>
        <v>-247866.66140379172</v>
      </c>
      <c r="I24" s="90"/>
      <c r="L24" s="58">
        <f>+'Exh. BGM-3 (Detail)'!AD13</f>
        <v>-654.23300020896215</v>
      </c>
      <c r="M24" s="58"/>
      <c r="N24" s="58">
        <f>+'[1]Exh. BGM-4 (Detail)'!$AD$13</f>
        <v>-247.86666140379171</v>
      </c>
    </row>
    <row r="25" spans="2:14" x14ac:dyDescent="0.2">
      <c r="B25" s="87"/>
      <c r="C25" s="99" t="s">
        <v>266</v>
      </c>
      <c r="D25" s="97" t="s">
        <v>265</v>
      </c>
      <c r="E25" s="97"/>
      <c r="F25" s="98">
        <f t="shared" ref="F25:F26" si="3">+L25*1000</f>
        <v>-216299.566385571</v>
      </c>
      <c r="G25" s="98"/>
      <c r="H25" s="98">
        <f t="shared" si="2"/>
        <v>0</v>
      </c>
      <c r="I25" s="90"/>
      <c r="L25" s="58">
        <f>+'Exh. BGM-3 (Detail)'!AD19</f>
        <v>-216.29956638557101</v>
      </c>
      <c r="M25" s="58"/>
      <c r="N25" s="58"/>
    </row>
    <row r="26" spans="2:14" x14ac:dyDescent="0.2">
      <c r="B26" s="87"/>
      <c r="C26" s="94" t="s">
        <v>267</v>
      </c>
      <c r="D26" s="88" t="s">
        <v>264</v>
      </c>
      <c r="E26" s="88"/>
      <c r="F26" s="89">
        <f t="shared" si="3"/>
        <v>-356434.14647122985</v>
      </c>
      <c r="G26" s="89"/>
      <c r="H26" s="89">
        <f t="shared" si="2"/>
        <v>0</v>
      </c>
      <c r="I26" s="90"/>
      <c r="L26" s="58">
        <f>+'Exh. BGM-3 (Detail)'!AD69</f>
        <v>-356.43414647122984</v>
      </c>
      <c r="M26" s="58"/>
      <c r="N26" s="58">
        <v>0</v>
      </c>
    </row>
    <row r="27" spans="2:14" x14ac:dyDescent="0.2">
      <c r="B27" s="87"/>
      <c r="C27" s="99"/>
      <c r="D27" s="97" t="s">
        <v>271</v>
      </c>
      <c r="E27" s="97"/>
      <c r="F27" s="98">
        <f t="shared" ref="F27" si="4">+L27*1000</f>
        <v>240337.09263995741</v>
      </c>
      <c r="G27" s="98"/>
      <c r="H27" s="98">
        <f t="shared" ref="H27" si="5">+N27*1000</f>
        <v>122235.21088062944</v>
      </c>
      <c r="I27" s="90"/>
      <c r="L27" s="58">
        <f>+'Exh. BGM-3 (Detail)'!AD43</f>
        <v>240.3370926399574</v>
      </c>
      <c r="M27" s="58"/>
      <c r="N27" s="58">
        <f>+'[1]Exh. BGM-4 (Detail)'!$AD$31</f>
        <v>122.23521088062944</v>
      </c>
    </row>
    <row r="28" spans="2:14" ht="7.5" customHeight="1" x14ac:dyDescent="0.2">
      <c r="B28" s="87"/>
      <c r="C28" s="88"/>
      <c r="D28" s="88"/>
      <c r="E28" s="88"/>
      <c r="F28" s="92"/>
      <c r="G28" s="88"/>
      <c r="H28" s="92"/>
      <c r="I28" s="90"/>
    </row>
    <row r="29" spans="2:14" x14ac:dyDescent="0.2">
      <c r="B29" s="87"/>
      <c r="C29" s="110" t="s">
        <v>37</v>
      </c>
      <c r="D29" s="95"/>
      <c r="E29" s="95"/>
      <c r="F29" s="96">
        <f>+SUM(F9:F27)</f>
        <v>-46776822.048332348</v>
      </c>
      <c r="G29" s="96"/>
      <c r="H29" s="96">
        <f ca="1">+SUM(H9:H27)</f>
        <v>926754.94873458613</v>
      </c>
      <c r="I29" s="90"/>
    </row>
    <row r="30" spans="2:14" ht="7.5" customHeight="1" x14ac:dyDescent="0.2">
      <c r="B30" s="87"/>
      <c r="C30" s="88"/>
      <c r="D30" s="88"/>
      <c r="E30" s="88"/>
      <c r="F30" s="88"/>
      <c r="G30" s="88"/>
      <c r="H30" s="88"/>
      <c r="I30" s="90"/>
    </row>
    <row r="31" spans="2:14" x14ac:dyDescent="0.2">
      <c r="B31" s="87"/>
      <c r="C31" s="102" t="s">
        <v>236</v>
      </c>
      <c r="D31" s="100"/>
      <c r="E31" s="100"/>
      <c r="F31" s="101">
        <f>+F6+F29</f>
        <v>-20013602.979950625</v>
      </c>
      <c r="G31" s="101"/>
      <c r="H31" s="101">
        <f ca="1">+H6+H29</f>
        <v>28874572.215465501</v>
      </c>
      <c r="I31" s="90"/>
    </row>
    <row r="32" spans="2:14" ht="7.5" customHeight="1" x14ac:dyDescent="0.2">
      <c r="B32" s="91"/>
      <c r="C32" s="92"/>
      <c r="D32" s="92"/>
      <c r="E32" s="92"/>
      <c r="F32" s="92"/>
      <c r="G32" s="92"/>
      <c r="H32" s="92"/>
      <c r="I32" s="93"/>
    </row>
    <row r="34" spans="6:8" x14ac:dyDescent="0.2">
      <c r="F34" s="58">
        <f>+F31-'Exh. BGM-3 (Detail)'!U86*1000</f>
        <v>-4.4703483581542969E-8</v>
      </c>
      <c r="G34" s="58"/>
      <c r="H34" s="58">
        <f ca="1">+H31-'[1]Exh. BGM-4 (Detail)'!$U$42*1000</f>
        <v>0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7E12-B52B-40D7-AC9A-67640E43E3BC}">
  <sheetPr codeName="Sheet16">
    <tabColor rgb="FF57AAB5"/>
  </sheetPr>
  <dimension ref="A1:AV77"/>
  <sheetViews>
    <sheetView zoomScale="85" zoomScaleNormal="85" zoomScaleSheetLayoutView="40" workbookViewId="0"/>
  </sheetViews>
  <sheetFormatPr defaultColWidth="9.140625" defaultRowHeight="12.75" x14ac:dyDescent="0.2"/>
  <cols>
    <col min="1" max="1" width="1.42578125" style="1" customWidth="1"/>
    <col min="2" max="2" width="5.7109375" style="1" customWidth="1"/>
    <col min="3" max="3" width="1.42578125" style="1" customWidth="1"/>
    <col min="4" max="4" width="4.7109375" style="1" customWidth="1"/>
    <col min="5" max="5" width="1.42578125" style="1" customWidth="1"/>
    <col min="6" max="6" width="47.7109375" style="1" bestFit="1" customWidth="1"/>
    <col min="7" max="8" width="1.42578125" style="2" customWidth="1"/>
    <col min="9" max="9" width="10" style="1" customWidth="1"/>
    <col min="10" max="10" width="1.42578125" style="1" customWidth="1"/>
    <col min="11" max="11" width="10" style="1" customWidth="1"/>
    <col min="12" max="12" width="1.42578125" style="1" customWidth="1"/>
    <col min="13" max="13" width="10" style="1" customWidth="1"/>
    <col min="14" max="14" width="1.42578125" style="2" customWidth="1"/>
    <col min="15" max="15" width="1.42578125" style="1" customWidth="1"/>
    <col min="16" max="16" width="10" style="1" customWidth="1"/>
    <col min="17" max="17" width="1.42578125" style="1" customWidth="1"/>
    <col min="18" max="18" width="10" style="1" customWidth="1"/>
    <col min="19" max="19" width="1.42578125" style="1" customWidth="1"/>
    <col min="20" max="20" width="10" style="1" customWidth="1"/>
    <col min="21" max="22" width="1.42578125" style="1" customWidth="1"/>
    <col min="23" max="23" width="10" style="2" customWidth="1"/>
    <col min="24" max="24" width="1.42578125" style="2" customWidth="1"/>
    <col min="25" max="25" width="10" style="2" customWidth="1"/>
    <col min="26" max="26" width="1.28515625" style="2" customWidth="1"/>
    <col min="27" max="27" width="10" style="2" customWidth="1"/>
    <col min="28" max="28" width="1.42578125" style="2" customWidth="1"/>
    <col min="29" max="29" width="10" style="2" customWidth="1"/>
    <col min="30" max="30" width="1.42578125" style="2" customWidth="1"/>
    <col min="31" max="31" width="8.28515625" style="2" bestFit="1" customWidth="1"/>
    <col min="32" max="32" width="17.42578125" style="2" customWidth="1"/>
    <col min="33" max="34" width="2.7109375" style="2" customWidth="1"/>
    <col min="35" max="35" width="21.140625" style="2" customWidth="1"/>
    <col min="36" max="38" width="11.85546875" style="1" customWidth="1"/>
    <col min="39" max="40" width="9.140625" style="1"/>
    <col min="41" max="41" width="11" style="1" customWidth="1"/>
    <col min="42" max="42" width="9.140625" style="1"/>
    <col min="43" max="43" width="12.28515625" style="1" bestFit="1" customWidth="1"/>
    <col min="44" max="16384" width="9.140625" style="1"/>
  </cols>
  <sheetData>
    <row r="1" spans="1:48" x14ac:dyDescent="0.2">
      <c r="A1" s="10" t="s">
        <v>148</v>
      </c>
      <c r="B1" s="10"/>
      <c r="C1" s="10"/>
      <c r="E1" s="10"/>
      <c r="F1" s="10"/>
      <c r="I1" s="2"/>
      <c r="J1" s="10"/>
      <c r="K1" s="10"/>
      <c r="L1" s="10"/>
      <c r="M1" s="10"/>
      <c r="O1" s="10"/>
      <c r="P1" s="10"/>
      <c r="Q1" s="10"/>
      <c r="R1" s="10"/>
      <c r="S1" s="10"/>
      <c r="T1" s="10"/>
      <c r="X1" s="6"/>
      <c r="AH1" s="5"/>
      <c r="AJ1" s="2"/>
      <c r="AK1" s="2"/>
      <c r="AL1" s="2"/>
      <c r="AM1" s="2"/>
      <c r="AN1" s="2"/>
    </row>
    <row r="2" spans="1:48" x14ac:dyDescent="0.2">
      <c r="B2" s="10"/>
      <c r="C2" s="10"/>
      <c r="D2" s="10"/>
      <c r="E2" s="10"/>
      <c r="F2" s="10"/>
      <c r="H2" s="20"/>
      <c r="I2" s="51" t="s">
        <v>147</v>
      </c>
      <c r="J2" s="52"/>
      <c r="K2" s="52"/>
      <c r="L2" s="52"/>
      <c r="M2" s="52"/>
      <c r="O2" s="10"/>
      <c r="P2" s="51" t="s">
        <v>144</v>
      </c>
      <c r="Q2" s="45"/>
      <c r="R2" s="45"/>
      <c r="S2" s="45"/>
      <c r="T2" s="45"/>
      <c r="W2" s="51" t="s">
        <v>143</v>
      </c>
      <c r="X2" s="50"/>
      <c r="Y2" s="49"/>
      <c r="Z2" s="49"/>
      <c r="AA2" s="49"/>
      <c r="AB2" s="49"/>
      <c r="AC2" s="49"/>
      <c r="AD2" s="6"/>
      <c r="AE2" s="6"/>
      <c r="AF2" s="6"/>
      <c r="AH2" s="5"/>
      <c r="AI2" s="48" t="s">
        <v>142</v>
      </c>
      <c r="AJ2" s="48"/>
      <c r="AK2" s="48"/>
      <c r="AL2" s="48"/>
      <c r="AM2" s="2"/>
      <c r="AN2" s="2"/>
    </row>
    <row r="3" spans="1:48" x14ac:dyDescent="0.2">
      <c r="B3" s="10"/>
      <c r="C3" s="10"/>
      <c r="D3" s="10"/>
      <c r="E3" s="10"/>
      <c r="F3" s="10"/>
      <c r="I3" s="6"/>
      <c r="J3" s="6"/>
      <c r="K3" s="6"/>
      <c r="L3" s="6"/>
      <c r="M3" s="6" t="s">
        <v>140</v>
      </c>
      <c r="P3" s="6"/>
      <c r="Q3" s="6"/>
      <c r="R3" s="6"/>
      <c r="S3" s="6"/>
      <c r="T3" s="6" t="s">
        <v>140</v>
      </c>
      <c r="W3" s="6" t="s">
        <v>141</v>
      </c>
      <c r="X3" s="6"/>
      <c r="Y3" s="6"/>
      <c r="Z3" s="6"/>
      <c r="AA3" s="6"/>
      <c r="AB3" s="6"/>
      <c r="AC3" s="6" t="s">
        <v>140</v>
      </c>
      <c r="AD3" s="6"/>
      <c r="AE3" s="6"/>
      <c r="AF3" s="6"/>
      <c r="AH3" s="5"/>
      <c r="AI3" s="1"/>
    </row>
    <row r="4" spans="1:48" x14ac:dyDescent="0.2">
      <c r="B4" s="10"/>
      <c r="C4" s="10"/>
      <c r="D4" s="47" t="s">
        <v>139</v>
      </c>
      <c r="E4" s="10"/>
      <c r="F4" s="10"/>
      <c r="I4" s="6" t="s">
        <v>138</v>
      </c>
      <c r="J4" s="6"/>
      <c r="K4" s="6"/>
      <c r="L4" s="6"/>
      <c r="M4" s="6" t="s">
        <v>136</v>
      </c>
      <c r="P4" s="6" t="s">
        <v>138</v>
      </c>
      <c r="Q4" s="6"/>
      <c r="R4" s="6"/>
      <c r="S4" s="6"/>
      <c r="T4" s="6" t="s">
        <v>136</v>
      </c>
      <c r="W4" s="6" t="s">
        <v>138</v>
      </c>
      <c r="X4" s="6"/>
      <c r="Y4" s="6" t="s">
        <v>138</v>
      </c>
      <c r="Z4" s="6"/>
      <c r="AA4" s="6"/>
      <c r="AB4" s="6"/>
      <c r="AC4" s="6" t="s">
        <v>136</v>
      </c>
      <c r="AD4" s="6"/>
      <c r="AE4" s="6" t="s">
        <v>273</v>
      </c>
      <c r="AF4" s="6"/>
      <c r="AH4" s="5"/>
      <c r="AI4" s="1" t="s">
        <v>137</v>
      </c>
      <c r="AJ4" s="24">
        <v>0.75182000000000004</v>
      </c>
    </row>
    <row r="5" spans="1:48" x14ac:dyDescent="0.2">
      <c r="B5" s="45" t="s">
        <v>135</v>
      </c>
      <c r="C5" s="10"/>
      <c r="D5" s="46" t="s">
        <v>134</v>
      </c>
      <c r="E5" s="10"/>
      <c r="F5" s="45" t="s">
        <v>133</v>
      </c>
      <c r="I5" s="43" t="s">
        <v>132</v>
      </c>
      <c r="J5" s="6"/>
      <c r="K5" s="43" t="s">
        <v>38</v>
      </c>
      <c r="L5" s="6"/>
      <c r="M5" s="43" t="s">
        <v>130</v>
      </c>
      <c r="P5" s="43" t="s">
        <v>132</v>
      </c>
      <c r="Q5" s="6"/>
      <c r="R5" s="43" t="s">
        <v>38</v>
      </c>
      <c r="S5" s="6"/>
      <c r="T5" s="43" t="s">
        <v>130</v>
      </c>
      <c r="W5" s="43" t="s">
        <v>132</v>
      </c>
      <c r="X5" s="6"/>
      <c r="Y5" s="43" t="s">
        <v>132</v>
      </c>
      <c r="Z5" s="6"/>
      <c r="AA5" s="43" t="s">
        <v>38</v>
      </c>
      <c r="AB5" s="6"/>
      <c r="AC5" s="43" t="s">
        <v>130</v>
      </c>
      <c r="AD5" s="6"/>
      <c r="AE5" s="43" t="s">
        <v>274</v>
      </c>
      <c r="AF5" s="6"/>
      <c r="AH5" s="5"/>
      <c r="AI5" s="1" t="s">
        <v>131</v>
      </c>
      <c r="AJ5" s="44">
        <v>0.21</v>
      </c>
    </row>
    <row r="6" spans="1:48" x14ac:dyDescent="0.2">
      <c r="AE6" s="6"/>
      <c r="AF6" s="6"/>
      <c r="AH6" s="5"/>
      <c r="AI6" s="1" t="s">
        <v>129</v>
      </c>
    </row>
    <row r="7" spans="1:48" x14ac:dyDescent="0.2">
      <c r="B7" s="1">
        <v>1</v>
      </c>
      <c r="D7" s="42"/>
      <c r="E7" s="10"/>
      <c r="F7" s="10" t="s">
        <v>149</v>
      </c>
      <c r="I7" s="3">
        <f>+'Exh. BGM-3 (Detail)'!J7</f>
        <v>67900.65365622002</v>
      </c>
      <c r="J7" s="4"/>
      <c r="K7" s="3">
        <f>+'Exh. BGM-3 (Detail)'!L7</f>
        <v>1150397.5472251754</v>
      </c>
      <c r="L7" s="3"/>
      <c r="M7" s="3">
        <f>+($K7*$AL$17-$I7)/$AJ$4</f>
        <v>15571.35565928297</v>
      </c>
      <c r="O7" s="10"/>
      <c r="P7" s="41">
        <f>+I7</f>
        <v>67900.65365622002</v>
      </c>
      <c r="Q7" s="3"/>
      <c r="R7" s="3">
        <f>+K7</f>
        <v>1150397.5472251754</v>
      </c>
      <c r="S7" s="3"/>
      <c r="T7" s="3">
        <f>+($R7*$AL$17-$P7)/$AJ$4</f>
        <v>15571.35565928297</v>
      </c>
      <c r="AE7" s="6"/>
      <c r="AF7" s="6"/>
      <c r="AH7" s="5"/>
      <c r="AI7" s="1"/>
      <c r="AS7" s="40"/>
      <c r="AT7" s="39"/>
      <c r="AU7" s="39"/>
      <c r="AV7" s="39"/>
    </row>
    <row r="8" spans="1:48" x14ac:dyDescent="0.2">
      <c r="D8" s="11"/>
      <c r="I8" s="4"/>
      <c r="J8" s="4"/>
      <c r="K8" s="4"/>
      <c r="L8" s="4"/>
      <c r="M8" s="4"/>
      <c r="P8" s="4"/>
      <c r="Q8" s="4"/>
      <c r="R8" s="4"/>
      <c r="S8" s="4"/>
      <c r="T8" s="4"/>
      <c r="AE8" s="6"/>
      <c r="AF8" s="6"/>
      <c r="AH8" s="5"/>
      <c r="AS8" s="40"/>
      <c r="AT8" s="39"/>
      <c r="AU8" s="39"/>
      <c r="AV8" s="39"/>
    </row>
    <row r="9" spans="1:48" x14ac:dyDescent="0.2">
      <c r="B9" s="20" t="s">
        <v>146</v>
      </c>
      <c r="D9" s="11"/>
      <c r="I9" s="4"/>
      <c r="J9" s="4"/>
      <c r="K9" s="4"/>
      <c r="L9" s="4"/>
      <c r="M9" s="4"/>
      <c r="P9" s="4"/>
      <c r="Q9" s="4"/>
      <c r="R9" s="4"/>
      <c r="S9" s="4"/>
      <c r="T9" s="4"/>
      <c r="AE9" s="6"/>
      <c r="AF9" s="6"/>
      <c r="AH9" s="5"/>
      <c r="AT9" s="39"/>
      <c r="AU9" s="39"/>
    </row>
    <row r="10" spans="1:48" x14ac:dyDescent="0.2">
      <c r="B10" s="1">
        <f t="shared" ref="B10:B38" ca="1" si="0">+MAX(OFFSET($B$7,0,0,ROW($B10)-ROW($B$7),1))+1</f>
        <v>2</v>
      </c>
      <c r="D10" s="1" t="s">
        <v>0</v>
      </c>
      <c r="F10" s="4" t="s">
        <v>34</v>
      </c>
      <c r="I10" s="4">
        <v>-1770.0239909275265</v>
      </c>
      <c r="J10" s="4"/>
      <c r="K10" s="4">
        <v>0</v>
      </c>
      <c r="L10" s="4"/>
      <c r="M10" s="4">
        <f t="shared" ref="M10:M41" si="1">+($K10*$AL$17-$I10)/$AJ$4</f>
        <v>2354.3188408495735</v>
      </c>
      <c r="P10" s="4" cm="1">
        <f t="array" ref="P10">+SUM('Exh. BGM-3 (Detail)'!Q$9:Q$84*('Exh. BGM-3 (Detail)'!$D$9:$D$84=$D10))</f>
        <v>-1770.0239909275265</v>
      </c>
      <c r="Q10" s="4"/>
      <c r="R10" s="4" cm="1">
        <f t="array" ref="R10">+SUM('Exh. BGM-3 (Detail)'!S$9:S$84*('Exh. BGM-3 (Detail)'!$D$9:$D$84=$D10))</f>
        <v>0</v>
      </c>
      <c r="S10" s="4"/>
      <c r="T10" s="4">
        <f t="shared" ref="T10:T41" si="2">+($R10*$AL$17-$P10)/$AJ$4</f>
        <v>2354.3188408495735</v>
      </c>
      <c r="W10" s="4">
        <f t="shared" ref="W10" si="3">+Y10/(1-$AJ$5)</f>
        <v>0</v>
      </c>
      <c r="X10" s="4"/>
      <c r="Y10" s="4">
        <f>+P10-I10</f>
        <v>0</v>
      </c>
      <c r="Z10" s="4"/>
      <c r="AA10" s="4">
        <f>+R10-K10</f>
        <v>0</v>
      </c>
      <c r="AB10" s="7"/>
      <c r="AC10" s="4">
        <f t="shared" ref="AC10:AC38" si="4">+T10-M10</f>
        <v>0</v>
      </c>
      <c r="AE10" s="6"/>
      <c r="AF10" s="6"/>
      <c r="AH10" s="5"/>
      <c r="AI10" s="2" t="s">
        <v>128</v>
      </c>
      <c r="AO10" s="4"/>
    </row>
    <row r="11" spans="1:48" x14ac:dyDescent="0.2">
      <c r="B11" s="1">
        <f t="shared" ca="1" si="0"/>
        <v>3</v>
      </c>
      <c r="D11" s="11" t="s">
        <v>2</v>
      </c>
      <c r="F11" s="4" t="s">
        <v>50</v>
      </c>
      <c r="I11" s="4">
        <v>26633.457252209428</v>
      </c>
      <c r="J11" s="4"/>
      <c r="K11" s="4">
        <v>0</v>
      </c>
      <c r="L11" s="4"/>
      <c r="M11" s="4">
        <f t="shared" si="1"/>
        <v>-35425.310915125199</v>
      </c>
      <c r="P11" s="4" cm="1">
        <f t="array" ref="P11">+SUM('Exh. BGM-3 (Detail)'!Q$9:Q$84*('Exh. BGM-3 (Detail)'!$D$9:$D$84=$D11))</f>
        <v>26633.457252209428</v>
      </c>
      <c r="Q11" s="4"/>
      <c r="R11" s="4" cm="1">
        <f t="array" ref="R11">+SUM('Exh. BGM-3 (Detail)'!S$9:S$84*('Exh. BGM-3 (Detail)'!$D$9:$D$84=$D11))</f>
        <v>0</v>
      </c>
      <c r="S11" s="4"/>
      <c r="T11" s="4">
        <f t="shared" si="2"/>
        <v>-35425.310915125199</v>
      </c>
      <c r="W11" s="4">
        <f>+Y11/(1-$AJ$5)</f>
        <v>0</v>
      </c>
      <c r="X11" s="4"/>
      <c r="Y11" s="4">
        <f t="shared" ref="Y11:AA66" si="5">+P11-I11</f>
        <v>0</v>
      </c>
      <c r="Z11" s="4"/>
      <c r="AA11" s="4">
        <f t="shared" si="5"/>
        <v>0</v>
      </c>
      <c r="AB11" s="7"/>
      <c r="AC11" s="4">
        <f t="shared" si="4"/>
        <v>0</v>
      </c>
      <c r="AE11" s="6"/>
      <c r="AF11" s="6"/>
      <c r="AH11" s="5"/>
      <c r="AO11" s="4"/>
    </row>
    <row r="12" spans="1:48" x14ac:dyDescent="0.2">
      <c r="B12" s="1">
        <f t="shared" ca="1" si="0"/>
        <v>4</v>
      </c>
      <c r="D12" s="11" t="s">
        <v>3</v>
      </c>
      <c r="F12" s="4" t="s">
        <v>66</v>
      </c>
      <c r="I12" s="4">
        <v>1108.3873802914541</v>
      </c>
      <c r="J12" s="4"/>
      <c r="K12" s="4">
        <v>0</v>
      </c>
      <c r="L12" s="4"/>
      <c r="M12" s="4">
        <f t="shared" si="1"/>
        <v>-1474.2722730061105</v>
      </c>
      <c r="P12" s="4" cm="1">
        <f t="array" ref="P12">+SUM('Exh. BGM-3 (Detail)'!Q$9:Q$84*('Exh. BGM-3 (Detail)'!$D$9:$D$84=$D12))</f>
        <v>1108.3873802914541</v>
      </c>
      <c r="Q12" s="4"/>
      <c r="R12" s="4" cm="1">
        <f t="array" ref="R12">+SUM('Exh. BGM-3 (Detail)'!S$9:S$84*('Exh. BGM-3 (Detail)'!$D$9:$D$84=$D12))</f>
        <v>0</v>
      </c>
      <c r="S12" s="4"/>
      <c r="T12" s="4">
        <f t="shared" si="2"/>
        <v>-1474.2722730061105</v>
      </c>
      <c r="W12" s="4">
        <f t="shared" ref="W12:W66" si="6">+Y12/(1-$AJ$5)</f>
        <v>0</v>
      </c>
      <c r="X12" s="4"/>
      <c r="Y12" s="4">
        <f t="shared" si="5"/>
        <v>0</v>
      </c>
      <c r="Z12" s="4"/>
      <c r="AA12" s="4">
        <f t="shared" si="5"/>
        <v>0</v>
      </c>
      <c r="AB12" s="7"/>
      <c r="AC12" s="4">
        <f t="shared" si="4"/>
        <v>0</v>
      </c>
      <c r="AE12" s="6"/>
      <c r="AF12" s="6"/>
      <c r="AH12" s="5"/>
      <c r="AI12" s="61" t="s">
        <v>126</v>
      </c>
      <c r="AJ12" s="38" t="s">
        <v>124</v>
      </c>
      <c r="AK12" s="38"/>
      <c r="AL12" s="37" t="s">
        <v>123</v>
      </c>
      <c r="AO12" s="4"/>
    </row>
    <row r="13" spans="1:48" x14ac:dyDescent="0.2">
      <c r="B13" s="1">
        <f t="shared" ca="1" si="0"/>
        <v>5</v>
      </c>
      <c r="D13" s="109" t="s">
        <v>169</v>
      </c>
      <c r="F13" s="4" t="s">
        <v>170</v>
      </c>
      <c r="I13" s="4">
        <v>0</v>
      </c>
      <c r="J13" s="4"/>
      <c r="K13" s="4">
        <v>0</v>
      </c>
      <c r="L13" s="4"/>
      <c r="M13" s="4">
        <f t="shared" si="1"/>
        <v>0</v>
      </c>
      <c r="P13" s="4" cm="1">
        <f t="array" ref="P13">+SUM('Exh. BGM-3 (Detail)'!Q$9:Q$84*('Exh. BGM-3 (Detail)'!$D$9:$D$84=$D13))</f>
        <v>654.48379421710194</v>
      </c>
      <c r="Q13" s="4"/>
      <c r="R13" s="4" cm="1">
        <f t="array" ref="R13">+SUM('Exh. BGM-3 (Detail)'!S$9:S$84*('Exh. BGM-3 (Detail)'!$D$9:$D$84=$D13))</f>
        <v>0</v>
      </c>
      <c r="S13" s="4"/>
      <c r="T13" s="4">
        <f t="shared" si="2"/>
        <v>-870.53256659453314</v>
      </c>
      <c r="W13" s="4">
        <f t="shared" si="6"/>
        <v>828.46049900898981</v>
      </c>
      <c r="X13" s="4"/>
      <c r="Y13" s="4">
        <f t="shared" si="5"/>
        <v>654.48379421710194</v>
      </c>
      <c r="Z13" s="4"/>
      <c r="AA13" s="4">
        <f t="shared" si="5"/>
        <v>0</v>
      </c>
      <c r="AB13" s="7"/>
      <c r="AC13" s="4">
        <f t="shared" si="4"/>
        <v>-870.53256659453314</v>
      </c>
      <c r="AE13" s="6" t="s">
        <v>269</v>
      </c>
      <c r="AF13" s="6"/>
      <c r="AH13" s="5"/>
      <c r="AI13" s="62" t="s">
        <v>122</v>
      </c>
      <c r="AJ13" s="36" t="s">
        <v>121</v>
      </c>
      <c r="AK13" s="36" t="s">
        <v>120</v>
      </c>
      <c r="AL13" s="35" t="s">
        <v>120</v>
      </c>
      <c r="AO13" s="4"/>
    </row>
    <row r="14" spans="1:48" x14ac:dyDescent="0.2">
      <c r="B14" s="1">
        <f t="shared" ca="1" si="0"/>
        <v>6</v>
      </c>
      <c r="D14" s="11" t="s">
        <v>1</v>
      </c>
      <c r="F14" s="4" t="s">
        <v>54</v>
      </c>
      <c r="I14" s="4">
        <v>-136.54254179642362</v>
      </c>
      <c r="J14" s="4"/>
      <c r="K14" s="4">
        <v>0</v>
      </c>
      <c r="L14" s="4"/>
      <c r="M14" s="4">
        <f t="shared" si="1"/>
        <v>181.61600089971483</v>
      </c>
      <c r="P14" s="4" cm="1">
        <f t="array" ref="P14">+SUM('Exh. BGM-3 (Detail)'!Q$9:Q$84*('Exh. BGM-3 (Detail)'!$D$9:$D$84=$D14))</f>
        <v>-136.54254179642362</v>
      </c>
      <c r="Q14" s="4"/>
      <c r="R14" s="4" cm="1">
        <f t="array" ref="R14">+SUM('Exh. BGM-3 (Detail)'!S$9:S$84*('Exh. BGM-3 (Detail)'!$D$9:$D$84=$D14))</f>
        <v>0</v>
      </c>
      <c r="S14" s="4"/>
      <c r="T14" s="4">
        <f t="shared" si="2"/>
        <v>181.61600089971483</v>
      </c>
      <c r="W14" s="4">
        <f t="shared" si="6"/>
        <v>0</v>
      </c>
      <c r="X14" s="4"/>
      <c r="Y14" s="4">
        <f t="shared" si="5"/>
        <v>0</v>
      </c>
      <c r="Z14" s="4"/>
      <c r="AA14" s="4">
        <f t="shared" si="5"/>
        <v>0</v>
      </c>
      <c r="AB14" s="7"/>
      <c r="AC14" s="4">
        <f t="shared" si="4"/>
        <v>0</v>
      </c>
      <c r="AE14" s="6"/>
      <c r="AF14" s="6"/>
      <c r="AH14" s="5"/>
      <c r="AI14" s="29" t="s">
        <v>119</v>
      </c>
      <c r="AJ14" s="28">
        <v>0.4899</v>
      </c>
      <c r="AK14" s="28">
        <v>4.7699999999999999E-2</v>
      </c>
      <c r="AL14" s="30">
        <f>+AJ14*AK14</f>
        <v>2.336823E-2</v>
      </c>
      <c r="AO14" s="4"/>
    </row>
    <row r="15" spans="1:48" x14ac:dyDescent="0.2">
      <c r="B15" s="1">
        <f t="shared" ca="1" si="0"/>
        <v>7</v>
      </c>
      <c r="D15" s="11" t="s">
        <v>4</v>
      </c>
      <c r="F15" s="4" t="s">
        <v>51</v>
      </c>
      <c r="I15" s="4">
        <v>-297.09382560218165</v>
      </c>
      <c r="J15" s="4"/>
      <c r="K15" s="4">
        <v>0</v>
      </c>
      <c r="L15" s="4"/>
      <c r="M15" s="4">
        <f t="shared" si="1"/>
        <v>395.16616424434255</v>
      </c>
      <c r="P15" s="4" cm="1">
        <f t="array" ref="P15">+SUM('Exh. BGM-3 (Detail)'!Q$9:Q$84*('Exh. BGM-3 (Detail)'!$D$9:$D$84=$D15))</f>
        <v>-297.09382560218165</v>
      </c>
      <c r="Q15" s="4"/>
      <c r="R15" s="4" cm="1">
        <f t="array" ref="R15">+SUM('Exh. BGM-3 (Detail)'!S$9:S$84*('Exh. BGM-3 (Detail)'!$D$9:$D$84=$D15))</f>
        <v>0</v>
      </c>
      <c r="S15" s="4"/>
      <c r="T15" s="4">
        <f t="shared" si="2"/>
        <v>395.16616424434255</v>
      </c>
      <c r="W15" s="4">
        <f t="shared" si="6"/>
        <v>0</v>
      </c>
      <c r="X15" s="4"/>
      <c r="Y15" s="4">
        <f t="shared" si="5"/>
        <v>0</v>
      </c>
      <c r="Z15" s="4"/>
      <c r="AA15" s="4">
        <f t="shared" si="5"/>
        <v>0</v>
      </c>
      <c r="AB15" s="7"/>
      <c r="AC15" s="4">
        <f t="shared" si="4"/>
        <v>0</v>
      </c>
      <c r="AE15" s="6"/>
      <c r="AF15" s="6"/>
      <c r="AH15" s="5"/>
      <c r="AI15" s="29" t="s">
        <v>145</v>
      </c>
      <c r="AJ15" s="28">
        <v>1E-4</v>
      </c>
      <c r="AK15" s="28">
        <v>6.7500000000000004E-2</v>
      </c>
      <c r="AL15" s="30">
        <f>+AJ15*AK15</f>
        <v>6.7500000000000006E-6</v>
      </c>
      <c r="AO15" s="4"/>
    </row>
    <row r="16" spans="1:48" x14ac:dyDescent="0.2">
      <c r="B16" s="1">
        <f t="shared" ca="1" si="0"/>
        <v>8</v>
      </c>
      <c r="D16" s="11" t="s">
        <v>5</v>
      </c>
      <c r="F16" s="4" t="s">
        <v>101</v>
      </c>
      <c r="I16" s="4">
        <v>-1427.5821033155141</v>
      </c>
      <c r="J16" s="4"/>
      <c r="K16" s="4">
        <v>0</v>
      </c>
      <c r="L16" s="4"/>
      <c r="M16" s="4">
        <f t="shared" si="1"/>
        <v>1898.8349649058473</v>
      </c>
      <c r="P16" s="4" cm="1">
        <f t="array" ref="P16">+SUM('Exh. BGM-3 (Detail)'!Q$9:Q$84*('Exh. BGM-3 (Detail)'!$D$9:$D$84=$D16))</f>
        <v>-1427.5821033155141</v>
      </c>
      <c r="Q16" s="4"/>
      <c r="R16" s="4" cm="1">
        <f t="array" ref="R16">+SUM('Exh. BGM-3 (Detail)'!S$9:S$84*('Exh. BGM-3 (Detail)'!$D$9:$D$84=$D16))</f>
        <v>0</v>
      </c>
      <c r="S16" s="4"/>
      <c r="T16" s="4">
        <f t="shared" si="2"/>
        <v>1898.8349649058473</v>
      </c>
      <c r="W16" s="4">
        <f t="shared" si="6"/>
        <v>0</v>
      </c>
      <c r="X16" s="4"/>
      <c r="Y16" s="4">
        <f t="shared" si="5"/>
        <v>0</v>
      </c>
      <c r="Z16" s="4"/>
      <c r="AA16" s="4">
        <f t="shared" si="5"/>
        <v>0</v>
      </c>
      <c r="AB16" s="7"/>
      <c r="AC16" s="4">
        <f t="shared" si="4"/>
        <v>0</v>
      </c>
      <c r="AE16" s="6"/>
      <c r="AF16" s="6"/>
      <c r="AH16" s="5"/>
      <c r="AI16" s="29" t="s">
        <v>118</v>
      </c>
      <c r="AJ16" s="26">
        <f>1-SUM(AJ12:AJ15)</f>
        <v>0.51</v>
      </c>
      <c r="AK16" s="28">
        <v>0.09</v>
      </c>
      <c r="AL16" s="30">
        <f>+AJ16*AK16</f>
        <v>4.5899999999999996E-2</v>
      </c>
      <c r="AO16" s="4"/>
    </row>
    <row r="17" spans="2:47" x14ac:dyDescent="0.2">
      <c r="B17" s="1">
        <f t="shared" ca="1" si="0"/>
        <v>9</v>
      </c>
      <c r="D17" s="11" t="s">
        <v>6</v>
      </c>
      <c r="F17" s="4" t="s">
        <v>67</v>
      </c>
      <c r="I17" s="4">
        <v>481.48268291306243</v>
      </c>
      <c r="J17" s="4"/>
      <c r="K17" s="4">
        <v>0</v>
      </c>
      <c r="L17" s="4"/>
      <c r="M17" s="4">
        <f t="shared" si="1"/>
        <v>-640.42281784610998</v>
      </c>
      <c r="P17" s="4" cm="1">
        <f t="array" ref="P17">+SUM('Exh. BGM-3 (Detail)'!Q$9:Q$84*('Exh. BGM-3 (Detail)'!$D$9:$D$84=$D17))</f>
        <v>481.48268291306243</v>
      </c>
      <c r="Q17" s="4"/>
      <c r="R17" s="4" cm="1">
        <f t="array" ref="R17">+SUM('Exh. BGM-3 (Detail)'!S$9:S$84*('Exh. BGM-3 (Detail)'!$D$9:$D$84=$D17))</f>
        <v>0</v>
      </c>
      <c r="S17" s="4"/>
      <c r="T17" s="4">
        <f t="shared" si="2"/>
        <v>-640.42281784610998</v>
      </c>
      <c r="W17" s="4">
        <f t="shared" si="6"/>
        <v>0</v>
      </c>
      <c r="X17" s="4"/>
      <c r="Y17" s="4">
        <f t="shared" si="5"/>
        <v>0</v>
      </c>
      <c r="Z17" s="4"/>
      <c r="AA17" s="4">
        <f t="shared" si="5"/>
        <v>0</v>
      </c>
      <c r="AB17" s="7"/>
      <c r="AC17" s="4">
        <f t="shared" si="4"/>
        <v>0</v>
      </c>
      <c r="AE17" s="6"/>
      <c r="AF17" s="6"/>
      <c r="AH17" s="5"/>
      <c r="AI17" s="27" t="s">
        <v>43</v>
      </c>
      <c r="AJ17" s="26">
        <v>1</v>
      </c>
      <c r="AK17" s="25"/>
      <c r="AL17" s="53">
        <f>+ROUNDDOWN(SUM(AL14:AL16),4)</f>
        <v>6.9199999999999998E-2</v>
      </c>
      <c r="AO17" s="4"/>
    </row>
    <row r="18" spans="2:47" x14ac:dyDescent="0.2">
      <c r="B18" s="1">
        <f t="shared" ca="1" si="0"/>
        <v>10</v>
      </c>
      <c r="D18" s="11" t="s">
        <v>7</v>
      </c>
      <c r="F18" s="4" t="s">
        <v>41</v>
      </c>
      <c r="I18" s="4">
        <v>2790.2890550890224</v>
      </c>
      <c r="J18" s="4"/>
      <c r="K18" s="4">
        <v>-2506.736237041242</v>
      </c>
      <c r="L18" s="4"/>
      <c r="M18" s="4">
        <f t="shared" si="1"/>
        <v>-3942.1074229101064</v>
      </c>
      <c r="P18" s="4" cm="1">
        <f t="array" ref="P18">+SUM('Exh. BGM-3 (Detail)'!Q$9:Q$84*('Exh. BGM-3 (Detail)'!$D$9:$D$84=$D18))</f>
        <v>2790.2890550890224</v>
      </c>
      <c r="Q18" s="4"/>
      <c r="R18" s="4" cm="1">
        <f t="array" ref="R18">+SUM('Exh. BGM-3 (Detail)'!S$9:S$84*('Exh. BGM-3 (Detail)'!$D$9:$D$84=$D18))</f>
        <v>-2506.736237041242</v>
      </c>
      <c r="S18" s="4"/>
      <c r="T18" s="4">
        <f t="shared" si="2"/>
        <v>-3942.1074229101064</v>
      </c>
      <c r="W18" s="4">
        <f t="shared" si="6"/>
        <v>0</v>
      </c>
      <c r="X18" s="4"/>
      <c r="Y18" s="4">
        <f t="shared" si="5"/>
        <v>0</v>
      </c>
      <c r="Z18" s="4"/>
      <c r="AA18" s="4">
        <f t="shared" si="5"/>
        <v>0</v>
      </c>
      <c r="AB18" s="7"/>
      <c r="AC18" s="4">
        <f t="shared" si="4"/>
        <v>0</v>
      </c>
      <c r="AE18" s="6"/>
      <c r="AF18" s="6"/>
      <c r="AH18" s="5"/>
      <c r="AI18" s="1"/>
      <c r="AO18" s="4"/>
    </row>
    <row r="19" spans="2:47" x14ac:dyDescent="0.2">
      <c r="B19" s="1">
        <f t="shared" ca="1" si="0"/>
        <v>11</v>
      </c>
      <c r="D19" s="11" t="s">
        <v>8</v>
      </c>
      <c r="F19" s="4" t="s">
        <v>44</v>
      </c>
      <c r="I19" s="4">
        <v>-13.356484709469642</v>
      </c>
      <c r="J19" s="4"/>
      <c r="K19" s="4">
        <v>0</v>
      </c>
      <c r="L19" s="4"/>
      <c r="M19" s="4">
        <f t="shared" si="1"/>
        <v>17.765535247093243</v>
      </c>
      <c r="P19" s="4" cm="1">
        <f t="array" ref="P19">+SUM('Exh. BGM-3 (Detail)'!Q$9:Q$84*('Exh. BGM-3 (Detail)'!$D$9:$D$84=$D19))</f>
        <v>-13.356484709469642</v>
      </c>
      <c r="Q19" s="4"/>
      <c r="R19" s="4" cm="1">
        <f t="array" ref="R19">+SUM('Exh. BGM-3 (Detail)'!S$9:S$84*('Exh. BGM-3 (Detail)'!$D$9:$D$84=$D19))</f>
        <v>0</v>
      </c>
      <c r="S19" s="4"/>
      <c r="T19" s="4">
        <f t="shared" si="2"/>
        <v>17.765535247093243</v>
      </c>
      <c r="W19" s="4">
        <f t="shared" si="6"/>
        <v>0</v>
      </c>
      <c r="X19" s="4"/>
      <c r="Y19" s="4">
        <f t="shared" si="5"/>
        <v>0</v>
      </c>
      <c r="Z19" s="4"/>
      <c r="AA19" s="4">
        <f t="shared" si="5"/>
        <v>0</v>
      </c>
      <c r="AB19" s="7"/>
      <c r="AC19" s="4">
        <f t="shared" si="4"/>
        <v>0</v>
      </c>
      <c r="AE19" s="6"/>
      <c r="AF19" s="6"/>
      <c r="AH19" s="5"/>
      <c r="AO19" s="4"/>
    </row>
    <row r="20" spans="2:47" x14ac:dyDescent="0.2">
      <c r="B20" s="1">
        <f t="shared" ca="1" si="0"/>
        <v>12</v>
      </c>
      <c r="D20" s="11" t="s">
        <v>9</v>
      </c>
      <c r="F20" s="4" t="s">
        <v>55</v>
      </c>
      <c r="I20" s="4">
        <v>0.60658654168849313</v>
      </c>
      <c r="J20" s="4"/>
      <c r="K20" s="4">
        <v>0</v>
      </c>
      <c r="L20" s="4"/>
      <c r="M20" s="4">
        <f t="shared" si="1"/>
        <v>-0.80682416228418119</v>
      </c>
      <c r="P20" s="4" cm="1">
        <f t="array" ref="P20">+SUM('Exh. BGM-3 (Detail)'!Q$9:Q$84*('Exh. BGM-3 (Detail)'!$D$9:$D$84=$D20))</f>
        <v>0.60658654168849313</v>
      </c>
      <c r="Q20" s="4"/>
      <c r="R20" s="4" cm="1">
        <f t="array" ref="R20">+SUM('Exh. BGM-3 (Detail)'!S$9:S$84*('Exh. BGM-3 (Detail)'!$D$9:$D$84=$D20))</f>
        <v>0</v>
      </c>
      <c r="S20" s="4"/>
      <c r="T20" s="4">
        <f t="shared" si="2"/>
        <v>-0.80682416228418119</v>
      </c>
      <c r="W20" s="4">
        <f t="shared" si="6"/>
        <v>0</v>
      </c>
      <c r="X20" s="4"/>
      <c r="Y20" s="4">
        <f t="shared" si="5"/>
        <v>0</v>
      </c>
      <c r="Z20" s="4"/>
      <c r="AA20" s="4">
        <f t="shared" si="5"/>
        <v>0</v>
      </c>
      <c r="AB20" s="7"/>
      <c r="AC20" s="4">
        <f t="shared" si="4"/>
        <v>0</v>
      </c>
      <c r="AE20" s="6"/>
      <c r="AF20" s="6"/>
      <c r="AH20" s="5"/>
      <c r="AI20" s="61" t="s">
        <v>125</v>
      </c>
      <c r="AJ20" s="38" t="s">
        <v>124</v>
      </c>
      <c r="AK20" s="38"/>
      <c r="AL20" s="37" t="s">
        <v>123</v>
      </c>
      <c r="AO20" s="4"/>
    </row>
    <row r="21" spans="2:47" x14ac:dyDescent="0.2">
      <c r="B21" s="1">
        <f t="shared" ca="1" si="0"/>
        <v>13</v>
      </c>
      <c r="D21" s="11" t="s">
        <v>27</v>
      </c>
      <c r="F21" s="4" t="s">
        <v>52</v>
      </c>
      <c r="I21" s="4">
        <v>-430.97333828135203</v>
      </c>
      <c r="J21" s="4"/>
      <c r="K21" s="4">
        <v>0</v>
      </c>
      <c r="L21" s="4"/>
      <c r="M21" s="4">
        <f t="shared" si="1"/>
        <v>573.24005517457897</v>
      </c>
      <c r="P21" s="4" cm="1">
        <f t="array" ref="P21">+SUM('Exh. BGM-3 (Detail)'!Q$9:Q$84*('Exh. BGM-3 (Detail)'!$D$9:$D$84=$D21))</f>
        <v>-430.97333828135203</v>
      </c>
      <c r="Q21" s="4"/>
      <c r="R21" s="4" cm="1">
        <f t="array" ref="R21">+SUM('Exh. BGM-3 (Detail)'!S$9:S$84*('Exh. BGM-3 (Detail)'!$D$9:$D$84=$D21))</f>
        <v>0</v>
      </c>
      <c r="S21" s="4"/>
      <c r="T21" s="4">
        <f t="shared" si="2"/>
        <v>573.24005517457897</v>
      </c>
      <c r="W21" s="4">
        <f t="shared" si="6"/>
        <v>0</v>
      </c>
      <c r="X21" s="4"/>
      <c r="Y21" s="4">
        <f t="shared" si="5"/>
        <v>0</v>
      </c>
      <c r="Z21" s="4"/>
      <c r="AA21" s="4">
        <f t="shared" si="5"/>
        <v>0</v>
      </c>
      <c r="AB21" s="7"/>
      <c r="AC21" s="4">
        <f t="shared" si="4"/>
        <v>0</v>
      </c>
      <c r="AE21" s="6"/>
      <c r="AF21" s="6"/>
      <c r="AH21" s="5"/>
      <c r="AI21" s="62" t="s">
        <v>122</v>
      </c>
      <c r="AJ21" s="36" t="s">
        <v>121</v>
      </c>
      <c r="AK21" s="36" t="s">
        <v>120</v>
      </c>
      <c r="AL21" s="35" t="s">
        <v>120</v>
      </c>
      <c r="AO21" s="4"/>
    </row>
    <row r="22" spans="2:47" x14ac:dyDescent="0.2">
      <c r="B22" s="1">
        <f t="shared" ca="1" si="0"/>
        <v>14</v>
      </c>
      <c r="D22" s="11" t="s">
        <v>39</v>
      </c>
      <c r="F22" s="4" t="s">
        <v>68</v>
      </c>
      <c r="I22" s="4">
        <v>497.1306873436522</v>
      </c>
      <c r="J22" s="4"/>
      <c r="K22" s="4">
        <v>0</v>
      </c>
      <c r="L22" s="4"/>
      <c r="M22" s="4">
        <f t="shared" si="1"/>
        <v>-661.23631633057403</v>
      </c>
      <c r="P22" s="4" cm="1">
        <f t="array" ref="P22">+SUM('Exh. BGM-3 (Detail)'!Q$9:Q$84*('Exh. BGM-3 (Detail)'!$D$9:$D$84=$D22))</f>
        <v>497.1306873436522</v>
      </c>
      <c r="Q22" s="4"/>
      <c r="R22" s="4" cm="1">
        <f t="array" ref="R22">+SUM('Exh. BGM-3 (Detail)'!S$9:S$84*('Exh. BGM-3 (Detail)'!$D$9:$D$84=$D22))</f>
        <v>0</v>
      </c>
      <c r="S22" s="4"/>
      <c r="T22" s="4">
        <f t="shared" si="2"/>
        <v>-661.23631633057403</v>
      </c>
      <c r="W22" s="4">
        <f t="shared" si="6"/>
        <v>0</v>
      </c>
      <c r="X22" s="4"/>
      <c r="Y22" s="4">
        <f t="shared" si="5"/>
        <v>0</v>
      </c>
      <c r="Z22" s="4"/>
      <c r="AA22" s="4">
        <f t="shared" si="5"/>
        <v>0</v>
      </c>
      <c r="AB22" s="7"/>
      <c r="AC22" s="4">
        <f t="shared" si="4"/>
        <v>0</v>
      </c>
      <c r="AE22" s="6"/>
      <c r="AF22" s="6"/>
      <c r="AH22" s="5"/>
      <c r="AI22" s="29" t="s">
        <v>119</v>
      </c>
      <c r="AJ22" s="28">
        <v>0.48720000000000002</v>
      </c>
      <c r="AK22" s="28">
        <v>4.7699999999999999E-2</v>
      </c>
      <c r="AL22" s="30">
        <f>+AJ22*AK22</f>
        <v>2.323944E-2</v>
      </c>
      <c r="AO22" s="4"/>
    </row>
    <row r="23" spans="2:47" x14ac:dyDescent="0.2">
      <c r="B23" s="1">
        <f t="shared" ca="1" si="0"/>
        <v>15</v>
      </c>
      <c r="D23" s="11" t="s">
        <v>40</v>
      </c>
      <c r="F23" s="4" t="s">
        <v>35</v>
      </c>
      <c r="I23" s="4">
        <v>-1585.3264299616194</v>
      </c>
      <c r="J23" s="4"/>
      <c r="K23" s="4">
        <v>0</v>
      </c>
      <c r="L23" s="4"/>
      <c r="M23" s="4">
        <f t="shared" si="1"/>
        <v>2108.6515787843091</v>
      </c>
      <c r="P23" s="4" cm="1">
        <f t="array" ref="P23">+SUM('Exh. BGM-3 (Detail)'!Q$9:Q$84*('Exh. BGM-3 (Detail)'!$D$9:$D$84=$D23))</f>
        <v>-1585.3264299616194</v>
      </c>
      <c r="Q23" s="4"/>
      <c r="R23" s="4" cm="1">
        <f t="array" ref="R23">+SUM('Exh. BGM-3 (Detail)'!S$9:S$84*('Exh. BGM-3 (Detail)'!$D$9:$D$84=$D23))</f>
        <v>0</v>
      </c>
      <c r="S23" s="4"/>
      <c r="T23" s="4">
        <f t="shared" si="2"/>
        <v>2108.6515787843091</v>
      </c>
      <c r="W23" s="4">
        <f t="shared" si="6"/>
        <v>0</v>
      </c>
      <c r="X23" s="4"/>
      <c r="Y23" s="4">
        <f t="shared" si="5"/>
        <v>0</v>
      </c>
      <c r="Z23" s="4"/>
      <c r="AA23" s="4">
        <f t="shared" si="5"/>
        <v>0</v>
      </c>
      <c r="AB23" s="7"/>
      <c r="AC23" s="4">
        <f t="shared" si="4"/>
        <v>0</v>
      </c>
      <c r="AE23" s="6"/>
      <c r="AF23" s="6"/>
      <c r="AH23" s="5"/>
      <c r="AI23" s="29" t="s">
        <v>145</v>
      </c>
      <c r="AJ23" s="28">
        <v>1E-4</v>
      </c>
      <c r="AK23" s="28">
        <v>6.7500000000000004E-2</v>
      </c>
      <c r="AL23" s="30">
        <f>+AJ23*AK23</f>
        <v>6.7500000000000006E-6</v>
      </c>
      <c r="AO23" s="4"/>
    </row>
    <row r="24" spans="2:47" x14ac:dyDescent="0.2">
      <c r="B24" s="1">
        <f t="shared" ca="1" si="0"/>
        <v>16</v>
      </c>
      <c r="D24" s="11" t="s">
        <v>56</v>
      </c>
      <c r="F24" s="4" t="s">
        <v>65</v>
      </c>
      <c r="I24" s="4">
        <v>-1048.5562867100648</v>
      </c>
      <c r="J24" s="4"/>
      <c r="K24" s="4">
        <v>1273.3281449545923</v>
      </c>
      <c r="L24" s="4"/>
      <c r="M24" s="4">
        <f t="shared" si="1"/>
        <v>1511.8919346930418</v>
      </c>
      <c r="P24" s="4" cm="1">
        <f t="array" ref="P24">+SUM('Exh. BGM-3 (Detail)'!Q$9:Q$84*('Exh. BGM-3 (Detail)'!$D$9:$D$84=$D24))</f>
        <v>-1048.5562867100648</v>
      </c>
      <c r="Q24" s="4"/>
      <c r="R24" s="4" cm="1">
        <f t="array" ref="R24">+SUM('Exh. BGM-3 (Detail)'!S$9:S$84*('Exh. BGM-3 (Detail)'!$D$9:$D$84=$D24))</f>
        <v>1273.3281449545923</v>
      </c>
      <c r="S24" s="4"/>
      <c r="T24" s="4">
        <f t="shared" si="2"/>
        <v>1511.8919346930418</v>
      </c>
      <c r="W24" s="4">
        <f t="shared" si="6"/>
        <v>0</v>
      </c>
      <c r="X24" s="4"/>
      <c r="Y24" s="4">
        <f t="shared" si="5"/>
        <v>0</v>
      </c>
      <c r="Z24" s="4"/>
      <c r="AA24" s="4">
        <f t="shared" si="5"/>
        <v>0</v>
      </c>
      <c r="AB24" s="7"/>
      <c r="AC24" s="4">
        <f t="shared" si="4"/>
        <v>0</v>
      </c>
      <c r="AE24" s="6"/>
      <c r="AF24" s="6"/>
      <c r="AH24" s="5"/>
      <c r="AI24" s="29" t="s">
        <v>118</v>
      </c>
      <c r="AJ24" s="26">
        <v>0.51270000000000004</v>
      </c>
      <c r="AK24" s="28">
        <v>0.10299999999999999</v>
      </c>
      <c r="AL24" s="30">
        <f>+AJ24*AK24</f>
        <v>5.2808100000000004E-2</v>
      </c>
      <c r="AO24" s="4"/>
    </row>
    <row r="25" spans="2:47" x14ac:dyDescent="0.2">
      <c r="B25" s="1">
        <f t="shared" ca="1" si="0"/>
        <v>17</v>
      </c>
      <c r="D25" s="11" t="s">
        <v>57</v>
      </c>
      <c r="F25" s="4" t="s">
        <v>69</v>
      </c>
      <c r="I25" s="4">
        <v>-57.81138250799998</v>
      </c>
      <c r="J25" s="4"/>
      <c r="K25" s="4">
        <v>0</v>
      </c>
      <c r="L25" s="4"/>
      <c r="M25" s="4">
        <f t="shared" si="1"/>
        <v>76.895244218030882</v>
      </c>
      <c r="P25" s="4" cm="1">
        <f t="array" ref="P25">+SUM('Exh. BGM-3 (Detail)'!Q$9:Q$84*('Exh. BGM-3 (Detail)'!$D$9:$D$84=$D25))</f>
        <v>-57.81138250799998</v>
      </c>
      <c r="Q25" s="4"/>
      <c r="R25" s="4" cm="1">
        <f t="array" ref="R25">+SUM('Exh. BGM-3 (Detail)'!S$9:S$84*('Exh. BGM-3 (Detail)'!$D$9:$D$84=$D25))</f>
        <v>0</v>
      </c>
      <c r="S25" s="4"/>
      <c r="T25" s="4">
        <f t="shared" si="2"/>
        <v>76.895244218030882</v>
      </c>
      <c r="W25" s="4">
        <f t="shared" si="6"/>
        <v>0</v>
      </c>
      <c r="X25" s="4"/>
      <c r="Y25" s="4">
        <f t="shared" si="5"/>
        <v>0</v>
      </c>
      <c r="Z25" s="4"/>
      <c r="AA25" s="4">
        <f t="shared" si="5"/>
        <v>0</v>
      </c>
      <c r="AB25" s="7"/>
      <c r="AC25" s="4">
        <f t="shared" si="4"/>
        <v>0</v>
      </c>
      <c r="AE25" s="6"/>
      <c r="AF25" s="6"/>
      <c r="AH25" s="5"/>
      <c r="AI25" s="27" t="s">
        <v>43</v>
      </c>
      <c r="AJ25" s="26">
        <v>1</v>
      </c>
      <c r="AK25" s="25"/>
      <c r="AL25" s="53">
        <f>+ROUNDDOWN(SUM(AL22:AL24),4)</f>
        <v>7.5999999999999998E-2</v>
      </c>
      <c r="AO25" s="4"/>
    </row>
    <row r="26" spans="2:47" ht="13.5" x14ac:dyDescent="0.25">
      <c r="B26" s="1">
        <f t="shared" ca="1" si="0"/>
        <v>18</v>
      </c>
      <c r="D26" s="11" t="s">
        <v>58</v>
      </c>
      <c r="F26" s="4" t="s">
        <v>98</v>
      </c>
      <c r="I26" s="4">
        <v>-3262.8471552752972</v>
      </c>
      <c r="J26" s="4"/>
      <c r="K26" s="4">
        <v>0</v>
      </c>
      <c r="L26" s="4"/>
      <c r="M26" s="4">
        <f t="shared" si="1"/>
        <v>4339.9313070619255</v>
      </c>
      <c r="P26" s="4" cm="1">
        <f t="array" ref="P26">+SUM('Exh. BGM-3 (Detail)'!Q$9:Q$84*('Exh. BGM-3 (Detail)'!$D$9:$D$84=$D26))</f>
        <v>-3262.8471552752972</v>
      </c>
      <c r="Q26" s="4"/>
      <c r="R26" s="4" cm="1">
        <f t="array" ref="R26">+SUM('Exh. BGM-3 (Detail)'!S$9:S$84*('Exh. BGM-3 (Detail)'!$D$9:$D$84=$D26))</f>
        <v>0</v>
      </c>
      <c r="S26" s="4"/>
      <c r="T26" s="4">
        <f t="shared" si="2"/>
        <v>4339.9313070619255</v>
      </c>
      <c r="W26" s="4">
        <f t="shared" si="6"/>
        <v>0</v>
      </c>
      <c r="X26" s="4"/>
      <c r="Y26" s="4">
        <f t="shared" si="5"/>
        <v>0</v>
      </c>
      <c r="Z26" s="4"/>
      <c r="AA26" s="4">
        <f t="shared" si="5"/>
        <v>0</v>
      </c>
      <c r="AB26" s="7"/>
      <c r="AC26" s="4">
        <f t="shared" si="4"/>
        <v>0</v>
      </c>
      <c r="AE26" s="6"/>
      <c r="AF26" s="6"/>
      <c r="AH26" s="5"/>
      <c r="AI26" s="34"/>
      <c r="AK26" s="23"/>
      <c r="AL26" s="4"/>
      <c r="AO26" s="4"/>
    </row>
    <row r="27" spans="2:47" ht="13.5" x14ac:dyDescent="0.25">
      <c r="B27" s="1">
        <f t="shared" ca="1" si="0"/>
        <v>19</v>
      </c>
      <c r="D27" s="11" t="s">
        <v>10</v>
      </c>
      <c r="F27" s="4" t="s">
        <v>102</v>
      </c>
      <c r="I27" s="4">
        <v>5642.0383509121584</v>
      </c>
      <c r="J27" s="4"/>
      <c r="K27" s="4">
        <v>0</v>
      </c>
      <c r="L27" s="4"/>
      <c r="M27" s="4">
        <f t="shared" si="1"/>
        <v>-7504.506864558216</v>
      </c>
      <c r="P27" s="4" cm="1">
        <f t="array" ref="P27">+SUM('Exh. BGM-3 (Detail)'!Q$9:Q$84*('Exh. BGM-3 (Detail)'!$D$9:$D$84=$D27))</f>
        <v>5642.0383509121584</v>
      </c>
      <c r="Q27" s="4"/>
      <c r="R27" s="4" cm="1">
        <f t="array" ref="R27">+SUM('Exh. BGM-3 (Detail)'!S$9:S$84*('Exh. BGM-3 (Detail)'!$D$9:$D$84=$D27))</f>
        <v>0</v>
      </c>
      <c r="S27" s="4"/>
      <c r="T27" s="4">
        <f t="shared" si="2"/>
        <v>-7504.506864558216</v>
      </c>
      <c r="W27" s="4">
        <f t="shared" si="6"/>
        <v>0</v>
      </c>
      <c r="X27" s="4"/>
      <c r="Y27" s="4">
        <f t="shared" si="5"/>
        <v>0</v>
      </c>
      <c r="Z27" s="4"/>
      <c r="AA27" s="4">
        <f t="shared" si="5"/>
        <v>0</v>
      </c>
      <c r="AB27" s="7"/>
      <c r="AC27" s="4">
        <f t="shared" si="4"/>
        <v>0</v>
      </c>
      <c r="AE27" s="6"/>
      <c r="AF27" s="6"/>
      <c r="AH27" s="5"/>
      <c r="AI27" s="34"/>
      <c r="AK27" s="23"/>
      <c r="AL27" s="4"/>
      <c r="AO27" s="4"/>
    </row>
    <row r="28" spans="2:47" x14ac:dyDescent="0.2">
      <c r="B28" s="1">
        <f t="shared" ca="1" si="0"/>
        <v>20</v>
      </c>
      <c r="D28" s="11" t="s">
        <v>30</v>
      </c>
      <c r="F28" s="4" t="s">
        <v>110</v>
      </c>
      <c r="I28" s="4">
        <v>-29331.180469829749</v>
      </c>
      <c r="J28" s="4"/>
      <c r="K28" s="4">
        <v>0</v>
      </c>
      <c r="L28" s="4"/>
      <c r="M28" s="4">
        <f t="shared" si="1"/>
        <v>39013.567702149114</v>
      </c>
      <c r="P28" s="4" cm="1">
        <f t="array" ref="P28">+SUM('Exh. BGM-3 (Detail)'!Q$9:Q$84*('Exh. BGM-3 (Detail)'!$D$9:$D$84=$D28))</f>
        <v>-14550.582731865539</v>
      </c>
      <c r="Q28" s="4"/>
      <c r="R28" s="4" cm="1">
        <f t="array" ref="R28">+SUM('Exh. BGM-3 (Detail)'!S$9:S$84*('Exh. BGM-3 (Detail)'!$D$9:$D$84=$D28))</f>
        <v>0</v>
      </c>
      <c r="S28" s="4"/>
      <c r="T28" s="4">
        <f t="shared" si="2"/>
        <v>19353.811726032214</v>
      </c>
      <c r="W28" s="4">
        <f t="shared" si="6"/>
        <v>18709.617389828112</v>
      </c>
      <c r="X28" s="4"/>
      <c r="Y28" s="4">
        <f t="shared" si="5"/>
        <v>14780.59773796421</v>
      </c>
      <c r="Z28" s="4"/>
      <c r="AA28" s="4">
        <f t="shared" si="5"/>
        <v>0</v>
      </c>
      <c r="AB28" s="7"/>
      <c r="AC28" s="4">
        <f t="shared" si="4"/>
        <v>-19659.7559761169</v>
      </c>
      <c r="AE28" s="6" t="s">
        <v>268</v>
      </c>
      <c r="AF28" s="6"/>
      <c r="AH28" s="5"/>
      <c r="AI28" s="1"/>
      <c r="AO28" s="4"/>
      <c r="AS28" s="105"/>
      <c r="AT28" s="105"/>
      <c r="AU28" s="105"/>
    </row>
    <row r="29" spans="2:47" x14ac:dyDescent="0.2">
      <c r="B29" s="1">
        <f t="shared" ca="1" si="0"/>
        <v>21</v>
      </c>
      <c r="D29" s="11" t="s">
        <v>59</v>
      </c>
      <c r="F29" s="4" t="s">
        <v>70</v>
      </c>
      <c r="I29" s="4">
        <v>209.96157559967347</v>
      </c>
      <c r="J29" s="4"/>
      <c r="K29" s="4">
        <v>0</v>
      </c>
      <c r="L29" s="4"/>
      <c r="M29" s="4">
        <f t="shared" si="1"/>
        <v>-279.27106967049752</v>
      </c>
      <c r="P29" s="4" cm="1">
        <f t="array" ref="P29">+SUM('Exh. BGM-3 (Detail)'!Q$9:Q$84*('Exh. BGM-3 (Detail)'!$D$9:$D$84=$D29))</f>
        <v>209.96157559967347</v>
      </c>
      <c r="Q29" s="4"/>
      <c r="R29" s="4" cm="1">
        <f t="array" ref="R29">+SUM('Exh. BGM-3 (Detail)'!S$9:S$84*('Exh. BGM-3 (Detail)'!$D$9:$D$84=$D29))</f>
        <v>0</v>
      </c>
      <c r="S29" s="4"/>
      <c r="T29" s="4">
        <f t="shared" si="2"/>
        <v>-279.27106967049752</v>
      </c>
      <c r="W29" s="4">
        <f t="shared" si="6"/>
        <v>0</v>
      </c>
      <c r="X29" s="4"/>
      <c r="Y29" s="4">
        <f t="shared" si="5"/>
        <v>0</v>
      </c>
      <c r="Z29" s="4"/>
      <c r="AA29" s="4">
        <f t="shared" si="5"/>
        <v>0</v>
      </c>
      <c r="AB29" s="7"/>
      <c r="AC29" s="4">
        <f t="shared" si="4"/>
        <v>0</v>
      </c>
      <c r="AE29" s="6"/>
      <c r="AF29" s="6"/>
      <c r="AH29" s="5"/>
      <c r="AI29" s="1"/>
      <c r="AO29" s="4"/>
      <c r="AS29" s="106"/>
      <c r="AT29" s="105"/>
      <c r="AU29" s="107"/>
    </row>
    <row r="30" spans="2:47" x14ac:dyDescent="0.2">
      <c r="B30" s="1">
        <f t="shared" ca="1" si="0"/>
        <v>22</v>
      </c>
      <c r="D30" s="11" t="s">
        <v>60</v>
      </c>
      <c r="F30" s="4" t="s">
        <v>103</v>
      </c>
      <c r="I30" s="4">
        <v>-90.171261740837309</v>
      </c>
      <c r="J30" s="4"/>
      <c r="K30" s="4">
        <v>0</v>
      </c>
      <c r="L30" s="4"/>
      <c r="M30" s="4">
        <f t="shared" si="1"/>
        <v>119.93730113702389</v>
      </c>
      <c r="P30" s="4" cm="1">
        <f t="array" ref="P30">+SUM('Exh. BGM-3 (Detail)'!Q$9:Q$84*('Exh. BGM-3 (Detail)'!$D$9:$D$84=$D30))</f>
        <v>-90.171261740837309</v>
      </c>
      <c r="Q30" s="4"/>
      <c r="R30" s="4" cm="1">
        <f t="array" ref="R30">+SUM('Exh. BGM-3 (Detail)'!S$9:S$84*('Exh. BGM-3 (Detail)'!$D$9:$D$84=$D30))</f>
        <v>0</v>
      </c>
      <c r="S30" s="4"/>
      <c r="T30" s="4">
        <f t="shared" si="2"/>
        <v>119.93730113702389</v>
      </c>
      <c r="W30" s="4">
        <f t="shared" si="6"/>
        <v>0</v>
      </c>
      <c r="X30" s="4"/>
      <c r="Y30" s="4">
        <f t="shared" si="5"/>
        <v>0</v>
      </c>
      <c r="Z30" s="4"/>
      <c r="AA30" s="4">
        <f t="shared" si="5"/>
        <v>0</v>
      </c>
      <c r="AB30" s="7"/>
      <c r="AC30" s="4">
        <f t="shared" si="4"/>
        <v>0</v>
      </c>
      <c r="AE30" s="6"/>
      <c r="AF30" s="6"/>
      <c r="AH30" s="5"/>
      <c r="AI30" s="1"/>
      <c r="AJ30" s="39"/>
      <c r="AK30" s="39"/>
      <c r="AL30" s="59"/>
      <c r="AO30" s="4"/>
      <c r="AS30" s="105"/>
      <c r="AT30" s="105"/>
      <c r="AU30" s="107"/>
    </row>
    <row r="31" spans="2:47" x14ac:dyDescent="0.2">
      <c r="B31" s="1">
        <f t="shared" ca="1" si="0"/>
        <v>23</v>
      </c>
      <c r="D31" s="11" t="s">
        <v>96</v>
      </c>
      <c r="F31" s="4" t="s">
        <v>97</v>
      </c>
      <c r="I31" s="4">
        <v>-29.843040000000002</v>
      </c>
      <c r="J31" s="4"/>
      <c r="K31" s="4">
        <v>0</v>
      </c>
      <c r="L31" s="4"/>
      <c r="M31" s="4">
        <f t="shared" si="1"/>
        <v>39.694394934957835</v>
      </c>
      <c r="P31" s="4" cm="1">
        <f t="array" ref="P31">+SUM('Exh. BGM-3 (Detail)'!Q$9:Q$84*('Exh. BGM-3 (Detail)'!$D$9:$D$84=$D31))</f>
        <v>-29.843040000000002</v>
      </c>
      <c r="Q31" s="4"/>
      <c r="R31" s="4" cm="1">
        <f t="array" ref="R31">+SUM('Exh. BGM-3 (Detail)'!S$9:S$84*('Exh. BGM-3 (Detail)'!$D$9:$D$84=$D31))</f>
        <v>0</v>
      </c>
      <c r="S31" s="4"/>
      <c r="T31" s="4">
        <f t="shared" si="2"/>
        <v>39.694394934957835</v>
      </c>
      <c r="W31" s="4">
        <f t="shared" si="6"/>
        <v>0</v>
      </c>
      <c r="X31" s="4"/>
      <c r="Y31" s="4">
        <f t="shared" si="5"/>
        <v>0</v>
      </c>
      <c r="Z31" s="4"/>
      <c r="AA31" s="4">
        <f t="shared" si="5"/>
        <v>0</v>
      </c>
      <c r="AB31" s="7"/>
      <c r="AC31" s="4">
        <f t="shared" si="4"/>
        <v>0</v>
      </c>
      <c r="AE31" s="6"/>
      <c r="AF31" s="6"/>
      <c r="AH31" s="5"/>
      <c r="AI31" s="1"/>
      <c r="AJ31" s="39"/>
      <c r="AK31" s="39"/>
      <c r="AL31" s="59"/>
      <c r="AO31" s="4"/>
    </row>
    <row r="32" spans="2:47" x14ac:dyDescent="0.2">
      <c r="B32" s="1">
        <f t="shared" ca="1" si="0"/>
        <v>24</v>
      </c>
      <c r="D32" s="11" t="s">
        <v>11</v>
      </c>
      <c r="F32" s="4" t="s">
        <v>104</v>
      </c>
      <c r="I32" s="4">
        <v>12327.645266699315</v>
      </c>
      <c r="J32" s="4"/>
      <c r="K32" s="4">
        <v>0</v>
      </c>
      <c r="L32" s="4"/>
      <c r="M32" s="4">
        <f t="shared" si="1"/>
        <v>-16397.070132078577</v>
      </c>
      <c r="P32" s="4" cm="1">
        <f t="array" ref="P32">+SUM('Exh. BGM-3 (Detail)'!Q$9:Q$84*('Exh. BGM-3 (Detail)'!$D$9:$D$84=$D32))</f>
        <v>12475.951553443281</v>
      </c>
      <c r="Q32" s="4"/>
      <c r="R32" s="4" cm="1">
        <f t="array" ref="R32">+SUM('Exh. BGM-3 (Detail)'!S$9:S$84*('Exh. BGM-3 (Detail)'!$D$9:$D$84=$D32))</f>
        <v>0</v>
      </c>
      <c r="S32" s="4"/>
      <c r="T32" s="4">
        <f t="shared" si="2"/>
        <v>-16594.333156132161</v>
      </c>
      <c r="W32" s="4">
        <f t="shared" si="6"/>
        <v>187.72947689109589</v>
      </c>
      <c r="X32" s="4"/>
      <c r="Y32" s="4">
        <f t="shared" si="5"/>
        <v>148.30628674396576</v>
      </c>
      <c r="Z32" s="4"/>
      <c r="AA32" s="4">
        <f t="shared" si="5"/>
        <v>0</v>
      </c>
      <c r="AB32" s="7"/>
      <c r="AC32" s="4">
        <f t="shared" si="4"/>
        <v>-197.26302405358365</v>
      </c>
      <c r="AE32" s="6" t="s">
        <v>268</v>
      </c>
      <c r="AF32" s="6"/>
      <c r="AH32" s="5"/>
      <c r="AI32" s="1"/>
      <c r="AO32" s="4"/>
    </row>
    <row r="33" spans="2:41" x14ac:dyDescent="0.2">
      <c r="B33" s="1">
        <f t="shared" ca="1" si="0"/>
        <v>25</v>
      </c>
      <c r="D33" s="11" t="s">
        <v>45</v>
      </c>
      <c r="F33" s="4" t="s">
        <v>71</v>
      </c>
      <c r="I33" s="4">
        <v>0</v>
      </c>
      <c r="J33" s="4"/>
      <c r="K33" s="4">
        <v>-87697.95259427595</v>
      </c>
      <c r="L33" s="4"/>
      <c r="M33" s="4">
        <f t="shared" si="1"/>
        <v>-8072.009682535574</v>
      </c>
      <c r="P33" s="4" cm="1">
        <f t="array" ref="P33">+SUM('Exh. BGM-3 (Detail)'!Q$9:Q$84*('Exh. BGM-3 (Detail)'!$D$9:$D$84=$D33))</f>
        <v>0</v>
      </c>
      <c r="Q33" s="4"/>
      <c r="R33" s="4" cm="1">
        <f t="array" ref="R33">+SUM('Exh. BGM-3 (Detail)'!S$9:S$84*('Exh. BGM-3 (Detail)'!$D$9:$D$84=$D33))</f>
        <v>-87319.828591173762</v>
      </c>
      <c r="S33" s="4"/>
      <c r="T33" s="4">
        <f t="shared" si="2"/>
        <v>-8037.205898365597</v>
      </c>
      <c r="W33" s="4">
        <f t="shared" si="6"/>
        <v>0</v>
      </c>
      <c r="X33" s="4"/>
      <c r="Y33" s="4">
        <f t="shared" si="5"/>
        <v>0</v>
      </c>
      <c r="Z33" s="4"/>
      <c r="AA33" s="4">
        <f t="shared" si="5"/>
        <v>378.124003102188</v>
      </c>
      <c r="AB33" s="7"/>
      <c r="AC33" s="4">
        <f t="shared" si="4"/>
        <v>34.803784169977007</v>
      </c>
      <c r="AE33" s="6" t="s">
        <v>268</v>
      </c>
      <c r="AF33" s="6"/>
      <c r="AH33" s="5"/>
      <c r="AI33" s="1"/>
      <c r="AO33" s="4"/>
    </row>
    <row r="34" spans="2:41" x14ac:dyDescent="0.2">
      <c r="B34" s="1">
        <f t="shared" ca="1" si="0"/>
        <v>26</v>
      </c>
      <c r="D34" s="11" t="s">
        <v>47</v>
      </c>
      <c r="F34" s="4" t="s">
        <v>72</v>
      </c>
      <c r="I34" s="4">
        <v>0</v>
      </c>
      <c r="J34" s="4"/>
      <c r="K34" s="4">
        <v>-27898.421393283395</v>
      </c>
      <c r="L34" s="4"/>
      <c r="M34" s="4">
        <f t="shared" si="1"/>
        <v>-2567.8629996744048</v>
      </c>
      <c r="P34" s="4" cm="1">
        <f t="array" ref="P34">+SUM('Exh. BGM-3 (Detail)'!Q$9:Q$84*('Exh. BGM-3 (Detail)'!$D$9:$D$84=$D34))</f>
        <v>0</v>
      </c>
      <c r="Q34" s="4"/>
      <c r="R34" s="4" cm="1">
        <f t="array" ref="R34">+SUM('Exh. BGM-3 (Detail)'!S$9:S$84*('Exh. BGM-3 (Detail)'!$D$9:$D$84=$D34))</f>
        <v>-27898.421393283395</v>
      </c>
      <c r="S34" s="4"/>
      <c r="T34" s="4">
        <f t="shared" si="2"/>
        <v>-2567.8629996744048</v>
      </c>
      <c r="W34" s="4">
        <f t="shared" si="6"/>
        <v>0</v>
      </c>
      <c r="X34" s="4"/>
      <c r="Y34" s="4">
        <f t="shared" si="5"/>
        <v>0</v>
      </c>
      <c r="Z34" s="4"/>
      <c r="AA34" s="4">
        <f t="shared" si="5"/>
        <v>0</v>
      </c>
      <c r="AB34" s="7"/>
      <c r="AC34" s="4">
        <f t="shared" si="4"/>
        <v>0</v>
      </c>
      <c r="AE34" s="6"/>
      <c r="AF34" s="6"/>
      <c r="AH34" s="5"/>
      <c r="AI34" s="1"/>
      <c r="AJ34" s="39"/>
      <c r="AK34" s="39"/>
      <c r="AL34" s="59"/>
      <c r="AO34" s="4"/>
    </row>
    <row r="35" spans="2:41" x14ac:dyDescent="0.2">
      <c r="B35" s="1">
        <f t="shared" ca="1" si="0"/>
        <v>27</v>
      </c>
      <c r="D35" s="11" t="s">
        <v>49</v>
      </c>
      <c r="F35" s="4" t="s">
        <v>73</v>
      </c>
      <c r="I35" s="4">
        <v>-4614.8485052821279</v>
      </c>
      <c r="J35" s="4"/>
      <c r="K35" s="4">
        <v>-12099.335422688095</v>
      </c>
      <c r="L35" s="4"/>
      <c r="M35" s="4">
        <f t="shared" si="1"/>
        <v>5024.573028161145</v>
      </c>
      <c r="P35" s="4" cm="1">
        <f t="array" ref="P35">+SUM('Exh. BGM-3 (Detail)'!Q$9:Q$84*('Exh. BGM-3 (Detail)'!$D$9:$D$84=$D35))</f>
        <v>-4614.8485052821279</v>
      </c>
      <c r="Q35" s="4"/>
      <c r="R35" s="4" cm="1">
        <f t="array" ref="R35">+SUM('Exh. BGM-3 (Detail)'!S$9:S$84*('Exh. BGM-3 (Detail)'!$D$9:$D$84=$D35))</f>
        <v>-12099.335422688095</v>
      </c>
      <c r="S35" s="4"/>
      <c r="T35" s="4">
        <f t="shared" si="2"/>
        <v>5024.573028161145</v>
      </c>
      <c r="W35" s="4">
        <f t="shared" si="6"/>
        <v>0</v>
      </c>
      <c r="X35" s="4"/>
      <c r="Y35" s="4">
        <f t="shared" si="5"/>
        <v>0</v>
      </c>
      <c r="Z35" s="4"/>
      <c r="AA35" s="4">
        <f t="shared" si="5"/>
        <v>0</v>
      </c>
      <c r="AB35" s="7"/>
      <c r="AC35" s="4">
        <f t="shared" si="4"/>
        <v>0</v>
      </c>
      <c r="AE35" s="6"/>
      <c r="AF35" s="6"/>
      <c r="AH35" s="5"/>
      <c r="AI35" s="1"/>
      <c r="AJ35" s="39"/>
      <c r="AK35" s="39"/>
      <c r="AL35" s="59"/>
      <c r="AO35" s="4"/>
    </row>
    <row r="36" spans="2:41" x14ac:dyDescent="0.2">
      <c r="B36" s="1">
        <f t="shared" ca="1" si="0"/>
        <v>28</v>
      </c>
      <c r="D36" s="11" t="s">
        <v>12</v>
      </c>
      <c r="F36" s="4" t="s">
        <v>75</v>
      </c>
      <c r="I36" s="4">
        <f>-468463.935840682/1000</f>
        <v>-468.46393584068198</v>
      </c>
      <c r="J36" s="4"/>
      <c r="K36" s="4">
        <v>0</v>
      </c>
      <c r="L36" s="4"/>
      <c r="M36" s="4">
        <f t="shared" si="1"/>
        <v>623.10650932494741</v>
      </c>
      <c r="P36" s="4" cm="1">
        <f t="array" ref="P36">+SUM('Exh. BGM-3 (Detail)'!Q$9:Q$84*('Exh. BGM-3 (Detail)'!$D$9:$D$84=$D36))</f>
        <v>-649.15416882925479</v>
      </c>
      <c r="Q36" s="4"/>
      <c r="R36" s="4" cm="1">
        <f t="array" ref="R36">+SUM('Exh. BGM-3 (Detail)'!S$9:S$84*('Exh. BGM-3 (Detail)'!$D$9:$D$84=$D36))</f>
        <v>0</v>
      </c>
      <c r="S36" s="4"/>
      <c r="T36" s="4">
        <f t="shared" si="2"/>
        <v>863.44360196490481</v>
      </c>
      <c r="W36" s="4">
        <f t="shared" si="6"/>
        <v>-228.72181390958582</v>
      </c>
      <c r="X36" s="4"/>
      <c r="Y36" s="4">
        <f t="shared" si="5"/>
        <v>-180.6902329885728</v>
      </c>
      <c r="Z36" s="4"/>
      <c r="AA36" s="4">
        <f t="shared" si="5"/>
        <v>0</v>
      </c>
      <c r="AB36" s="7"/>
      <c r="AC36" s="4">
        <f t="shared" si="4"/>
        <v>240.3370926399574</v>
      </c>
      <c r="AE36" s="6" t="s">
        <v>272</v>
      </c>
      <c r="AF36" s="6"/>
      <c r="AH36" s="5"/>
      <c r="AI36" s="1"/>
      <c r="AJ36" s="39"/>
      <c r="AL36" s="59"/>
      <c r="AO36" s="4"/>
    </row>
    <row r="37" spans="2:41" ht="13.5" x14ac:dyDescent="0.25">
      <c r="B37" s="1">
        <f t="shared" ca="1" si="0"/>
        <v>29</v>
      </c>
      <c r="D37" s="11" t="s">
        <v>13</v>
      </c>
      <c r="F37" s="4" t="s">
        <v>74</v>
      </c>
      <c r="I37" s="4">
        <v>-666.60884486836335</v>
      </c>
      <c r="J37" s="4"/>
      <c r="K37" s="4">
        <v>0</v>
      </c>
      <c r="L37" s="4"/>
      <c r="M37" s="4">
        <f t="shared" si="1"/>
        <v>886.66016449198389</v>
      </c>
      <c r="P37" s="4" cm="1">
        <f t="array" ref="P37">+SUM('Exh. BGM-3 (Detail)'!Q$9:Q$84*('Exh. BGM-3 (Detail)'!$D$9:$D$84=$D37))</f>
        <v>-666.60884486836335</v>
      </c>
      <c r="Q37" s="4"/>
      <c r="R37" s="4" cm="1">
        <f t="array" ref="R37">+SUM('Exh. BGM-3 (Detail)'!S$9:S$84*('Exh. BGM-3 (Detail)'!$D$9:$D$84=$D37))</f>
        <v>0</v>
      </c>
      <c r="S37" s="4"/>
      <c r="T37" s="4">
        <f t="shared" si="2"/>
        <v>886.66016449198389</v>
      </c>
      <c r="W37" s="4">
        <f t="shared" si="6"/>
        <v>0</v>
      </c>
      <c r="X37" s="4"/>
      <c r="Y37" s="4">
        <f t="shared" si="5"/>
        <v>0</v>
      </c>
      <c r="Z37" s="4"/>
      <c r="AA37" s="4">
        <f t="shared" si="5"/>
        <v>0</v>
      </c>
      <c r="AB37" s="7"/>
      <c r="AC37" s="4">
        <f t="shared" si="4"/>
        <v>0</v>
      </c>
      <c r="AE37" s="6"/>
      <c r="AF37" s="6"/>
      <c r="AH37" s="5"/>
      <c r="AI37" s="34"/>
      <c r="AK37" s="23"/>
      <c r="AL37" s="4"/>
      <c r="AO37" s="4"/>
    </row>
    <row r="38" spans="2:41" x14ac:dyDescent="0.2">
      <c r="B38" s="1">
        <f t="shared" ca="1" si="0"/>
        <v>30</v>
      </c>
      <c r="D38" s="11" t="s">
        <v>14</v>
      </c>
      <c r="F38" s="4" t="s">
        <v>76</v>
      </c>
      <c r="I38" s="4">
        <v>6025.906179179914</v>
      </c>
      <c r="J38" s="4"/>
      <c r="K38" s="4">
        <v>0</v>
      </c>
      <c r="L38" s="4"/>
      <c r="M38" s="4">
        <f t="shared" si="1"/>
        <v>-8015.0916165836416</v>
      </c>
      <c r="P38" s="4" cm="1">
        <f t="array" ref="P38">+SUM('Exh. BGM-3 (Detail)'!Q$9:Q$84*('Exh. BGM-3 (Detail)'!$D$9:$D$84=$D38))</f>
        <v>7407.4255852559145</v>
      </c>
      <c r="Q38" s="4"/>
      <c r="R38" s="4" cm="1">
        <f t="array" ref="R38">+SUM('Exh. BGM-3 (Detail)'!S$9:S$84*('Exh. BGM-3 (Detail)'!$D$9:$D$84=$D38))</f>
        <v>0</v>
      </c>
      <c r="S38" s="4"/>
      <c r="T38" s="4">
        <f t="shared" si="2"/>
        <v>-9852.6583294617249</v>
      </c>
      <c r="W38" s="4">
        <f t="shared" si="6"/>
        <v>1748.7587418683549</v>
      </c>
      <c r="X38" s="4"/>
      <c r="Y38" s="4">
        <f t="shared" si="5"/>
        <v>1381.5194060760005</v>
      </c>
      <c r="Z38" s="4"/>
      <c r="AA38" s="4">
        <f t="shared" si="5"/>
        <v>0</v>
      </c>
      <c r="AB38" s="7"/>
      <c r="AC38" s="4">
        <f t="shared" si="4"/>
        <v>-1837.5667128780833</v>
      </c>
      <c r="AE38" s="6" t="s">
        <v>268</v>
      </c>
      <c r="AF38" s="6"/>
      <c r="AH38" s="5"/>
      <c r="AI38" s="1"/>
      <c r="AO38" s="4"/>
    </row>
    <row r="39" spans="2:41" x14ac:dyDescent="0.2">
      <c r="B39" s="1">
        <f ca="1">+MAX(OFFSET($B$7,0,0,ROW($B39)-ROW($B$7),1))+1</f>
        <v>31</v>
      </c>
      <c r="D39" s="11" t="s">
        <v>15</v>
      </c>
      <c r="F39" s="4" t="s">
        <v>77</v>
      </c>
      <c r="I39" s="4">
        <v>3906.1572179042773</v>
      </c>
      <c r="J39" s="4"/>
      <c r="K39" s="4">
        <v>-32790.654435164703</v>
      </c>
      <c r="L39" s="4"/>
      <c r="M39" s="4">
        <f t="shared" si="1"/>
        <v>-8213.7619441058687</v>
      </c>
      <c r="P39" s="4" cm="1">
        <f t="array" ref="P39">+SUM('Exh. BGM-3 (Detail)'!Q$9:Q$84*('Exh. BGM-3 (Detail)'!$D$9:$D$84=$D39))</f>
        <v>3906.1572179042773</v>
      </c>
      <c r="Q39" s="4"/>
      <c r="R39" s="4" cm="1">
        <f t="array" ref="R39">+SUM('Exh. BGM-3 (Detail)'!S$9:S$84*('Exh. BGM-3 (Detail)'!$D$9:$D$84=$D39))</f>
        <v>-32790.654435164703</v>
      </c>
      <c r="S39" s="4"/>
      <c r="T39" s="4">
        <f t="shared" si="2"/>
        <v>-8213.7619441058687</v>
      </c>
      <c r="W39" s="4">
        <f t="shared" si="6"/>
        <v>0</v>
      </c>
      <c r="X39" s="4"/>
      <c r="Y39" s="4">
        <f t="shared" si="5"/>
        <v>0</v>
      </c>
      <c r="Z39" s="4"/>
      <c r="AA39" s="4">
        <f t="shared" si="5"/>
        <v>0</v>
      </c>
      <c r="AB39" s="7"/>
      <c r="AC39" s="4">
        <f>+T39-M39</f>
        <v>0</v>
      </c>
      <c r="AE39" s="6"/>
      <c r="AF39" s="108"/>
      <c r="AH39" s="5"/>
      <c r="AI39" s="1"/>
      <c r="AO39" s="4"/>
    </row>
    <row r="40" spans="2:41" x14ac:dyDescent="0.2">
      <c r="B40" s="1">
        <f ca="1">+MAX(OFFSET($B$7,0,0,ROW($B40)-ROW($B$7),1))+1</f>
        <v>32</v>
      </c>
      <c r="D40" s="11" t="s">
        <v>28</v>
      </c>
      <c r="F40" s="4" t="s">
        <v>78</v>
      </c>
      <c r="I40" s="4">
        <v>-302.03550370207358</v>
      </c>
      <c r="J40" s="4"/>
      <c r="K40" s="4">
        <v>0</v>
      </c>
      <c r="L40" s="4"/>
      <c r="M40" s="4">
        <f t="shared" si="1"/>
        <v>401.7391180097278</v>
      </c>
      <c r="P40" s="4" cm="1">
        <f t="array" ref="P40">+SUM('Exh. BGM-3 (Detail)'!Q$9:Q$84*('Exh. BGM-3 (Detail)'!$D$9:$D$84=$D40))</f>
        <v>-302.03550370207358</v>
      </c>
      <c r="Q40" s="4"/>
      <c r="R40" s="4" cm="1">
        <f t="array" ref="R40">+SUM('Exh. BGM-3 (Detail)'!S$9:S$84*('Exh. BGM-3 (Detail)'!$D$9:$D$84=$D40))</f>
        <v>0</v>
      </c>
      <c r="S40" s="4"/>
      <c r="T40" s="4">
        <f t="shared" si="2"/>
        <v>401.7391180097278</v>
      </c>
      <c r="W40" s="4">
        <f t="shared" si="6"/>
        <v>0</v>
      </c>
      <c r="X40" s="4"/>
      <c r="Y40" s="4">
        <f t="shared" si="5"/>
        <v>0</v>
      </c>
      <c r="Z40" s="4"/>
      <c r="AA40" s="4">
        <f t="shared" si="5"/>
        <v>0</v>
      </c>
      <c r="AB40" s="7"/>
      <c r="AC40" s="4">
        <f>+T40-M40</f>
        <v>0</v>
      </c>
      <c r="AE40" s="6"/>
      <c r="AF40" s="6"/>
      <c r="AH40" s="5"/>
      <c r="AI40" s="1"/>
      <c r="AO40" s="4"/>
    </row>
    <row r="41" spans="2:41" x14ac:dyDescent="0.2">
      <c r="B41" s="1">
        <f ca="1">+MAX(OFFSET($B$7,0,0,ROW($B41)-ROW($B$7),1))+1</f>
        <v>33</v>
      </c>
      <c r="D41" s="11" t="s">
        <v>29</v>
      </c>
      <c r="F41" s="4" t="s">
        <v>79</v>
      </c>
      <c r="I41" s="4">
        <v>-123.664</v>
      </c>
      <c r="J41" s="4"/>
      <c r="K41" s="4">
        <v>28172.848000000002</v>
      </c>
      <c r="L41" s="4"/>
      <c r="M41" s="4">
        <f t="shared" si="1"/>
        <v>2757.6083126280228</v>
      </c>
      <c r="P41" s="4" cm="1">
        <f t="array" ref="P41">+SUM('Exh. BGM-3 (Detail)'!Q$9:Q$84*('Exh. BGM-3 (Detail)'!$D$9:$D$84=$D41))</f>
        <v>-123.664</v>
      </c>
      <c r="Q41" s="4"/>
      <c r="R41" s="4" cm="1">
        <f t="array" ref="R41">+SUM('Exh. BGM-3 (Detail)'!S$9:S$84*('Exh. BGM-3 (Detail)'!$D$9:$D$84=$D41))</f>
        <v>28172.848000000002</v>
      </c>
      <c r="S41" s="4"/>
      <c r="T41" s="4">
        <f t="shared" si="2"/>
        <v>2757.6083126280228</v>
      </c>
      <c r="W41" s="4">
        <f t="shared" si="6"/>
        <v>0</v>
      </c>
      <c r="X41" s="4"/>
      <c r="Y41" s="4">
        <f t="shared" si="5"/>
        <v>0</v>
      </c>
      <c r="Z41" s="4"/>
      <c r="AA41" s="4">
        <f t="shared" si="5"/>
        <v>0</v>
      </c>
      <c r="AB41" s="7"/>
      <c r="AC41" s="4">
        <f>+T41-M41</f>
        <v>0</v>
      </c>
      <c r="AE41" s="6"/>
      <c r="AF41" s="6"/>
      <c r="AH41" s="5"/>
      <c r="AI41" s="1"/>
      <c r="AJ41" s="39"/>
      <c r="AK41" s="39"/>
      <c r="AL41" s="59"/>
      <c r="AO41" s="4"/>
    </row>
    <row r="42" spans="2:41" x14ac:dyDescent="0.2">
      <c r="B42" s="1">
        <f t="shared" ref="B42:B66" ca="1" si="7">+MAX(OFFSET($B$7,0,0,ROW($B42)-ROW($B$7),1))+1</f>
        <v>34</v>
      </c>
      <c r="C42" s="18"/>
      <c r="D42" s="11" t="s">
        <v>16</v>
      </c>
      <c r="E42" s="18"/>
      <c r="F42" s="4" t="s">
        <v>105</v>
      </c>
      <c r="G42" s="19"/>
      <c r="H42" s="19"/>
      <c r="I42" s="4">
        <v>-1019.5115900000001</v>
      </c>
      <c r="J42" s="4"/>
      <c r="K42" s="4">
        <v>0</v>
      </c>
      <c r="L42" s="16"/>
      <c r="M42" s="4">
        <f t="shared" ref="M42:M66" si="8">+($K42*$AL$17-$I42)/$AJ$4</f>
        <v>1356.0580857120055</v>
      </c>
      <c r="N42" s="19"/>
      <c r="O42" s="18"/>
      <c r="P42" s="4" cm="1">
        <f t="array" ref="P42">+SUM('Exh. BGM-3 (Detail)'!Q$9:Q$84*('Exh. BGM-3 (Detail)'!$D$9:$D$84=$D42))</f>
        <v>-1019.5115900000001</v>
      </c>
      <c r="Q42" s="4"/>
      <c r="R42" s="4" cm="1">
        <f t="array" ref="R42">+SUM('Exh. BGM-3 (Detail)'!S$9:S$84*('Exh. BGM-3 (Detail)'!$D$9:$D$84=$D42))</f>
        <v>0</v>
      </c>
      <c r="S42" s="4"/>
      <c r="T42" s="4">
        <f t="shared" ref="T42:T66" si="9">+($R42*$AL$17-$P42)/$AJ$4</f>
        <v>1356.0580857120055</v>
      </c>
      <c r="U42" s="18"/>
      <c r="V42" s="18"/>
      <c r="W42" s="4">
        <f t="shared" si="6"/>
        <v>0</v>
      </c>
      <c r="X42" s="4"/>
      <c r="Y42" s="4">
        <f t="shared" si="5"/>
        <v>0</v>
      </c>
      <c r="Z42" s="4"/>
      <c r="AA42" s="4">
        <f t="shared" si="5"/>
        <v>0</v>
      </c>
      <c r="AB42" s="7"/>
      <c r="AC42" s="4">
        <f t="shared" ref="AC42:AC66" si="10">+T42-M42</f>
        <v>0</v>
      </c>
      <c r="AD42" s="19"/>
      <c r="AE42" s="15"/>
      <c r="AF42" s="6"/>
      <c r="AH42" s="5"/>
      <c r="AI42" s="1"/>
      <c r="AJ42" s="39"/>
      <c r="AK42" s="39"/>
      <c r="AL42" s="59"/>
      <c r="AO42" s="4"/>
    </row>
    <row r="43" spans="2:41" x14ac:dyDescent="0.2">
      <c r="B43" s="1">
        <f t="shared" ca="1" si="7"/>
        <v>35</v>
      </c>
      <c r="D43" s="1" t="s">
        <v>17</v>
      </c>
      <c r="F43" s="4" t="s">
        <v>106</v>
      </c>
      <c r="I43" s="4">
        <v>-8451.4100260689484</v>
      </c>
      <c r="J43" s="4"/>
      <c r="K43" s="4">
        <v>40315.957444737716</v>
      </c>
      <c r="L43" s="4"/>
      <c r="M43" s="4">
        <f t="shared" si="8"/>
        <v>14952.081989365535</v>
      </c>
      <c r="P43" s="4" cm="1">
        <f t="array" ref="P43">+SUM('Exh. BGM-3 (Detail)'!Q$9:Q$84*('Exh. BGM-3 (Detail)'!$D$9:$D$84=$D43))</f>
        <v>-8451.4100260689484</v>
      </c>
      <c r="Q43" s="4"/>
      <c r="R43" s="4" cm="1">
        <f t="array" ref="R43">+SUM('Exh. BGM-3 (Detail)'!S$9:S$84*('Exh. BGM-3 (Detail)'!$D$9:$D$84=$D43))</f>
        <v>40315.957444737716</v>
      </c>
      <c r="S43" s="4"/>
      <c r="T43" s="4">
        <f t="shared" si="9"/>
        <v>14952.081989365535</v>
      </c>
      <c r="W43" s="4">
        <f t="shared" si="6"/>
        <v>0</v>
      </c>
      <c r="X43" s="4"/>
      <c r="Y43" s="4">
        <f t="shared" si="5"/>
        <v>0</v>
      </c>
      <c r="Z43" s="4"/>
      <c r="AA43" s="4">
        <f t="shared" si="5"/>
        <v>0</v>
      </c>
      <c r="AB43" s="7"/>
      <c r="AC43" s="4">
        <f t="shared" si="10"/>
        <v>0</v>
      </c>
      <c r="AE43" s="6"/>
      <c r="AF43" s="6"/>
      <c r="AH43" s="5"/>
      <c r="AI43" s="1"/>
      <c r="AJ43" s="39"/>
      <c r="AL43" s="59"/>
      <c r="AO43" s="4"/>
    </row>
    <row r="44" spans="2:41" x14ac:dyDescent="0.2">
      <c r="B44" s="1">
        <f t="shared" ca="1" si="7"/>
        <v>36</v>
      </c>
      <c r="D44" s="11" t="s">
        <v>53</v>
      </c>
      <c r="F44" s="4" t="s">
        <v>107</v>
      </c>
      <c r="I44" s="4">
        <v>13.17088</v>
      </c>
      <c r="J44" s="4"/>
      <c r="K44" s="4">
        <v>0</v>
      </c>
      <c r="L44" s="3"/>
      <c r="M44" s="4">
        <f t="shared" si="8"/>
        <v>-17.518661381713706</v>
      </c>
      <c r="O44" s="10"/>
      <c r="P44" s="4" cm="1">
        <f t="array" ref="P44">+SUM('Exh. BGM-3 (Detail)'!Q$9:Q$84*('Exh. BGM-3 (Detail)'!$D$9:$D$84=$D44))</f>
        <v>13.17088</v>
      </c>
      <c r="Q44" s="4"/>
      <c r="R44" s="4" cm="1">
        <f t="array" ref="R44">+SUM('Exh. BGM-3 (Detail)'!S$9:S$84*('Exh. BGM-3 (Detail)'!$D$9:$D$84=$D44))</f>
        <v>0</v>
      </c>
      <c r="S44" s="4"/>
      <c r="T44" s="4">
        <f t="shared" si="9"/>
        <v>-17.518661381713706</v>
      </c>
      <c r="W44" s="4">
        <f t="shared" si="6"/>
        <v>0</v>
      </c>
      <c r="X44" s="4"/>
      <c r="Y44" s="4">
        <f t="shared" si="5"/>
        <v>0</v>
      </c>
      <c r="Z44" s="4"/>
      <c r="AA44" s="4">
        <f t="shared" si="5"/>
        <v>0</v>
      </c>
      <c r="AB44" s="7"/>
      <c r="AC44" s="4">
        <f t="shared" si="10"/>
        <v>0</v>
      </c>
      <c r="AE44" s="6"/>
      <c r="AF44" s="6"/>
      <c r="AH44" s="5"/>
      <c r="AO44" s="4"/>
    </row>
    <row r="45" spans="2:41" x14ac:dyDescent="0.2">
      <c r="B45" s="1">
        <f t="shared" ca="1" si="7"/>
        <v>37</v>
      </c>
      <c r="D45" s="11" t="s">
        <v>61</v>
      </c>
      <c r="F45" s="4" t="s">
        <v>62</v>
      </c>
      <c r="I45" s="4">
        <v>-183.69471263775353</v>
      </c>
      <c r="J45" s="4"/>
      <c r="K45" s="4">
        <v>0</v>
      </c>
      <c r="L45" s="3"/>
      <c r="M45" s="4">
        <f t="shared" si="8"/>
        <v>244.33336787762167</v>
      </c>
      <c r="O45" s="10"/>
      <c r="P45" s="4" cm="1">
        <f t="array" ref="P45">+SUM('Exh. BGM-3 (Detail)'!Q$9:Q$84*('Exh. BGM-3 (Detail)'!$D$9:$D$84=$D45))</f>
        <v>-183.69471263775353</v>
      </c>
      <c r="Q45" s="4"/>
      <c r="R45" s="4" cm="1">
        <f t="array" ref="R45">+SUM('Exh. BGM-3 (Detail)'!S$9:S$84*('Exh. BGM-3 (Detail)'!$D$9:$D$84=$D45))</f>
        <v>0</v>
      </c>
      <c r="S45" s="4"/>
      <c r="T45" s="4">
        <f t="shared" si="9"/>
        <v>244.33336787762167</v>
      </c>
      <c r="W45" s="4">
        <f t="shared" si="6"/>
        <v>0</v>
      </c>
      <c r="X45" s="4"/>
      <c r="Y45" s="4">
        <f t="shared" si="5"/>
        <v>0</v>
      </c>
      <c r="Z45" s="4"/>
      <c r="AA45" s="4">
        <f t="shared" si="5"/>
        <v>0</v>
      </c>
      <c r="AB45" s="7"/>
      <c r="AC45" s="4">
        <f t="shared" si="10"/>
        <v>0</v>
      </c>
      <c r="AE45" s="6"/>
      <c r="AF45" s="6"/>
      <c r="AH45" s="5"/>
      <c r="AI45" s="1"/>
      <c r="AO45" s="4"/>
    </row>
    <row r="46" spans="2:41" x14ac:dyDescent="0.2">
      <c r="B46" s="1">
        <f t="shared" ca="1" si="7"/>
        <v>38</v>
      </c>
      <c r="D46" s="11" t="s">
        <v>18</v>
      </c>
      <c r="F46" s="4" t="s">
        <v>80</v>
      </c>
      <c r="I46" s="4">
        <v>0</v>
      </c>
      <c r="J46" s="4"/>
      <c r="K46" s="4">
        <v>30000.111714042756</v>
      </c>
      <c r="L46" s="4"/>
      <c r="M46" s="4">
        <f t="shared" si="8"/>
        <v>2761.3095296902961</v>
      </c>
      <c r="P46" s="4" cm="1">
        <f t="array" ref="P46">+SUM('Exh. BGM-3 (Detail)'!Q$9:Q$84*('Exh. BGM-3 (Detail)'!$D$9:$D$84=$D46))</f>
        <v>0</v>
      </c>
      <c r="Q46" s="4"/>
      <c r="R46" s="4" cm="1">
        <f t="array" ref="R46">+SUM('Exh. BGM-3 (Detail)'!S$9:S$84*('Exh. BGM-3 (Detail)'!$D$9:$D$84=$D46))</f>
        <v>30000.111714042756</v>
      </c>
      <c r="S46" s="4"/>
      <c r="T46" s="4">
        <f t="shared" si="9"/>
        <v>2761.3095296902961</v>
      </c>
      <c r="W46" s="4">
        <f t="shared" si="6"/>
        <v>0</v>
      </c>
      <c r="X46" s="4"/>
      <c r="Y46" s="4">
        <f t="shared" si="5"/>
        <v>0</v>
      </c>
      <c r="Z46" s="4"/>
      <c r="AA46" s="4">
        <f t="shared" si="5"/>
        <v>0</v>
      </c>
      <c r="AB46" s="7"/>
      <c r="AC46" s="4">
        <f t="shared" si="10"/>
        <v>0</v>
      </c>
      <c r="AE46" s="6"/>
      <c r="AF46" s="6"/>
      <c r="AH46" s="5"/>
      <c r="AI46" s="1"/>
      <c r="AO46" s="4"/>
    </row>
    <row r="47" spans="2:41" x14ac:dyDescent="0.2">
      <c r="B47" s="1">
        <f t="shared" ca="1" si="7"/>
        <v>39</v>
      </c>
      <c r="D47" s="11" t="s">
        <v>19</v>
      </c>
      <c r="F47" s="4" t="s">
        <v>108</v>
      </c>
      <c r="I47" s="4">
        <v>-4858.9905374747977</v>
      </c>
      <c r="J47" s="4"/>
      <c r="K47" s="4">
        <v>26317.588733462926</v>
      </c>
      <c r="L47" s="4"/>
      <c r="M47" s="4">
        <f t="shared" si="8"/>
        <v>8885.328506597898</v>
      </c>
      <c r="P47" s="4" cm="1">
        <f t="array" ref="P47">+SUM('Exh. BGM-3 (Detail)'!Q$9:Q$84*('Exh. BGM-3 (Detail)'!$D$9:$D$84=$D47))</f>
        <v>3064.2147450256971</v>
      </c>
      <c r="Q47" s="4"/>
      <c r="R47" s="4" cm="1">
        <f t="array" ref="R47">+SUM('Exh. BGM-3 (Detail)'!S$9:S$84*('Exh. BGM-3 (Detail)'!$D$9:$D$84=$D47))</f>
        <v>26317.588733462926</v>
      </c>
      <c r="S47" s="4"/>
      <c r="T47" s="4">
        <f t="shared" si="9"/>
        <v>-1653.3712918917593</v>
      </c>
      <c r="W47" s="4">
        <f t="shared" si="6"/>
        <v>10029.373775317081</v>
      </c>
      <c r="X47" s="4"/>
      <c r="Y47" s="4">
        <f t="shared" si="5"/>
        <v>7923.2052825004948</v>
      </c>
      <c r="Z47" s="4"/>
      <c r="AA47" s="4">
        <f t="shared" si="5"/>
        <v>0</v>
      </c>
      <c r="AB47" s="7"/>
      <c r="AC47" s="4">
        <f t="shared" si="10"/>
        <v>-10538.699798489657</v>
      </c>
      <c r="AE47" s="6" t="s">
        <v>268</v>
      </c>
      <c r="AF47" s="6"/>
      <c r="AH47" s="5"/>
      <c r="AI47" s="1"/>
      <c r="AJ47" s="39"/>
      <c r="AL47" s="59"/>
      <c r="AO47" s="4"/>
    </row>
    <row r="48" spans="2:41" x14ac:dyDescent="0.2">
      <c r="B48" s="1">
        <f t="shared" ca="1" si="7"/>
        <v>40</v>
      </c>
      <c r="D48" s="11" t="s">
        <v>20</v>
      </c>
      <c r="F48" s="4" t="s">
        <v>36</v>
      </c>
      <c r="I48" s="4">
        <v>0</v>
      </c>
      <c r="J48" s="4"/>
      <c r="K48" s="4">
        <v>-1733.1150770354179</v>
      </c>
      <c r="L48" s="4"/>
      <c r="M48" s="4">
        <f t="shared" si="8"/>
        <v>-159.52164524866447</v>
      </c>
      <c r="P48" s="4" cm="1">
        <f t="array" ref="P48">+SUM('Exh. BGM-3 (Detail)'!Q$9:Q$84*('Exh. BGM-3 (Detail)'!$D$9:$D$84=$D48))</f>
        <v>0</v>
      </c>
      <c r="Q48" s="4"/>
      <c r="R48" s="4" cm="1">
        <f t="array" ref="R48">+SUM('Exh. BGM-3 (Detail)'!S$9:S$84*('Exh. BGM-3 (Detail)'!$D$9:$D$84=$D48))</f>
        <v>-1733.1150770354179</v>
      </c>
      <c r="S48" s="4"/>
      <c r="T48" s="4">
        <f t="shared" si="9"/>
        <v>-159.52164524866447</v>
      </c>
      <c r="W48" s="4">
        <f t="shared" si="6"/>
        <v>0</v>
      </c>
      <c r="X48" s="4"/>
      <c r="Y48" s="4">
        <f t="shared" si="5"/>
        <v>0</v>
      </c>
      <c r="Z48" s="4"/>
      <c r="AA48" s="4">
        <f t="shared" si="5"/>
        <v>0</v>
      </c>
      <c r="AB48" s="7"/>
      <c r="AC48" s="4">
        <f t="shared" si="10"/>
        <v>0</v>
      </c>
      <c r="AE48" s="6"/>
      <c r="AF48" s="6"/>
      <c r="AH48" s="5"/>
      <c r="AI48" s="1"/>
      <c r="AJ48" s="39"/>
      <c r="AL48" s="59"/>
      <c r="AO48" s="4"/>
    </row>
    <row r="49" spans="2:41" x14ac:dyDescent="0.2">
      <c r="B49" s="1">
        <f t="shared" ca="1" si="7"/>
        <v>41</v>
      </c>
      <c r="D49" s="11" t="s">
        <v>21</v>
      </c>
      <c r="F49" s="4" t="s">
        <v>81</v>
      </c>
      <c r="I49" s="4">
        <v>80.090037251476659</v>
      </c>
      <c r="J49" s="4"/>
      <c r="K49" s="4">
        <v>132944.19885970445</v>
      </c>
      <c r="L49" s="4"/>
      <c r="M49" s="4">
        <f t="shared" si="8"/>
        <v>12130.095666303198</v>
      </c>
      <c r="P49" s="4" cm="1">
        <f t="array" ref="P49">+SUM('Exh. BGM-3 (Detail)'!Q$9:Q$84*('Exh. BGM-3 (Detail)'!$D$9:$D$84=$D49))</f>
        <v>80.090037251476659</v>
      </c>
      <c r="Q49" s="4"/>
      <c r="R49" s="4" cm="1">
        <f t="array" ref="R49">+SUM('Exh. BGM-3 (Detail)'!S$9:S$84*('Exh. BGM-3 (Detail)'!$D$9:$D$84=$D49))</f>
        <v>126946.45199417423</v>
      </c>
      <c r="S49" s="4"/>
      <c r="T49" s="4">
        <f t="shared" si="9"/>
        <v>11578.043202821658</v>
      </c>
      <c r="W49" s="4">
        <f t="shared" si="6"/>
        <v>0</v>
      </c>
      <c r="X49" s="4"/>
      <c r="Y49" s="4">
        <f t="shared" si="5"/>
        <v>0</v>
      </c>
      <c r="Z49" s="4"/>
      <c r="AA49" s="4">
        <f t="shared" si="5"/>
        <v>-5997.7468655302218</v>
      </c>
      <c r="AB49" s="7"/>
      <c r="AC49" s="4">
        <f t="shared" si="10"/>
        <v>-552.05246348153923</v>
      </c>
      <c r="AE49" s="6" t="s">
        <v>268</v>
      </c>
      <c r="AF49" s="6"/>
      <c r="AH49" s="5"/>
      <c r="AI49" s="1"/>
      <c r="AO49" s="4"/>
    </row>
    <row r="50" spans="2:41" x14ac:dyDescent="0.2">
      <c r="B50" s="1">
        <f t="shared" ca="1" si="7"/>
        <v>42</v>
      </c>
      <c r="D50" s="11" t="s">
        <v>22</v>
      </c>
      <c r="F50" s="4" t="s">
        <v>63</v>
      </c>
      <c r="G50" s="19"/>
      <c r="H50" s="19"/>
      <c r="I50" s="4">
        <v>0</v>
      </c>
      <c r="J50" s="4"/>
      <c r="K50" s="4">
        <v>-27252.977232733469</v>
      </c>
      <c r="L50" s="16"/>
      <c r="M50" s="4">
        <f t="shared" si="8"/>
        <v>-2508.4541838540554</v>
      </c>
      <c r="N50" s="19"/>
      <c r="O50" s="18"/>
      <c r="P50" s="4" cm="1">
        <f t="array" ref="P50">+SUM('Exh. BGM-3 (Detail)'!Q$9:Q$84*('Exh. BGM-3 (Detail)'!$D$9:$D$84=$D50))</f>
        <v>0</v>
      </c>
      <c r="Q50" s="4"/>
      <c r="R50" s="4" cm="1">
        <f t="array" ref="R50">+SUM('Exh. BGM-3 (Detail)'!S$9:S$84*('Exh. BGM-3 (Detail)'!$D$9:$D$84=$D50))</f>
        <v>-27252.977232733469</v>
      </c>
      <c r="S50" s="4"/>
      <c r="T50" s="4">
        <f t="shared" si="9"/>
        <v>-2508.4541838540554</v>
      </c>
      <c r="U50" s="18"/>
      <c r="V50" s="18"/>
      <c r="W50" s="4">
        <f t="shared" si="6"/>
        <v>0</v>
      </c>
      <c r="X50" s="16"/>
      <c r="Y50" s="4">
        <f t="shared" si="5"/>
        <v>0</v>
      </c>
      <c r="Z50" s="16"/>
      <c r="AA50" s="4">
        <f t="shared" si="5"/>
        <v>0</v>
      </c>
      <c r="AB50" s="17"/>
      <c r="AC50" s="16">
        <f t="shared" si="10"/>
        <v>0</v>
      </c>
      <c r="AD50" s="19"/>
      <c r="AE50" s="15"/>
      <c r="AF50" s="6"/>
      <c r="AH50" s="5"/>
      <c r="AI50" s="1"/>
      <c r="AK50" s="23"/>
      <c r="AL50" s="24"/>
      <c r="AO50" s="4"/>
    </row>
    <row r="51" spans="2:41" x14ac:dyDescent="0.2">
      <c r="B51" s="1">
        <f t="shared" ca="1" si="7"/>
        <v>43</v>
      </c>
      <c r="D51" s="11" t="s">
        <v>23</v>
      </c>
      <c r="F51" s="4" t="s">
        <v>33</v>
      </c>
      <c r="I51" s="4">
        <v>-1.8461746999999999</v>
      </c>
      <c r="J51" s="4"/>
      <c r="K51" s="4">
        <v>-408.39063249999987</v>
      </c>
      <c r="L51" s="4"/>
      <c r="M51" s="4">
        <f t="shared" si="8"/>
        <v>-35.134017542762884</v>
      </c>
      <c r="P51" s="4" cm="1">
        <f t="array" ref="P51">+SUM('Exh. BGM-3 (Detail)'!Q$9:Q$84*('Exh. BGM-3 (Detail)'!$D$9:$D$84=$D51))</f>
        <v>-1.8461746999999999</v>
      </c>
      <c r="Q51" s="4"/>
      <c r="R51" s="4" cm="1">
        <f t="array" ref="R51">+SUM('Exh. BGM-3 (Detail)'!S$9:S$84*('Exh. BGM-3 (Detail)'!$D$9:$D$84=$D51))</f>
        <v>-408.39063249999987</v>
      </c>
      <c r="S51" s="4"/>
      <c r="T51" s="4">
        <f t="shared" si="9"/>
        <v>-35.134017542762884</v>
      </c>
      <c r="W51" s="4">
        <f t="shared" si="6"/>
        <v>0</v>
      </c>
      <c r="X51" s="4"/>
      <c r="Y51" s="4">
        <f t="shared" si="5"/>
        <v>0</v>
      </c>
      <c r="Z51" s="4"/>
      <c r="AA51" s="4">
        <f t="shared" si="5"/>
        <v>0</v>
      </c>
      <c r="AB51" s="7"/>
      <c r="AC51" s="4">
        <f t="shared" si="10"/>
        <v>0</v>
      </c>
      <c r="AE51" s="6"/>
      <c r="AF51" s="6"/>
      <c r="AH51" s="5"/>
      <c r="AI51" s="1"/>
      <c r="AK51" s="23"/>
      <c r="AL51" s="4"/>
      <c r="AO51" s="4"/>
    </row>
    <row r="52" spans="2:41" x14ac:dyDescent="0.2">
      <c r="B52" s="1">
        <f t="shared" ca="1" si="7"/>
        <v>44</v>
      </c>
      <c r="D52" s="11" t="s">
        <v>24</v>
      </c>
      <c r="F52" s="4" t="s">
        <v>48</v>
      </c>
      <c r="I52" s="4">
        <v>0</v>
      </c>
      <c r="J52" s="4"/>
      <c r="K52" s="4">
        <v>29873.668417190562</v>
      </c>
      <c r="L52" s="4"/>
      <c r="M52" s="4">
        <f t="shared" si="8"/>
        <v>2749.6712703434155</v>
      </c>
      <c r="P52" s="4" cm="1">
        <f t="array" ref="P52">+SUM('Exh. BGM-3 (Detail)'!Q$9:Q$84*('Exh. BGM-3 (Detail)'!$D$9:$D$84=$D52))</f>
        <v>0</v>
      </c>
      <c r="Q52" s="4"/>
      <c r="R52" s="4" cm="1">
        <f t="array" ref="R52">+SUM('Exh. BGM-3 (Detail)'!S$9:S$84*('Exh. BGM-3 (Detail)'!$D$9:$D$84=$D52))</f>
        <v>8943.7441953778361</v>
      </c>
      <c r="S52" s="4"/>
      <c r="T52" s="4">
        <f t="shared" si="9"/>
        <v>823.21180378301483</v>
      </c>
      <c r="W52" s="4">
        <f t="shared" si="6"/>
        <v>0</v>
      </c>
      <c r="X52" s="4"/>
      <c r="Y52" s="4">
        <f t="shared" si="5"/>
        <v>0</v>
      </c>
      <c r="Z52" s="4"/>
      <c r="AA52" s="4">
        <f t="shared" si="5"/>
        <v>-20929.924221812726</v>
      </c>
      <c r="AB52" s="7"/>
      <c r="AC52" s="4">
        <f t="shared" si="10"/>
        <v>-1926.4594665604006</v>
      </c>
      <c r="AE52" s="6" t="s">
        <v>268</v>
      </c>
      <c r="AF52" s="6"/>
      <c r="AH52" s="5"/>
      <c r="AI52" s="1"/>
      <c r="AJ52" s="39"/>
      <c r="AL52" s="59"/>
      <c r="AO52" s="4"/>
    </row>
    <row r="53" spans="2:41" x14ac:dyDescent="0.2">
      <c r="B53" s="1">
        <f t="shared" ca="1" si="7"/>
        <v>45</v>
      </c>
      <c r="D53" s="11" t="s">
        <v>25</v>
      </c>
      <c r="F53" s="4" t="s">
        <v>82</v>
      </c>
      <c r="I53" s="4">
        <v>0</v>
      </c>
      <c r="J53" s="4"/>
      <c r="K53" s="4">
        <v>-16595.924588451217</v>
      </c>
      <c r="L53" s="4"/>
      <c r="M53" s="4">
        <f t="shared" si="8"/>
        <v>-1527.5438024006066</v>
      </c>
      <c r="P53" s="4" cm="1">
        <f t="array" ref="P53">+SUM('Exh. BGM-3 (Detail)'!Q$9:Q$84*('Exh. BGM-3 (Detail)'!$D$9:$D$84=$D53))</f>
        <v>267.97432000000003</v>
      </c>
      <c r="Q53" s="4"/>
      <c r="R53" s="4" cm="1">
        <f t="array" ref="R53">+SUM('Exh. BGM-3 (Detail)'!S$9:S$84*('Exh. BGM-3 (Detail)'!$D$9:$D$84=$D53))</f>
        <v>-16595.924588451217</v>
      </c>
      <c r="S53" s="4"/>
      <c r="T53" s="4">
        <f t="shared" si="9"/>
        <v>-1883.9779488718366</v>
      </c>
      <c r="W53" s="4">
        <f t="shared" si="6"/>
        <v>339.20800000000003</v>
      </c>
      <c r="X53" s="4"/>
      <c r="Y53" s="4">
        <f t="shared" si="5"/>
        <v>267.97432000000003</v>
      </c>
      <c r="Z53" s="4"/>
      <c r="AA53" s="4">
        <f t="shared" si="5"/>
        <v>0</v>
      </c>
      <c r="AB53" s="7"/>
      <c r="AC53" s="4">
        <f t="shared" si="10"/>
        <v>-356.43414647122995</v>
      </c>
      <c r="AE53" s="6" t="s">
        <v>268</v>
      </c>
      <c r="AF53" s="6"/>
      <c r="AH53" s="5"/>
      <c r="AI53" s="1"/>
      <c r="AJ53" s="39"/>
      <c r="AL53" s="59"/>
      <c r="AO53" s="4"/>
    </row>
    <row r="54" spans="2:41" x14ac:dyDescent="0.2">
      <c r="B54" s="1">
        <f t="shared" ca="1" si="7"/>
        <v>46</v>
      </c>
      <c r="D54" s="11" t="s">
        <v>26</v>
      </c>
      <c r="F54" s="4" t="s">
        <v>83</v>
      </c>
      <c r="I54" s="4">
        <v>0</v>
      </c>
      <c r="J54" s="4"/>
      <c r="K54" s="4">
        <v>-6227.1088245538904</v>
      </c>
      <c r="L54" s="4"/>
      <c r="M54" s="4">
        <f t="shared" si="8"/>
        <v>-573.16369697418156</v>
      </c>
      <c r="P54" s="4" cm="1">
        <f t="array" ref="P54">+SUM('Exh. BGM-3 (Detail)'!Q$9:Q$84*('Exh. BGM-3 (Detail)'!$D$9:$D$84=$D54))</f>
        <v>0</v>
      </c>
      <c r="Q54" s="4"/>
      <c r="R54" s="4" cm="1">
        <f t="array" ref="R54">+SUM('Exh. BGM-3 (Detail)'!S$9:S$84*('Exh. BGM-3 (Detail)'!$D$9:$D$84=$D54))</f>
        <v>-6227.1088245538904</v>
      </c>
      <c r="S54" s="4"/>
      <c r="T54" s="4">
        <f t="shared" si="9"/>
        <v>-573.16369697418156</v>
      </c>
      <c r="W54" s="4">
        <f t="shared" si="6"/>
        <v>0</v>
      </c>
      <c r="X54" s="4"/>
      <c r="Y54" s="4">
        <f t="shared" si="5"/>
        <v>0</v>
      </c>
      <c r="Z54" s="4"/>
      <c r="AA54" s="4">
        <f t="shared" si="5"/>
        <v>0</v>
      </c>
      <c r="AB54" s="7"/>
      <c r="AC54" s="4">
        <f t="shared" si="10"/>
        <v>0</v>
      </c>
      <c r="AE54" s="6"/>
      <c r="AF54" s="6"/>
      <c r="AH54" s="5"/>
      <c r="AI54" s="1"/>
      <c r="AK54" s="23"/>
      <c r="AL54" s="4"/>
      <c r="AO54" s="4"/>
    </row>
    <row r="55" spans="2:41" x14ac:dyDescent="0.2">
      <c r="B55" s="1">
        <f t="shared" ca="1" si="7"/>
        <v>47</v>
      </c>
      <c r="D55" s="11" t="s">
        <v>42</v>
      </c>
      <c r="F55" s="4" t="s">
        <v>84</v>
      </c>
      <c r="I55" s="4">
        <v>142.92812725308619</v>
      </c>
      <c r="J55" s="4"/>
      <c r="K55" s="4">
        <v>-77.495744994808675</v>
      </c>
      <c r="L55" s="4"/>
      <c r="M55" s="4">
        <f t="shared" si="8"/>
        <v>-197.24246868496041</v>
      </c>
      <c r="P55" s="4" cm="1">
        <f t="array" ref="P55">+SUM('Exh. BGM-3 (Detail)'!Q$9:Q$84*('Exh. BGM-3 (Detail)'!$D$9:$D$84=$D55))</f>
        <v>142.92812725308619</v>
      </c>
      <c r="Q55" s="4"/>
      <c r="R55" s="4" cm="1">
        <f t="array" ref="R55">+SUM('Exh. BGM-3 (Detail)'!S$9:S$84*('Exh. BGM-3 (Detail)'!$D$9:$D$84=$D55))</f>
        <v>-77.495744994808675</v>
      </c>
      <c r="S55" s="4"/>
      <c r="T55" s="4">
        <f t="shared" si="9"/>
        <v>-197.24246868496041</v>
      </c>
      <c r="W55" s="4">
        <f t="shared" si="6"/>
        <v>0</v>
      </c>
      <c r="X55" s="4"/>
      <c r="Y55" s="4">
        <f t="shared" si="5"/>
        <v>0</v>
      </c>
      <c r="Z55" s="4"/>
      <c r="AA55" s="4">
        <f t="shared" si="5"/>
        <v>0</v>
      </c>
      <c r="AB55" s="7"/>
      <c r="AC55" s="4">
        <f t="shared" si="10"/>
        <v>0</v>
      </c>
      <c r="AE55" s="6"/>
      <c r="AF55" s="6"/>
      <c r="AH55" s="5"/>
      <c r="AI55" s="1"/>
      <c r="AK55" s="23"/>
      <c r="AL55" s="4"/>
      <c r="AO55" s="4"/>
    </row>
    <row r="56" spans="2:41" x14ac:dyDescent="0.2">
      <c r="B56" s="1">
        <f t="shared" ca="1" si="7"/>
        <v>48</v>
      </c>
      <c r="D56" s="11" t="s">
        <v>46</v>
      </c>
      <c r="F56" s="4" t="s">
        <v>116</v>
      </c>
      <c r="I56" s="4">
        <v>-180.79614170084741</v>
      </c>
      <c r="J56" s="4"/>
      <c r="K56" s="4">
        <v>2316.4220932725216</v>
      </c>
      <c r="L56" s="4"/>
      <c r="M56" s="4">
        <f t="shared" si="8"/>
        <v>453.68911515430011</v>
      </c>
      <c r="P56" s="4" cm="1">
        <f t="array" ref="P56">+SUM('Exh. BGM-3 (Detail)'!Q$9:Q$84*('Exh. BGM-3 (Detail)'!$D$9:$D$84=$D56))</f>
        <v>-180.79614170084741</v>
      </c>
      <c r="Q56" s="4"/>
      <c r="R56" s="4" cm="1">
        <f t="array" ref="R56">+SUM('Exh. BGM-3 (Detail)'!S$9:S$84*('Exh. BGM-3 (Detail)'!$D$9:$D$84=$D56))</f>
        <v>2316.4220932725216</v>
      </c>
      <c r="S56" s="4"/>
      <c r="T56" s="4">
        <f t="shared" si="9"/>
        <v>453.68911515430011</v>
      </c>
      <c r="W56" s="4">
        <f t="shared" si="6"/>
        <v>0</v>
      </c>
      <c r="X56" s="4"/>
      <c r="Y56" s="4">
        <f t="shared" si="5"/>
        <v>0</v>
      </c>
      <c r="Z56" s="4"/>
      <c r="AA56" s="4">
        <f t="shared" si="5"/>
        <v>0</v>
      </c>
      <c r="AB56" s="7"/>
      <c r="AC56" s="4">
        <f t="shared" si="10"/>
        <v>0</v>
      </c>
      <c r="AE56" s="6"/>
      <c r="AF56" s="6"/>
      <c r="AH56" s="5"/>
      <c r="AI56" s="1"/>
      <c r="AK56" s="23"/>
      <c r="AL56" s="4"/>
      <c r="AO56" s="4"/>
    </row>
    <row r="57" spans="2:41" x14ac:dyDescent="0.2">
      <c r="B57" s="1">
        <f t="shared" ca="1" si="7"/>
        <v>49</v>
      </c>
      <c r="D57" s="11" t="s">
        <v>99</v>
      </c>
      <c r="F57" s="4" t="s">
        <v>100</v>
      </c>
      <c r="I57" s="4">
        <v>-511.00759105070745</v>
      </c>
      <c r="J57" s="4"/>
      <c r="K57" s="4">
        <v>37655.292732782444</v>
      </c>
      <c r="L57" s="4"/>
      <c r="M57" s="4">
        <f t="shared" si="8"/>
        <v>4145.6117796271074</v>
      </c>
      <c r="P57" s="4" cm="1">
        <f t="array" ref="P57">+SUM('Exh. BGM-3 (Detail)'!Q$9:Q$84*('Exh. BGM-3 (Detail)'!$D$9:$D$84=$D57))</f>
        <v>-511.00759105070745</v>
      </c>
      <c r="Q57" s="4"/>
      <c r="R57" s="4" cm="1">
        <f t="array" ref="R57">+SUM('Exh. BGM-3 (Detail)'!S$9:S$84*('Exh. BGM-3 (Detail)'!$D$9:$D$84=$D57))</f>
        <v>37655.292732782444</v>
      </c>
      <c r="S57" s="4"/>
      <c r="T57" s="4">
        <f t="shared" si="9"/>
        <v>4145.6117796271074</v>
      </c>
      <c r="W57" s="4">
        <f t="shared" si="6"/>
        <v>0</v>
      </c>
      <c r="X57" s="4"/>
      <c r="Y57" s="4">
        <f t="shared" si="5"/>
        <v>0</v>
      </c>
      <c r="Z57" s="4"/>
      <c r="AA57" s="4">
        <f t="shared" si="5"/>
        <v>0</v>
      </c>
      <c r="AB57" s="7"/>
      <c r="AC57" s="4">
        <f t="shared" si="10"/>
        <v>0</v>
      </c>
      <c r="AE57" s="6"/>
      <c r="AF57" s="6"/>
      <c r="AH57" s="5"/>
      <c r="AI57" s="1"/>
      <c r="AK57" s="23"/>
      <c r="AL57" s="4"/>
      <c r="AO57" s="4"/>
    </row>
    <row r="58" spans="2:41" x14ac:dyDescent="0.2">
      <c r="B58" s="1">
        <f t="shared" ca="1" si="7"/>
        <v>50</v>
      </c>
      <c r="D58" s="11" t="s">
        <v>64</v>
      </c>
      <c r="F58" s="4" t="s">
        <v>109</v>
      </c>
      <c r="I58" s="4">
        <v>-842.67137166241412</v>
      </c>
      <c r="J58" s="4"/>
      <c r="K58" s="4">
        <v>-2.8005264279410187</v>
      </c>
      <c r="L58" s="4"/>
      <c r="M58" s="4">
        <f t="shared" si="8"/>
        <v>1120.5841494421545</v>
      </c>
      <c r="P58" s="4" cm="1">
        <f t="array" ref="P58">+SUM('Exh. BGM-3 (Detail)'!Q$9:Q$84*('Exh. BGM-3 (Detail)'!$D$9:$D$84=$D58))</f>
        <v>0</v>
      </c>
      <c r="Q58" s="4"/>
      <c r="R58" s="4" cm="1">
        <f t="array" ref="R58">+SUM('Exh. BGM-3 (Detail)'!S$9:S$84*('Exh. BGM-3 (Detail)'!$D$9:$D$84=$D58))</f>
        <v>0</v>
      </c>
      <c r="S58" s="4"/>
      <c r="T58" s="4">
        <f t="shared" si="9"/>
        <v>0</v>
      </c>
      <c r="W58" s="4">
        <f t="shared" si="6"/>
        <v>1066.6726223574863</v>
      </c>
      <c r="X58" s="4"/>
      <c r="Y58" s="4">
        <f t="shared" si="5"/>
        <v>842.67137166241412</v>
      </c>
      <c r="Z58" s="4"/>
      <c r="AA58" s="4">
        <f t="shared" si="5"/>
        <v>2.8005264279410187</v>
      </c>
      <c r="AB58" s="7"/>
      <c r="AC58" s="4">
        <f t="shared" si="10"/>
        <v>-1120.5841494421545</v>
      </c>
      <c r="AE58" s="6" t="s">
        <v>268</v>
      </c>
      <c r="AF58" s="6"/>
      <c r="AH58" s="5"/>
      <c r="AL58" s="4"/>
      <c r="AO58" s="4"/>
    </row>
    <row r="59" spans="2:41" x14ac:dyDescent="0.2">
      <c r="B59" s="1">
        <f t="shared" ca="1" si="7"/>
        <v>51</v>
      </c>
      <c r="D59" s="11" t="s">
        <v>85</v>
      </c>
      <c r="F59" s="4" t="s">
        <v>86</v>
      </c>
      <c r="I59" s="4">
        <v>0</v>
      </c>
      <c r="J59" s="4"/>
      <c r="K59" s="4">
        <v>-144705.06951099707</v>
      </c>
      <c r="L59" s="4"/>
      <c r="M59" s="4">
        <f t="shared" si="8"/>
        <v>-13319.13331669947</v>
      </c>
      <c r="P59" s="4" cm="1">
        <f t="array" ref="P59">+SUM('Exh. BGM-3 (Detail)'!Q$9:Q$84*('Exh. BGM-3 (Detail)'!$D$9:$D$84=$D59))</f>
        <v>0</v>
      </c>
      <c r="Q59" s="4"/>
      <c r="R59" s="4" cm="1">
        <f t="array" ref="R59">+SUM('Exh. BGM-3 (Detail)'!S$9:S$84*('Exh. BGM-3 (Detail)'!$D$9:$D$84=$D59))</f>
        <v>-144705.06951099707</v>
      </c>
      <c r="S59" s="4"/>
      <c r="T59" s="4">
        <f t="shared" si="9"/>
        <v>-13319.13331669947</v>
      </c>
      <c r="W59" s="4">
        <f t="shared" si="6"/>
        <v>0</v>
      </c>
      <c r="X59" s="4"/>
      <c r="Y59" s="4">
        <f t="shared" si="5"/>
        <v>0</v>
      </c>
      <c r="Z59" s="4"/>
      <c r="AA59" s="4">
        <f t="shared" si="5"/>
        <v>0</v>
      </c>
      <c r="AB59" s="7"/>
      <c r="AC59" s="4">
        <f t="shared" si="10"/>
        <v>0</v>
      </c>
      <c r="AE59" s="6"/>
      <c r="AH59" s="5"/>
      <c r="AI59" s="1"/>
      <c r="AK59" s="23"/>
      <c r="AL59" s="4"/>
      <c r="AO59" s="4"/>
    </row>
    <row r="60" spans="2:41" x14ac:dyDescent="0.2">
      <c r="B60" s="1">
        <f t="shared" ca="1" si="7"/>
        <v>52</v>
      </c>
      <c r="D60" s="11" t="s">
        <v>87</v>
      </c>
      <c r="F60" s="4" t="s">
        <v>111</v>
      </c>
      <c r="I60" s="4">
        <v>-315.58597754791975</v>
      </c>
      <c r="J60" s="4"/>
      <c r="K60" s="4">
        <v>-22651.761900813635</v>
      </c>
      <c r="L60" s="4"/>
      <c r="M60" s="4">
        <f t="shared" si="8"/>
        <v>-1665.1804234901754</v>
      </c>
      <c r="P60" s="4" cm="1">
        <f t="array" ref="P60">+SUM('Exh. BGM-3 (Detail)'!Q$9:Q$84*('Exh. BGM-3 (Detail)'!$D$9:$D$84=$D60))</f>
        <v>-315.58597754791975</v>
      </c>
      <c r="Q60" s="4"/>
      <c r="R60" s="4" cm="1">
        <f t="array" ref="R60">+SUM('Exh. BGM-3 (Detail)'!S$9:S$84*('Exh. BGM-3 (Detail)'!$D$9:$D$84=$D60))</f>
        <v>-22651.761900813635</v>
      </c>
      <c r="S60" s="4"/>
      <c r="T60" s="4">
        <f t="shared" si="9"/>
        <v>-1665.1804234901754</v>
      </c>
      <c r="W60" s="4">
        <f t="shared" si="6"/>
        <v>0</v>
      </c>
      <c r="X60" s="4"/>
      <c r="Y60" s="4">
        <f t="shared" si="5"/>
        <v>0</v>
      </c>
      <c r="Z60" s="4"/>
      <c r="AA60" s="4">
        <f t="shared" si="5"/>
        <v>0</v>
      </c>
      <c r="AB60" s="7"/>
      <c r="AC60" s="4">
        <f t="shared" si="10"/>
        <v>0</v>
      </c>
      <c r="AE60" s="6"/>
      <c r="AF60" s="6"/>
      <c r="AH60" s="5"/>
      <c r="AI60" s="1"/>
      <c r="AK60" s="23"/>
      <c r="AL60" s="4"/>
      <c r="AO60" s="4"/>
    </row>
    <row r="61" spans="2:41" x14ac:dyDescent="0.2">
      <c r="B61" s="1">
        <f t="shared" ca="1" si="7"/>
        <v>53</v>
      </c>
      <c r="D61" s="11" t="s">
        <v>88</v>
      </c>
      <c r="F61" s="4" t="s">
        <v>112</v>
      </c>
      <c r="I61" s="4">
        <v>918.03647581257678</v>
      </c>
      <c r="J61" s="4"/>
      <c r="K61" s="4">
        <v>-9976.9353349126213</v>
      </c>
      <c r="L61" s="4"/>
      <c r="M61" s="4">
        <f t="shared" si="8"/>
        <v>-2139.3956013254901</v>
      </c>
      <c r="P61" s="4" cm="1">
        <f t="array" ref="P61">+SUM('Exh. BGM-3 (Detail)'!Q$9:Q$84*('Exh. BGM-3 (Detail)'!$D$9:$D$84=$D61))</f>
        <v>918.03647581257678</v>
      </c>
      <c r="Q61" s="4"/>
      <c r="R61" s="4" cm="1">
        <f t="array" ref="R61">+SUM('Exh. BGM-3 (Detail)'!S$9:S$84*('Exh. BGM-3 (Detail)'!$D$9:$D$84=$D61))</f>
        <v>-9976.9353349126213</v>
      </c>
      <c r="S61" s="4"/>
      <c r="T61" s="4">
        <f t="shared" si="9"/>
        <v>-2139.3956013254901</v>
      </c>
      <c r="W61" s="4">
        <f t="shared" si="6"/>
        <v>0</v>
      </c>
      <c r="X61" s="4"/>
      <c r="Y61" s="4">
        <f t="shared" si="5"/>
        <v>0</v>
      </c>
      <c r="Z61" s="4"/>
      <c r="AA61" s="4">
        <f t="shared" si="5"/>
        <v>0</v>
      </c>
      <c r="AB61" s="7"/>
      <c r="AC61" s="4">
        <f t="shared" si="10"/>
        <v>0</v>
      </c>
      <c r="AE61" s="6"/>
      <c r="AF61" s="6"/>
      <c r="AH61" s="5"/>
      <c r="AI61" s="1"/>
      <c r="AK61" s="23"/>
      <c r="AL61" s="4"/>
      <c r="AO61" s="4"/>
    </row>
    <row r="62" spans="2:41" x14ac:dyDescent="0.2">
      <c r="B62" s="1">
        <f t="shared" ca="1" si="7"/>
        <v>54</v>
      </c>
      <c r="D62" s="11" t="s">
        <v>89</v>
      </c>
      <c r="F62" s="4" t="s">
        <v>90</v>
      </c>
      <c r="I62" s="4">
        <v>0</v>
      </c>
      <c r="J62" s="4"/>
      <c r="K62" s="4">
        <v>5211.8792933727946</v>
      </c>
      <c r="L62" s="4"/>
      <c r="M62" s="4">
        <f t="shared" si="8"/>
        <v>479.7186123026753</v>
      </c>
      <c r="P62" s="4" cm="1">
        <f t="array" ref="P62">+SUM('Exh. BGM-3 (Detail)'!Q$9:Q$84*('Exh. BGM-3 (Detail)'!$D$9:$D$84=$D62))</f>
        <v>0</v>
      </c>
      <c r="Q62" s="4"/>
      <c r="R62" s="4" cm="1">
        <f t="array" ref="R62">+SUM('Exh. BGM-3 (Detail)'!S$9:S$84*('Exh. BGM-3 (Detail)'!$D$9:$D$84=$D62))</f>
        <v>5211.8792933727946</v>
      </c>
      <c r="S62" s="4"/>
      <c r="T62" s="4">
        <f t="shared" si="9"/>
        <v>479.7186123026753</v>
      </c>
      <c r="W62" s="4">
        <f t="shared" si="6"/>
        <v>0</v>
      </c>
      <c r="X62" s="4"/>
      <c r="Y62" s="4">
        <f t="shared" si="5"/>
        <v>0</v>
      </c>
      <c r="Z62" s="4"/>
      <c r="AA62" s="4">
        <f t="shared" si="5"/>
        <v>0</v>
      </c>
      <c r="AB62" s="7"/>
      <c r="AC62" s="4">
        <f t="shared" si="10"/>
        <v>0</v>
      </c>
      <c r="AE62" s="6"/>
      <c r="AF62" s="6"/>
      <c r="AH62" s="5"/>
      <c r="AI62" s="1"/>
      <c r="AK62" s="23"/>
      <c r="AL62" s="4"/>
      <c r="AO62" s="4"/>
    </row>
    <row r="63" spans="2:41" x14ac:dyDescent="0.2">
      <c r="B63" s="1">
        <f t="shared" ca="1" si="7"/>
        <v>55</v>
      </c>
      <c r="D63" s="11" t="s">
        <v>91</v>
      </c>
      <c r="F63" s="4" t="s">
        <v>92</v>
      </c>
      <c r="I63" s="4">
        <v>-2226.6114464667567</v>
      </c>
      <c r="J63" s="4"/>
      <c r="K63" s="4">
        <v>797.31523569899798</v>
      </c>
      <c r="L63" s="4"/>
      <c r="M63" s="4">
        <f t="shared" si="8"/>
        <v>3035.0159090967613</v>
      </c>
      <c r="P63" s="4" cm="1">
        <f t="array" ref="P63">+SUM('Exh. BGM-3 (Detail)'!Q$9:Q$84*('Exh. BGM-3 (Detail)'!$D$9:$D$84=$D63))</f>
        <v>-2226.6114464667567</v>
      </c>
      <c r="Q63" s="4"/>
      <c r="R63" s="4" cm="1">
        <f t="array" ref="R63">+SUM('Exh. BGM-3 (Detail)'!S$9:S$84*('Exh. BGM-3 (Detail)'!$D$9:$D$84=$D63))</f>
        <v>797.31523569899798</v>
      </c>
      <c r="S63" s="4"/>
      <c r="T63" s="4">
        <f t="shared" si="9"/>
        <v>3035.0159090967613</v>
      </c>
      <c r="W63" s="4">
        <f t="shared" si="6"/>
        <v>0</v>
      </c>
      <c r="X63" s="4"/>
      <c r="Y63" s="4">
        <f t="shared" si="5"/>
        <v>0</v>
      </c>
      <c r="Z63" s="4"/>
      <c r="AA63" s="4">
        <f t="shared" si="5"/>
        <v>0</v>
      </c>
      <c r="AB63" s="7"/>
      <c r="AC63" s="4">
        <f t="shared" si="10"/>
        <v>0</v>
      </c>
      <c r="AE63" s="6"/>
      <c r="AF63" s="6"/>
      <c r="AH63" s="5"/>
      <c r="AI63" s="1"/>
      <c r="AK63" s="23"/>
      <c r="AL63" s="4"/>
      <c r="AO63" s="4"/>
    </row>
    <row r="64" spans="2:41" x14ac:dyDescent="0.2">
      <c r="B64" s="1">
        <f t="shared" ca="1" si="7"/>
        <v>56</v>
      </c>
      <c r="D64" s="11" t="s">
        <v>93</v>
      </c>
      <c r="F64" s="4" t="s">
        <v>114</v>
      </c>
      <c r="I64" s="4">
        <v>-45.557267758997796</v>
      </c>
      <c r="J64" s="4"/>
      <c r="K64" s="4">
        <v>3711.612342839454</v>
      </c>
      <c r="L64" s="4"/>
      <c r="M64" s="4">
        <f t="shared" si="8"/>
        <v>402.22505637451513</v>
      </c>
      <c r="P64" s="4" cm="1">
        <f t="array" ref="P64">+SUM('Exh. BGM-3 (Detail)'!Q$9:Q$84*('Exh. BGM-3 (Detail)'!$D$9:$D$84=$D64))</f>
        <v>-45.557267758997796</v>
      </c>
      <c r="Q64" s="4"/>
      <c r="R64" s="4" cm="1">
        <f t="array" ref="R64">+SUM('Exh. BGM-3 (Detail)'!S$9:S$84*('Exh. BGM-3 (Detail)'!$D$9:$D$84=$D64))</f>
        <v>3711.612342839454</v>
      </c>
      <c r="S64" s="4"/>
      <c r="T64" s="4">
        <f t="shared" si="9"/>
        <v>402.22505637451513</v>
      </c>
      <c r="W64" s="4">
        <f t="shared" si="6"/>
        <v>0</v>
      </c>
      <c r="X64" s="4"/>
      <c r="Y64" s="4">
        <f t="shared" si="5"/>
        <v>0</v>
      </c>
      <c r="Z64" s="4"/>
      <c r="AA64" s="4">
        <f t="shared" si="5"/>
        <v>0</v>
      </c>
      <c r="AB64" s="7"/>
      <c r="AC64" s="4">
        <f t="shared" si="10"/>
        <v>0</v>
      </c>
      <c r="AE64" s="6"/>
      <c r="AF64" s="6"/>
      <c r="AH64" s="5"/>
      <c r="AI64" s="1"/>
      <c r="AK64" s="23"/>
      <c r="AL64" s="4"/>
      <c r="AO64" s="4"/>
    </row>
    <row r="65" spans="2:41" x14ac:dyDescent="0.2">
      <c r="B65" s="1">
        <f t="shared" ca="1" si="7"/>
        <v>57</v>
      </c>
      <c r="D65" s="11" t="s">
        <v>94</v>
      </c>
      <c r="F65" s="4" t="s">
        <v>115</v>
      </c>
      <c r="I65" s="4">
        <v>-35.986363904692887</v>
      </c>
      <c r="J65" s="4"/>
      <c r="K65" s="4">
        <v>4061.2559190168968</v>
      </c>
      <c r="L65" s="4"/>
      <c r="M65" s="4">
        <f t="shared" si="8"/>
        <v>421.67709491721706</v>
      </c>
      <c r="P65" s="4" cm="1">
        <f t="array" ref="P65">+SUM('Exh. BGM-3 (Detail)'!Q$9:Q$84*('Exh. BGM-3 (Detail)'!$D$9:$D$84=$D65))</f>
        <v>-35.986363904692887</v>
      </c>
      <c r="Q65" s="4"/>
      <c r="R65" s="4" cm="1">
        <f t="array" ref="R65">+SUM('Exh. BGM-3 (Detail)'!S$9:S$84*('Exh. BGM-3 (Detail)'!$D$9:$D$84=$D65))</f>
        <v>4061.2559190168968</v>
      </c>
      <c r="S65" s="4"/>
      <c r="T65" s="4">
        <f t="shared" si="9"/>
        <v>421.67709491721706</v>
      </c>
      <c r="W65" s="4">
        <f t="shared" si="6"/>
        <v>0</v>
      </c>
      <c r="X65" s="4"/>
      <c r="Y65" s="4">
        <f t="shared" si="5"/>
        <v>0</v>
      </c>
      <c r="Z65" s="4"/>
      <c r="AA65" s="4">
        <f t="shared" si="5"/>
        <v>0</v>
      </c>
      <c r="AB65" s="7"/>
      <c r="AC65" s="4">
        <f t="shared" si="10"/>
        <v>0</v>
      </c>
      <c r="AE65" s="6"/>
      <c r="AF65" s="6"/>
      <c r="AH65" s="5"/>
      <c r="AI65" s="1"/>
      <c r="AK65" s="23"/>
      <c r="AL65" s="4"/>
      <c r="AO65" s="4"/>
    </row>
    <row r="66" spans="2:41" x14ac:dyDescent="0.2">
      <c r="B66" s="1">
        <f t="shared" ca="1" si="7"/>
        <v>58</v>
      </c>
      <c r="D66" s="11" t="s">
        <v>95</v>
      </c>
      <c r="F66" s="4" t="s">
        <v>113</v>
      </c>
      <c r="I66" s="4">
        <v>-806.4541538193464</v>
      </c>
      <c r="J66" s="4"/>
      <c r="K66" s="4">
        <v>0</v>
      </c>
      <c r="L66" s="4"/>
      <c r="M66" s="4">
        <f t="shared" si="8"/>
        <v>1072.669194513775</v>
      </c>
      <c r="P66" s="4" cm="1">
        <f t="array" ref="P66">+SUM('Exh. BGM-3 (Detail)'!Q$9:Q$84*('Exh. BGM-3 (Detail)'!$D$9:$D$84=$D66))</f>
        <v>-806.4541538193464</v>
      </c>
      <c r="Q66" s="4"/>
      <c r="R66" s="4" cm="1">
        <f t="array" ref="R66">+SUM('Exh. BGM-3 (Detail)'!S$9:S$84*('Exh. BGM-3 (Detail)'!$D$9:$D$84=$D66))</f>
        <v>0</v>
      </c>
      <c r="S66" s="4"/>
      <c r="T66" s="4">
        <f t="shared" si="9"/>
        <v>1072.669194513775</v>
      </c>
      <c r="W66" s="4">
        <f t="shared" si="6"/>
        <v>0</v>
      </c>
      <c r="X66" s="4"/>
      <c r="Y66" s="4">
        <f t="shared" si="5"/>
        <v>0</v>
      </c>
      <c r="Z66" s="4"/>
      <c r="AA66" s="4">
        <f t="shared" si="5"/>
        <v>0</v>
      </c>
      <c r="AB66" s="7"/>
      <c r="AC66" s="4">
        <f t="shared" si="10"/>
        <v>0</v>
      </c>
      <c r="AE66" s="6"/>
      <c r="AF66" s="6"/>
      <c r="AH66" s="5"/>
      <c r="AI66" s="1"/>
      <c r="AK66" s="23"/>
      <c r="AL66" s="4"/>
      <c r="AO66" s="4"/>
    </row>
    <row r="67" spans="2:41" x14ac:dyDescent="0.2">
      <c r="AF67" s="6"/>
      <c r="AH67" s="5"/>
      <c r="AI67" s="1"/>
      <c r="AK67" s="23"/>
      <c r="AL67" s="4"/>
    </row>
    <row r="68" spans="2:41" x14ac:dyDescent="0.2">
      <c r="C68" s="10"/>
      <c r="D68" s="11"/>
      <c r="E68" s="10"/>
      <c r="I68" s="13"/>
      <c r="J68" s="3"/>
      <c r="K68" s="13"/>
      <c r="L68" s="3"/>
      <c r="M68" s="13"/>
      <c r="O68" s="10"/>
      <c r="P68" s="13"/>
      <c r="Q68" s="3"/>
      <c r="R68" s="13"/>
      <c r="S68" s="3"/>
      <c r="T68" s="13"/>
      <c r="W68" s="13"/>
      <c r="X68" s="1"/>
      <c r="Y68" s="13"/>
      <c r="Z68" s="3"/>
      <c r="AA68" s="13"/>
      <c r="AB68" s="3"/>
      <c r="AC68" s="14"/>
      <c r="AE68" s="6"/>
      <c r="AH68" s="5"/>
      <c r="AI68" s="1"/>
      <c r="AK68" s="23"/>
      <c r="AL68" s="4"/>
    </row>
    <row r="69" spans="2:41" ht="13.5" thickBot="1" x14ac:dyDescent="0.25">
      <c r="B69" s="1">
        <f ca="1">+MAX(OFFSET($B$7,0,0,ROW($B69)-ROW($B$7),1))+1</f>
        <v>59</v>
      </c>
      <c r="D69" s="11"/>
      <c r="F69" s="10" t="s">
        <v>117</v>
      </c>
      <c r="I69" s="12">
        <f>+SUM(I7:I67)</f>
        <v>63540.888956076371</v>
      </c>
      <c r="J69" s="4"/>
      <c r="K69" s="12">
        <f>+SUM(K7:K67)</f>
        <v>1100424.3467003778</v>
      </c>
      <c r="L69" s="4"/>
      <c r="M69" s="12">
        <f>+($K69*$AL$17-$I69)/$AJ$4</f>
        <v>16770.604447327514</v>
      </c>
      <c r="P69" s="12">
        <f>+SUM(P7:P67)</f>
        <v>89358.956922251993</v>
      </c>
      <c r="Q69" s="4"/>
      <c r="R69" s="12">
        <f>+SUM(R7:R67)</f>
        <v>1073877.6001425651</v>
      </c>
      <c r="S69" s="4"/>
      <c r="T69" s="12">
        <f>+($R69*$AL$17-$P69)/$AJ$4</f>
        <v>-20013.602979950636</v>
      </c>
      <c r="U69" s="2"/>
      <c r="W69" s="12">
        <f>+SUM(W10:W66)</f>
        <v>32681.098691361534</v>
      </c>
      <c r="X69" s="7"/>
      <c r="Y69" s="12">
        <f>+SUM(Y10:Y66)</f>
        <v>25818.067966175615</v>
      </c>
      <c r="Z69" s="4"/>
      <c r="AA69" s="12">
        <f>+SUM(AA10:AA66)</f>
        <v>-26546.746557812818</v>
      </c>
      <c r="AB69" s="4"/>
      <c r="AC69" s="12">
        <f>+SUM(AC10:AC66)</f>
        <v>-36784.207427278146</v>
      </c>
      <c r="AE69" s="6"/>
      <c r="AF69" s="6"/>
      <c r="AH69" s="5"/>
    </row>
    <row r="70" spans="2:41" ht="13.5" thickTop="1" x14ac:dyDescent="0.2">
      <c r="D70" s="11"/>
      <c r="F70" s="10"/>
      <c r="I70" s="3"/>
      <c r="J70" s="4"/>
      <c r="K70" s="3"/>
      <c r="L70" s="4"/>
      <c r="M70" s="3"/>
      <c r="P70" s="3"/>
      <c r="Q70" s="4"/>
      <c r="R70" s="8"/>
      <c r="S70" s="9"/>
      <c r="T70" s="8"/>
      <c r="W70" s="3"/>
      <c r="X70" s="7"/>
      <c r="Y70" s="3"/>
      <c r="Z70" s="4"/>
      <c r="AA70" s="3"/>
      <c r="AB70" s="4"/>
      <c r="AC70" s="3"/>
      <c r="AE70" s="6"/>
      <c r="AF70" s="6"/>
      <c r="AH70" s="5"/>
    </row>
    <row r="71" spans="2:41" x14ac:dyDescent="0.2">
      <c r="F71" s="10" t="s">
        <v>152</v>
      </c>
      <c r="I71" s="3">
        <f>+M69*$AJ$4+I69</f>
        <v>76149.364791666143</v>
      </c>
      <c r="K71" s="3">
        <f>+K69</f>
        <v>1100424.3467003778</v>
      </c>
      <c r="M71" s="3">
        <f>+($K71*$AL$17-$I71)/$AJ$4</f>
        <v>0</v>
      </c>
      <c r="P71" s="3">
        <f>+T69*$AJ$4+P69</f>
        <v>74312.329929865504</v>
      </c>
      <c r="R71" s="3">
        <f>+R69</f>
        <v>1073877.6001425651</v>
      </c>
      <c r="T71" s="3">
        <f>+($K71*$AL$17-$I71)/$AJ$4</f>
        <v>0</v>
      </c>
      <c r="AF71" s="6"/>
    </row>
    <row r="73" spans="2:41" x14ac:dyDescent="0.2">
      <c r="AL73" s="4"/>
    </row>
    <row r="74" spans="2:41" x14ac:dyDescent="0.2">
      <c r="K74" s="1" t="s">
        <v>257</v>
      </c>
      <c r="M74" s="4">
        <v>26763.219068381724</v>
      </c>
      <c r="AL74" s="4"/>
    </row>
    <row r="75" spans="2:41" x14ac:dyDescent="0.2">
      <c r="K75" s="1" t="s">
        <v>164</v>
      </c>
      <c r="M75" s="4">
        <f>+M69-M74</f>
        <v>-9992.6146210542101</v>
      </c>
      <c r="AL75" s="4"/>
    </row>
    <row r="76" spans="2:41" x14ac:dyDescent="0.2">
      <c r="AL76" s="4"/>
    </row>
    <row r="77" spans="2:41" x14ac:dyDescent="0.2">
      <c r="B77" s="55"/>
      <c r="D77" s="57"/>
      <c r="E77" s="55"/>
      <c r="F77" s="21"/>
      <c r="I77" s="21"/>
      <c r="J77" s="21"/>
      <c r="K77" s="21"/>
      <c r="L77" s="21"/>
      <c r="M77" s="21"/>
      <c r="N77" s="22"/>
      <c r="O77" s="55"/>
      <c r="P77" s="21"/>
      <c r="Q77" s="21"/>
      <c r="R77" s="21"/>
      <c r="S77" s="21"/>
      <c r="T77" s="21"/>
      <c r="U77" s="55"/>
      <c r="V77" s="55"/>
      <c r="W77" s="21"/>
      <c r="X77" s="21"/>
      <c r="Y77" s="21"/>
      <c r="Z77" s="21"/>
      <c r="AA77" s="21"/>
      <c r="AB77" s="56"/>
      <c r="AC77" s="21"/>
      <c r="AL77" s="4"/>
    </row>
  </sheetData>
  <pageMargins left="0.25" right="0.25" top="0.75" bottom="0.75" header="0.3" footer="0.3"/>
  <pageSetup scale="95" pageOrder="overThenDown" orientation="landscape" r:id="rId1"/>
  <colBreaks count="1" manualBreakCount="1">
    <brk id="20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59B06-5090-4F04-9869-7D90D09E835D}">
  <sheetPr codeName="Sheet14">
    <tabColor rgb="FF57AAB5"/>
  </sheetPr>
  <dimension ref="A1:AW94"/>
  <sheetViews>
    <sheetView zoomScale="70" zoomScaleNormal="70" zoomScaleSheetLayoutView="25" workbookViewId="0"/>
  </sheetViews>
  <sheetFormatPr defaultColWidth="9.140625" defaultRowHeight="12.75" x14ac:dyDescent="0.2"/>
  <cols>
    <col min="1" max="1" width="1.42578125" style="1" customWidth="1"/>
    <col min="2" max="2" width="3.28515625" style="1" customWidth="1"/>
    <col min="3" max="3" width="1.42578125" style="1" customWidth="1"/>
    <col min="4" max="4" width="4.7109375" style="1" customWidth="1"/>
    <col min="5" max="5" width="4.42578125" style="1" customWidth="1"/>
    <col min="6" max="6" width="1.42578125" style="1" customWidth="1"/>
    <col min="7" max="7" width="53.140625" style="1" bestFit="1" customWidth="1"/>
    <col min="8" max="9" width="1.42578125" style="2" customWidth="1"/>
    <col min="10" max="10" width="10" style="1" customWidth="1"/>
    <col min="11" max="11" width="1.42578125" style="1" customWidth="1"/>
    <col min="12" max="12" width="10" style="1" customWidth="1"/>
    <col min="13" max="13" width="1.42578125" style="1" customWidth="1"/>
    <col min="14" max="14" width="10" style="1" customWidth="1"/>
    <col min="15" max="15" width="1.42578125" style="2" customWidth="1"/>
    <col min="16" max="16" width="1.42578125" style="1" customWidth="1"/>
    <col min="17" max="17" width="10" style="1" customWidth="1"/>
    <col min="18" max="18" width="1.42578125" style="1" customWidth="1"/>
    <col min="19" max="19" width="10" style="1" customWidth="1"/>
    <col min="20" max="20" width="1.42578125" style="1" customWidth="1"/>
    <col min="21" max="21" width="10" style="1" customWidth="1"/>
    <col min="22" max="23" width="1.42578125" style="1" customWidth="1"/>
    <col min="24" max="24" width="10" style="2" customWidth="1"/>
    <col min="25" max="25" width="1.42578125" style="2" customWidth="1"/>
    <col min="26" max="26" width="10" style="2" customWidth="1"/>
    <col min="27" max="27" width="1.28515625" style="2" customWidth="1"/>
    <col min="28" max="28" width="10" style="2" customWidth="1"/>
    <col min="29" max="29" width="1.42578125" style="2" customWidth="1"/>
    <col min="30" max="30" width="10" style="2" customWidth="1"/>
    <col min="31" max="31" width="1.42578125" style="2" customWidth="1"/>
    <col min="32" max="32" width="10" style="2" bestFit="1" customWidth="1"/>
    <col min="33" max="33" width="17.42578125" style="2" customWidth="1"/>
    <col min="34" max="35" width="2.7109375" style="2" customWidth="1"/>
    <col min="36" max="36" width="21.140625" style="2" customWidth="1"/>
    <col min="37" max="39" width="11.85546875" style="1" customWidth="1"/>
    <col min="40" max="41" width="9.140625" style="1"/>
    <col min="42" max="42" width="11" style="1" customWidth="1"/>
    <col min="43" max="43" width="9.140625" style="1"/>
    <col min="44" max="44" width="12.28515625" style="1" bestFit="1" customWidth="1"/>
    <col min="45" max="16384" width="9.140625" style="1"/>
  </cols>
  <sheetData>
    <row r="1" spans="1:49" x14ac:dyDescent="0.2">
      <c r="A1" s="10" t="s">
        <v>270</v>
      </c>
      <c r="B1" s="10"/>
      <c r="C1" s="10"/>
      <c r="F1" s="10"/>
      <c r="G1" s="10"/>
      <c r="J1" s="2"/>
      <c r="K1" s="10"/>
      <c r="L1" s="10"/>
      <c r="M1" s="10"/>
      <c r="N1" s="10"/>
      <c r="P1" s="10"/>
      <c r="Q1" s="10"/>
      <c r="R1" s="10"/>
      <c r="S1" s="10"/>
      <c r="T1" s="10"/>
      <c r="U1" s="10"/>
      <c r="Y1" s="6"/>
      <c r="AI1" s="5"/>
      <c r="AK1" s="2"/>
      <c r="AL1" s="2"/>
      <c r="AM1" s="2"/>
      <c r="AN1" s="2"/>
      <c r="AO1" s="2"/>
    </row>
    <row r="2" spans="1:49" x14ac:dyDescent="0.2">
      <c r="B2" s="10"/>
      <c r="C2" s="10"/>
      <c r="D2" s="10"/>
      <c r="E2" s="10"/>
      <c r="F2" s="10"/>
      <c r="G2" s="10"/>
      <c r="I2" s="20"/>
      <c r="J2" s="51" t="s">
        <v>147</v>
      </c>
      <c r="K2" s="52"/>
      <c r="L2" s="52"/>
      <c r="M2" s="52"/>
      <c r="N2" s="52"/>
      <c r="P2" s="10"/>
      <c r="Q2" s="51" t="s">
        <v>144</v>
      </c>
      <c r="R2" s="45"/>
      <c r="S2" s="45"/>
      <c r="T2" s="45"/>
      <c r="U2" s="45"/>
      <c r="X2" s="51" t="s">
        <v>143</v>
      </c>
      <c r="Y2" s="50"/>
      <c r="Z2" s="49"/>
      <c r="AA2" s="49"/>
      <c r="AB2" s="49"/>
      <c r="AC2" s="49"/>
      <c r="AD2" s="49"/>
      <c r="AE2" s="6"/>
      <c r="AF2" s="6"/>
      <c r="AG2" s="6"/>
      <c r="AI2" s="5"/>
      <c r="AJ2" s="48" t="s">
        <v>142</v>
      </c>
      <c r="AK2" s="48"/>
      <c r="AL2" s="48"/>
      <c r="AM2" s="48"/>
      <c r="AN2" s="2"/>
      <c r="AO2" s="2"/>
    </row>
    <row r="3" spans="1:49" x14ac:dyDescent="0.2">
      <c r="B3" s="10"/>
      <c r="C3" s="10"/>
      <c r="D3" s="10"/>
      <c r="E3" s="10" t="s">
        <v>150</v>
      </c>
      <c r="F3" s="10"/>
      <c r="G3" s="10"/>
      <c r="J3" s="6"/>
      <c r="K3" s="6"/>
      <c r="L3" s="6"/>
      <c r="M3" s="6"/>
      <c r="N3" s="6" t="s">
        <v>140</v>
      </c>
      <c r="Q3" s="6"/>
      <c r="R3" s="6"/>
      <c r="S3" s="6"/>
      <c r="T3" s="6"/>
      <c r="U3" s="6" t="s">
        <v>140</v>
      </c>
      <c r="X3" s="6" t="s">
        <v>141</v>
      </c>
      <c r="Y3" s="6"/>
      <c r="Z3" s="6"/>
      <c r="AA3" s="6"/>
      <c r="AB3" s="6"/>
      <c r="AC3" s="6"/>
      <c r="AD3" s="6" t="s">
        <v>140</v>
      </c>
      <c r="AE3" s="6"/>
      <c r="AF3" s="6"/>
      <c r="AG3" s="6"/>
      <c r="AI3" s="5"/>
      <c r="AJ3" s="1"/>
    </row>
    <row r="4" spans="1:49" x14ac:dyDescent="0.2">
      <c r="B4" s="10"/>
      <c r="C4" s="10"/>
      <c r="D4" s="47" t="s">
        <v>139</v>
      </c>
      <c r="E4" s="47" t="s">
        <v>151</v>
      </c>
      <c r="F4" s="10"/>
      <c r="G4" s="10"/>
      <c r="J4" s="6" t="s">
        <v>138</v>
      </c>
      <c r="K4" s="6"/>
      <c r="L4" s="6"/>
      <c r="M4" s="6"/>
      <c r="N4" s="6" t="s">
        <v>136</v>
      </c>
      <c r="Q4" s="6" t="s">
        <v>138</v>
      </c>
      <c r="R4" s="6"/>
      <c r="S4" s="6"/>
      <c r="T4" s="6"/>
      <c r="U4" s="6" t="s">
        <v>136</v>
      </c>
      <c r="X4" s="6" t="s">
        <v>138</v>
      </c>
      <c r="Y4" s="6"/>
      <c r="Z4" s="6" t="s">
        <v>138</v>
      </c>
      <c r="AA4" s="6"/>
      <c r="AB4" s="6"/>
      <c r="AC4" s="6"/>
      <c r="AD4" s="6" t="s">
        <v>136</v>
      </c>
      <c r="AE4" s="6"/>
      <c r="AF4" s="6" t="s">
        <v>273</v>
      </c>
      <c r="AG4" s="6"/>
      <c r="AI4" s="5"/>
      <c r="AJ4" s="1" t="s">
        <v>137</v>
      </c>
      <c r="AK4" s="24">
        <v>0.75182000000000004</v>
      </c>
    </row>
    <row r="5" spans="1:49" x14ac:dyDescent="0.2">
      <c r="B5" s="45" t="s">
        <v>135</v>
      </c>
      <c r="C5" s="10"/>
      <c r="D5" s="46" t="s">
        <v>134</v>
      </c>
      <c r="E5" s="46" t="s">
        <v>134</v>
      </c>
      <c r="F5" s="10"/>
      <c r="G5" s="45" t="s">
        <v>133</v>
      </c>
      <c r="J5" s="43" t="s">
        <v>132</v>
      </c>
      <c r="K5" s="6"/>
      <c r="L5" s="43" t="s">
        <v>38</v>
      </c>
      <c r="M5" s="6"/>
      <c r="N5" s="43" t="s">
        <v>130</v>
      </c>
      <c r="Q5" s="43" t="s">
        <v>132</v>
      </c>
      <c r="R5" s="6"/>
      <c r="S5" s="43" t="s">
        <v>38</v>
      </c>
      <c r="T5" s="6"/>
      <c r="U5" s="43" t="s">
        <v>130</v>
      </c>
      <c r="X5" s="43" t="s">
        <v>132</v>
      </c>
      <c r="Y5" s="6"/>
      <c r="Z5" s="43" t="s">
        <v>132</v>
      </c>
      <c r="AA5" s="6"/>
      <c r="AB5" s="43" t="s">
        <v>38</v>
      </c>
      <c r="AC5" s="6"/>
      <c r="AD5" s="43" t="s">
        <v>130</v>
      </c>
      <c r="AE5" s="6"/>
      <c r="AF5" s="43" t="s">
        <v>274</v>
      </c>
      <c r="AG5" s="6"/>
      <c r="AI5" s="5"/>
      <c r="AJ5" s="1" t="s">
        <v>131</v>
      </c>
      <c r="AK5" s="44">
        <v>0.21</v>
      </c>
    </row>
    <row r="6" spans="1:49" x14ac:dyDescent="0.2">
      <c r="AF6" s="6"/>
      <c r="AG6" s="6"/>
      <c r="AI6" s="5"/>
      <c r="AJ6" s="1" t="s">
        <v>129</v>
      </c>
    </row>
    <row r="7" spans="1:49" x14ac:dyDescent="0.2">
      <c r="B7" s="1">
        <v>1</v>
      </c>
      <c r="D7" s="42"/>
      <c r="E7" s="42"/>
      <c r="F7" s="10"/>
      <c r="G7" s="10" t="s">
        <v>149</v>
      </c>
      <c r="J7" s="3">
        <v>67900.65365622002</v>
      </c>
      <c r="K7" s="3"/>
      <c r="L7" s="3">
        <v>1150397.5472251754</v>
      </c>
      <c r="M7" s="3"/>
      <c r="N7" s="3">
        <f>+($L7*$AM$17-$J7)/$AK$4</f>
        <v>15571.35565928297</v>
      </c>
      <c r="P7" s="10"/>
      <c r="Q7" s="41">
        <f>+J7</f>
        <v>67900.65365622002</v>
      </c>
      <c r="R7" s="3"/>
      <c r="S7" s="3">
        <f>+L7</f>
        <v>1150397.5472251754</v>
      </c>
      <c r="T7" s="3"/>
      <c r="U7" s="3">
        <f>+($S7*$AM$17-$Q7)/$AK$4</f>
        <v>15571.35565928297</v>
      </c>
      <c r="AF7" s="6"/>
      <c r="AG7" s="6"/>
      <c r="AI7" s="5"/>
      <c r="AJ7" s="1"/>
      <c r="AT7" s="40"/>
      <c r="AU7" s="39"/>
      <c r="AV7" s="39"/>
      <c r="AW7" s="39"/>
    </row>
    <row r="8" spans="1:49" x14ac:dyDescent="0.2">
      <c r="D8" s="11"/>
      <c r="E8" s="11"/>
      <c r="J8" s="4"/>
      <c r="K8" s="4"/>
      <c r="L8" s="4"/>
      <c r="M8" s="4"/>
      <c r="N8" s="4"/>
      <c r="Q8" s="4"/>
      <c r="R8" s="4"/>
      <c r="S8" s="4"/>
      <c r="T8" s="4"/>
      <c r="U8" s="4"/>
      <c r="AF8" s="6"/>
      <c r="AG8" s="6"/>
      <c r="AI8" s="5"/>
      <c r="AT8" s="40"/>
      <c r="AU8" s="39"/>
      <c r="AV8" s="39"/>
      <c r="AW8" s="39"/>
    </row>
    <row r="9" spans="1:49" x14ac:dyDescent="0.2">
      <c r="B9" s="20" t="s">
        <v>146</v>
      </c>
      <c r="D9" s="11"/>
      <c r="E9" s="11"/>
      <c r="J9" s="4"/>
      <c r="K9" s="4"/>
      <c r="L9" s="4"/>
      <c r="M9" s="4"/>
      <c r="N9" s="4"/>
      <c r="Q9" s="4"/>
      <c r="R9" s="4"/>
      <c r="S9" s="4"/>
      <c r="T9" s="4"/>
      <c r="U9" s="4"/>
      <c r="AF9" s="6"/>
      <c r="AG9" s="6"/>
      <c r="AI9" s="5"/>
      <c r="AU9" s="39"/>
      <c r="AV9" s="39"/>
    </row>
    <row r="10" spans="1:49" x14ac:dyDescent="0.2">
      <c r="B10" s="1">
        <f t="shared" ref="B10:B45" ca="1" si="0">+MAX(OFFSET($B$7,0,0,ROW($B10)-ROW($B$7),1))+1</f>
        <v>2</v>
      </c>
      <c r="D10" s="1" t="s">
        <v>0</v>
      </c>
      <c r="G10" s="4" t="s">
        <v>34</v>
      </c>
      <c r="J10" s="4">
        <v>-1770.0239909275265</v>
      </c>
      <c r="K10" s="4"/>
      <c r="L10" s="4">
        <v>0</v>
      </c>
      <c r="M10" s="4"/>
      <c r="N10" s="4">
        <f t="shared" ref="N10:N41" si="1">+($L10*$AM$17-$J10)/$AK$4</f>
        <v>2354.3188408495735</v>
      </c>
      <c r="Q10" s="4">
        <f>+J10+Z10</f>
        <v>-1770.0239909275265</v>
      </c>
      <c r="R10" s="4"/>
      <c r="S10" s="4">
        <f>+L10+AB10</f>
        <v>0</v>
      </c>
      <c r="T10" s="4"/>
      <c r="U10" s="4">
        <f t="shared" ref="U10:U41" si="2">+($S10*$AM$17-$Q10)/$AK$4</f>
        <v>2354.3188408495735</v>
      </c>
      <c r="X10" s="4">
        <v>0</v>
      </c>
      <c r="Y10" s="4"/>
      <c r="Z10" s="4">
        <f>+X10*(1-$AK$5)</f>
        <v>0</v>
      </c>
      <c r="AA10" s="4"/>
      <c r="AB10" s="4">
        <v>0</v>
      </c>
      <c r="AC10" s="7"/>
      <c r="AD10" s="4">
        <f t="shared" ref="AD10:AD45" si="3">+U10-N10</f>
        <v>0</v>
      </c>
      <c r="AF10" s="6"/>
      <c r="AG10" s="6"/>
      <c r="AI10" s="5"/>
      <c r="AJ10" s="2" t="s">
        <v>128</v>
      </c>
    </row>
    <row r="11" spans="1:49" x14ac:dyDescent="0.2">
      <c r="B11" s="1">
        <f t="shared" ca="1" si="0"/>
        <v>3</v>
      </c>
      <c r="D11" s="11" t="s">
        <v>2</v>
      </c>
      <c r="E11" s="11"/>
      <c r="G11" s="4" t="s">
        <v>50</v>
      </c>
      <c r="J11" s="4">
        <v>26633.457252209428</v>
      </c>
      <c r="K11" s="4"/>
      <c r="L11" s="4">
        <v>0</v>
      </c>
      <c r="M11" s="4"/>
      <c r="N11" s="4">
        <f t="shared" si="1"/>
        <v>-35425.310915125199</v>
      </c>
      <c r="Q11" s="4">
        <f t="shared" ref="Q11:Q83" si="4">+J11+Z11</f>
        <v>26633.457252209428</v>
      </c>
      <c r="R11" s="4"/>
      <c r="S11" s="4">
        <f t="shared" ref="S11:S83" si="5">+L11+AB11</f>
        <v>0</v>
      </c>
      <c r="T11" s="4"/>
      <c r="U11" s="4">
        <f t="shared" si="2"/>
        <v>-35425.310915125199</v>
      </c>
      <c r="X11" s="4">
        <v>0</v>
      </c>
      <c r="Y11" s="4"/>
      <c r="Z11" s="4">
        <f>+X11*(1-$AK$5)</f>
        <v>0</v>
      </c>
      <c r="AA11" s="4"/>
      <c r="AB11" s="4">
        <v>0</v>
      </c>
      <c r="AC11" s="7"/>
      <c r="AD11" s="4">
        <f t="shared" si="3"/>
        <v>0</v>
      </c>
      <c r="AF11" s="6"/>
      <c r="AG11" s="6"/>
      <c r="AI11" s="5"/>
    </row>
    <row r="12" spans="1:49" x14ac:dyDescent="0.2">
      <c r="B12" s="1">
        <f t="shared" ca="1" si="0"/>
        <v>4</v>
      </c>
      <c r="D12" s="11" t="s">
        <v>3</v>
      </c>
      <c r="E12" s="11"/>
      <c r="G12" s="4" t="s">
        <v>66</v>
      </c>
      <c r="J12" s="4">
        <v>1108.3873802914541</v>
      </c>
      <c r="K12" s="4"/>
      <c r="L12" s="4">
        <v>0</v>
      </c>
      <c r="M12" s="4"/>
      <c r="N12" s="4">
        <f t="shared" si="1"/>
        <v>-1474.2722730061105</v>
      </c>
      <c r="Q12" s="4">
        <f t="shared" si="4"/>
        <v>1108.3873802914541</v>
      </c>
      <c r="R12" s="4"/>
      <c r="S12" s="4">
        <f t="shared" si="5"/>
        <v>0</v>
      </c>
      <c r="T12" s="4"/>
      <c r="U12" s="4">
        <f t="shared" si="2"/>
        <v>-1474.2722730061105</v>
      </c>
      <c r="X12" s="4">
        <v>0</v>
      </c>
      <c r="Y12" s="4"/>
      <c r="Z12" s="4">
        <f>+X12*(1-$AK$5)</f>
        <v>0</v>
      </c>
      <c r="AA12" s="4"/>
      <c r="AB12" s="4">
        <v>0</v>
      </c>
      <c r="AC12" s="7"/>
      <c r="AD12" s="4">
        <f t="shared" si="3"/>
        <v>0</v>
      </c>
      <c r="AF12" s="6"/>
      <c r="AG12" s="6"/>
      <c r="AI12" s="5"/>
      <c r="AJ12" s="61" t="s">
        <v>126</v>
      </c>
      <c r="AK12" s="38" t="s">
        <v>124</v>
      </c>
      <c r="AL12" s="38"/>
      <c r="AM12" s="37" t="s">
        <v>123</v>
      </c>
    </row>
    <row r="13" spans="1:49" x14ac:dyDescent="0.2">
      <c r="B13" s="55">
        <f t="shared" ca="1" si="0"/>
        <v>5</v>
      </c>
      <c r="D13" s="63" t="s">
        <v>169</v>
      </c>
      <c r="E13" s="57" t="s">
        <v>260</v>
      </c>
      <c r="F13" s="55"/>
      <c r="G13" s="21" t="s">
        <v>170</v>
      </c>
      <c r="J13" s="21">
        <v>0</v>
      </c>
      <c r="K13" s="21"/>
      <c r="L13" s="21">
        <v>0</v>
      </c>
      <c r="M13" s="21"/>
      <c r="N13" s="21">
        <f t="shared" si="1"/>
        <v>0</v>
      </c>
      <c r="O13" s="22"/>
      <c r="P13" s="55"/>
      <c r="Q13" s="21">
        <f t="shared" si="4"/>
        <v>491.86545421710196</v>
      </c>
      <c r="R13" s="21"/>
      <c r="S13" s="21">
        <f t="shared" si="5"/>
        <v>0</v>
      </c>
      <c r="T13" s="21"/>
      <c r="U13" s="21">
        <f t="shared" si="2"/>
        <v>-654.23300020896215</v>
      </c>
      <c r="V13" s="55"/>
      <c r="W13" s="55"/>
      <c r="X13" s="21">
        <f>+Z13/(1-AK5)</f>
        <v>622.61449900898981</v>
      </c>
      <c r="Y13" s="21"/>
      <c r="Z13" s="21">
        <f>-'[2]Attach AWEC 084'!$E$131/1000*(AK4)</f>
        <v>491.86545421710196</v>
      </c>
      <c r="AA13" s="21"/>
      <c r="AB13" s="21">
        <v>0</v>
      </c>
      <c r="AC13" s="56"/>
      <c r="AD13" s="21">
        <f t="shared" si="3"/>
        <v>-654.23300020896215</v>
      </c>
      <c r="AF13" s="6" t="s">
        <v>269</v>
      </c>
      <c r="AG13" s="6"/>
      <c r="AI13" s="5"/>
      <c r="AJ13" s="62" t="s">
        <v>122</v>
      </c>
      <c r="AK13" s="36" t="s">
        <v>121</v>
      </c>
      <c r="AL13" s="36" t="s">
        <v>120</v>
      </c>
      <c r="AM13" s="35" t="s">
        <v>120</v>
      </c>
    </row>
    <row r="14" spans="1:49" x14ac:dyDescent="0.2">
      <c r="B14" s="1">
        <f t="shared" ca="1" si="0"/>
        <v>6</v>
      </c>
      <c r="D14" s="11" t="s">
        <v>1</v>
      </c>
      <c r="E14" s="11"/>
      <c r="G14" s="4" t="s">
        <v>54</v>
      </c>
      <c r="J14" s="4">
        <v>-136.54254179642362</v>
      </c>
      <c r="K14" s="4"/>
      <c r="L14" s="4">
        <v>0</v>
      </c>
      <c r="M14" s="4"/>
      <c r="N14" s="4">
        <f t="shared" si="1"/>
        <v>181.61600089971483</v>
      </c>
      <c r="Q14" s="4">
        <f t="shared" si="4"/>
        <v>-136.54254179642362</v>
      </c>
      <c r="R14" s="4"/>
      <c r="S14" s="4">
        <f t="shared" si="5"/>
        <v>0</v>
      </c>
      <c r="T14" s="4"/>
      <c r="U14" s="4">
        <f t="shared" si="2"/>
        <v>181.61600089971483</v>
      </c>
      <c r="X14" s="4">
        <v>0</v>
      </c>
      <c r="Y14" s="4"/>
      <c r="Z14" s="4">
        <f t="shared" ref="Z14:Z45" si="6">+X14*(1-$AK$5)</f>
        <v>0</v>
      </c>
      <c r="AA14" s="4"/>
      <c r="AB14" s="4">
        <v>0</v>
      </c>
      <c r="AC14" s="7"/>
      <c r="AD14" s="4">
        <f t="shared" si="3"/>
        <v>0</v>
      </c>
      <c r="AF14" s="6"/>
      <c r="AG14" s="6"/>
      <c r="AI14" s="5"/>
      <c r="AJ14" s="29" t="s">
        <v>119</v>
      </c>
      <c r="AK14" s="28">
        <v>0.4899</v>
      </c>
      <c r="AL14" s="28">
        <v>4.7699999999999999E-2</v>
      </c>
      <c r="AM14" s="30">
        <f>+AK14*AL14</f>
        <v>2.336823E-2</v>
      </c>
    </row>
    <row r="15" spans="1:49" x14ac:dyDescent="0.2">
      <c r="B15" s="1">
        <f t="shared" ca="1" si="0"/>
        <v>7</v>
      </c>
      <c r="D15" s="11" t="s">
        <v>4</v>
      </c>
      <c r="E15" s="11"/>
      <c r="G15" s="4" t="s">
        <v>51</v>
      </c>
      <c r="J15" s="4">
        <v>-297.09382560218165</v>
      </c>
      <c r="K15" s="4"/>
      <c r="L15" s="4">
        <v>0</v>
      </c>
      <c r="M15" s="4"/>
      <c r="N15" s="4">
        <f t="shared" si="1"/>
        <v>395.16616424434255</v>
      </c>
      <c r="Q15" s="4">
        <f t="shared" si="4"/>
        <v>-297.09382560218165</v>
      </c>
      <c r="R15" s="4"/>
      <c r="S15" s="4">
        <f t="shared" si="5"/>
        <v>0</v>
      </c>
      <c r="T15" s="4"/>
      <c r="U15" s="4">
        <f t="shared" si="2"/>
        <v>395.16616424434255</v>
      </c>
      <c r="X15" s="4">
        <v>0</v>
      </c>
      <c r="Y15" s="4"/>
      <c r="Z15" s="4">
        <f t="shared" si="6"/>
        <v>0</v>
      </c>
      <c r="AA15" s="4"/>
      <c r="AB15" s="4">
        <v>0</v>
      </c>
      <c r="AC15" s="7"/>
      <c r="AD15" s="4">
        <f t="shared" si="3"/>
        <v>0</v>
      </c>
      <c r="AF15" s="6"/>
      <c r="AG15" s="6"/>
      <c r="AI15" s="5"/>
      <c r="AJ15" s="29" t="s">
        <v>145</v>
      </c>
      <c r="AK15" s="28">
        <v>1E-4</v>
      </c>
      <c r="AL15" s="28">
        <v>6.7500000000000004E-2</v>
      </c>
      <c r="AM15" s="30">
        <f>+AK15*AL15</f>
        <v>6.7500000000000006E-6</v>
      </c>
    </row>
    <row r="16" spans="1:49" x14ac:dyDescent="0.2">
      <c r="B16" s="1">
        <f t="shared" ca="1" si="0"/>
        <v>8</v>
      </c>
      <c r="D16" s="11" t="s">
        <v>5</v>
      </c>
      <c r="E16" s="11"/>
      <c r="G16" s="4" t="s">
        <v>101</v>
      </c>
      <c r="J16" s="4">
        <v>-1427.5821033155141</v>
      </c>
      <c r="K16" s="4"/>
      <c r="L16" s="4">
        <v>0</v>
      </c>
      <c r="M16" s="4"/>
      <c r="N16" s="4">
        <f t="shared" si="1"/>
        <v>1898.8349649058473</v>
      </c>
      <c r="Q16" s="4">
        <f t="shared" si="4"/>
        <v>-1427.5821033155141</v>
      </c>
      <c r="R16" s="4"/>
      <c r="S16" s="4">
        <f t="shared" si="5"/>
        <v>0</v>
      </c>
      <c r="T16" s="4"/>
      <c r="U16" s="4">
        <f t="shared" si="2"/>
        <v>1898.8349649058473</v>
      </c>
      <c r="X16" s="4">
        <v>0</v>
      </c>
      <c r="Y16" s="4"/>
      <c r="Z16" s="4">
        <f t="shared" si="6"/>
        <v>0</v>
      </c>
      <c r="AA16" s="4"/>
      <c r="AB16" s="4">
        <v>0</v>
      </c>
      <c r="AC16" s="7"/>
      <c r="AD16" s="4">
        <f t="shared" si="3"/>
        <v>0</v>
      </c>
      <c r="AF16" s="6"/>
      <c r="AG16" s="6"/>
      <c r="AI16" s="5"/>
      <c r="AJ16" s="29" t="s">
        <v>118</v>
      </c>
      <c r="AK16" s="26">
        <f>1-SUM(AK12:AK15)</f>
        <v>0.51</v>
      </c>
      <c r="AL16" s="28">
        <v>0.09</v>
      </c>
      <c r="AM16" s="30">
        <f>+AK16*AL16</f>
        <v>4.5899999999999996E-2</v>
      </c>
    </row>
    <row r="17" spans="2:44" x14ac:dyDescent="0.2">
      <c r="B17" s="1">
        <f t="shared" ca="1" si="0"/>
        <v>9</v>
      </c>
      <c r="D17" s="11" t="s">
        <v>6</v>
      </c>
      <c r="E17" s="11"/>
      <c r="G17" s="4" t="s">
        <v>67</v>
      </c>
      <c r="J17" s="4">
        <v>481.48268291306243</v>
      </c>
      <c r="K17" s="4"/>
      <c r="L17" s="4">
        <v>0</v>
      </c>
      <c r="M17" s="4"/>
      <c r="N17" s="4">
        <f t="shared" si="1"/>
        <v>-640.42281784610998</v>
      </c>
      <c r="Q17" s="4">
        <f t="shared" si="4"/>
        <v>481.48268291306243</v>
      </c>
      <c r="R17" s="4"/>
      <c r="S17" s="4">
        <f t="shared" si="5"/>
        <v>0</v>
      </c>
      <c r="T17" s="4"/>
      <c r="U17" s="4">
        <f t="shared" si="2"/>
        <v>-640.42281784610998</v>
      </c>
      <c r="X17" s="4">
        <v>0</v>
      </c>
      <c r="Y17" s="4"/>
      <c r="Z17" s="4">
        <f t="shared" si="6"/>
        <v>0</v>
      </c>
      <c r="AA17" s="4"/>
      <c r="AB17" s="4">
        <v>0</v>
      </c>
      <c r="AC17" s="7"/>
      <c r="AD17" s="4">
        <f t="shared" si="3"/>
        <v>0</v>
      </c>
      <c r="AF17" s="6"/>
      <c r="AG17" s="6"/>
      <c r="AI17" s="5"/>
      <c r="AJ17" s="27" t="s">
        <v>43</v>
      </c>
      <c r="AK17" s="26">
        <v>1</v>
      </c>
      <c r="AL17" s="25"/>
      <c r="AM17" s="53">
        <f>+ROUNDDOWN(SUM(AM14:AM16),4)</f>
        <v>6.9199999999999998E-2</v>
      </c>
    </row>
    <row r="18" spans="2:44" x14ac:dyDescent="0.2">
      <c r="B18" s="1">
        <f t="shared" ca="1" si="0"/>
        <v>10</v>
      </c>
      <c r="D18" s="11" t="s">
        <v>7</v>
      </c>
      <c r="E18" s="11"/>
      <c r="G18" s="4" t="s">
        <v>41</v>
      </c>
      <c r="J18" s="4">
        <v>2790.2890550890224</v>
      </c>
      <c r="K18" s="4"/>
      <c r="L18" s="4">
        <v>-2506.736237041242</v>
      </c>
      <c r="M18" s="4"/>
      <c r="N18" s="4">
        <f t="shared" si="1"/>
        <v>-3942.1074229101064</v>
      </c>
      <c r="Q18" s="4">
        <f t="shared" si="4"/>
        <v>2790.2890550890224</v>
      </c>
      <c r="R18" s="4"/>
      <c r="S18" s="4">
        <f t="shared" si="5"/>
        <v>-2506.736237041242</v>
      </c>
      <c r="T18" s="4"/>
      <c r="U18" s="4">
        <f t="shared" si="2"/>
        <v>-3942.1074229101064</v>
      </c>
      <c r="X18" s="4">
        <v>0</v>
      </c>
      <c r="Y18" s="4"/>
      <c r="Z18" s="4">
        <f t="shared" si="6"/>
        <v>0</v>
      </c>
      <c r="AA18" s="4"/>
      <c r="AB18" s="4">
        <v>0</v>
      </c>
      <c r="AC18" s="7"/>
      <c r="AD18" s="4">
        <f t="shared" si="3"/>
        <v>0</v>
      </c>
      <c r="AF18" s="6" t="s">
        <v>268</v>
      </c>
      <c r="AG18" s="6"/>
      <c r="AI18" s="5"/>
      <c r="AJ18" s="1"/>
    </row>
    <row r="19" spans="2:44" x14ac:dyDescent="0.2">
      <c r="B19" s="55">
        <f t="shared" ca="1" si="0"/>
        <v>11</v>
      </c>
      <c r="D19" s="63" t="s">
        <v>169</v>
      </c>
      <c r="E19" s="57" t="s">
        <v>266</v>
      </c>
      <c r="F19" s="55"/>
      <c r="G19" s="21" t="s">
        <v>263</v>
      </c>
      <c r="J19" s="21">
        <v>0</v>
      </c>
      <c r="K19" s="21"/>
      <c r="L19" s="21">
        <v>0</v>
      </c>
      <c r="M19" s="21"/>
      <c r="N19" s="21">
        <f t="shared" si="1"/>
        <v>0</v>
      </c>
      <c r="O19" s="22"/>
      <c r="P19" s="55"/>
      <c r="Q19" s="21">
        <f t="shared" ref="Q19" si="7">+J19+Z19</f>
        <v>162.61834000000002</v>
      </c>
      <c r="R19" s="21"/>
      <c r="S19" s="21">
        <f t="shared" ref="S19" si="8">+L19+AB19</f>
        <v>0</v>
      </c>
      <c r="T19" s="21"/>
      <c r="U19" s="21">
        <f t="shared" si="2"/>
        <v>-216.29956638557101</v>
      </c>
      <c r="V19" s="55"/>
      <c r="W19" s="55"/>
      <c r="X19" s="21">
        <v>205.846</v>
      </c>
      <c r="Y19" s="21"/>
      <c r="Z19" s="21">
        <f t="shared" si="6"/>
        <v>162.61834000000002</v>
      </c>
      <c r="AA19" s="21"/>
      <c r="AB19" s="21">
        <v>0</v>
      </c>
      <c r="AC19" s="56"/>
      <c r="AD19" s="21">
        <f t="shared" ref="AD19" si="9">+U19-N19</f>
        <v>-216.29956638557101</v>
      </c>
      <c r="AF19" s="6" t="s">
        <v>269</v>
      </c>
      <c r="AG19" s="6"/>
      <c r="AI19" s="5"/>
    </row>
    <row r="20" spans="2:44" x14ac:dyDescent="0.2">
      <c r="B20" s="1">
        <f t="shared" ca="1" si="0"/>
        <v>12</v>
      </c>
      <c r="D20" s="11" t="s">
        <v>8</v>
      </c>
      <c r="E20" s="11"/>
      <c r="G20" s="4" t="s">
        <v>44</v>
      </c>
      <c r="J20" s="4">
        <v>-13.356484709469642</v>
      </c>
      <c r="K20" s="4"/>
      <c r="L20" s="4">
        <v>0</v>
      </c>
      <c r="M20" s="4"/>
      <c r="N20" s="4">
        <f t="shared" si="1"/>
        <v>17.765535247093243</v>
      </c>
      <c r="Q20" s="4">
        <f t="shared" si="4"/>
        <v>-13.356484709469642</v>
      </c>
      <c r="R20" s="4"/>
      <c r="S20" s="4">
        <f t="shared" si="5"/>
        <v>0</v>
      </c>
      <c r="T20" s="4"/>
      <c r="U20" s="4">
        <f t="shared" si="2"/>
        <v>17.765535247093243</v>
      </c>
      <c r="X20" s="4">
        <v>0</v>
      </c>
      <c r="Y20" s="4"/>
      <c r="Z20" s="4">
        <f t="shared" si="6"/>
        <v>0</v>
      </c>
      <c r="AA20" s="4"/>
      <c r="AB20" s="4">
        <v>0</v>
      </c>
      <c r="AC20" s="7"/>
      <c r="AD20" s="4">
        <f t="shared" si="3"/>
        <v>0</v>
      </c>
      <c r="AF20" s="6"/>
      <c r="AG20" s="6"/>
      <c r="AI20" s="5"/>
      <c r="AJ20" s="61" t="s">
        <v>125</v>
      </c>
      <c r="AK20" s="38" t="s">
        <v>124</v>
      </c>
      <c r="AL20" s="38"/>
      <c r="AM20" s="37" t="s">
        <v>123</v>
      </c>
    </row>
    <row r="21" spans="2:44" x14ac:dyDescent="0.2">
      <c r="B21" s="1">
        <f t="shared" ca="1" si="0"/>
        <v>13</v>
      </c>
      <c r="D21" s="11" t="s">
        <v>9</v>
      </c>
      <c r="E21" s="11"/>
      <c r="G21" s="4" t="s">
        <v>55</v>
      </c>
      <c r="J21" s="4">
        <v>0.60658654168849313</v>
      </c>
      <c r="K21" s="4"/>
      <c r="L21" s="4">
        <v>0</v>
      </c>
      <c r="M21" s="4"/>
      <c r="N21" s="4">
        <f t="shared" si="1"/>
        <v>-0.80682416228418119</v>
      </c>
      <c r="Q21" s="4">
        <f t="shared" si="4"/>
        <v>0.60658654168849313</v>
      </c>
      <c r="R21" s="4"/>
      <c r="S21" s="4">
        <f t="shared" si="5"/>
        <v>0</v>
      </c>
      <c r="T21" s="4"/>
      <c r="U21" s="4">
        <f t="shared" si="2"/>
        <v>-0.80682416228418119</v>
      </c>
      <c r="X21" s="4">
        <v>0</v>
      </c>
      <c r="Y21" s="4"/>
      <c r="Z21" s="4">
        <f t="shared" si="6"/>
        <v>0</v>
      </c>
      <c r="AA21" s="4"/>
      <c r="AB21" s="4">
        <v>0</v>
      </c>
      <c r="AC21" s="7"/>
      <c r="AD21" s="4">
        <f t="shared" si="3"/>
        <v>0</v>
      </c>
      <c r="AF21" s="6"/>
      <c r="AG21" s="6"/>
      <c r="AI21" s="5"/>
      <c r="AJ21" s="62" t="s">
        <v>122</v>
      </c>
      <c r="AK21" s="36" t="s">
        <v>121</v>
      </c>
      <c r="AL21" s="36" t="s">
        <v>120</v>
      </c>
      <c r="AM21" s="35" t="s">
        <v>120</v>
      </c>
    </row>
    <row r="22" spans="2:44" x14ac:dyDescent="0.2">
      <c r="B22" s="1">
        <f t="shared" ca="1" si="0"/>
        <v>14</v>
      </c>
      <c r="D22" s="11" t="s">
        <v>27</v>
      </c>
      <c r="E22" s="11"/>
      <c r="G22" s="4" t="s">
        <v>52</v>
      </c>
      <c r="J22" s="4">
        <v>-430.97333828135203</v>
      </c>
      <c r="K22" s="4"/>
      <c r="L22" s="4">
        <v>0</v>
      </c>
      <c r="M22" s="4"/>
      <c r="N22" s="4">
        <f t="shared" si="1"/>
        <v>573.24005517457897</v>
      </c>
      <c r="Q22" s="4">
        <f t="shared" si="4"/>
        <v>-430.97333828135203</v>
      </c>
      <c r="R22" s="4"/>
      <c r="S22" s="4">
        <f t="shared" si="5"/>
        <v>0</v>
      </c>
      <c r="T22" s="4"/>
      <c r="U22" s="4">
        <f t="shared" si="2"/>
        <v>573.24005517457897</v>
      </c>
      <c r="X22" s="4">
        <v>0</v>
      </c>
      <c r="Y22" s="4"/>
      <c r="Z22" s="4">
        <f t="shared" si="6"/>
        <v>0</v>
      </c>
      <c r="AA22" s="4"/>
      <c r="AB22" s="4">
        <v>0</v>
      </c>
      <c r="AC22" s="7"/>
      <c r="AD22" s="4">
        <f t="shared" si="3"/>
        <v>0</v>
      </c>
      <c r="AF22" s="6"/>
      <c r="AG22" s="6"/>
      <c r="AI22" s="5"/>
      <c r="AJ22" s="29" t="s">
        <v>119</v>
      </c>
      <c r="AK22" s="28">
        <v>0.48720000000000002</v>
      </c>
      <c r="AL22" s="28">
        <v>4.7699999999999999E-2</v>
      </c>
      <c r="AM22" s="30">
        <f>+AK22*AL22</f>
        <v>2.323944E-2</v>
      </c>
    </row>
    <row r="23" spans="2:44" x14ac:dyDescent="0.2">
      <c r="B23" s="1">
        <f t="shared" ca="1" si="0"/>
        <v>15</v>
      </c>
      <c r="D23" s="11" t="s">
        <v>39</v>
      </c>
      <c r="E23" s="11"/>
      <c r="G23" s="4" t="s">
        <v>68</v>
      </c>
      <c r="J23" s="4">
        <v>497.1306873436522</v>
      </c>
      <c r="K23" s="4"/>
      <c r="L23" s="4">
        <v>0</v>
      </c>
      <c r="M23" s="4"/>
      <c r="N23" s="4">
        <f t="shared" si="1"/>
        <v>-661.23631633057403</v>
      </c>
      <c r="Q23" s="4">
        <f t="shared" si="4"/>
        <v>497.1306873436522</v>
      </c>
      <c r="R23" s="4"/>
      <c r="S23" s="4">
        <f t="shared" si="5"/>
        <v>0</v>
      </c>
      <c r="T23" s="4"/>
      <c r="U23" s="4">
        <f t="shared" si="2"/>
        <v>-661.23631633057403</v>
      </c>
      <c r="X23" s="4">
        <v>0</v>
      </c>
      <c r="Y23" s="4"/>
      <c r="Z23" s="4">
        <f t="shared" si="6"/>
        <v>0</v>
      </c>
      <c r="AA23" s="4"/>
      <c r="AB23" s="4">
        <v>0</v>
      </c>
      <c r="AC23" s="7"/>
      <c r="AD23" s="4">
        <f t="shared" si="3"/>
        <v>0</v>
      </c>
      <c r="AF23" s="6"/>
      <c r="AG23" s="6"/>
      <c r="AI23" s="5"/>
      <c r="AJ23" s="29" t="s">
        <v>145</v>
      </c>
      <c r="AK23" s="28">
        <v>1E-4</v>
      </c>
      <c r="AL23" s="28">
        <v>6.7500000000000004E-2</v>
      </c>
      <c r="AM23" s="30">
        <f>+AK23*AL23</f>
        <v>6.7500000000000006E-6</v>
      </c>
    </row>
    <row r="24" spans="2:44" x14ac:dyDescent="0.2">
      <c r="B24" s="1">
        <f t="shared" ca="1" si="0"/>
        <v>16</v>
      </c>
      <c r="D24" s="11" t="s">
        <v>40</v>
      </c>
      <c r="E24" s="11"/>
      <c r="G24" s="4" t="s">
        <v>35</v>
      </c>
      <c r="J24" s="4">
        <v>-1585.3264299616194</v>
      </c>
      <c r="K24" s="4"/>
      <c r="L24" s="4">
        <v>0</v>
      </c>
      <c r="M24" s="4"/>
      <c r="N24" s="4">
        <f t="shared" si="1"/>
        <v>2108.6515787843091</v>
      </c>
      <c r="Q24" s="4">
        <f t="shared" si="4"/>
        <v>-1585.3264299616194</v>
      </c>
      <c r="R24" s="4"/>
      <c r="S24" s="4">
        <f t="shared" si="5"/>
        <v>0</v>
      </c>
      <c r="T24" s="4"/>
      <c r="U24" s="4">
        <f t="shared" si="2"/>
        <v>2108.6515787843091</v>
      </c>
      <c r="X24" s="4">
        <v>0</v>
      </c>
      <c r="Y24" s="4"/>
      <c r="Z24" s="4">
        <f t="shared" si="6"/>
        <v>0</v>
      </c>
      <c r="AA24" s="4"/>
      <c r="AB24" s="4">
        <v>0</v>
      </c>
      <c r="AC24" s="7"/>
      <c r="AD24" s="4">
        <f t="shared" si="3"/>
        <v>0</v>
      </c>
      <c r="AF24" s="6"/>
      <c r="AG24" s="6"/>
      <c r="AI24" s="5"/>
      <c r="AJ24" s="29" t="s">
        <v>118</v>
      </c>
      <c r="AK24" s="26">
        <v>0.51270000000000004</v>
      </c>
      <c r="AL24" s="28">
        <v>0.10299999999999999</v>
      </c>
      <c r="AM24" s="30">
        <f>+AK24*AL24</f>
        <v>5.2808100000000004E-2</v>
      </c>
    </row>
    <row r="25" spans="2:44" x14ac:dyDescent="0.2">
      <c r="B25" s="1">
        <f t="shared" ca="1" si="0"/>
        <v>17</v>
      </c>
      <c r="D25" s="11" t="s">
        <v>56</v>
      </c>
      <c r="E25" s="11"/>
      <c r="G25" s="4" t="s">
        <v>65</v>
      </c>
      <c r="J25" s="4">
        <v>-1048.5562867100648</v>
      </c>
      <c r="K25" s="4"/>
      <c r="L25" s="4">
        <v>1273.3281449545923</v>
      </c>
      <c r="M25" s="4"/>
      <c r="N25" s="4">
        <f t="shared" si="1"/>
        <v>1511.8919346930418</v>
      </c>
      <c r="Q25" s="4">
        <f t="shared" si="4"/>
        <v>-1048.5562867100648</v>
      </c>
      <c r="R25" s="4"/>
      <c r="S25" s="4">
        <f t="shared" si="5"/>
        <v>1273.3281449545923</v>
      </c>
      <c r="T25" s="4"/>
      <c r="U25" s="4">
        <f t="shared" si="2"/>
        <v>1511.8919346930418</v>
      </c>
      <c r="X25" s="4">
        <v>0</v>
      </c>
      <c r="Y25" s="4"/>
      <c r="Z25" s="4">
        <f t="shared" si="6"/>
        <v>0</v>
      </c>
      <c r="AA25" s="4"/>
      <c r="AB25" s="4">
        <v>0</v>
      </c>
      <c r="AC25" s="7"/>
      <c r="AD25" s="4">
        <f t="shared" si="3"/>
        <v>0</v>
      </c>
      <c r="AF25" s="6"/>
      <c r="AG25" s="6"/>
      <c r="AI25" s="5"/>
      <c r="AJ25" s="27" t="s">
        <v>43</v>
      </c>
      <c r="AK25" s="26">
        <v>1</v>
      </c>
      <c r="AL25" s="25"/>
      <c r="AM25" s="53">
        <f>+ROUNDDOWN(SUM(AM22:AM24),4)</f>
        <v>7.5999999999999998E-2</v>
      </c>
    </row>
    <row r="26" spans="2:44" ht="13.5" x14ac:dyDescent="0.25">
      <c r="B26" s="1">
        <f t="shared" ca="1" si="0"/>
        <v>18</v>
      </c>
      <c r="D26" s="11" t="s">
        <v>57</v>
      </c>
      <c r="E26" s="11"/>
      <c r="G26" s="4" t="s">
        <v>69</v>
      </c>
      <c r="J26" s="4">
        <v>-57.81138250799998</v>
      </c>
      <c r="K26" s="4"/>
      <c r="L26" s="4">
        <v>0</v>
      </c>
      <c r="M26" s="4"/>
      <c r="N26" s="4">
        <f t="shared" si="1"/>
        <v>76.895244218030882</v>
      </c>
      <c r="Q26" s="4">
        <f t="shared" si="4"/>
        <v>-57.81138250799998</v>
      </c>
      <c r="R26" s="4"/>
      <c r="S26" s="4">
        <f t="shared" si="5"/>
        <v>0</v>
      </c>
      <c r="T26" s="4"/>
      <c r="U26" s="4">
        <f t="shared" si="2"/>
        <v>76.895244218030882</v>
      </c>
      <c r="X26" s="4">
        <v>0</v>
      </c>
      <c r="Y26" s="4"/>
      <c r="Z26" s="4">
        <f t="shared" si="6"/>
        <v>0</v>
      </c>
      <c r="AA26" s="4"/>
      <c r="AB26" s="4">
        <v>0</v>
      </c>
      <c r="AC26" s="7"/>
      <c r="AD26" s="4">
        <f t="shared" si="3"/>
        <v>0</v>
      </c>
      <c r="AF26" s="6"/>
      <c r="AG26" s="6"/>
      <c r="AI26" s="5"/>
      <c r="AJ26" s="34"/>
      <c r="AL26" s="23"/>
      <c r="AM26" s="4"/>
    </row>
    <row r="27" spans="2:44" ht="13.5" x14ac:dyDescent="0.25">
      <c r="B27" s="1">
        <f t="shared" ca="1" si="0"/>
        <v>19</v>
      </c>
      <c r="D27" s="11" t="s">
        <v>58</v>
      </c>
      <c r="E27" s="11"/>
      <c r="G27" s="4" t="s">
        <v>98</v>
      </c>
      <c r="J27" s="4">
        <v>-3262.8471552752972</v>
      </c>
      <c r="K27" s="4"/>
      <c r="L27" s="4">
        <v>0</v>
      </c>
      <c r="M27" s="4"/>
      <c r="N27" s="4">
        <f t="shared" si="1"/>
        <v>4339.9313070619255</v>
      </c>
      <c r="Q27" s="4">
        <f t="shared" si="4"/>
        <v>-3262.8471552752972</v>
      </c>
      <c r="R27" s="4"/>
      <c r="S27" s="4">
        <f t="shared" si="5"/>
        <v>0</v>
      </c>
      <c r="T27" s="4"/>
      <c r="U27" s="4">
        <f t="shared" si="2"/>
        <v>4339.9313070619255</v>
      </c>
      <c r="X27" s="4">
        <v>0</v>
      </c>
      <c r="Y27" s="4"/>
      <c r="Z27" s="4">
        <f t="shared" si="6"/>
        <v>0</v>
      </c>
      <c r="AA27" s="4"/>
      <c r="AB27" s="4">
        <v>0</v>
      </c>
      <c r="AC27" s="7"/>
      <c r="AD27" s="4">
        <f t="shared" si="3"/>
        <v>0</v>
      </c>
      <c r="AF27" s="6"/>
      <c r="AG27" s="6"/>
      <c r="AI27" s="5"/>
      <c r="AJ27" s="34"/>
      <c r="AL27" s="23"/>
      <c r="AM27" s="4"/>
    </row>
    <row r="28" spans="2:44" x14ac:dyDescent="0.2">
      <c r="B28" s="1">
        <f t="shared" ca="1" si="0"/>
        <v>20</v>
      </c>
      <c r="D28" s="11" t="s">
        <v>10</v>
      </c>
      <c r="E28" s="11"/>
      <c r="G28" s="4" t="s">
        <v>102</v>
      </c>
      <c r="J28" s="4">
        <v>5642.0383509121584</v>
      </c>
      <c r="K28" s="4"/>
      <c r="L28" s="4">
        <v>0</v>
      </c>
      <c r="M28" s="4"/>
      <c r="N28" s="4">
        <f t="shared" si="1"/>
        <v>-7504.506864558216</v>
      </c>
      <c r="Q28" s="4">
        <f t="shared" si="4"/>
        <v>5642.0383509121584</v>
      </c>
      <c r="R28" s="4"/>
      <c r="S28" s="4">
        <f t="shared" si="5"/>
        <v>0</v>
      </c>
      <c r="T28" s="4"/>
      <c r="U28" s="4">
        <f t="shared" si="2"/>
        <v>-7504.506864558216</v>
      </c>
      <c r="X28" s="4">
        <v>0</v>
      </c>
      <c r="Y28" s="4"/>
      <c r="Z28" s="4">
        <f t="shared" si="6"/>
        <v>0</v>
      </c>
      <c r="AA28" s="4"/>
      <c r="AB28" s="4">
        <v>0</v>
      </c>
      <c r="AC28" s="7"/>
      <c r="AD28" s="4">
        <f t="shared" si="3"/>
        <v>0</v>
      </c>
      <c r="AF28" s="6"/>
      <c r="AG28" s="6"/>
      <c r="AI28" s="5"/>
      <c r="AP28" s="1" t="s">
        <v>254</v>
      </c>
    </row>
    <row r="29" spans="2:44" x14ac:dyDescent="0.2">
      <c r="B29" s="1">
        <f t="shared" ca="1" si="0"/>
        <v>21</v>
      </c>
      <c r="D29" s="11" t="s">
        <v>30</v>
      </c>
      <c r="E29" s="11"/>
      <c r="G29" s="4" t="s">
        <v>110</v>
      </c>
      <c r="J29" s="4">
        <v>-29331.180469829749</v>
      </c>
      <c r="K29" s="4"/>
      <c r="L29" s="4">
        <v>0</v>
      </c>
      <c r="M29" s="4"/>
      <c r="N29" s="4">
        <f t="shared" si="1"/>
        <v>39013.567702149114</v>
      </c>
      <c r="Q29" s="4">
        <f t="shared" si="4"/>
        <v>-29331.180469829749</v>
      </c>
      <c r="R29" s="4"/>
      <c r="S29" s="4">
        <f t="shared" si="5"/>
        <v>0</v>
      </c>
      <c r="T29" s="4"/>
      <c r="U29" s="4">
        <f t="shared" si="2"/>
        <v>39013.567702149114</v>
      </c>
      <c r="X29" s="4">
        <v>0</v>
      </c>
      <c r="Y29" s="4"/>
      <c r="Z29" s="4">
        <f t="shared" si="6"/>
        <v>0</v>
      </c>
      <c r="AA29" s="4"/>
      <c r="AB29" s="4">
        <v>0</v>
      </c>
      <c r="AC29" s="7"/>
      <c r="AD29" s="4">
        <f t="shared" si="3"/>
        <v>0</v>
      </c>
      <c r="AF29" s="6" t="s">
        <v>268</v>
      </c>
      <c r="AG29" s="6"/>
      <c r="AI29" s="5"/>
      <c r="AJ29" s="1"/>
      <c r="AP29" s="1" t="s">
        <v>252</v>
      </c>
      <c r="AQ29" s="1" t="s">
        <v>31</v>
      </c>
      <c r="AR29" s="1" t="s">
        <v>253</v>
      </c>
    </row>
    <row r="30" spans="2:44" x14ac:dyDescent="0.2">
      <c r="B30" s="55">
        <f t="shared" ca="1" si="0"/>
        <v>22</v>
      </c>
      <c r="D30" s="57" t="str">
        <f>+D29</f>
        <v>5.2</v>
      </c>
      <c r="E30" s="57" t="s">
        <v>160</v>
      </c>
      <c r="F30" s="55"/>
      <c r="G30" s="21" t="s">
        <v>153</v>
      </c>
      <c r="J30" s="21">
        <v>0</v>
      </c>
      <c r="K30" s="21"/>
      <c r="L30" s="21">
        <v>0</v>
      </c>
      <c r="M30" s="21"/>
      <c r="N30" s="21">
        <f t="shared" si="1"/>
        <v>0</v>
      </c>
      <c r="O30" s="22"/>
      <c r="P30" s="55"/>
      <c r="Q30" s="21">
        <f t="shared" ref="Q30" si="10">+J30+Z30</f>
        <v>4880.6522959015201</v>
      </c>
      <c r="R30" s="21"/>
      <c r="S30" s="21">
        <f t="shared" ref="S30" si="11">+L30+AB30</f>
        <v>0</v>
      </c>
      <c r="T30" s="21"/>
      <c r="U30" s="21">
        <f t="shared" si="2"/>
        <v>-6491.78300111931</v>
      </c>
      <c r="V30" s="55"/>
      <c r="W30" s="55"/>
      <c r="X30" s="21">
        <f>+AR32/1000</f>
        <v>6178.0408808880002</v>
      </c>
      <c r="Y30" s="21"/>
      <c r="Z30" s="21">
        <f t="shared" si="6"/>
        <v>4880.6522959015201</v>
      </c>
      <c r="AA30" s="21"/>
      <c r="AB30" s="21">
        <v>0</v>
      </c>
      <c r="AC30" s="56"/>
      <c r="AD30" s="21">
        <f t="shared" si="3"/>
        <v>-6491.78300111931</v>
      </c>
      <c r="AF30" s="6" t="s">
        <v>269</v>
      </c>
      <c r="AG30" s="6"/>
      <c r="AI30" s="5"/>
      <c r="AJ30" s="1"/>
      <c r="AP30" s="40">
        <v>10680593</v>
      </c>
      <c r="AQ30" s="1">
        <f>+AP30*2/3</f>
        <v>7120395.333333333</v>
      </c>
      <c r="AR30" s="4">
        <f>+AQ30*0.226134</f>
        <v>1610163.4783079999</v>
      </c>
    </row>
    <row r="31" spans="2:44" x14ac:dyDescent="0.2">
      <c r="B31" s="55">
        <f t="shared" ca="1" si="0"/>
        <v>23</v>
      </c>
      <c r="D31" s="57" t="str">
        <f>+D30</f>
        <v>5.2</v>
      </c>
      <c r="E31" s="57" t="s">
        <v>239</v>
      </c>
      <c r="F31" s="55"/>
      <c r="G31" s="21" t="s">
        <v>165</v>
      </c>
      <c r="J31" s="21">
        <v>0</v>
      </c>
      <c r="K31" s="21"/>
      <c r="L31" s="21">
        <v>0</v>
      </c>
      <c r="M31" s="21"/>
      <c r="N31" s="21">
        <f t="shared" si="1"/>
        <v>0</v>
      </c>
      <c r="O31" s="22"/>
      <c r="P31" s="55"/>
      <c r="Q31" s="21">
        <f t="shared" ref="Q31" si="12">+J31+Z31</f>
        <v>4004.9502133678957</v>
      </c>
      <c r="R31" s="21"/>
      <c r="S31" s="21">
        <f t="shared" ref="S31" si="13">+L31+AB31</f>
        <v>0</v>
      </c>
      <c r="T31" s="21"/>
      <c r="U31" s="21">
        <f t="shared" si="2"/>
        <v>-5327.0067481151009</v>
      </c>
      <c r="V31" s="55"/>
      <c r="W31" s="55"/>
      <c r="X31" s="21">
        <f>+'[3]Net position balancing'!$D$55/1000</f>
        <v>5069.5572321112604</v>
      </c>
      <c r="Y31" s="21"/>
      <c r="Z31" s="21">
        <f t="shared" si="6"/>
        <v>4004.9502133678957</v>
      </c>
      <c r="AA31" s="21"/>
      <c r="AB31" s="21">
        <v>0</v>
      </c>
      <c r="AC31" s="56"/>
      <c r="AD31" s="21">
        <f t="shared" si="3"/>
        <v>-5327.0067481151009</v>
      </c>
      <c r="AF31" s="6" t="s">
        <v>269</v>
      </c>
      <c r="AG31" s="6"/>
      <c r="AI31" s="5"/>
      <c r="AJ31" s="1"/>
      <c r="AP31" s="40">
        <v>30299805</v>
      </c>
      <c r="AQ31" s="1">
        <f>+AP31*2/3</f>
        <v>20199870</v>
      </c>
      <c r="AR31" s="4">
        <f>+AQ31*0.226134</f>
        <v>4567877.4025800005</v>
      </c>
    </row>
    <row r="32" spans="2:44" x14ac:dyDescent="0.2">
      <c r="B32" s="55">
        <f t="shared" ca="1" si="0"/>
        <v>24</v>
      </c>
      <c r="D32" s="57" t="str">
        <f>+D31</f>
        <v>5.2</v>
      </c>
      <c r="E32" s="57" t="s">
        <v>240</v>
      </c>
      <c r="F32" s="55"/>
      <c r="G32" s="21" t="s">
        <v>235</v>
      </c>
      <c r="J32" s="21">
        <v>0</v>
      </c>
      <c r="K32" s="21"/>
      <c r="L32" s="21">
        <v>0</v>
      </c>
      <c r="M32" s="21"/>
      <c r="N32" s="21">
        <f t="shared" si="1"/>
        <v>0</v>
      </c>
      <c r="O32" s="22"/>
      <c r="P32" s="55"/>
      <c r="Q32" s="21">
        <f t="shared" ref="Q32:Q33" si="14">+J32+Z32</f>
        <v>-257.09611487694502</v>
      </c>
      <c r="R32" s="21"/>
      <c r="S32" s="21">
        <f t="shared" ref="S32:S33" si="15">+L32+AB32</f>
        <v>0</v>
      </c>
      <c r="T32" s="21"/>
      <c r="U32" s="21">
        <f t="shared" si="2"/>
        <v>341.96498480613047</v>
      </c>
      <c r="V32" s="55"/>
      <c r="W32" s="55"/>
      <c r="X32" s="21">
        <f>-'[4]WA NPC'!$D$285/1000</f>
        <v>-325.43812009739878</v>
      </c>
      <c r="Y32" s="21"/>
      <c r="Z32" s="21">
        <f t="shared" ref="Z32:Z33" si="16">+X32*(1-$AK$5)</f>
        <v>-257.09611487694502</v>
      </c>
      <c r="AA32" s="21"/>
      <c r="AB32" s="21">
        <v>0</v>
      </c>
      <c r="AC32" s="56"/>
      <c r="AD32" s="21">
        <f t="shared" ref="AD32:AD33" si="17">+U32-N32</f>
        <v>341.96498480613047</v>
      </c>
      <c r="AF32" s="6" t="s">
        <v>269</v>
      </c>
      <c r="AG32" s="6"/>
      <c r="AI32" s="5"/>
      <c r="AJ32" s="1"/>
      <c r="AP32" s="40"/>
      <c r="AQ32" s="1">
        <f>+AQ31+AQ30</f>
        <v>27320265.333333332</v>
      </c>
      <c r="AR32" s="4">
        <f>+AR31+AR30</f>
        <v>6178040.8808880001</v>
      </c>
    </row>
    <row r="33" spans="2:44" x14ac:dyDescent="0.2">
      <c r="B33" s="55">
        <f t="shared" ca="1" si="0"/>
        <v>25</v>
      </c>
      <c r="D33" s="57" t="str">
        <f>+D32</f>
        <v>5.2</v>
      </c>
      <c r="E33" s="57" t="s">
        <v>241</v>
      </c>
      <c r="F33" s="55"/>
      <c r="G33" s="21" t="s">
        <v>256</v>
      </c>
      <c r="J33" s="21">
        <v>0</v>
      </c>
      <c r="K33" s="21"/>
      <c r="L33" s="21">
        <v>0</v>
      </c>
      <c r="M33" s="21"/>
      <c r="N33" s="21">
        <f t="shared" si="1"/>
        <v>0</v>
      </c>
      <c r="O33" s="22"/>
      <c r="P33" s="55"/>
      <c r="Q33" s="21">
        <f t="shared" si="14"/>
        <v>6152.0913435717412</v>
      </c>
      <c r="R33" s="21"/>
      <c r="S33" s="21">
        <f t="shared" si="15"/>
        <v>0</v>
      </c>
      <c r="T33" s="21"/>
      <c r="U33" s="21">
        <f t="shared" si="2"/>
        <v>-8182.9312116886231</v>
      </c>
      <c r="V33" s="55"/>
      <c r="W33" s="55"/>
      <c r="X33" s="21">
        <f>-'[5]WA NPC'!$D$285/1000</f>
        <v>7787.4573969262538</v>
      </c>
      <c r="Y33" s="21"/>
      <c r="Z33" s="21">
        <f t="shared" si="16"/>
        <v>6152.0913435717412</v>
      </c>
      <c r="AA33" s="21"/>
      <c r="AB33" s="21">
        <v>0</v>
      </c>
      <c r="AC33" s="56"/>
      <c r="AD33" s="21">
        <f t="shared" si="17"/>
        <v>-8182.9312116886231</v>
      </c>
      <c r="AF33" s="6" t="s">
        <v>269</v>
      </c>
      <c r="AG33" s="6"/>
      <c r="AI33" s="5"/>
      <c r="AJ33" s="1"/>
      <c r="AP33" s="40"/>
      <c r="AR33" s="4"/>
    </row>
    <row r="34" spans="2:44" x14ac:dyDescent="0.2">
      <c r="B34" s="1">
        <f t="shared" ca="1" si="0"/>
        <v>26</v>
      </c>
      <c r="D34" s="11" t="s">
        <v>59</v>
      </c>
      <c r="E34" s="11"/>
      <c r="G34" s="4" t="s">
        <v>70</v>
      </c>
      <c r="J34" s="4">
        <v>209.96157559967347</v>
      </c>
      <c r="K34" s="4"/>
      <c r="L34" s="4">
        <v>0</v>
      </c>
      <c r="M34" s="4"/>
      <c r="N34" s="4">
        <f t="shared" si="1"/>
        <v>-279.27106967049752</v>
      </c>
      <c r="Q34" s="4">
        <f t="shared" si="4"/>
        <v>209.96157559967347</v>
      </c>
      <c r="R34" s="4"/>
      <c r="S34" s="4">
        <f t="shared" si="5"/>
        <v>0</v>
      </c>
      <c r="T34" s="4"/>
      <c r="U34" s="4">
        <f t="shared" si="2"/>
        <v>-279.27106967049752</v>
      </c>
      <c r="X34" s="4">
        <v>0</v>
      </c>
      <c r="Y34" s="4"/>
      <c r="Z34" s="4">
        <f t="shared" si="6"/>
        <v>0</v>
      </c>
      <c r="AA34" s="4"/>
      <c r="AB34" s="4">
        <v>0</v>
      </c>
      <c r="AC34" s="7"/>
      <c r="AD34" s="4">
        <f t="shared" si="3"/>
        <v>0</v>
      </c>
      <c r="AF34" s="6"/>
      <c r="AG34" s="6"/>
      <c r="AI34" s="5"/>
      <c r="AJ34" s="1"/>
      <c r="AK34" s="39"/>
      <c r="AL34" s="39"/>
      <c r="AM34" s="59"/>
    </row>
    <row r="35" spans="2:44" x14ac:dyDescent="0.2">
      <c r="B35" s="1">
        <f t="shared" ca="1" si="0"/>
        <v>27</v>
      </c>
      <c r="D35" s="11" t="s">
        <v>60</v>
      </c>
      <c r="E35" s="11"/>
      <c r="G35" s="4" t="s">
        <v>103</v>
      </c>
      <c r="J35" s="4">
        <v>-90.171261740837309</v>
      </c>
      <c r="K35" s="4"/>
      <c r="L35" s="4">
        <v>0</v>
      </c>
      <c r="M35" s="4"/>
      <c r="N35" s="4">
        <f t="shared" si="1"/>
        <v>119.93730113702389</v>
      </c>
      <c r="Q35" s="4">
        <f t="shared" si="4"/>
        <v>-90.171261740837309</v>
      </c>
      <c r="R35" s="4"/>
      <c r="S35" s="4">
        <f t="shared" si="5"/>
        <v>0</v>
      </c>
      <c r="T35" s="4"/>
      <c r="U35" s="4">
        <f t="shared" si="2"/>
        <v>119.93730113702389</v>
      </c>
      <c r="X35" s="4">
        <v>0</v>
      </c>
      <c r="Y35" s="4"/>
      <c r="Z35" s="4">
        <f t="shared" si="6"/>
        <v>0</v>
      </c>
      <c r="AA35" s="4"/>
      <c r="AB35" s="4">
        <v>0</v>
      </c>
      <c r="AC35" s="7"/>
      <c r="AD35" s="4">
        <f t="shared" si="3"/>
        <v>0</v>
      </c>
      <c r="AF35" s="6"/>
      <c r="AG35" s="6"/>
      <c r="AI35" s="5"/>
      <c r="AJ35" s="1"/>
      <c r="AK35" s="39"/>
      <c r="AL35" s="39"/>
      <c r="AM35" s="59"/>
    </row>
    <row r="36" spans="2:44" x14ac:dyDescent="0.2">
      <c r="B36" s="1">
        <f t="shared" ca="1" si="0"/>
        <v>28</v>
      </c>
      <c r="D36" s="11" t="s">
        <v>96</v>
      </c>
      <c r="E36" s="11"/>
      <c r="G36" s="4" t="s">
        <v>97</v>
      </c>
      <c r="J36" s="4">
        <v>-29.843040000000002</v>
      </c>
      <c r="K36" s="4"/>
      <c r="L36" s="4">
        <v>0</v>
      </c>
      <c r="M36" s="4"/>
      <c r="N36" s="4">
        <f t="shared" si="1"/>
        <v>39.694394934957835</v>
      </c>
      <c r="Q36" s="4">
        <f t="shared" si="4"/>
        <v>-29.843040000000002</v>
      </c>
      <c r="R36" s="4"/>
      <c r="S36" s="4">
        <f t="shared" si="5"/>
        <v>0</v>
      </c>
      <c r="T36" s="4"/>
      <c r="U36" s="4">
        <f t="shared" si="2"/>
        <v>39.694394934957835</v>
      </c>
      <c r="X36" s="4">
        <v>0</v>
      </c>
      <c r="Y36" s="4"/>
      <c r="Z36" s="4">
        <f t="shared" si="6"/>
        <v>0</v>
      </c>
      <c r="AA36" s="4"/>
      <c r="AB36" s="4">
        <v>0</v>
      </c>
      <c r="AC36" s="7"/>
      <c r="AD36" s="4">
        <f t="shared" si="3"/>
        <v>0</v>
      </c>
      <c r="AF36" s="6"/>
      <c r="AG36" s="6"/>
      <c r="AI36" s="5"/>
      <c r="AJ36" s="1"/>
      <c r="AK36" s="39"/>
      <c r="AM36" s="59"/>
    </row>
    <row r="37" spans="2:44" x14ac:dyDescent="0.2">
      <c r="B37" s="1">
        <f t="shared" ca="1" si="0"/>
        <v>29</v>
      </c>
      <c r="D37" s="11" t="s">
        <v>11</v>
      </c>
      <c r="E37" s="11"/>
      <c r="G37" s="4" t="s">
        <v>104</v>
      </c>
      <c r="J37" s="4">
        <v>12327.645266699315</v>
      </c>
      <c r="K37" s="4"/>
      <c r="L37" s="4">
        <v>0</v>
      </c>
      <c r="M37" s="4"/>
      <c r="N37" s="4">
        <f t="shared" si="1"/>
        <v>-16397.070132078577</v>
      </c>
      <c r="Q37" s="4">
        <f t="shared" si="4"/>
        <v>12327.645266699315</v>
      </c>
      <c r="R37" s="4"/>
      <c r="S37" s="4">
        <f t="shared" si="5"/>
        <v>0</v>
      </c>
      <c r="T37" s="4"/>
      <c r="U37" s="4">
        <f t="shared" si="2"/>
        <v>-16397.070132078577</v>
      </c>
      <c r="X37" s="4">
        <v>0</v>
      </c>
      <c r="Y37" s="4"/>
      <c r="Z37" s="4">
        <f t="shared" si="6"/>
        <v>0</v>
      </c>
      <c r="AA37" s="4"/>
      <c r="AB37" s="4">
        <v>0</v>
      </c>
      <c r="AC37" s="7"/>
      <c r="AD37" s="4">
        <f t="shared" si="3"/>
        <v>0</v>
      </c>
      <c r="AF37" s="6" t="s">
        <v>268</v>
      </c>
      <c r="AG37" s="6"/>
      <c r="AI37" s="5"/>
      <c r="AJ37" s="1"/>
    </row>
    <row r="38" spans="2:44" x14ac:dyDescent="0.2">
      <c r="B38" s="55">
        <f t="shared" ca="1" si="0"/>
        <v>30</v>
      </c>
      <c r="D38" s="57" t="str">
        <f>+D37</f>
        <v>6.1</v>
      </c>
      <c r="E38" s="57" t="s">
        <v>234</v>
      </c>
      <c r="F38" s="55"/>
      <c r="G38" s="21" t="s">
        <v>233</v>
      </c>
      <c r="J38" s="21">
        <v>0</v>
      </c>
      <c r="K38" s="21"/>
      <c r="L38" s="21">
        <v>0</v>
      </c>
      <c r="M38" s="21"/>
      <c r="N38" s="21">
        <f t="shared" si="1"/>
        <v>0</v>
      </c>
      <c r="O38" s="22"/>
      <c r="P38" s="55"/>
      <c r="Q38" s="21">
        <f t="shared" si="4"/>
        <v>148.30628674396576</v>
      </c>
      <c r="R38" s="21"/>
      <c r="S38" s="21">
        <f t="shared" si="5"/>
        <v>0</v>
      </c>
      <c r="T38" s="21"/>
      <c r="U38" s="21">
        <f t="shared" si="2"/>
        <v>-197.2630240535843</v>
      </c>
      <c r="V38" s="55"/>
      <c r="W38" s="55"/>
      <c r="X38" s="21">
        <f>SUM('A1 (Elect. Adj.)'!E46:G46)</f>
        <v>187.72947689109589</v>
      </c>
      <c r="Y38" s="21"/>
      <c r="Z38" s="21">
        <f t="shared" si="6"/>
        <v>148.30628674396576</v>
      </c>
      <c r="AA38" s="21"/>
      <c r="AB38" s="21">
        <v>0</v>
      </c>
      <c r="AC38" s="56"/>
      <c r="AD38" s="21">
        <f t="shared" si="3"/>
        <v>-197.2630240535843</v>
      </c>
      <c r="AF38" s="6" t="s">
        <v>269</v>
      </c>
      <c r="AG38" s="6"/>
      <c r="AI38" s="5"/>
    </row>
    <row r="39" spans="2:44" x14ac:dyDescent="0.2">
      <c r="B39" s="1">
        <f t="shared" ca="1" si="0"/>
        <v>31</v>
      </c>
      <c r="D39" s="11" t="s">
        <v>45</v>
      </c>
      <c r="E39" s="11"/>
      <c r="G39" s="4" t="s">
        <v>71</v>
      </c>
      <c r="J39" s="4">
        <v>0</v>
      </c>
      <c r="K39" s="4"/>
      <c r="L39" s="4">
        <v>-87697.95259427595</v>
      </c>
      <c r="M39" s="4"/>
      <c r="N39" s="4">
        <f t="shared" si="1"/>
        <v>-8072.009682535574</v>
      </c>
      <c r="Q39" s="4">
        <f t="shared" si="4"/>
        <v>0</v>
      </c>
      <c r="R39" s="4"/>
      <c r="S39" s="4">
        <f t="shared" si="5"/>
        <v>-87697.95259427595</v>
      </c>
      <c r="T39" s="4"/>
      <c r="U39" s="4">
        <f t="shared" si="2"/>
        <v>-8072.009682535574</v>
      </c>
      <c r="X39" s="4">
        <v>0</v>
      </c>
      <c r="Y39" s="4"/>
      <c r="Z39" s="4">
        <f t="shared" si="6"/>
        <v>0</v>
      </c>
      <c r="AA39" s="4"/>
      <c r="AB39" s="4">
        <v>0</v>
      </c>
      <c r="AC39" s="7"/>
      <c r="AD39" s="4">
        <f t="shared" si="3"/>
        <v>0</v>
      </c>
      <c r="AF39" s="6" t="s">
        <v>268</v>
      </c>
      <c r="AG39" s="6"/>
      <c r="AI39" s="5"/>
      <c r="AJ39" s="1"/>
    </row>
    <row r="40" spans="2:44" x14ac:dyDescent="0.2">
      <c r="B40" s="55">
        <f t="shared" ca="1" si="0"/>
        <v>32</v>
      </c>
      <c r="D40" s="57" t="str">
        <f>+D39</f>
        <v>6.2</v>
      </c>
      <c r="E40" s="57" t="s">
        <v>234</v>
      </c>
      <c r="F40" s="55"/>
      <c r="G40" s="21" t="s">
        <v>233</v>
      </c>
      <c r="J40" s="21">
        <v>0</v>
      </c>
      <c r="K40" s="21"/>
      <c r="L40" s="21">
        <v>0</v>
      </c>
      <c r="M40" s="21"/>
      <c r="N40" s="21">
        <f t="shared" si="1"/>
        <v>0</v>
      </c>
      <c r="O40" s="22"/>
      <c r="P40" s="55"/>
      <c r="Q40" s="21">
        <f t="shared" si="4"/>
        <v>0</v>
      </c>
      <c r="R40" s="21"/>
      <c r="S40" s="21">
        <f t="shared" si="5"/>
        <v>378.12400310219135</v>
      </c>
      <c r="T40" s="21"/>
      <c r="U40" s="21">
        <f t="shared" si="2"/>
        <v>34.803784169976375</v>
      </c>
      <c r="V40" s="55"/>
      <c r="W40" s="55"/>
      <c r="X40" s="21">
        <v>0</v>
      </c>
      <c r="Y40" s="21"/>
      <c r="Z40" s="21">
        <f t="shared" si="6"/>
        <v>0</v>
      </c>
      <c r="AA40" s="21"/>
      <c r="AB40" s="21">
        <f>-SUM('A1 (Elect. Adj.)'!E52:G52,'A1 (Elect. Adj.)'!E71:G71)</f>
        <v>378.12400310219135</v>
      </c>
      <c r="AC40" s="56"/>
      <c r="AD40" s="21">
        <f t="shared" si="3"/>
        <v>34.803784169976375</v>
      </c>
      <c r="AF40" s="6" t="s">
        <v>269</v>
      </c>
      <c r="AG40" s="6"/>
      <c r="AI40" s="5"/>
      <c r="AJ40" s="1"/>
      <c r="AK40" s="39"/>
      <c r="AL40" s="39"/>
      <c r="AM40" s="59"/>
    </row>
    <row r="41" spans="2:44" x14ac:dyDescent="0.2">
      <c r="B41" s="1">
        <f t="shared" ca="1" si="0"/>
        <v>33</v>
      </c>
      <c r="D41" s="11" t="s">
        <v>47</v>
      </c>
      <c r="E41" s="11"/>
      <c r="G41" s="4" t="s">
        <v>72</v>
      </c>
      <c r="J41" s="4">
        <v>0</v>
      </c>
      <c r="K41" s="4"/>
      <c r="L41" s="4">
        <v>-27898.421393283395</v>
      </c>
      <c r="M41" s="4"/>
      <c r="N41" s="4">
        <f t="shared" si="1"/>
        <v>-2567.8629996744048</v>
      </c>
      <c r="Q41" s="4">
        <f t="shared" si="4"/>
        <v>0</v>
      </c>
      <c r="R41" s="4"/>
      <c r="S41" s="4">
        <f t="shared" si="5"/>
        <v>-27898.421393283395</v>
      </c>
      <c r="T41" s="4"/>
      <c r="U41" s="4">
        <f t="shared" si="2"/>
        <v>-2567.8629996744048</v>
      </c>
      <c r="X41" s="4">
        <v>0</v>
      </c>
      <c r="Y41" s="4"/>
      <c r="Z41" s="4">
        <f t="shared" si="6"/>
        <v>0</v>
      </c>
      <c r="AA41" s="4"/>
      <c r="AB41" s="4">
        <v>0</v>
      </c>
      <c r="AC41" s="7"/>
      <c r="AD41" s="4">
        <f t="shared" si="3"/>
        <v>0</v>
      </c>
      <c r="AF41" s="6"/>
      <c r="AG41" s="6"/>
      <c r="AI41" s="5"/>
      <c r="AJ41" s="1"/>
      <c r="AK41" s="39"/>
      <c r="AL41" s="39"/>
      <c r="AM41" s="59"/>
    </row>
    <row r="42" spans="2:44" x14ac:dyDescent="0.2">
      <c r="B42" s="1">
        <f t="shared" ca="1" si="0"/>
        <v>34</v>
      </c>
      <c r="D42" s="11" t="s">
        <v>49</v>
      </c>
      <c r="E42" s="11"/>
      <c r="G42" s="4" t="s">
        <v>73</v>
      </c>
      <c r="J42" s="4">
        <v>-4614.8485052821279</v>
      </c>
      <c r="K42" s="4"/>
      <c r="L42" s="4">
        <v>-12099.335422688095</v>
      </c>
      <c r="M42" s="4"/>
      <c r="N42" s="4">
        <f t="shared" ref="N42:N73" si="18">+($L42*$AM$17-$J42)/$AK$4</f>
        <v>5024.573028161145</v>
      </c>
      <c r="Q42" s="4">
        <f t="shared" si="4"/>
        <v>-4614.8485052821279</v>
      </c>
      <c r="R42" s="4"/>
      <c r="S42" s="4">
        <f t="shared" si="5"/>
        <v>-12099.335422688095</v>
      </c>
      <c r="T42" s="4"/>
      <c r="U42" s="4">
        <f t="shared" ref="U42:U73" si="19">+($S42*$AM$17-$Q42)/$AK$4</f>
        <v>5024.573028161145</v>
      </c>
      <c r="X42" s="4">
        <v>0</v>
      </c>
      <c r="Y42" s="4"/>
      <c r="Z42" s="4">
        <f t="shared" si="6"/>
        <v>0</v>
      </c>
      <c r="AA42" s="4"/>
      <c r="AB42" s="4">
        <v>0</v>
      </c>
      <c r="AC42" s="7"/>
      <c r="AD42" s="4">
        <f t="shared" si="3"/>
        <v>0</v>
      </c>
      <c r="AF42" s="6"/>
      <c r="AG42" s="6"/>
      <c r="AI42" s="5"/>
      <c r="AJ42" s="1"/>
      <c r="AK42" s="39"/>
      <c r="AM42" s="59"/>
    </row>
    <row r="43" spans="2:44" ht="13.5" x14ac:dyDescent="0.25">
      <c r="B43" s="1">
        <f t="shared" ca="1" si="0"/>
        <v>35</v>
      </c>
      <c r="D43" s="11" t="s">
        <v>12</v>
      </c>
      <c r="E43" s="11"/>
      <c r="G43" s="4" t="s">
        <v>75</v>
      </c>
      <c r="J43" s="4">
        <v>-468.46393584068198</v>
      </c>
      <c r="K43" s="4"/>
      <c r="L43" s="4">
        <v>0</v>
      </c>
      <c r="M43" s="4"/>
      <c r="N43" s="4">
        <f t="shared" si="18"/>
        <v>623.10650932494741</v>
      </c>
      <c r="Q43" s="4">
        <f t="shared" si="4"/>
        <v>-649.15416882925479</v>
      </c>
      <c r="R43" s="4"/>
      <c r="S43" s="4">
        <f t="shared" si="5"/>
        <v>0</v>
      </c>
      <c r="T43" s="4"/>
      <c r="U43" s="4">
        <f t="shared" si="19"/>
        <v>863.44360196490481</v>
      </c>
      <c r="X43" s="4">
        <v>0</v>
      </c>
      <c r="Y43" s="4"/>
      <c r="Z43" s="4">
        <f>+SUM(AD9:AD42,AD44:AD84)*AM22*AK5</f>
        <v>-180.69023298857277</v>
      </c>
      <c r="AA43" s="4"/>
      <c r="AB43" s="4">
        <v>0</v>
      </c>
      <c r="AC43" s="7"/>
      <c r="AD43" s="4">
        <f t="shared" si="3"/>
        <v>240.3370926399574</v>
      </c>
      <c r="AF43" s="6"/>
      <c r="AG43" s="6"/>
      <c r="AI43" s="5"/>
      <c r="AJ43" s="34"/>
      <c r="AL43" s="23"/>
      <c r="AM43" s="4"/>
    </row>
    <row r="44" spans="2:44" x14ac:dyDescent="0.2">
      <c r="B44" s="1">
        <f t="shared" ca="1" si="0"/>
        <v>36</v>
      </c>
      <c r="D44" s="11" t="s">
        <v>13</v>
      </c>
      <c r="E44" s="11"/>
      <c r="G44" s="4" t="s">
        <v>74</v>
      </c>
      <c r="J44" s="4">
        <v>-666.60884486836335</v>
      </c>
      <c r="K44" s="4"/>
      <c r="L44" s="4">
        <v>0</v>
      </c>
      <c r="M44" s="4"/>
      <c r="N44" s="4">
        <f t="shared" si="18"/>
        <v>886.66016449198389</v>
      </c>
      <c r="Q44" s="4">
        <f t="shared" si="4"/>
        <v>-666.60884486836335</v>
      </c>
      <c r="R44" s="4"/>
      <c r="S44" s="4">
        <f t="shared" si="5"/>
        <v>0</v>
      </c>
      <c r="T44" s="4"/>
      <c r="U44" s="4">
        <f t="shared" si="19"/>
        <v>886.66016449198389</v>
      </c>
      <c r="X44" s="4">
        <v>0</v>
      </c>
      <c r="Y44" s="4"/>
      <c r="Z44" s="4">
        <f t="shared" si="6"/>
        <v>0</v>
      </c>
      <c r="AA44" s="4"/>
      <c r="AB44" s="4">
        <v>0</v>
      </c>
      <c r="AC44" s="7"/>
      <c r="AD44" s="4">
        <f t="shared" si="3"/>
        <v>0</v>
      </c>
      <c r="AF44" s="6"/>
      <c r="AG44" s="6"/>
      <c r="AI44" s="5"/>
    </row>
    <row r="45" spans="2:44" x14ac:dyDescent="0.2">
      <c r="B45" s="1">
        <f t="shared" ca="1" si="0"/>
        <v>37</v>
      </c>
      <c r="D45" s="11" t="s">
        <v>14</v>
      </c>
      <c r="E45" s="11"/>
      <c r="G45" s="4" t="s">
        <v>76</v>
      </c>
      <c r="J45" s="4">
        <v>6025.906179179914</v>
      </c>
      <c r="K45" s="4"/>
      <c r="L45" s="4">
        <v>0</v>
      </c>
      <c r="M45" s="4"/>
      <c r="N45" s="4">
        <f t="shared" si="18"/>
        <v>-8015.0916165836416</v>
      </c>
      <c r="Q45" s="4">
        <f t="shared" si="4"/>
        <v>6025.906179179914</v>
      </c>
      <c r="R45" s="4"/>
      <c r="S45" s="4">
        <f t="shared" si="5"/>
        <v>0</v>
      </c>
      <c r="T45" s="4"/>
      <c r="U45" s="4">
        <f t="shared" si="19"/>
        <v>-8015.0916165836416</v>
      </c>
      <c r="X45" s="4">
        <v>0</v>
      </c>
      <c r="Y45" s="4"/>
      <c r="Z45" s="4">
        <f t="shared" si="6"/>
        <v>0</v>
      </c>
      <c r="AA45" s="4"/>
      <c r="AB45" s="4">
        <v>0</v>
      </c>
      <c r="AC45" s="7"/>
      <c r="AD45" s="4">
        <f t="shared" si="3"/>
        <v>0</v>
      </c>
      <c r="AF45" s="6" t="s">
        <v>268</v>
      </c>
      <c r="AG45" s="6"/>
      <c r="AI45" s="5"/>
      <c r="AJ45" s="1"/>
    </row>
    <row r="46" spans="2:44" x14ac:dyDescent="0.2">
      <c r="B46" s="55">
        <f t="shared" ref="B46:B48" ca="1" si="20">+MAX(OFFSET($B$7,0,0,ROW($B46)-ROW($B$7),1))+1</f>
        <v>38</v>
      </c>
      <c r="D46" s="57" t="str">
        <f t="shared" ref="D46:D48" si="21">+D45</f>
        <v>7.3</v>
      </c>
      <c r="E46" s="57" t="s">
        <v>242</v>
      </c>
      <c r="F46" s="55"/>
      <c r="G46" s="21" t="s">
        <v>249</v>
      </c>
      <c r="J46" s="21">
        <v>0</v>
      </c>
      <c r="K46" s="21"/>
      <c r="L46" s="21">
        <v>0</v>
      </c>
      <c r="M46" s="21"/>
      <c r="N46" s="21">
        <f t="shared" si="18"/>
        <v>0</v>
      </c>
      <c r="O46" s="22"/>
      <c r="P46" s="55"/>
      <c r="Q46" s="21">
        <f t="shared" ref="Q46:Q47" si="22">+J46+Z46</f>
        <v>618.26715871199997</v>
      </c>
      <c r="R46" s="21"/>
      <c r="S46" s="21">
        <f t="shared" ref="S46:S47" si="23">+L46+AB46</f>
        <v>0</v>
      </c>
      <c r="T46" s="21"/>
      <c r="U46" s="21">
        <f t="shared" si="19"/>
        <v>-822.36061651991156</v>
      </c>
      <c r="V46" s="55"/>
      <c r="W46" s="55"/>
      <c r="X46" s="21">
        <f>+Z46/(1-$AK$5)</f>
        <v>782.61665659746825</v>
      </c>
      <c r="Y46" s="21"/>
      <c r="Z46" s="21">
        <f>+'[6]PTC Rate'!$I$46/1000</f>
        <v>618.26715871199997</v>
      </c>
      <c r="AA46" s="21"/>
      <c r="AB46" s="21">
        <v>0</v>
      </c>
      <c r="AC46" s="56"/>
      <c r="AD46" s="21">
        <f t="shared" ref="AD46:AD47" si="24">+U46-N46</f>
        <v>-822.36061651991156</v>
      </c>
      <c r="AF46" s="6" t="s">
        <v>269</v>
      </c>
      <c r="AG46" s="6"/>
      <c r="AI46" s="5"/>
      <c r="AJ46" s="1"/>
    </row>
    <row r="47" spans="2:44" x14ac:dyDescent="0.2">
      <c r="B47" s="55">
        <f t="shared" ca="1" si="20"/>
        <v>39</v>
      </c>
      <c r="D47" s="57" t="str">
        <f t="shared" si="21"/>
        <v>7.3</v>
      </c>
      <c r="E47" s="57" t="s">
        <v>243</v>
      </c>
      <c r="F47" s="55"/>
      <c r="G47" s="21" t="s">
        <v>248</v>
      </c>
      <c r="J47" s="21">
        <v>0</v>
      </c>
      <c r="K47" s="21"/>
      <c r="L47" s="21">
        <v>0</v>
      </c>
      <c r="M47" s="21"/>
      <c r="N47" s="21">
        <f t="shared" si="18"/>
        <v>0</v>
      </c>
      <c r="O47" s="22"/>
      <c r="P47" s="55"/>
      <c r="Q47" s="21">
        <f t="shared" si="22"/>
        <v>484.66725914400001</v>
      </c>
      <c r="R47" s="21"/>
      <c r="S47" s="21">
        <f t="shared" si="23"/>
        <v>0</v>
      </c>
      <c r="T47" s="21"/>
      <c r="U47" s="21">
        <f t="shared" si="19"/>
        <v>-644.65864055758027</v>
      </c>
      <c r="V47" s="55"/>
      <c r="W47" s="55"/>
      <c r="X47" s="21">
        <f>+Z47/(1-$AK$5)</f>
        <v>613.50285967594937</v>
      </c>
      <c r="Y47" s="21"/>
      <c r="Z47" s="21">
        <f>+'[6]PTC RY1'!$I$47/1000</f>
        <v>484.66725914400001</v>
      </c>
      <c r="AA47" s="21"/>
      <c r="AB47" s="21">
        <v>0</v>
      </c>
      <c r="AC47" s="56"/>
      <c r="AD47" s="21">
        <f t="shared" si="24"/>
        <v>-644.65864055758027</v>
      </c>
      <c r="AF47" s="6" t="s">
        <v>269</v>
      </c>
      <c r="AG47" s="6"/>
      <c r="AI47" s="5"/>
      <c r="AJ47" s="1"/>
    </row>
    <row r="48" spans="2:44" x14ac:dyDescent="0.2">
      <c r="B48" s="55">
        <f t="shared" ca="1" si="20"/>
        <v>40</v>
      </c>
      <c r="D48" s="57" t="str">
        <f t="shared" si="21"/>
        <v>7.3</v>
      </c>
      <c r="E48" s="57" t="s">
        <v>244</v>
      </c>
      <c r="F48" s="55"/>
      <c r="G48" s="21" t="s">
        <v>255</v>
      </c>
      <c r="J48" s="21">
        <v>0</v>
      </c>
      <c r="K48" s="21"/>
      <c r="L48" s="21">
        <v>0</v>
      </c>
      <c r="M48" s="21"/>
      <c r="N48" s="21">
        <f t="shared" si="18"/>
        <v>0</v>
      </c>
      <c r="O48" s="22"/>
      <c r="P48" s="55"/>
      <c r="Q48" s="21">
        <f t="shared" ref="Q48" si="25">+J48+Z48</f>
        <v>278.58498822000001</v>
      </c>
      <c r="R48" s="21"/>
      <c r="S48" s="21">
        <f t="shared" ref="S48" si="26">+L48+AB48</f>
        <v>0</v>
      </c>
      <c r="T48" s="21"/>
      <c r="U48" s="21">
        <f t="shared" si="19"/>
        <v>-370.54745580059057</v>
      </c>
      <c r="V48" s="55"/>
      <c r="W48" s="55"/>
      <c r="X48" s="21">
        <f>+Z48/(1-$AK$5)</f>
        <v>352.6392255949367</v>
      </c>
      <c r="Y48" s="21"/>
      <c r="Z48" s="21">
        <f>+'[6]PTC Disallowance'!$I$47/1000</f>
        <v>278.58498822000001</v>
      </c>
      <c r="AA48" s="21"/>
      <c r="AB48" s="21">
        <v>0</v>
      </c>
      <c r="AC48" s="56"/>
      <c r="AD48" s="21">
        <f t="shared" ref="AD48" si="27">+U48-N48</f>
        <v>-370.54745580059057</v>
      </c>
      <c r="AF48" s="6" t="s">
        <v>269</v>
      </c>
      <c r="AG48" s="108"/>
      <c r="AI48" s="5"/>
      <c r="AJ48" s="1"/>
    </row>
    <row r="49" spans="2:39" x14ac:dyDescent="0.2">
      <c r="B49" s="1">
        <f ca="1">+MAX(OFFSET($B$7,0,0,ROW($B49)-ROW($B$7),1))+1</f>
        <v>41</v>
      </c>
      <c r="D49" s="11" t="s">
        <v>15</v>
      </c>
      <c r="E49" s="11"/>
      <c r="G49" s="4" t="s">
        <v>77</v>
      </c>
      <c r="J49" s="4">
        <v>3906.1572179042773</v>
      </c>
      <c r="K49" s="4"/>
      <c r="L49" s="4">
        <v>-32790.654435164703</v>
      </c>
      <c r="M49" s="4"/>
      <c r="N49" s="4">
        <f t="shared" si="18"/>
        <v>-8213.7619441058687</v>
      </c>
      <c r="Q49" s="4">
        <f t="shared" si="4"/>
        <v>3906.1572179042773</v>
      </c>
      <c r="R49" s="4"/>
      <c r="S49" s="4">
        <f t="shared" si="5"/>
        <v>-32790.654435164703</v>
      </c>
      <c r="T49" s="4"/>
      <c r="U49" s="4">
        <f t="shared" si="19"/>
        <v>-8213.7619441058687</v>
      </c>
      <c r="X49" s="4">
        <v>0</v>
      </c>
      <c r="Y49" s="4"/>
      <c r="Z49" s="4">
        <f>+X49*(1-$AK$5)</f>
        <v>0</v>
      </c>
      <c r="AA49" s="4"/>
      <c r="AB49" s="4">
        <v>0</v>
      </c>
      <c r="AC49" s="7"/>
      <c r="AD49" s="4">
        <f>+U49-N49</f>
        <v>0</v>
      </c>
      <c r="AF49" s="6"/>
      <c r="AG49" s="6"/>
      <c r="AI49" s="5"/>
      <c r="AJ49" s="1"/>
    </row>
    <row r="50" spans="2:39" x14ac:dyDescent="0.2">
      <c r="B50" s="1">
        <f ca="1">+MAX(OFFSET($B$7,0,0,ROW($B50)-ROW($B$7),1))+1</f>
        <v>42</v>
      </c>
      <c r="D50" s="11" t="s">
        <v>28</v>
      </c>
      <c r="E50" s="11"/>
      <c r="G50" s="4" t="s">
        <v>78</v>
      </c>
      <c r="J50" s="4">
        <v>-302.03550370207358</v>
      </c>
      <c r="K50" s="4"/>
      <c r="L50" s="4">
        <v>0</v>
      </c>
      <c r="M50" s="4"/>
      <c r="N50" s="4">
        <f t="shared" si="18"/>
        <v>401.7391180097278</v>
      </c>
      <c r="Q50" s="4">
        <f t="shared" si="4"/>
        <v>-302.03550370207358</v>
      </c>
      <c r="R50" s="4"/>
      <c r="S50" s="4">
        <f t="shared" si="5"/>
        <v>0</v>
      </c>
      <c r="T50" s="4"/>
      <c r="U50" s="4">
        <f t="shared" si="19"/>
        <v>401.7391180097278</v>
      </c>
      <c r="X50" s="4">
        <v>0</v>
      </c>
      <c r="Y50" s="4"/>
      <c r="Z50" s="4">
        <f>+X50*(1-$AK$5)</f>
        <v>0</v>
      </c>
      <c r="AA50" s="4"/>
      <c r="AB50" s="4">
        <v>0</v>
      </c>
      <c r="AC50" s="7"/>
      <c r="AD50" s="4">
        <f>+U50-N50</f>
        <v>0</v>
      </c>
      <c r="AF50" s="6"/>
      <c r="AG50" s="6"/>
      <c r="AI50" s="5"/>
      <c r="AJ50" s="1"/>
      <c r="AK50" s="39"/>
      <c r="AL50" s="39"/>
      <c r="AM50" s="59"/>
    </row>
    <row r="51" spans="2:39" x14ac:dyDescent="0.2">
      <c r="B51" s="1">
        <f ca="1">+MAX(OFFSET($B$7,0,0,ROW($B51)-ROW($B$7),1))+1</f>
        <v>43</v>
      </c>
      <c r="D51" s="11" t="s">
        <v>29</v>
      </c>
      <c r="E51" s="11"/>
      <c r="G51" s="4" t="s">
        <v>79</v>
      </c>
      <c r="J51" s="4">
        <v>-123.664</v>
      </c>
      <c r="K51" s="4"/>
      <c r="L51" s="4">
        <v>28172.848000000002</v>
      </c>
      <c r="M51" s="4"/>
      <c r="N51" s="4">
        <f t="shared" si="18"/>
        <v>2757.6083126280228</v>
      </c>
      <c r="Q51" s="4">
        <f t="shared" si="4"/>
        <v>-123.664</v>
      </c>
      <c r="R51" s="4"/>
      <c r="S51" s="4">
        <f t="shared" si="5"/>
        <v>28172.848000000002</v>
      </c>
      <c r="T51" s="4"/>
      <c r="U51" s="4">
        <f t="shared" si="19"/>
        <v>2757.6083126280228</v>
      </c>
      <c r="X51" s="4">
        <v>0</v>
      </c>
      <c r="Y51" s="4"/>
      <c r="Z51" s="4">
        <f>+X51*(1-$AK$5)</f>
        <v>0</v>
      </c>
      <c r="AA51" s="4"/>
      <c r="AB51" s="4">
        <v>0</v>
      </c>
      <c r="AC51" s="7"/>
      <c r="AD51" s="4">
        <f>+U51-N51</f>
        <v>0</v>
      </c>
      <c r="AF51" s="6"/>
      <c r="AG51" s="6"/>
      <c r="AI51" s="5"/>
      <c r="AJ51" s="1"/>
      <c r="AK51" s="39"/>
      <c r="AL51" s="39"/>
      <c r="AM51" s="59"/>
    </row>
    <row r="52" spans="2:39" x14ac:dyDescent="0.2">
      <c r="B52" s="1">
        <f t="shared" ref="B52:B55" ca="1" si="28">+MAX(OFFSET($B$7,0,0,ROW($B52)-ROW($B$7),1))+1</f>
        <v>44</v>
      </c>
      <c r="C52" s="18"/>
      <c r="D52" s="11" t="s">
        <v>16</v>
      </c>
      <c r="E52" s="11"/>
      <c r="F52" s="18"/>
      <c r="G52" s="4" t="s">
        <v>105</v>
      </c>
      <c r="H52" s="19"/>
      <c r="I52" s="19"/>
      <c r="J52" s="4">
        <v>-1019.5115900000001</v>
      </c>
      <c r="K52" s="4"/>
      <c r="L52" s="4">
        <v>0</v>
      </c>
      <c r="M52" s="16"/>
      <c r="N52" s="4">
        <f t="shared" si="18"/>
        <v>1356.0580857120055</v>
      </c>
      <c r="O52" s="19"/>
      <c r="P52" s="18"/>
      <c r="Q52" s="4">
        <f t="shared" si="4"/>
        <v>-1019.5115900000001</v>
      </c>
      <c r="R52" s="4"/>
      <c r="S52" s="4">
        <f t="shared" si="5"/>
        <v>0</v>
      </c>
      <c r="T52" s="4"/>
      <c r="U52" s="4">
        <f t="shared" si="19"/>
        <v>1356.0580857120055</v>
      </c>
      <c r="V52" s="18"/>
      <c r="W52" s="18"/>
      <c r="X52" s="4">
        <v>0</v>
      </c>
      <c r="Y52" s="4"/>
      <c r="Z52" s="4">
        <f t="shared" ref="Z52:Z60" si="29">+X52*(1-$AK$5)</f>
        <v>0</v>
      </c>
      <c r="AA52" s="4"/>
      <c r="AB52" s="4">
        <v>0</v>
      </c>
      <c r="AC52" s="7"/>
      <c r="AD52" s="4">
        <f t="shared" ref="AD52:AD60" si="30">+U52-N52</f>
        <v>0</v>
      </c>
      <c r="AE52" s="19"/>
      <c r="AF52" s="15"/>
      <c r="AG52" s="6"/>
      <c r="AI52" s="5"/>
      <c r="AJ52" s="1"/>
      <c r="AK52" s="39"/>
      <c r="AM52" s="59"/>
    </row>
    <row r="53" spans="2:39" x14ac:dyDescent="0.2">
      <c r="B53" s="1">
        <f t="shared" ca="1" si="28"/>
        <v>45</v>
      </c>
      <c r="D53" s="1" t="s">
        <v>17</v>
      </c>
      <c r="G53" s="4" t="s">
        <v>106</v>
      </c>
      <c r="J53" s="4">
        <v>-8451.4100260689484</v>
      </c>
      <c r="K53" s="4"/>
      <c r="L53" s="4">
        <v>40315.957444737716</v>
      </c>
      <c r="M53" s="4"/>
      <c r="N53" s="4">
        <f t="shared" si="18"/>
        <v>14952.081989365535</v>
      </c>
      <c r="Q53" s="4">
        <f t="shared" si="4"/>
        <v>-8451.4100260689484</v>
      </c>
      <c r="R53" s="4"/>
      <c r="S53" s="4">
        <f t="shared" si="5"/>
        <v>40315.957444737716</v>
      </c>
      <c r="T53" s="4"/>
      <c r="U53" s="4">
        <f t="shared" si="19"/>
        <v>14952.081989365535</v>
      </c>
      <c r="X53" s="4">
        <v>0</v>
      </c>
      <c r="Y53" s="4"/>
      <c r="Z53" s="4">
        <f t="shared" si="29"/>
        <v>0</v>
      </c>
      <c r="AA53" s="4"/>
      <c r="AB53" s="4">
        <v>0</v>
      </c>
      <c r="AC53" s="7"/>
      <c r="AD53" s="4">
        <f t="shared" si="30"/>
        <v>0</v>
      </c>
      <c r="AF53" s="6"/>
      <c r="AG53" s="6"/>
      <c r="AI53" s="5"/>
    </row>
    <row r="54" spans="2:39" x14ac:dyDescent="0.2">
      <c r="B54" s="1">
        <f t="shared" ca="1" si="28"/>
        <v>46</v>
      </c>
      <c r="D54" s="11" t="s">
        <v>53</v>
      </c>
      <c r="E54" s="11"/>
      <c r="G54" s="4" t="s">
        <v>107</v>
      </c>
      <c r="J54" s="4">
        <v>13.17088</v>
      </c>
      <c r="K54" s="4"/>
      <c r="L54" s="4">
        <v>0</v>
      </c>
      <c r="M54" s="3"/>
      <c r="N54" s="4">
        <f t="shared" si="18"/>
        <v>-17.518661381713706</v>
      </c>
      <c r="P54" s="10"/>
      <c r="Q54" s="4">
        <f t="shared" si="4"/>
        <v>13.17088</v>
      </c>
      <c r="R54" s="4"/>
      <c r="S54" s="4">
        <f t="shared" si="5"/>
        <v>0</v>
      </c>
      <c r="T54" s="4"/>
      <c r="U54" s="4">
        <f t="shared" si="19"/>
        <v>-17.518661381713706</v>
      </c>
      <c r="X54" s="4">
        <v>0</v>
      </c>
      <c r="Y54" s="4"/>
      <c r="Z54" s="4">
        <f t="shared" si="29"/>
        <v>0</v>
      </c>
      <c r="AA54" s="4"/>
      <c r="AB54" s="4">
        <v>0</v>
      </c>
      <c r="AC54" s="7"/>
      <c r="AD54" s="4">
        <f t="shared" si="30"/>
        <v>0</v>
      </c>
      <c r="AF54" s="6"/>
      <c r="AG54" s="6"/>
      <c r="AI54" s="5"/>
      <c r="AJ54" s="1"/>
    </row>
    <row r="55" spans="2:39" x14ac:dyDescent="0.2">
      <c r="B55" s="1">
        <f t="shared" ca="1" si="28"/>
        <v>47</v>
      </c>
      <c r="D55" s="11" t="s">
        <v>61</v>
      </c>
      <c r="E55" s="11"/>
      <c r="G55" s="4" t="s">
        <v>62</v>
      </c>
      <c r="J55" s="4">
        <v>-183.69471263775353</v>
      </c>
      <c r="K55" s="4"/>
      <c r="L55" s="4">
        <v>0</v>
      </c>
      <c r="M55" s="3"/>
      <c r="N55" s="4">
        <f t="shared" si="18"/>
        <v>244.33336787762167</v>
      </c>
      <c r="P55" s="10"/>
      <c r="Q55" s="4">
        <f t="shared" si="4"/>
        <v>-183.69471263775353</v>
      </c>
      <c r="R55" s="4"/>
      <c r="S55" s="4">
        <f t="shared" si="5"/>
        <v>0</v>
      </c>
      <c r="T55" s="4"/>
      <c r="U55" s="4">
        <f t="shared" si="19"/>
        <v>244.33336787762167</v>
      </c>
      <c r="X55" s="4">
        <v>0</v>
      </c>
      <c r="Y55" s="4"/>
      <c r="Z55" s="4">
        <f t="shared" si="29"/>
        <v>0</v>
      </c>
      <c r="AA55" s="4"/>
      <c r="AB55" s="4">
        <v>0</v>
      </c>
      <c r="AC55" s="7"/>
      <c r="AD55" s="4">
        <f t="shared" si="30"/>
        <v>0</v>
      </c>
      <c r="AF55" s="6"/>
      <c r="AG55" s="6"/>
      <c r="AI55" s="5"/>
      <c r="AJ55" s="1"/>
    </row>
    <row r="56" spans="2:39" x14ac:dyDescent="0.2">
      <c r="B56" s="1">
        <f t="shared" ref="B56:B83" ca="1" si="31">+MAX(OFFSET($B$7,0,0,ROW($B56)-ROW($B$7),1))+1</f>
        <v>48</v>
      </c>
      <c r="D56" s="11" t="s">
        <v>18</v>
      </c>
      <c r="E56" s="11"/>
      <c r="G56" s="4" t="s">
        <v>80</v>
      </c>
      <c r="J56" s="4">
        <v>0</v>
      </c>
      <c r="K56" s="4"/>
      <c r="L56" s="4">
        <v>30000.111714042756</v>
      </c>
      <c r="M56" s="4"/>
      <c r="N56" s="4">
        <f t="shared" si="18"/>
        <v>2761.3095296902961</v>
      </c>
      <c r="Q56" s="4">
        <f t="shared" si="4"/>
        <v>0</v>
      </c>
      <c r="R56" s="4"/>
      <c r="S56" s="4">
        <f t="shared" si="5"/>
        <v>30000.111714042756</v>
      </c>
      <c r="T56" s="4"/>
      <c r="U56" s="4">
        <f t="shared" si="19"/>
        <v>2761.3095296902961</v>
      </c>
      <c r="X56" s="4">
        <v>0</v>
      </c>
      <c r="Y56" s="4"/>
      <c r="Z56" s="4">
        <f t="shared" si="29"/>
        <v>0</v>
      </c>
      <c r="AA56" s="4"/>
      <c r="AB56" s="4">
        <v>0</v>
      </c>
      <c r="AC56" s="7"/>
      <c r="AD56" s="4">
        <f t="shared" si="30"/>
        <v>0</v>
      </c>
      <c r="AF56" s="6"/>
      <c r="AG56" s="6"/>
      <c r="AI56" s="5"/>
      <c r="AJ56" s="1"/>
    </row>
    <row r="57" spans="2:39" x14ac:dyDescent="0.2">
      <c r="B57" s="1">
        <f t="shared" ca="1" si="31"/>
        <v>49</v>
      </c>
      <c r="D57" s="11" t="s">
        <v>19</v>
      </c>
      <c r="E57" s="11"/>
      <c r="G57" s="4" t="s">
        <v>108</v>
      </c>
      <c r="J57" s="4">
        <v>-4858.9905374747977</v>
      </c>
      <c r="K57" s="4"/>
      <c r="L57" s="4">
        <v>26317.588733462926</v>
      </c>
      <c r="M57" s="4"/>
      <c r="N57" s="4">
        <f t="shared" si="18"/>
        <v>8885.328506597898</v>
      </c>
      <c r="Q57" s="4">
        <f t="shared" si="4"/>
        <v>-4858.9905374747977</v>
      </c>
      <c r="R57" s="4"/>
      <c r="S57" s="4">
        <f t="shared" si="5"/>
        <v>26317.588733462926</v>
      </c>
      <c r="T57" s="4"/>
      <c r="U57" s="4">
        <f t="shared" si="19"/>
        <v>8885.328506597898</v>
      </c>
      <c r="X57" s="4">
        <v>0</v>
      </c>
      <c r="Y57" s="4"/>
      <c r="Z57" s="4">
        <f t="shared" si="29"/>
        <v>0</v>
      </c>
      <c r="AA57" s="4"/>
      <c r="AB57" s="4">
        <v>0</v>
      </c>
      <c r="AC57" s="7"/>
      <c r="AD57" s="4">
        <f t="shared" si="30"/>
        <v>0</v>
      </c>
      <c r="AF57" s="6" t="s">
        <v>268</v>
      </c>
      <c r="AG57" s="6"/>
      <c r="AI57" s="5"/>
      <c r="AJ57" s="1"/>
      <c r="AK57" s="39"/>
      <c r="AM57" s="59"/>
    </row>
    <row r="58" spans="2:39" x14ac:dyDescent="0.2">
      <c r="B58" s="55">
        <f t="shared" ca="1" si="31"/>
        <v>50</v>
      </c>
      <c r="D58" s="57" t="str">
        <f>+D57</f>
        <v>8.2</v>
      </c>
      <c r="E58" s="57" t="s">
        <v>238</v>
      </c>
      <c r="F58" s="55"/>
      <c r="G58" s="21" t="s">
        <v>158</v>
      </c>
      <c r="J58" s="21">
        <v>0</v>
      </c>
      <c r="K58" s="21"/>
      <c r="L58" s="21">
        <v>0</v>
      </c>
      <c r="M58" s="21"/>
      <c r="N58" s="21">
        <f t="shared" si="18"/>
        <v>0</v>
      </c>
      <c r="O58" s="22"/>
      <c r="P58" s="55"/>
      <c r="Q58" s="21">
        <f>+J58+Z58</f>
        <v>3756.7800201624432</v>
      </c>
      <c r="R58" s="21"/>
      <c r="S58" s="21">
        <f>+L58+AB58</f>
        <v>0</v>
      </c>
      <c r="T58" s="21"/>
      <c r="U58" s="21">
        <f t="shared" si="19"/>
        <v>-4996.9141818020844</v>
      </c>
      <c r="V58" s="55"/>
      <c r="W58" s="55"/>
      <c r="X58" s="21">
        <f>-[7]Sheet1!$J$4/1000</f>
        <v>4755.4177470410668</v>
      </c>
      <c r="Y58" s="21"/>
      <c r="Z58" s="21">
        <f>+X58*(1-$AK$5)</f>
        <v>3756.7800201624432</v>
      </c>
      <c r="AA58" s="21"/>
      <c r="AB58" s="21">
        <v>0</v>
      </c>
      <c r="AC58" s="56"/>
      <c r="AD58" s="21">
        <f>+U58-N58</f>
        <v>-4996.9141818020844</v>
      </c>
      <c r="AF58" s="6" t="s">
        <v>269</v>
      </c>
      <c r="AG58" s="6"/>
      <c r="AI58" s="5"/>
      <c r="AJ58" s="1"/>
      <c r="AK58" s="39"/>
      <c r="AM58" s="59"/>
    </row>
    <row r="59" spans="2:39" x14ac:dyDescent="0.2">
      <c r="B59" s="55">
        <f t="shared" ca="1" si="31"/>
        <v>51</v>
      </c>
      <c r="D59" s="57" t="str">
        <f>+D58</f>
        <v>8.2</v>
      </c>
      <c r="E59" s="57" t="s">
        <v>246</v>
      </c>
      <c r="F59" s="55"/>
      <c r="G59" s="21" t="s">
        <v>163</v>
      </c>
      <c r="J59" s="21">
        <v>0</v>
      </c>
      <c r="K59" s="21"/>
      <c r="L59" s="21">
        <v>0</v>
      </c>
      <c r="M59" s="21"/>
      <c r="N59" s="21">
        <f t="shared" si="18"/>
        <v>0</v>
      </c>
      <c r="O59" s="22"/>
      <c r="P59" s="55"/>
      <c r="Q59" s="21">
        <f>+J59+Z59</f>
        <v>4166.4252623380517</v>
      </c>
      <c r="R59" s="21"/>
      <c r="S59" s="21">
        <f>+L59+AB59</f>
        <v>0</v>
      </c>
      <c r="T59" s="21"/>
      <c r="U59" s="21">
        <f t="shared" si="19"/>
        <v>-5541.7856166875736</v>
      </c>
      <c r="V59" s="55"/>
      <c r="W59" s="55"/>
      <c r="X59" s="21">
        <v>5273.9560282760149</v>
      </c>
      <c r="Y59" s="21"/>
      <c r="Z59" s="21">
        <f>+X59*(1-$AK$5)</f>
        <v>4166.4252623380517</v>
      </c>
      <c r="AA59" s="21"/>
      <c r="AB59" s="21">
        <v>0</v>
      </c>
      <c r="AC59" s="56"/>
      <c r="AD59" s="21">
        <f>+U59-N59</f>
        <v>-5541.7856166875736</v>
      </c>
      <c r="AF59" s="6" t="s">
        <v>269</v>
      </c>
      <c r="AG59" s="6"/>
      <c r="AI59" s="5"/>
      <c r="AJ59" s="1"/>
      <c r="AK59" s="39"/>
      <c r="AM59" s="59"/>
    </row>
    <row r="60" spans="2:39" x14ac:dyDescent="0.2">
      <c r="B60" s="1">
        <f t="shared" ca="1" si="31"/>
        <v>52</v>
      </c>
      <c r="D60" s="11" t="s">
        <v>20</v>
      </c>
      <c r="E60" s="11"/>
      <c r="G60" s="4" t="s">
        <v>36</v>
      </c>
      <c r="J60" s="4">
        <v>0</v>
      </c>
      <c r="K60" s="4"/>
      <c r="L60" s="4">
        <v>-1733.1150770354179</v>
      </c>
      <c r="M60" s="4"/>
      <c r="N60" s="4">
        <f t="shared" si="18"/>
        <v>-159.52164524866447</v>
      </c>
      <c r="Q60" s="4">
        <f t="shared" si="4"/>
        <v>0</v>
      </c>
      <c r="R60" s="4"/>
      <c r="S60" s="4">
        <f t="shared" si="5"/>
        <v>-1733.1150770354179</v>
      </c>
      <c r="T60" s="4"/>
      <c r="U60" s="4">
        <f t="shared" si="19"/>
        <v>-159.52164524866447</v>
      </c>
      <c r="X60" s="4">
        <v>0</v>
      </c>
      <c r="Y60" s="4"/>
      <c r="Z60" s="4">
        <f t="shared" si="29"/>
        <v>0</v>
      </c>
      <c r="AA60" s="4"/>
      <c r="AB60" s="4">
        <v>0</v>
      </c>
      <c r="AC60" s="7"/>
      <c r="AD60" s="4">
        <f t="shared" si="30"/>
        <v>0</v>
      </c>
      <c r="AF60" s="6"/>
      <c r="AG60" s="6"/>
      <c r="AI60" s="5"/>
      <c r="AJ60" s="1"/>
      <c r="AL60" s="60"/>
      <c r="AM60" s="4"/>
    </row>
    <row r="61" spans="2:39" x14ac:dyDescent="0.2">
      <c r="B61" s="1">
        <f t="shared" ca="1" si="31"/>
        <v>53</v>
      </c>
      <c r="D61" s="11" t="s">
        <v>21</v>
      </c>
      <c r="E61" s="11"/>
      <c r="G61" s="4" t="s">
        <v>81</v>
      </c>
      <c r="J61" s="4">
        <v>80.090037251476659</v>
      </c>
      <c r="K61" s="4"/>
      <c r="L61" s="4">
        <v>132944.19885970445</v>
      </c>
      <c r="M61" s="4"/>
      <c r="N61" s="4">
        <f t="shared" si="18"/>
        <v>12130.095666303198</v>
      </c>
      <c r="Q61" s="4">
        <f t="shared" si="4"/>
        <v>80.090037251476659</v>
      </c>
      <c r="R61" s="4"/>
      <c r="S61" s="4">
        <f t="shared" si="5"/>
        <v>132944.19885970445</v>
      </c>
      <c r="T61" s="4"/>
      <c r="U61" s="4">
        <f t="shared" si="19"/>
        <v>12130.095666303198</v>
      </c>
      <c r="X61" s="4">
        <v>0</v>
      </c>
      <c r="Y61" s="4"/>
      <c r="Z61" s="4">
        <f>+X61*(1-$AK$5)</f>
        <v>0</v>
      </c>
      <c r="AA61" s="4"/>
      <c r="AB61" s="4">
        <v>0</v>
      </c>
      <c r="AC61" s="7"/>
      <c r="AD61" s="4">
        <f t="shared" ref="AD61:AD83" si="32">+U61-N61</f>
        <v>0</v>
      </c>
      <c r="AF61" s="6" t="s">
        <v>268</v>
      </c>
      <c r="AG61" s="6"/>
      <c r="AI61" s="5"/>
      <c r="AJ61" s="1"/>
    </row>
    <row r="62" spans="2:39" x14ac:dyDescent="0.2">
      <c r="B62" s="55">
        <f t="shared" ca="1" si="31"/>
        <v>54</v>
      </c>
      <c r="D62" s="57" t="str">
        <f>+D61</f>
        <v>8.4</v>
      </c>
      <c r="E62" s="57" t="s">
        <v>234</v>
      </c>
      <c r="F62" s="55"/>
      <c r="G62" s="21" t="s">
        <v>233</v>
      </c>
      <c r="J62" s="21">
        <v>0</v>
      </c>
      <c r="K62" s="21"/>
      <c r="L62" s="21">
        <v>0</v>
      </c>
      <c r="M62" s="21"/>
      <c r="N62" s="21">
        <f t="shared" si="18"/>
        <v>0</v>
      </c>
      <c r="O62" s="22"/>
      <c r="P62" s="55"/>
      <c r="Q62" s="21">
        <f t="shared" si="4"/>
        <v>0</v>
      </c>
      <c r="R62" s="21"/>
      <c r="S62" s="21">
        <f t="shared" si="5"/>
        <v>-5997.74686553022</v>
      </c>
      <c r="T62" s="21"/>
      <c r="U62" s="21">
        <f t="shared" si="19"/>
        <v>-552.05246348153969</v>
      </c>
      <c r="V62" s="55"/>
      <c r="W62" s="55"/>
      <c r="X62" s="21">
        <v>0</v>
      </c>
      <c r="Y62" s="21"/>
      <c r="Z62" s="21">
        <f>+X62*(1-$AK$5)</f>
        <v>0</v>
      </c>
      <c r="AA62" s="21"/>
      <c r="AB62" s="21">
        <f>-SUM('A1 (Elect. Adj.)'!$E$41:$G$41)</f>
        <v>-5997.74686553022</v>
      </c>
      <c r="AC62" s="56"/>
      <c r="AD62" s="21">
        <f t="shared" si="32"/>
        <v>-552.05246348153969</v>
      </c>
      <c r="AF62" s="6" t="s">
        <v>269</v>
      </c>
      <c r="AG62" s="6"/>
      <c r="AI62" s="5"/>
      <c r="AJ62" s="1"/>
      <c r="AL62" s="23"/>
      <c r="AM62" s="24"/>
    </row>
    <row r="63" spans="2:39" x14ac:dyDescent="0.2">
      <c r="B63" s="1">
        <f t="shared" ca="1" si="31"/>
        <v>55</v>
      </c>
      <c r="D63" s="11" t="s">
        <v>22</v>
      </c>
      <c r="E63" s="11"/>
      <c r="G63" s="4" t="s">
        <v>63</v>
      </c>
      <c r="H63" s="19"/>
      <c r="I63" s="19"/>
      <c r="J63" s="4">
        <v>0</v>
      </c>
      <c r="K63" s="4"/>
      <c r="L63" s="4">
        <v>-27252.977232733469</v>
      </c>
      <c r="M63" s="16"/>
      <c r="N63" s="4">
        <f t="shared" si="18"/>
        <v>-2508.4541838540554</v>
      </c>
      <c r="O63" s="19"/>
      <c r="P63" s="18"/>
      <c r="Q63" s="4">
        <f t="shared" si="4"/>
        <v>0</v>
      </c>
      <c r="R63" s="4"/>
      <c r="S63" s="4">
        <f t="shared" si="5"/>
        <v>-27252.977232733469</v>
      </c>
      <c r="T63" s="4"/>
      <c r="U63" s="4">
        <f t="shared" si="19"/>
        <v>-2508.4541838540554</v>
      </c>
      <c r="V63" s="18"/>
      <c r="W63" s="18"/>
      <c r="X63" s="16">
        <v>0</v>
      </c>
      <c r="Y63" s="16"/>
      <c r="Z63" s="16">
        <v>0</v>
      </c>
      <c r="AA63" s="16"/>
      <c r="AB63" s="16">
        <v>0</v>
      </c>
      <c r="AC63" s="17"/>
      <c r="AD63" s="16">
        <f t="shared" si="32"/>
        <v>0</v>
      </c>
      <c r="AE63" s="19"/>
      <c r="AF63" s="15"/>
      <c r="AG63" s="6"/>
      <c r="AI63" s="5"/>
      <c r="AJ63" s="1"/>
      <c r="AL63" s="23"/>
      <c r="AM63" s="4"/>
    </row>
    <row r="64" spans="2:39" x14ac:dyDescent="0.2">
      <c r="B64" s="1">
        <f t="shared" ca="1" si="31"/>
        <v>56</v>
      </c>
      <c r="D64" s="11" t="s">
        <v>23</v>
      </c>
      <c r="E64" s="11"/>
      <c r="G64" s="4" t="s">
        <v>33</v>
      </c>
      <c r="J64" s="4">
        <v>-1.8461746999999999</v>
      </c>
      <c r="K64" s="4"/>
      <c r="L64" s="4">
        <v>-408.39063249999987</v>
      </c>
      <c r="M64" s="4"/>
      <c r="N64" s="4">
        <f t="shared" si="18"/>
        <v>-35.134017542762884</v>
      </c>
      <c r="Q64" s="4">
        <f t="shared" si="4"/>
        <v>-1.8461746999999999</v>
      </c>
      <c r="R64" s="4"/>
      <c r="S64" s="4">
        <f t="shared" si="5"/>
        <v>-408.39063249999987</v>
      </c>
      <c r="T64" s="4"/>
      <c r="U64" s="4">
        <f t="shared" si="19"/>
        <v>-35.134017542762884</v>
      </c>
      <c r="X64" s="4">
        <v>0</v>
      </c>
      <c r="Y64" s="4"/>
      <c r="Z64" s="4">
        <f t="shared" ref="Z64:Z74" si="33">+X64*(1-$AK$5)</f>
        <v>0</v>
      </c>
      <c r="AA64" s="4"/>
      <c r="AB64" s="4">
        <v>0</v>
      </c>
      <c r="AC64" s="7"/>
      <c r="AD64" s="4">
        <f t="shared" si="32"/>
        <v>0</v>
      </c>
      <c r="AF64" s="6"/>
      <c r="AG64" s="6"/>
      <c r="AI64" s="5"/>
      <c r="AJ64" s="1"/>
      <c r="AL64" s="23"/>
      <c r="AM64" s="4"/>
    </row>
    <row r="65" spans="2:39" x14ac:dyDescent="0.2">
      <c r="B65" s="1">
        <f t="shared" ca="1" si="31"/>
        <v>57</v>
      </c>
      <c r="D65" s="11" t="s">
        <v>24</v>
      </c>
      <c r="E65" s="11"/>
      <c r="G65" s="4" t="s">
        <v>48</v>
      </c>
      <c r="J65" s="4">
        <v>0</v>
      </c>
      <c r="K65" s="4"/>
      <c r="L65" s="4">
        <v>29873.668417190562</v>
      </c>
      <c r="M65" s="4"/>
      <c r="N65" s="4">
        <f t="shared" si="18"/>
        <v>2749.6712703434155</v>
      </c>
      <c r="Q65" s="4">
        <f t="shared" si="4"/>
        <v>0</v>
      </c>
      <c r="R65" s="4"/>
      <c r="S65" s="4">
        <f t="shared" si="5"/>
        <v>29873.668417190562</v>
      </c>
      <c r="T65" s="4"/>
      <c r="U65" s="4">
        <f t="shared" si="19"/>
        <v>2749.6712703434155</v>
      </c>
      <c r="X65" s="4">
        <v>0</v>
      </c>
      <c r="Y65" s="4"/>
      <c r="Z65" s="4">
        <f t="shared" si="33"/>
        <v>0</v>
      </c>
      <c r="AA65" s="4"/>
      <c r="AB65" s="4">
        <v>0</v>
      </c>
      <c r="AC65" s="7"/>
      <c r="AD65" s="4">
        <f t="shared" si="32"/>
        <v>0</v>
      </c>
      <c r="AF65" s="6" t="s">
        <v>268</v>
      </c>
      <c r="AG65" s="6"/>
      <c r="AI65" s="5"/>
      <c r="AJ65" s="1"/>
      <c r="AK65" s="39"/>
      <c r="AM65" s="59"/>
    </row>
    <row r="66" spans="2:39" x14ac:dyDescent="0.2">
      <c r="B66" s="55">
        <f t="shared" ca="1" si="31"/>
        <v>58</v>
      </c>
      <c r="D66" s="57" t="str">
        <f>+D65</f>
        <v>8.7</v>
      </c>
      <c r="E66" s="57" t="s">
        <v>251</v>
      </c>
      <c r="F66" s="55"/>
      <c r="G66" s="21" t="s">
        <v>168</v>
      </c>
      <c r="J66" s="21">
        <v>0</v>
      </c>
      <c r="K66" s="21"/>
      <c r="L66" s="21">
        <v>0</v>
      </c>
      <c r="M66" s="21"/>
      <c r="N66" s="21">
        <f t="shared" si="18"/>
        <v>0</v>
      </c>
      <c r="O66" s="22"/>
      <c r="P66" s="55"/>
      <c r="Q66" s="21">
        <f>+J66+Z66</f>
        <v>0</v>
      </c>
      <c r="R66" s="21"/>
      <c r="S66" s="21">
        <f>+L66+AB66</f>
        <v>-4204.0410000000002</v>
      </c>
      <c r="T66" s="21"/>
      <c r="U66" s="21">
        <f t="shared" si="19"/>
        <v>-386.9538416110239</v>
      </c>
      <c r="V66" s="55"/>
      <c r="W66" s="55"/>
      <c r="X66" s="21">
        <v>0</v>
      </c>
      <c r="Y66" s="21"/>
      <c r="Z66" s="21">
        <f t="shared" si="33"/>
        <v>0</v>
      </c>
      <c r="AA66" s="21"/>
      <c r="AB66" s="21">
        <f>-(3475500+728541)/1000</f>
        <v>-4204.0410000000002</v>
      </c>
      <c r="AC66" s="56"/>
      <c r="AD66" s="21">
        <f t="shared" si="32"/>
        <v>-386.9538416110239</v>
      </c>
      <c r="AF66" s="6" t="s">
        <v>269</v>
      </c>
      <c r="AG66" s="6"/>
      <c r="AI66" s="5"/>
      <c r="AJ66" s="1"/>
      <c r="AK66" s="39"/>
      <c r="AM66" s="59"/>
    </row>
    <row r="67" spans="2:39" x14ac:dyDescent="0.2">
      <c r="B67" s="55">
        <f t="shared" ca="1" si="31"/>
        <v>59</v>
      </c>
      <c r="D67" s="57" t="str">
        <f>+D66</f>
        <v>8.7</v>
      </c>
      <c r="E67" s="57" t="s">
        <v>258</v>
      </c>
      <c r="F67" s="55"/>
      <c r="G67" s="21" t="s">
        <v>173</v>
      </c>
      <c r="J67" s="21">
        <v>0</v>
      </c>
      <c r="K67" s="21"/>
      <c r="L67" s="21">
        <v>0</v>
      </c>
      <c r="M67" s="21"/>
      <c r="N67" s="21">
        <f t="shared" si="18"/>
        <v>0</v>
      </c>
      <c r="O67" s="22"/>
      <c r="P67" s="55"/>
      <c r="Q67" s="21">
        <f>+J67+Z67</f>
        <v>0</v>
      </c>
      <c r="R67" s="21"/>
      <c r="S67" s="21">
        <f>+L67+AB67</f>
        <v>-16725.883221812725</v>
      </c>
      <c r="T67" s="21"/>
      <c r="U67" s="21">
        <f t="shared" si="19"/>
        <v>-1539.5056249493769</v>
      </c>
      <c r="V67" s="55"/>
      <c r="W67" s="55"/>
      <c r="X67" s="21">
        <v>0</v>
      </c>
      <c r="Y67" s="21"/>
      <c r="Z67" s="21">
        <f t="shared" si="33"/>
        <v>0</v>
      </c>
      <c r="AA67" s="21"/>
      <c r="AB67" s="21">
        <f>+[8]ISWC!$Y$2040/1000</f>
        <v>-16725.883221812725</v>
      </c>
      <c r="AC67" s="56"/>
      <c r="AD67" s="21">
        <f t="shared" si="32"/>
        <v>-1539.5056249493769</v>
      </c>
      <c r="AF67" s="6" t="s">
        <v>269</v>
      </c>
      <c r="AG67" s="6"/>
      <c r="AI67" s="5"/>
      <c r="AJ67" s="1"/>
      <c r="AL67" s="23"/>
      <c r="AM67" s="4"/>
    </row>
    <row r="68" spans="2:39" x14ac:dyDescent="0.2">
      <c r="B68" s="1">
        <f t="shared" ca="1" si="31"/>
        <v>60</v>
      </c>
      <c r="D68" s="11" t="s">
        <v>25</v>
      </c>
      <c r="E68" s="11"/>
      <c r="G68" s="4" t="s">
        <v>82</v>
      </c>
      <c r="J68" s="4">
        <v>0</v>
      </c>
      <c r="K68" s="4"/>
      <c r="L68" s="4">
        <v>-16595.924588451217</v>
      </c>
      <c r="M68" s="4"/>
      <c r="N68" s="4">
        <f t="shared" si="18"/>
        <v>-1527.5438024006066</v>
      </c>
      <c r="Q68" s="4">
        <f t="shared" si="4"/>
        <v>0</v>
      </c>
      <c r="R68" s="4"/>
      <c r="S68" s="4">
        <f t="shared" si="5"/>
        <v>-16595.924588451217</v>
      </c>
      <c r="T68" s="4"/>
      <c r="U68" s="4">
        <f t="shared" si="19"/>
        <v>-1527.5438024006066</v>
      </c>
      <c r="X68" s="4">
        <v>0</v>
      </c>
      <c r="Y68" s="4"/>
      <c r="Z68" s="4">
        <f t="shared" si="33"/>
        <v>0</v>
      </c>
      <c r="AA68" s="4"/>
      <c r="AB68" s="4">
        <v>0</v>
      </c>
      <c r="AC68" s="7"/>
      <c r="AD68" s="4">
        <f t="shared" si="32"/>
        <v>0</v>
      </c>
      <c r="AF68" s="6" t="s">
        <v>268</v>
      </c>
      <c r="AG68" s="6"/>
      <c r="AI68" s="5"/>
      <c r="AJ68" s="1"/>
      <c r="AK68" s="39"/>
      <c r="AM68" s="59"/>
    </row>
    <row r="69" spans="2:39" x14ac:dyDescent="0.2">
      <c r="B69" s="55">
        <f t="shared" ca="1" si="31"/>
        <v>61</v>
      </c>
      <c r="D69" s="57" t="str">
        <f>+D68</f>
        <v>8.8</v>
      </c>
      <c r="E69" s="57" t="s">
        <v>267</v>
      </c>
      <c r="F69" s="55"/>
      <c r="G69" s="21" t="s">
        <v>262</v>
      </c>
      <c r="J69" s="21">
        <v>0</v>
      </c>
      <c r="K69" s="21"/>
      <c r="L69" s="21">
        <v>0</v>
      </c>
      <c r="M69" s="21"/>
      <c r="N69" s="21">
        <f t="shared" si="18"/>
        <v>0</v>
      </c>
      <c r="O69" s="22"/>
      <c r="P69" s="55"/>
      <c r="Q69" s="21">
        <f>+J69+Z69</f>
        <v>267.97432000000003</v>
      </c>
      <c r="R69" s="21"/>
      <c r="S69" s="21">
        <f>+L69+AB69</f>
        <v>0</v>
      </c>
      <c r="T69" s="21"/>
      <c r="U69" s="21">
        <f t="shared" si="19"/>
        <v>-356.43414647122984</v>
      </c>
      <c r="V69" s="55"/>
      <c r="W69" s="55"/>
      <c r="X69" s="21">
        <v>339.20800000000003</v>
      </c>
      <c r="Y69" s="21"/>
      <c r="Z69" s="21">
        <f t="shared" ref="Z69" si="34">+X69*(1-$AK$5)</f>
        <v>267.97432000000003</v>
      </c>
      <c r="AA69" s="21"/>
      <c r="AB69" s="21">
        <v>0</v>
      </c>
      <c r="AC69" s="56"/>
      <c r="AD69" s="21">
        <f t="shared" ref="AD69" si="35">+U69-N69</f>
        <v>-356.43414647122984</v>
      </c>
      <c r="AF69" s="6" t="s">
        <v>269</v>
      </c>
      <c r="AG69" s="6"/>
      <c r="AI69" s="5"/>
      <c r="AJ69" s="1"/>
      <c r="AL69" s="23"/>
      <c r="AM69" s="4"/>
    </row>
    <row r="70" spans="2:39" x14ac:dyDescent="0.2">
      <c r="B70" s="1">
        <f t="shared" ca="1" si="31"/>
        <v>62</v>
      </c>
      <c r="D70" s="11" t="s">
        <v>26</v>
      </c>
      <c r="E70" s="11"/>
      <c r="G70" s="4" t="s">
        <v>83</v>
      </c>
      <c r="J70" s="4">
        <v>0</v>
      </c>
      <c r="K70" s="4"/>
      <c r="L70" s="4">
        <v>-6227.1088245538904</v>
      </c>
      <c r="M70" s="4"/>
      <c r="N70" s="4">
        <f t="shared" si="18"/>
        <v>-573.16369697418156</v>
      </c>
      <c r="Q70" s="4">
        <f t="shared" si="4"/>
        <v>0</v>
      </c>
      <c r="R70" s="4"/>
      <c r="S70" s="4">
        <f t="shared" si="5"/>
        <v>-6227.1088245538904</v>
      </c>
      <c r="T70" s="4"/>
      <c r="U70" s="4">
        <f t="shared" si="19"/>
        <v>-573.16369697418156</v>
      </c>
      <c r="X70" s="4">
        <v>0</v>
      </c>
      <c r="Y70" s="4"/>
      <c r="Z70" s="4">
        <f t="shared" si="33"/>
        <v>0</v>
      </c>
      <c r="AA70" s="4"/>
      <c r="AB70" s="4">
        <v>0</v>
      </c>
      <c r="AC70" s="7"/>
      <c r="AD70" s="4">
        <f t="shared" si="32"/>
        <v>0</v>
      </c>
      <c r="AF70" s="6"/>
      <c r="AG70" s="6"/>
      <c r="AI70" s="5"/>
      <c r="AJ70" s="1"/>
      <c r="AL70" s="23"/>
      <c r="AM70" s="4"/>
    </row>
    <row r="71" spans="2:39" x14ac:dyDescent="0.2">
      <c r="B71" s="1">
        <f t="shared" ca="1" si="31"/>
        <v>63</v>
      </c>
      <c r="D71" s="11" t="s">
        <v>42</v>
      </c>
      <c r="E71" s="11"/>
      <c r="G71" s="4" t="s">
        <v>84</v>
      </c>
      <c r="J71" s="4">
        <v>142.92812725308619</v>
      </c>
      <c r="K71" s="4"/>
      <c r="L71" s="4">
        <v>-77.495744994808675</v>
      </c>
      <c r="M71" s="4"/>
      <c r="N71" s="4">
        <f t="shared" si="18"/>
        <v>-197.24246868496041</v>
      </c>
      <c r="Q71" s="4">
        <f t="shared" si="4"/>
        <v>142.92812725308619</v>
      </c>
      <c r="R71" s="4"/>
      <c r="S71" s="4">
        <f t="shared" si="5"/>
        <v>-77.495744994808675</v>
      </c>
      <c r="T71" s="4"/>
      <c r="U71" s="4">
        <f t="shared" si="19"/>
        <v>-197.24246868496041</v>
      </c>
      <c r="X71" s="4">
        <v>0</v>
      </c>
      <c r="Y71" s="4"/>
      <c r="Z71" s="4">
        <f t="shared" si="33"/>
        <v>0</v>
      </c>
      <c r="AA71" s="4"/>
      <c r="AB71" s="4">
        <v>0</v>
      </c>
      <c r="AC71" s="7"/>
      <c r="AD71" s="4">
        <f t="shared" si="32"/>
        <v>0</v>
      </c>
      <c r="AF71" s="6"/>
      <c r="AG71" s="6"/>
      <c r="AI71" s="5"/>
      <c r="AJ71" s="1"/>
      <c r="AL71" s="23"/>
      <c r="AM71" s="4"/>
    </row>
    <row r="72" spans="2:39" x14ac:dyDescent="0.2">
      <c r="B72" s="1">
        <f t="shared" ca="1" si="31"/>
        <v>64</v>
      </c>
      <c r="D72" s="11" t="s">
        <v>46</v>
      </c>
      <c r="E72" s="11"/>
      <c r="G72" s="4" t="s">
        <v>116</v>
      </c>
      <c r="J72" s="4">
        <v>-180.79614170084741</v>
      </c>
      <c r="K72" s="4"/>
      <c r="L72" s="4">
        <v>2316.4220932725216</v>
      </c>
      <c r="M72" s="4"/>
      <c r="N72" s="4">
        <f t="shared" si="18"/>
        <v>453.68911515430011</v>
      </c>
      <c r="Q72" s="4">
        <f t="shared" si="4"/>
        <v>-180.79614170084741</v>
      </c>
      <c r="R72" s="4"/>
      <c r="S72" s="4">
        <f t="shared" si="5"/>
        <v>2316.4220932725216</v>
      </c>
      <c r="T72" s="4"/>
      <c r="U72" s="4">
        <f t="shared" si="19"/>
        <v>453.68911515430011</v>
      </c>
      <c r="X72" s="4">
        <v>0</v>
      </c>
      <c r="Y72" s="4"/>
      <c r="Z72" s="4">
        <f t="shared" si="33"/>
        <v>0</v>
      </c>
      <c r="AA72" s="4"/>
      <c r="AB72" s="4">
        <v>0</v>
      </c>
      <c r="AC72" s="7"/>
      <c r="AD72" s="4">
        <f t="shared" si="32"/>
        <v>0</v>
      </c>
      <c r="AF72" s="6"/>
      <c r="AG72" s="6"/>
      <c r="AI72" s="5"/>
      <c r="AJ72" s="1"/>
      <c r="AL72" s="23"/>
      <c r="AM72" s="4"/>
    </row>
    <row r="73" spans="2:39" x14ac:dyDescent="0.2">
      <c r="B73" s="1">
        <f t="shared" ca="1" si="31"/>
        <v>65</v>
      </c>
      <c r="D73" s="11" t="s">
        <v>99</v>
      </c>
      <c r="E73" s="11"/>
      <c r="G73" s="4" t="s">
        <v>100</v>
      </c>
      <c r="J73" s="4">
        <v>-511.00759105070745</v>
      </c>
      <c r="K73" s="4"/>
      <c r="L73" s="4">
        <v>37655.292732782444</v>
      </c>
      <c r="M73" s="4"/>
      <c r="N73" s="4">
        <f t="shared" si="18"/>
        <v>4145.6117796271074</v>
      </c>
      <c r="Q73" s="4">
        <f t="shared" si="4"/>
        <v>-511.00759105070745</v>
      </c>
      <c r="R73" s="4"/>
      <c r="S73" s="4">
        <f t="shared" si="5"/>
        <v>37655.292732782444</v>
      </c>
      <c r="T73" s="4"/>
      <c r="U73" s="4">
        <f t="shared" si="19"/>
        <v>4145.6117796271074</v>
      </c>
      <c r="X73" s="4">
        <v>0</v>
      </c>
      <c r="Y73" s="4"/>
      <c r="Z73" s="4">
        <f t="shared" si="33"/>
        <v>0</v>
      </c>
      <c r="AA73" s="4"/>
      <c r="AB73" s="4">
        <v>0</v>
      </c>
      <c r="AC73" s="7"/>
      <c r="AD73" s="4">
        <f t="shared" si="32"/>
        <v>0</v>
      </c>
      <c r="AF73" s="6"/>
      <c r="AG73" s="6"/>
      <c r="AI73" s="5"/>
      <c r="AJ73" s="1"/>
      <c r="AL73" s="23"/>
      <c r="AM73" s="4"/>
    </row>
    <row r="74" spans="2:39" x14ac:dyDescent="0.2">
      <c r="B74" s="1">
        <f t="shared" ca="1" si="31"/>
        <v>66</v>
      </c>
      <c r="D74" s="11" t="s">
        <v>64</v>
      </c>
      <c r="E74" s="11"/>
      <c r="G74" s="4" t="s">
        <v>109</v>
      </c>
      <c r="J74" s="4">
        <v>-842.67137166241412</v>
      </c>
      <c r="K74" s="4"/>
      <c r="L74" s="4">
        <v>-2.8005264279410187</v>
      </c>
      <c r="M74" s="4"/>
      <c r="N74" s="4">
        <f t="shared" ref="N74:N83" si="36">+($L74*$AM$17-$J74)/$AK$4</f>
        <v>1120.5841494421545</v>
      </c>
      <c r="Q74" s="4">
        <f t="shared" si="4"/>
        <v>-842.67137166241412</v>
      </c>
      <c r="R74" s="4"/>
      <c r="S74" s="4">
        <f t="shared" si="5"/>
        <v>-2.8005264279410187</v>
      </c>
      <c r="T74" s="4"/>
      <c r="U74" s="4">
        <f t="shared" ref="U74:U83" si="37">+($S74*$AM$17-$Q74)/$AK$4</f>
        <v>1120.5841494421545</v>
      </c>
      <c r="X74" s="4">
        <v>0</v>
      </c>
      <c r="Y74" s="4"/>
      <c r="Z74" s="4">
        <f t="shared" si="33"/>
        <v>0</v>
      </c>
      <c r="AA74" s="4"/>
      <c r="AB74" s="4">
        <v>0</v>
      </c>
      <c r="AC74" s="7"/>
      <c r="AD74" s="4">
        <f t="shared" si="32"/>
        <v>0</v>
      </c>
      <c r="AF74" s="6" t="s">
        <v>268</v>
      </c>
      <c r="AG74" s="6"/>
      <c r="AI74" s="5"/>
      <c r="AM74" s="4"/>
    </row>
    <row r="75" spans="2:39" x14ac:dyDescent="0.2">
      <c r="B75" s="55">
        <f t="shared" ca="1" si="31"/>
        <v>67</v>
      </c>
      <c r="D75" s="57" t="str">
        <f>+D74</f>
        <v>9.1</v>
      </c>
      <c r="E75" s="57" t="s">
        <v>245</v>
      </c>
      <c r="F75" s="55"/>
      <c r="G75" s="21" t="s">
        <v>166</v>
      </c>
      <c r="J75" s="21">
        <v>0</v>
      </c>
      <c r="K75" s="21"/>
      <c r="L75" s="21">
        <v>0</v>
      </c>
      <c r="M75" s="21"/>
      <c r="N75" s="21">
        <f t="shared" si="36"/>
        <v>0</v>
      </c>
      <c r="O75" s="22"/>
      <c r="P75" s="55"/>
      <c r="Q75" s="21">
        <f>+J75+Z75</f>
        <v>842.67137166241412</v>
      </c>
      <c r="R75" s="21"/>
      <c r="S75" s="21">
        <f>+L75+AB75</f>
        <v>2.8005264279410187</v>
      </c>
      <c r="T75" s="21"/>
      <c r="U75" s="21">
        <f t="shared" si="37"/>
        <v>-1120.5841494421545</v>
      </c>
      <c r="V75" s="55"/>
      <c r="W75" s="55"/>
      <c r="X75" s="21">
        <f>+Z75/(1-AK5)</f>
        <v>1066.6726223574863</v>
      </c>
      <c r="Y75" s="21"/>
      <c r="Z75" s="21">
        <f>-Q74</f>
        <v>842.67137166241412</v>
      </c>
      <c r="AA75" s="21"/>
      <c r="AB75" s="21">
        <f>-S74</f>
        <v>2.8005264279410187</v>
      </c>
      <c r="AC75" s="56"/>
      <c r="AD75" s="21">
        <f t="shared" si="32"/>
        <v>-1120.5841494421545</v>
      </c>
      <c r="AF75" s="6" t="s">
        <v>269</v>
      </c>
      <c r="AI75" s="5"/>
      <c r="AJ75" s="1"/>
      <c r="AL75" s="23"/>
      <c r="AM75" s="4"/>
    </row>
    <row r="76" spans="2:39" x14ac:dyDescent="0.2">
      <c r="B76" s="1">
        <f t="shared" ca="1" si="31"/>
        <v>68</v>
      </c>
      <c r="D76" s="11" t="s">
        <v>85</v>
      </c>
      <c r="E76" s="11"/>
      <c r="G76" s="4" t="s">
        <v>86</v>
      </c>
      <c r="J76" s="4">
        <v>0</v>
      </c>
      <c r="K76" s="4"/>
      <c r="L76" s="4">
        <v>-144705.06951099707</v>
      </c>
      <c r="M76" s="4"/>
      <c r="N76" s="4">
        <f t="shared" si="36"/>
        <v>-13319.13331669947</v>
      </c>
      <c r="Q76" s="4">
        <f t="shared" si="4"/>
        <v>0</v>
      </c>
      <c r="R76" s="4"/>
      <c r="S76" s="4">
        <f t="shared" si="5"/>
        <v>-144705.06951099707</v>
      </c>
      <c r="T76" s="4"/>
      <c r="U76" s="4">
        <f t="shared" si="37"/>
        <v>-13319.13331669947</v>
      </c>
      <c r="X76" s="4">
        <v>0</v>
      </c>
      <c r="Y76" s="4"/>
      <c r="Z76" s="4">
        <f t="shared" ref="Z76:Z81" si="38">+X76*(1-$AK$5)</f>
        <v>0</v>
      </c>
      <c r="AA76" s="4"/>
      <c r="AB76" s="4">
        <v>0</v>
      </c>
      <c r="AC76" s="7"/>
      <c r="AD76" s="4">
        <f t="shared" si="32"/>
        <v>0</v>
      </c>
      <c r="AF76" s="6"/>
      <c r="AG76" s="6"/>
      <c r="AI76" s="5"/>
      <c r="AJ76" s="1"/>
      <c r="AL76" s="23"/>
      <c r="AM76" s="4"/>
    </row>
    <row r="77" spans="2:39" x14ac:dyDescent="0.2">
      <c r="B77" s="1">
        <f t="shared" ca="1" si="31"/>
        <v>69</v>
      </c>
      <c r="D77" s="11" t="s">
        <v>87</v>
      </c>
      <c r="E77" s="11"/>
      <c r="G77" s="4" t="s">
        <v>111</v>
      </c>
      <c r="J77" s="4">
        <v>-315.58597754791975</v>
      </c>
      <c r="K77" s="4"/>
      <c r="L77" s="4">
        <v>-22651.761900813635</v>
      </c>
      <c r="M77" s="4"/>
      <c r="N77" s="4">
        <f t="shared" si="36"/>
        <v>-1665.1804234901754</v>
      </c>
      <c r="Q77" s="4">
        <f t="shared" si="4"/>
        <v>-315.58597754791975</v>
      </c>
      <c r="R77" s="4"/>
      <c r="S77" s="4">
        <f t="shared" si="5"/>
        <v>-22651.761900813635</v>
      </c>
      <c r="T77" s="4"/>
      <c r="U77" s="4">
        <f t="shared" si="37"/>
        <v>-1665.1804234901754</v>
      </c>
      <c r="X77" s="4">
        <v>0</v>
      </c>
      <c r="Y77" s="4"/>
      <c r="Z77" s="4">
        <f t="shared" si="38"/>
        <v>0</v>
      </c>
      <c r="AA77" s="4"/>
      <c r="AB77" s="4">
        <v>0</v>
      </c>
      <c r="AC77" s="7"/>
      <c r="AD77" s="4">
        <f t="shared" si="32"/>
        <v>0</v>
      </c>
      <c r="AF77" s="6"/>
      <c r="AG77" s="6"/>
      <c r="AI77" s="5"/>
      <c r="AJ77" s="1"/>
      <c r="AL77" s="23"/>
      <c r="AM77" s="4"/>
    </row>
    <row r="78" spans="2:39" x14ac:dyDescent="0.2">
      <c r="B78" s="1">
        <f t="shared" ca="1" si="31"/>
        <v>70</v>
      </c>
      <c r="D78" s="11" t="s">
        <v>88</v>
      </c>
      <c r="E78" s="11"/>
      <c r="G78" s="4" t="s">
        <v>112</v>
      </c>
      <c r="J78" s="4">
        <v>918.03647581257678</v>
      </c>
      <c r="K78" s="4"/>
      <c r="L78" s="4">
        <v>-9976.9353349126213</v>
      </c>
      <c r="M78" s="4"/>
      <c r="N78" s="4">
        <f t="shared" si="36"/>
        <v>-2139.3956013254901</v>
      </c>
      <c r="Q78" s="4">
        <f t="shared" si="4"/>
        <v>918.03647581257678</v>
      </c>
      <c r="R78" s="4"/>
      <c r="S78" s="4">
        <f t="shared" si="5"/>
        <v>-9976.9353349126213</v>
      </c>
      <c r="T78" s="4"/>
      <c r="U78" s="4">
        <f t="shared" si="37"/>
        <v>-2139.3956013254901</v>
      </c>
      <c r="X78" s="4">
        <v>0</v>
      </c>
      <c r="Y78" s="4"/>
      <c r="Z78" s="4">
        <f t="shared" si="38"/>
        <v>0</v>
      </c>
      <c r="AA78" s="4"/>
      <c r="AB78" s="4">
        <v>0</v>
      </c>
      <c r="AC78" s="7"/>
      <c r="AD78" s="4">
        <f t="shared" si="32"/>
        <v>0</v>
      </c>
      <c r="AF78" s="6"/>
      <c r="AG78" s="6"/>
      <c r="AI78" s="5"/>
      <c r="AJ78" s="1"/>
      <c r="AL78" s="23"/>
      <c r="AM78" s="4"/>
    </row>
    <row r="79" spans="2:39" x14ac:dyDescent="0.2">
      <c r="B79" s="1">
        <f t="shared" ca="1" si="31"/>
        <v>71</v>
      </c>
      <c r="D79" s="11" t="s">
        <v>89</v>
      </c>
      <c r="E79" s="11"/>
      <c r="G79" s="4" t="s">
        <v>90</v>
      </c>
      <c r="J79" s="4">
        <v>0</v>
      </c>
      <c r="K79" s="4"/>
      <c r="L79" s="4">
        <v>5211.8792933727946</v>
      </c>
      <c r="M79" s="4"/>
      <c r="N79" s="4">
        <f t="shared" si="36"/>
        <v>479.7186123026753</v>
      </c>
      <c r="Q79" s="4">
        <f t="shared" si="4"/>
        <v>0</v>
      </c>
      <c r="R79" s="4"/>
      <c r="S79" s="4">
        <f t="shared" si="5"/>
        <v>5211.8792933727946</v>
      </c>
      <c r="T79" s="4"/>
      <c r="U79" s="4">
        <f t="shared" si="37"/>
        <v>479.7186123026753</v>
      </c>
      <c r="X79" s="4">
        <v>0</v>
      </c>
      <c r="Y79" s="4"/>
      <c r="Z79" s="4">
        <f t="shared" si="38"/>
        <v>0</v>
      </c>
      <c r="AA79" s="4"/>
      <c r="AB79" s="4">
        <v>0</v>
      </c>
      <c r="AC79" s="7"/>
      <c r="AD79" s="4">
        <f t="shared" si="32"/>
        <v>0</v>
      </c>
      <c r="AF79" s="6"/>
      <c r="AG79" s="6"/>
      <c r="AI79" s="5"/>
      <c r="AJ79" s="1"/>
      <c r="AL79" s="23"/>
      <c r="AM79" s="4"/>
    </row>
    <row r="80" spans="2:39" x14ac:dyDescent="0.2">
      <c r="B80" s="1">
        <f t="shared" ca="1" si="31"/>
        <v>72</v>
      </c>
      <c r="D80" s="11" t="s">
        <v>91</v>
      </c>
      <c r="E80" s="11"/>
      <c r="G80" s="4" t="s">
        <v>92</v>
      </c>
      <c r="J80" s="4">
        <v>-2226.6114464667567</v>
      </c>
      <c r="K80" s="4"/>
      <c r="L80" s="4">
        <v>797.31523569899798</v>
      </c>
      <c r="M80" s="4"/>
      <c r="N80" s="4">
        <f t="shared" si="36"/>
        <v>3035.0159090967613</v>
      </c>
      <c r="Q80" s="4">
        <f t="shared" si="4"/>
        <v>-2226.6114464667567</v>
      </c>
      <c r="R80" s="4"/>
      <c r="S80" s="4">
        <f t="shared" si="5"/>
        <v>797.31523569899798</v>
      </c>
      <c r="T80" s="4"/>
      <c r="U80" s="4">
        <f t="shared" si="37"/>
        <v>3035.0159090967613</v>
      </c>
      <c r="X80" s="4">
        <v>0</v>
      </c>
      <c r="Y80" s="4"/>
      <c r="Z80" s="4">
        <f t="shared" si="38"/>
        <v>0</v>
      </c>
      <c r="AA80" s="4"/>
      <c r="AB80" s="4">
        <v>0</v>
      </c>
      <c r="AC80" s="7"/>
      <c r="AD80" s="4">
        <f t="shared" si="32"/>
        <v>0</v>
      </c>
      <c r="AF80" s="6"/>
      <c r="AG80" s="6"/>
      <c r="AI80" s="5"/>
      <c r="AJ80" s="1"/>
      <c r="AL80" s="23"/>
      <c r="AM80" s="4"/>
    </row>
    <row r="81" spans="2:39" x14ac:dyDescent="0.2">
      <c r="B81" s="1">
        <f t="shared" ca="1" si="31"/>
        <v>73</v>
      </c>
      <c r="D81" s="11" t="s">
        <v>93</v>
      </c>
      <c r="E81" s="11"/>
      <c r="G81" s="4" t="s">
        <v>114</v>
      </c>
      <c r="J81" s="4">
        <v>-45.557267758997796</v>
      </c>
      <c r="K81" s="4"/>
      <c r="L81" s="4">
        <v>3711.612342839454</v>
      </c>
      <c r="M81" s="4"/>
      <c r="N81" s="4">
        <f t="shared" si="36"/>
        <v>402.22505637451513</v>
      </c>
      <c r="Q81" s="4">
        <f t="shared" si="4"/>
        <v>-45.557267758997796</v>
      </c>
      <c r="R81" s="4"/>
      <c r="S81" s="4">
        <f t="shared" si="5"/>
        <v>3711.612342839454</v>
      </c>
      <c r="T81" s="4"/>
      <c r="U81" s="4">
        <f t="shared" si="37"/>
        <v>402.22505637451513</v>
      </c>
      <c r="X81" s="4">
        <v>0</v>
      </c>
      <c r="Y81" s="4"/>
      <c r="Z81" s="4">
        <f t="shared" si="38"/>
        <v>0</v>
      </c>
      <c r="AA81" s="4"/>
      <c r="AB81" s="4">
        <v>0</v>
      </c>
      <c r="AC81" s="7"/>
      <c r="AD81" s="4">
        <f t="shared" si="32"/>
        <v>0</v>
      </c>
      <c r="AF81" s="6"/>
      <c r="AG81" s="6"/>
      <c r="AI81" s="5"/>
      <c r="AJ81" s="1"/>
      <c r="AL81" s="23"/>
      <c r="AM81" s="4"/>
    </row>
    <row r="82" spans="2:39" x14ac:dyDescent="0.2">
      <c r="B82" s="1">
        <f t="shared" ca="1" si="31"/>
        <v>74</v>
      </c>
      <c r="D82" s="11" t="s">
        <v>94</v>
      </c>
      <c r="E82" s="11"/>
      <c r="G82" s="4" t="s">
        <v>115</v>
      </c>
      <c r="J82" s="4">
        <v>-35.986363904692887</v>
      </c>
      <c r="K82" s="4"/>
      <c r="L82" s="4">
        <v>4061.2559190168968</v>
      </c>
      <c r="M82" s="4"/>
      <c r="N82" s="4">
        <f t="shared" si="36"/>
        <v>421.67709491721706</v>
      </c>
      <c r="Q82" s="4">
        <f t="shared" si="4"/>
        <v>-35.986363904692887</v>
      </c>
      <c r="R82" s="4"/>
      <c r="S82" s="4">
        <f t="shared" si="5"/>
        <v>4061.2559190168968</v>
      </c>
      <c r="T82" s="4"/>
      <c r="U82" s="4">
        <f t="shared" si="37"/>
        <v>421.67709491721706</v>
      </c>
      <c r="X82" s="4">
        <f>+Z82/(1-AK5)</f>
        <v>0</v>
      </c>
      <c r="Y82" s="4"/>
      <c r="Z82" s="4">
        <v>0</v>
      </c>
      <c r="AA82" s="4"/>
      <c r="AB82" s="4">
        <v>0</v>
      </c>
      <c r="AC82" s="7"/>
      <c r="AD82" s="4">
        <f t="shared" si="32"/>
        <v>0</v>
      </c>
      <c r="AF82" s="6"/>
      <c r="AG82" s="6"/>
      <c r="AI82" s="5"/>
      <c r="AJ82" s="1"/>
      <c r="AL82" s="23"/>
      <c r="AM82" s="4"/>
    </row>
    <row r="83" spans="2:39" x14ac:dyDescent="0.2">
      <c r="B83" s="1">
        <f t="shared" ca="1" si="31"/>
        <v>75</v>
      </c>
      <c r="D83" s="11" t="s">
        <v>95</v>
      </c>
      <c r="E83" s="11"/>
      <c r="G83" s="4" t="s">
        <v>113</v>
      </c>
      <c r="J83" s="4">
        <v>-806.4541538193464</v>
      </c>
      <c r="K83" s="4"/>
      <c r="L83" s="4">
        <v>0</v>
      </c>
      <c r="M83" s="4"/>
      <c r="N83" s="4">
        <f t="shared" si="36"/>
        <v>1072.669194513775</v>
      </c>
      <c r="Q83" s="4">
        <f t="shared" si="4"/>
        <v>-806.4541538193464</v>
      </c>
      <c r="R83" s="4"/>
      <c r="S83" s="4">
        <f t="shared" si="5"/>
        <v>0</v>
      </c>
      <c r="T83" s="4"/>
      <c r="U83" s="4">
        <f t="shared" si="37"/>
        <v>1072.669194513775</v>
      </c>
      <c r="X83" s="4">
        <v>0</v>
      </c>
      <c r="Y83" s="4"/>
      <c r="Z83" s="4">
        <f>+X83*(1-$AK$5)</f>
        <v>0</v>
      </c>
      <c r="AA83" s="4"/>
      <c r="AB83" s="4">
        <v>0</v>
      </c>
      <c r="AC83" s="7"/>
      <c r="AD83" s="4">
        <f t="shared" si="32"/>
        <v>0</v>
      </c>
      <c r="AF83" s="6"/>
      <c r="AG83" s="6"/>
      <c r="AI83" s="5"/>
      <c r="AJ83" s="1"/>
      <c r="AL83" s="23"/>
      <c r="AM83" s="4"/>
    </row>
    <row r="84" spans="2:39" x14ac:dyDescent="0.2">
      <c r="AI84" s="5"/>
      <c r="AJ84" s="1"/>
      <c r="AL84" s="23"/>
      <c r="AM84" s="4"/>
    </row>
    <row r="85" spans="2:39" x14ac:dyDescent="0.2">
      <c r="C85" s="10"/>
      <c r="D85" s="11"/>
      <c r="E85" s="11"/>
      <c r="F85" s="10"/>
      <c r="J85" s="13"/>
      <c r="K85" s="3"/>
      <c r="L85" s="13"/>
      <c r="M85" s="3"/>
      <c r="N85" s="13"/>
      <c r="P85" s="10"/>
      <c r="Q85" s="13"/>
      <c r="R85" s="3"/>
      <c r="S85" s="13"/>
      <c r="T85" s="3"/>
      <c r="U85" s="13"/>
      <c r="X85" s="13"/>
      <c r="Y85" s="1"/>
      <c r="Z85" s="13"/>
      <c r="AA85" s="3"/>
      <c r="AB85" s="13"/>
      <c r="AC85" s="3"/>
      <c r="AD85" s="14"/>
      <c r="AF85" s="6"/>
      <c r="AG85" s="6"/>
      <c r="AI85" s="5"/>
    </row>
    <row r="86" spans="2:39" ht="13.5" thickBot="1" x14ac:dyDescent="0.25">
      <c r="B86" s="1">
        <f ca="1">+MAX(OFFSET($B$7,0,0,ROW($B86)-ROW($B$7),1))+1</f>
        <v>76</v>
      </c>
      <c r="D86" s="11"/>
      <c r="E86" s="11"/>
      <c r="G86" s="10" t="s">
        <v>117</v>
      </c>
      <c r="J86" s="12">
        <f>+SUM(J7:J84)</f>
        <v>63540.888956076371</v>
      </c>
      <c r="K86" s="4"/>
      <c r="L86" s="12">
        <f>+SUM(L7:L84)</f>
        <v>1100424.3467003778</v>
      </c>
      <c r="M86" s="4"/>
      <c r="N86" s="12">
        <f>+($L86*$AM$17-$J86)/$AK$4</f>
        <v>16770.604447327514</v>
      </c>
      <c r="Q86" s="12">
        <f>+SUM(Q7:Q84)</f>
        <v>89358.956922251949</v>
      </c>
      <c r="R86" s="4"/>
      <c r="S86" s="12">
        <f>+SUM(S7:S84)</f>
        <v>1073877.6001425651</v>
      </c>
      <c r="T86" s="4"/>
      <c r="U86" s="12">
        <f>+($S86*$AM$17-$Q86)/$AK$4</f>
        <v>-20013.602979950581</v>
      </c>
      <c r="V86" s="2"/>
      <c r="X86" s="12">
        <f>+SUM(X10:X83)</f>
        <v>32909.82050527112</v>
      </c>
      <c r="Y86" s="7"/>
      <c r="Z86" s="12">
        <f>+SUM(Z10:Z83)</f>
        <v>25818.067966175615</v>
      </c>
      <c r="AA86" s="4"/>
      <c r="AB86" s="12">
        <f>+SUM(AB10:AB83)</f>
        <v>-26546.74655781281</v>
      </c>
      <c r="AC86" s="4"/>
      <c r="AD86" s="12">
        <f>+SUM(AD10:AD83)</f>
        <v>-36784.207427278146</v>
      </c>
      <c r="AF86" s="6"/>
      <c r="AG86" s="6"/>
      <c r="AI86" s="5"/>
    </row>
    <row r="87" spans="2:39" ht="13.5" thickTop="1" x14ac:dyDescent="0.2">
      <c r="D87" s="11"/>
      <c r="E87" s="11"/>
      <c r="G87" s="10"/>
      <c r="J87" s="3"/>
      <c r="K87" s="4"/>
      <c r="L87" s="3"/>
      <c r="M87" s="4"/>
      <c r="N87" s="3"/>
      <c r="Q87" s="3"/>
      <c r="R87" s="4"/>
      <c r="S87" s="8"/>
      <c r="T87" s="9"/>
      <c r="U87" s="8"/>
      <c r="X87" s="3"/>
      <c r="Y87" s="7"/>
      <c r="Z87" s="3"/>
      <c r="AA87" s="4"/>
      <c r="AB87" s="3"/>
      <c r="AC87" s="4"/>
      <c r="AD87" s="3"/>
      <c r="AF87" s="6"/>
      <c r="AG87" s="6"/>
      <c r="AI87" s="5"/>
    </row>
    <row r="88" spans="2:39" x14ac:dyDescent="0.2">
      <c r="G88" s="10" t="s">
        <v>152</v>
      </c>
      <c r="J88" s="3">
        <f>+N86*$AK$4+J86</f>
        <v>76149.364791666143</v>
      </c>
      <c r="L88" s="3">
        <f>+L86</f>
        <v>1100424.3467003778</v>
      </c>
      <c r="N88" s="3">
        <f>+($L88*$AM$17-$J88)/$AK$4</f>
        <v>0</v>
      </c>
      <c r="Q88" s="3">
        <f>+U86*$AK$4+Q86</f>
        <v>74312.329929865504</v>
      </c>
      <c r="S88" s="3">
        <f>+S86</f>
        <v>1073877.6001425651</v>
      </c>
      <c r="U88" s="3">
        <f>+($L88*$AM$17-$J88)/$AK$4</f>
        <v>0</v>
      </c>
    </row>
    <row r="89" spans="2:39" x14ac:dyDescent="0.2">
      <c r="AM89" s="4"/>
    </row>
    <row r="90" spans="2:39" x14ac:dyDescent="0.2">
      <c r="AM90" s="4"/>
    </row>
    <row r="91" spans="2:39" x14ac:dyDescent="0.2">
      <c r="L91" s="1" t="s">
        <v>257</v>
      </c>
      <c r="N91" s="4">
        <v>26763.219068381724</v>
      </c>
      <c r="AM91" s="4"/>
    </row>
    <row r="92" spans="2:39" x14ac:dyDescent="0.2">
      <c r="L92" s="1" t="s">
        <v>164</v>
      </c>
      <c r="N92" s="4">
        <f>+N86-N91</f>
        <v>-9992.6146210542101</v>
      </c>
      <c r="AM92" s="4"/>
    </row>
    <row r="93" spans="2:39" x14ac:dyDescent="0.2">
      <c r="AM93" s="4"/>
    </row>
    <row r="94" spans="2:39" x14ac:dyDescent="0.2">
      <c r="B94" s="55"/>
      <c r="D94" s="57"/>
      <c r="E94" s="57"/>
      <c r="F94" s="55"/>
      <c r="G94" s="21"/>
      <c r="J94" s="21"/>
      <c r="K94" s="21"/>
      <c r="L94" s="21"/>
      <c r="M94" s="21"/>
      <c r="N94" s="21"/>
      <c r="O94" s="22"/>
      <c r="P94" s="55"/>
      <c r="Q94" s="21"/>
      <c r="R94" s="21"/>
      <c r="S94" s="21"/>
      <c r="T94" s="21"/>
      <c r="U94" s="21"/>
      <c r="V94" s="55"/>
      <c r="W94" s="55"/>
      <c r="X94" s="21"/>
      <c r="Y94" s="21"/>
      <c r="Z94" s="21"/>
      <c r="AA94" s="21"/>
      <c r="AB94" s="21"/>
      <c r="AC94" s="56"/>
      <c r="AD94" s="21"/>
    </row>
  </sheetData>
  <pageMargins left="0.25" right="0.25" top="0.75" bottom="0.75" header="0.3" footer="0.3"/>
  <pageSetup scale="95" pageOrder="overThenDown" orientation="landscape" r:id="rId1"/>
  <colBreaks count="1" manualBreakCount="1">
    <brk id="21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E205-4378-4353-AE33-FC42E0E2082C}">
  <sheetPr codeName="Sheet15"/>
  <dimension ref="A1:X107"/>
  <sheetViews>
    <sheetView zoomScale="115" zoomScaleNormal="115" zoomScaleSheetLayoutView="55" workbookViewId="0"/>
  </sheetViews>
  <sheetFormatPr defaultColWidth="8.7109375" defaultRowHeight="12.75" x14ac:dyDescent="0.2"/>
  <cols>
    <col min="1" max="2" width="2.140625" style="1" customWidth="1"/>
    <col min="3" max="3" width="16.42578125" style="1" customWidth="1"/>
    <col min="4" max="4" width="2.42578125" style="1" customWidth="1"/>
    <col min="5" max="8" width="13.85546875" style="1" customWidth="1"/>
    <col min="9" max="9" width="2.140625" style="1" customWidth="1"/>
    <col min="10" max="11" width="8.7109375" style="1"/>
    <col min="12" max="12" width="15.42578125" style="1" customWidth="1"/>
    <col min="13" max="19" width="8.7109375" style="1"/>
    <col min="20" max="20" width="12.28515625" style="1" customWidth="1"/>
    <col min="21" max="16384" width="8.7109375" style="1"/>
  </cols>
  <sheetData>
    <row r="1" spans="1:13" x14ac:dyDescent="0.2">
      <c r="A1" s="1" t="s">
        <v>174</v>
      </c>
    </row>
    <row r="2" spans="1:13" x14ac:dyDescent="0.2">
      <c r="A2" s="1" t="s">
        <v>194</v>
      </c>
    </row>
    <row r="5" spans="1:13" x14ac:dyDescent="0.2">
      <c r="D5" s="33"/>
      <c r="E5" s="32"/>
      <c r="F5" s="32"/>
      <c r="G5" s="31"/>
    </row>
    <row r="6" spans="1:13" x14ac:dyDescent="0.2">
      <c r="D6" s="29"/>
      <c r="E6" s="79"/>
      <c r="F6" s="80" t="s">
        <v>128</v>
      </c>
      <c r="G6" s="81" t="s">
        <v>127</v>
      </c>
    </row>
    <row r="7" spans="1:13" x14ac:dyDescent="0.2">
      <c r="D7" s="29"/>
      <c r="E7" s="54" t="s">
        <v>175</v>
      </c>
      <c r="F7" s="79">
        <f>+-(F46+E46+G46)</f>
        <v>-187.72947689109589</v>
      </c>
      <c r="G7" s="82">
        <f>-H46</f>
        <v>-83.766995432196268</v>
      </c>
      <c r="L7" s="1" t="s">
        <v>176</v>
      </c>
      <c r="M7" s="1">
        <v>0.752355</v>
      </c>
    </row>
    <row r="8" spans="1:13" x14ac:dyDescent="0.2">
      <c r="D8" s="29"/>
      <c r="E8" s="54" t="s">
        <v>38</v>
      </c>
      <c r="F8" s="64">
        <f>+E41+F41+E52+F52+E71+F71+G41+G52+G71</f>
        <v>5619.6228624280284</v>
      </c>
      <c r="G8" s="83">
        <f>+H41+H52+H71</f>
        <v>2344.5113271169303</v>
      </c>
      <c r="L8" s="1" t="s">
        <v>131</v>
      </c>
      <c r="M8" s="44">
        <v>0.21</v>
      </c>
    </row>
    <row r="9" spans="1:13" x14ac:dyDescent="0.2">
      <c r="D9" s="29"/>
      <c r="E9" s="54" t="s">
        <v>177</v>
      </c>
      <c r="F9" s="79">
        <f>+(F$8*$M$9-F$7*(1-$M$8))/$M$7</f>
        <v>734.91786834510822</v>
      </c>
      <c r="G9" s="82">
        <f>+(G$8*$M$9-G$7*(1-$M$8))/$M$7</f>
        <v>312.32694930432319</v>
      </c>
      <c r="L9" s="1" t="s">
        <v>178</v>
      </c>
      <c r="M9" s="39">
        <v>7.2000000000000008E-2</v>
      </c>
    </row>
    <row r="10" spans="1:13" x14ac:dyDescent="0.2">
      <c r="D10" s="27"/>
      <c r="E10" s="64"/>
      <c r="F10" s="64"/>
      <c r="G10" s="83"/>
    </row>
    <row r="11" spans="1:13" x14ac:dyDescent="0.2">
      <c r="E11" s="4"/>
    </row>
    <row r="13" spans="1:13" x14ac:dyDescent="0.2">
      <c r="B13" s="65" t="s">
        <v>179</v>
      </c>
      <c r="E13" s="66">
        <v>2022</v>
      </c>
      <c r="F13" s="66">
        <v>2023</v>
      </c>
      <c r="G13" s="66">
        <v>2024</v>
      </c>
      <c r="H13" s="66">
        <v>2025</v>
      </c>
    </row>
    <row r="14" spans="1:13" x14ac:dyDescent="0.2">
      <c r="E14" s="4"/>
    </row>
    <row r="15" spans="1:13" x14ac:dyDescent="0.2">
      <c r="B15" s="10" t="s">
        <v>180</v>
      </c>
      <c r="E15" s="4"/>
    </row>
    <row r="16" spans="1:13" ht="5.45" customHeight="1" x14ac:dyDescent="0.2">
      <c r="B16" s="10"/>
      <c r="E16" s="4"/>
      <c r="F16" s="4"/>
      <c r="G16" s="4"/>
      <c r="H16" s="4"/>
    </row>
    <row r="17" spans="2:8" x14ac:dyDescent="0.2">
      <c r="B17" s="10"/>
      <c r="C17" s="1" t="s">
        <v>230</v>
      </c>
      <c r="E17" s="4"/>
      <c r="F17" s="4"/>
      <c r="G17" s="4"/>
      <c r="H17" s="4"/>
    </row>
    <row r="18" spans="2:8" x14ac:dyDescent="0.2">
      <c r="B18" s="10"/>
      <c r="C18" s="78" t="s">
        <v>217</v>
      </c>
      <c r="E18" s="4" cm="1">
        <f t="array" ref="E18">+SUM(T$77:T$107*($P$77:$P$107=$C18))/1000</f>
        <v>-1.508</v>
      </c>
      <c r="F18" s="4" cm="1">
        <f t="array" ref="F18">+SUM(U$77:U$107*($P$77:$P$107=$C18))/1000</f>
        <v>174.27236045910217</v>
      </c>
      <c r="G18" s="4" cm="1">
        <f t="array" ref="G18">+SUM(V$77:V$107*($P$77:$P$107=$C18))/1000</f>
        <v>208.07396362701044</v>
      </c>
      <c r="H18" s="4" cm="1">
        <f t="array" ref="H18">+SUM(W$77:W$107*($P$77:$P$107=$C18))/1000</f>
        <v>77.491090699981115</v>
      </c>
    </row>
    <row r="19" spans="2:8" x14ac:dyDescent="0.2">
      <c r="B19" s="10"/>
      <c r="C19" s="78" t="s">
        <v>200</v>
      </c>
      <c r="E19" s="4" cm="1">
        <f t="array" ref="E19">+SUM(T$77:T$107*($P$77:$P$107=$C19))/1000</f>
        <v>2595.1392000000001</v>
      </c>
      <c r="F19" s="4" cm="1">
        <f t="array" ref="F19">+SUM(U$77:U$107*($P$77:$P$107=$C19))/1000</f>
        <v>1540.70991</v>
      </c>
      <c r="G19" s="4" cm="1">
        <f t="array" ref="G19">+SUM(V$77:V$107*($P$77:$P$107=$C19))/1000</f>
        <v>1981.9682299999806</v>
      </c>
      <c r="H19" s="4" cm="1">
        <f t="array" ref="H19">+SUM(W$77:W$107*($P$77:$P$107=$C19))/1000</f>
        <v>2735.0161143999749</v>
      </c>
    </row>
    <row r="20" spans="2:8" x14ac:dyDescent="0.2">
      <c r="B20" s="10"/>
      <c r="C20" s="78" t="s">
        <v>210</v>
      </c>
      <c r="E20" s="4" cm="1">
        <f t="array" ref="E20">+SUM(T$77:T$107*($P$77:$P$107=$C20))/1000</f>
        <v>12633.008323241378</v>
      </c>
      <c r="F20" s="4" cm="1">
        <f t="array" ref="F20">+SUM(U$77:U$107*($P$77:$P$107=$C20))/1000</f>
        <v>19384.555944420979</v>
      </c>
      <c r="G20" s="4" cm="1">
        <f t="array" ref="G20">+SUM(V$77:V$107*($P$77:$P$107=$C20))/1000</f>
        <v>23754.719457993469</v>
      </c>
      <c r="H20" s="4" cm="1">
        <f t="array" ref="H20">+SUM(W$77:W$107*($P$77:$P$107=$C20))/1000</f>
        <v>14243.463095780644</v>
      </c>
    </row>
    <row r="21" spans="2:8" x14ac:dyDescent="0.2">
      <c r="B21" s="10"/>
      <c r="C21" s="78" t="s">
        <v>225</v>
      </c>
      <c r="E21" s="67" cm="1">
        <f t="array" ref="E21">+SUM(T$77:T$107*($P$77:$P$107=$C21))/1000</f>
        <v>3683.7098177344342</v>
      </c>
      <c r="F21" s="67" cm="1">
        <f t="array" ref="F21">+SUM(U$77:U$107*($P$77:$P$107=$C21))/1000</f>
        <v>8528.1898655480418</v>
      </c>
      <c r="G21" s="67" cm="1">
        <f t="array" ref="G21">+SUM(V$77:V$107*($P$77:$P$107=$C21))/1000</f>
        <v>6132.9279888865703</v>
      </c>
      <c r="H21" s="67" cm="1">
        <f t="array" ref="H21">+SUM(W$77:W$107*($P$77:$P$107=$C21))/1000</f>
        <v>7837.464284967441</v>
      </c>
    </row>
    <row r="22" spans="2:8" x14ac:dyDescent="0.2">
      <c r="B22" s="10"/>
      <c r="C22" s="1" t="s">
        <v>231</v>
      </c>
      <c r="E22" s="3">
        <f>+SUM(E18:E21)</f>
        <v>18910.349340975812</v>
      </c>
      <c r="F22" s="3">
        <f t="shared" ref="F22:H22" si="0">+SUM(F18:F21)</f>
        <v>29627.728080428125</v>
      </c>
      <c r="G22" s="3">
        <f t="shared" si="0"/>
        <v>32077.689640507033</v>
      </c>
      <c r="H22" s="3">
        <f t="shared" si="0"/>
        <v>24893.434585848041</v>
      </c>
    </row>
    <row r="23" spans="2:8" x14ac:dyDescent="0.2">
      <c r="B23" s="10"/>
      <c r="E23" s="4"/>
      <c r="F23" s="4"/>
      <c r="G23" s="4"/>
      <c r="H23" s="4"/>
    </row>
    <row r="24" spans="2:8" x14ac:dyDescent="0.2">
      <c r="B24" s="10"/>
      <c r="C24" s="1" t="s">
        <v>193</v>
      </c>
      <c r="E24" s="4"/>
      <c r="F24" s="4"/>
      <c r="G24" s="4"/>
      <c r="H24" s="4"/>
    </row>
    <row r="25" spans="2:8" x14ac:dyDescent="0.2">
      <c r="B25" s="10"/>
      <c r="C25" s="78" t="s">
        <v>217</v>
      </c>
      <c r="E25" s="44">
        <v>1</v>
      </c>
      <c r="F25" s="44">
        <f>+E25</f>
        <v>1</v>
      </c>
      <c r="G25" s="44">
        <f t="shared" ref="G25:H25" si="1">+F25</f>
        <v>1</v>
      </c>
      <c r="H25" s="44">
        <f t="shared" si="1"/>
        <v>1</v>
      </c>
    </row>
    <row r="26" spans="2:8" x14ac:dyDescent="0.2">
      <c r="B26" s="10"/>
      <c r="C26" s="78" t="s">
        <v>200</v>
      </c>
      <c r="E26" s="44">
        <v>0.22162982918040364</v>
      </c>
      <c r="F26" s="44">
        <f t="shared" ref="F26:H26" si="2">+E26</f>
        <v>0.22162982918040364</v>
      </c>
      <c r="G26" s="44">
        <f t="shared" si="2"/>
        <v>0.22162982918040364</v>
      </c>
      <c r="H26" s="44">
        <f t="shared" si="2"/>
        <v>0.22162982918040364</v>
      </c>
    </row>
    <row r="27" spans="2:8" x14ac:dyDescent="0.2">
      <c r="B27" s="10"/>
      <c r="C27" s="78" t="s">
        <v>210</v>
      </c>
      <c r="E27" s="44">
        <v>7.9787774498314715E-2</v>
      </c>
      <c r="F27" s="44">
        <f t="shared" ref="F27:H27" si="3">+E27</f>
        <v>7.9787774498314715E-2</v>
      </c>
      <c r="G27" s="44">
        <f t="shared" si="3"/>
        <v>7.9787774498314715E-2</v>
      </c>
      <c r="H27" s="44">
        <f t="shared" si="3"/>
        <v>7.9787774498314715E-2</v>
      </c>
    </row>
    <row r="28" spans="2:8" x14ac:dyDescent="0.2">
      <c r="B28" s="10"/>
      <c r="C28" s="78" t="s">
        <v>225</v>
      </c>
      <c r="E28" s="44">
        <v>7.0845810240555085E-2</v>
      </c>
      <c r="F28" s="44">
        <f t="shared" ref="F28:H28" si="4">+E28</f>
        <v>7.0845810240555085E-2</v>
      </c>
      <c r="G28" s="44">
        <f t="shared" si="4"/>
        <v>7.0845810240555085E-2</v>
      </c>
      <c r="H28" s="44">
        <f t="shared" si="4"/>
        <v>7.0845810240555085E-2</v>
      </c>
    </row>
    <row r="29" spans="2:8" x14ac:dyDescent="0.2">
      <c r="B29" s="10"/>
      <c r="E29" s="4"/>
      <c r="F29" s="4"/>
      <c r="G29" s="4"/>
      <c r="H29" s="4"/>
    </row>
    <row r="30" spans="2:8" x14ac:dyDescent="0.2">
      <c r="B30" s="10"/>
      <c r="C30" s="1" t="s">
        <v>232</v>
      </c>
      <c r="E30" s="4"/>
      <c r="F30" s="4"/>
      <c r="G30" s="4"/>
      <c r="H30" s="4"/>
    </row>
    <row r="31" spans="2:8" x14ac:dyDescent="0.2">
      <c r="B31" s="10"/>
      <c r="C31" s="78" t="s">
        <v>217</v>
      </c>
      <c r="E31" s="4">
        <f>+E18*E25</f>
        <v>-1.508</v>
      </c>
      <c r="F31" s="4">
        <f t="shared" ref="F31:H31" si="5">+F18*F25</f>
        <v>174.27236045910217</v>
      </c>
      <c r="G31" s="4">
        <f t="shared" si="5"/>
        <v>208.07396362701044</v>
      </c>
      <c r="H31" s="4">
        <f t="shared" si="5"/>
        <v>77.491090699981115</v>
      </c>
    </row>
    <row r="32" spans="2:8" x14ac:dyDescent="0.2">
      <c r="B32" s="10"/>
      <c r="C32" s="78" t="s">
        <v>200</v>
      </c>
      <c r="E32" s="4">
        <f t="shared" ref="E32:H34" si="6">+E19*E26</f>
        <v>575.16025759536933</v>
      </c>
      <c r="F32" s="4">
        <f t="shared" si="6"/>
        <v>341.46727416985505</v>
      </c>
      <c r="G32" s="4">
        <f t="shared" si="6"/>
        <v>439.26328025588265</v>
      </c>
      <c r="H32" s="4">
        <f t="shared" si="6"/>
        <v>606.16115424011775</v>
      </c>
    </row>
    <row r="33" spans="2:8" x14ac:dyDescent="0.2">
      <c r="B33" s="10"/>
      <c r="C33" s="78" t="s">
        <v>210</v>
      </c>
      <c r="E33" s="4">
        <f t="shared" si="6"/>
        <v>1007.959619330116</v>
      </c>
      <c r="F33" s="4">
        <f t="shared" si="6"/>
        <v>1546.6505784434271</v>
      </c>
      <c r="G33" s="4">
        <f t="shared" si="6"/>
        <v>1895.3361993851117</v>
      </c>
      <c r="H33" s="4">
        <f t="shared" si="6"/>
        <v>1136.4542215612137</v>
      </c>
    </row>
    <row r="34" spans="2:8" x14ac:dyDescent="0.2">
      <c r="B34" s="10"/>
      <c r="C34" s="78" t="s">
        <v>225</v>
      </c>
      <c r="E34" s="67">
        <f t="shared" si="6"/>
        <v>260.97540672848351</v>
      </c>
      <c r="F34" s="67">
        <f t="shared" si="6"/>
        <v>604.18652091004151</v>
      </c>
      <c r="G34" s="67">
        <f t="shared" si="6"/>
        <v>434.49225251964708</v>
      </c>
      <c r="H34" s="67">
        <f t="shared" si="6"/>
        <v>555.25150749993111</v>
      </c>
    </row>
    <row r="35" spans="2:8" x14ac:dyDescent="0.2">
      <c r="B35" s="10"/>
      <c r="E35" s="4"/>
      <c r="F35" s="4"/>
      <c r="G35" s="4"/>
      <c r="H35" s="4"/>
    </row>
    <row r="36" spans="2:8" x14ac:dyDescent="0.2">
      <c r="B36" s="10"/>
      <c r="C36" s="1" t="s">
        <v>181</v>
      </c>
      <c r="E36" s="77">
        <f>+SUM(E31:E34)</f>
        <v>1842.5872836539688</v>
      </c>
      <c r="F36" s="77">
        <f t="shared" ref="F36:H36" si="7">+SUM(F31:F34)</f>
        <v>2666.576733982426</v>
      </c>
      <c r="G36" s="77">
        <f t="shared" si="7"/>
        <v>2977.1656957876521</v>
      </c>
      <c r="H36" s="77">
        <f t="shared" si="7"/>
        <v>2375.3579740012437</v>
      </c>
    </row>
    <row r="37" spans="2:8" x14ac:dyDescent="0.2">
      <c r="B37" s="10"/>
      <c r="C37" s="1" t="s">
        <v>182</v>
      </c>
      <c r="E37" s="4">
        <f>+E36</f>
        <v>1842.5872836539688</v>
      </c>
      <c r="F37" s="4">
        <f>+E37+F36</f>
        <v>4509.1640176363944</v>
      </c>
      <c r="G37" s="4">
        <f>+F37+G36</f>
        <v>7486.3297134240465</v>
      </c>
      <c r="H37" s="4">
        <f>+G37+H36</f>
        <v>9861.6876874252903</v>
      </c>
    </row>
    <row r="38" spans="2:8" ht="5.45" customHeight="1" x14ac:dyDescent="0.2">
      <c r="B38" s="10"/>
      <c r="E38" s="4"/>
      <c r="F38" s="4"/>
      <c r="G38" s="4"/>
      <c r="H38" s="4"/>
    </row>
    <row r="39" spans="2:8" x14ac:dyDescent="0.2">
      <c r="B39" s="10"/>
      <c r="C39" s="1" t="s">
        <v>183</v>
      </c>
      <c r="E39" s="4">
        <f>+E37/2</f>
        <v>921.29364182698441</v>
      </c>
      <c r="F39" s="4">
        <f>+E37+F36/2</f>
        <v>3175.8756506451818</v>
      </c>
      <c r="G39" s="4">
        <f>+F37+G36/2</f>
        <v>5997.74686553022</v>
      </c>
      <c r="H39" s="4">
        <f>+G37+H36/2</f>
        <v>8674.0087004246689</v>
      </c>
    </row>
    <row r="40" spans="2:8" ht="5.45" customHeight="1" x14ac:dyDescent="0.2">
      <c r="B40" s="10"/>
      <c r="C40" s="68"/>
      <c r="E40" s="69"/>
      <c r="F40" s="69"/>
      <c r="G40" s="69"/>
      <c r="H40" s="69"/>
    </row>
    <row r="41" spans="2:8" x14ac:dyDescent="0.2">
      <c r="B41" s="10"/>
      <c r="C41" s="68" t="s">
        <v>184</v>
      </c>
      <c r="E41" s="7">
        <f>+E39</f>
        <v>921.29364182698441</v>
      </c>
      <c r="F41" s="7">
        <f>+F39-E39</f>
        <v>2254.5820088181972</v>
      </c>
      <c r="G41" s="7">
        <f>+G39-F39</f>
        <v>2821.8712148850382</v>
      </c>
      <c r="H41" s="7">
        <f>+H39-G39</f>
        <v>2676.2618348944488</v>
      </c>
    </row>
    <row r="42" spans="2:8" x14ac:dyDescent="0.2">
      <c r="B42" s="10"/>
    </row>
    <row r="43" spans="2:8" x14ac:dyDescent="0.2">
      <c r="B43" s="10"/>
      <c r="C43" s="1" t="s">
        <v>32</v>
      </c>
    </row>
    <row r="44" spans="2:8" x14ac:dyDescent="0.2">
      <c r="B44" s="10"/>
      <c r="C44" s="39">
        <v>3.1300000000000001E-2</v>
      </c>
      <c r="E44" s="4">
        <f>+E39*$C44</f>
        <v>28.836490989184615</v>
      </c>
      <c r="F44" s="4">
        <f>+F39*$C44</f>
        <v>99.40490786519419</v>
      </c>
      <c r="G44" s="4">
        <f>+G39*$C44</f>
        <v>187.72947689109589</v>
      </c>
      <c r="H44" s="4">
        <f>+H39*$C44</f>
        <v>271.49647232329215</v>
      </c>
    </row>
    <row r="45" spans="2:8" ht="5.45" customHeight="1" x14ac:dyDescent="0.2">
      <c r="B45" s="10"/>
      <c r="C45" s="68"/>
      <c r="E45" s="67"/>
      <c r="F45" s="67"/>
      <c r="G45" s="67"/>
      <c r="H45" s="67"/>
    </row>
    <row r="46" spans="2:8" x14ac:dyDescent="0.2">
      <c r="B46" s="10"/>
      <c r="C46" s="68" t="s">
        <v>185</v>
      </c>
      <c r="E46" s="7">
        <f>+E44</f>
        <v>28.836490989184615</v>
      </c>
      <c r="F46" s="4">
        <f>+F44-E44</f>
        <v>70.568416876009579</v>
      </c>
      <c r="G46" s="4">
        <f>+G44-F44</f>
        <v>88.324569025901695</v>
      </c>
      <c r="H46" s="4">
        <f>+H44-G44</f>
        <v>83.766995432196268</v>
      </c>
    </row>
    <row r="47" spans="2:8" x14ac:dyDescent="0.2">
      <c r="B47" s="10"/>
    </row>
    <row r="48" spans="2:8" x14ac:dyDescent="0.2">
      <c r="B48" s="10" t="s">
        <v>186</v>
      </c>
      <c r="E48" s="4"/>
      <c r="F48" s="4"/>
      <c r="G48" s="4"/>
      <c r="H48" s="4"/>
    </row>
    <row r="49" spans="2:8" ht="5.45" customHeight="1" x14ac:dyDescent="0.2">
      <c r="B49" s="10"/>
      <c r="E49" s="4"/>
      <c r="F49" s="4"/>
      <c r="G49" s="4"/>
      <c r="H49" s="4"/>
    </row>
    <row r="50" spans="2:8" x14ac:dyDescent="0.2">
      <c r="B50" s="10"/>
      <c r="C50" s="1" t="s">
        <v>187</v>
      </c>
      <c r="E50" s="4">
        <f>-E44</f>
        <v>-28.836490989184615</v>
      </c>
      <c r="F50" s="4">
        <f>+E50-F44</f>
        <v>-128.24139885437882</v>
      </c>
      <c r="G50" s="4">
        <f>+F50-G44</f>
        <v>-315.9708757454747</v>
      </c>
      <c r="H50" s="4">
        <f>+G50-H44</f>
        <v>-587.4673480687668</v>
      </c>
    </row>
    <row r="51" spans="2:8" ht="5.45" customHeight="1" x14ac:dyDescent="0.2">
      <c r="B51" s="10"/>
      <c r="C51" s="68"/>
      <c r="E51" s="67"/>
      <c r="F51" s="67"/>
      <c r="G51" s="67"/>
      <c r="H51" s="67"/>
    </row>
    <row r="52" spans="2:8" x14ac:dyDescent="0.2">
      <c r="B52" s="10"/>
      <c r="C52" s="68" t="s">
        <v>185</v>
      </c>
      <c r="E52" s="4">
        <f>+E50</f>
        <v>-28.836490989184615</v>
      </c>
      <c r="F52" s="4">
        <f>+F50-E50</f>
        <v>-99.404907865194204</v>
      </c>
      <c r="G52" s="4">
        <f>+G50-F50</f>
        <v>-187.72947689109589</v>
      </c>
      <c r="H52" s="4">
        <f>+H50-G50</f>
        <v>-271.4964723232921</v>
      </c>
    </row>
    <row r="53" spans="2:8" x14ac:dyDescent="0.2">
      <c r="B53" s="10"/>
    </row>
    <row r="54" spans="2:8" x14ac:dyDescent="0.2">
      <c r="B54" s="10" t="s">
        <v>188</v>
      </c>
    </row>
    <row r="55" spans="2:8" ht="5.45" customHeight="1" x14ac:dyDescent="0.2">
      <c r="B55" s="10"/>
    </row>
    <row r="56" spans="2:8" x14ac:dyDescent="0.2">
      <c r="B56" s="10"/>
      <c r="C56" s="1" t="s">
        <v>189</v>
      </c>
    </row>
    <row r="57" spans="2:8" x14ac:dyDescent="0.2">
      <c r="B57" s="10"/>
      <c r="C57" s="1">
        <v>2022</v>
      </c>
      <c r="E57" s="39">
        <v>3.7499999999999999E-2</v>
      </c>
      <c r="F57" s="39">
        <v>7.2190000000000004E-2</v>
      </c>
      <c r="G57" s="39">
        <v>6.6669999999999993E-2</v>
      </c>
      <c r="H57" s="39">
        <v>6.1769999999999999E-2</v>
      </c>
    </row>
    <row r="58" spans="2:8" x14ac:dyDescent="0.2">
      <c r="B58" s="10"/>
      <c r="C58" s="1">
        <v>2023</v>
      </c>
      <c r="E58" s="39"/>
      <c r="F58" s="39">
        <v>3.7499999999999999E-2</v>
      </c>
      <c r="G58" s="39">
        <v>7.2190000000000004E-2</v>
      </c>
      <c r="H58" s="39">
        <v>6.6669999999999993E-2</v>
      </c>
    </row>
    <row r="59" spans="2:8" x14ac:dyDescent="0.2">
      <c r="B59" s="10"/>
      <c r="C59" s="1">
        <v>2024</v>
      </c>
      <c r="E59" s="39"/>
      <c r="F59" s="39"/>
      <c r="G59" s="39">
        <v>3.7499999999999999E-2</v>
      </c>
      <c r="H59" s="39">
        <v>7.2190000000000004E-2</v>
      </c>
    </row>
    <row r="60" spans="2:8" x14ac:dyDescent="0.2">
      <c r="B60" s="10"/>
      <c r="C60" s="1">
        <v>2025</v>
      </c>
      <c r="E60" s="39"/>
      <c r="F60" s="39"/>
      <c r="G60" s="39"/>
      <c r="H60" s="39">
        <v>3.7499999999999999E-2</v>
      </c>
    </row>
    <row r="61" spans="2:8" ht="5.45" customHeight="1" x14ac:dyDescent="0.2">
      <c r="B61" s="10"/>
    </row>
    <row r="62" spans="2:8" x14ac:dyDescent="0.2">
      <c r="B62" s="10"/>
      <c r="C62" s="1" t="s">
        <v>190</v>
      </c>
    </row>
    <row r="63" spans="2:8" x14ac:dyDescent="0.2">
      <c r="B63" s="10"/>
      <c r="C63" s="1">
        <v>2022</v>
      </c>
      <c r="E63" s="70">
        <f>+($C$44-E57)*E$36*0.21</f>
        <v>-2.399048643317466</v>
      </c>
      <c r="F63" s="70">
        <f>+($C$44-F57)*$E$36*0.21</f>
        <v>-15.822112746008266</v>
      </c>
      <c r="G63" s="70">
        <f>+($C$44-G57)*$E$36*0.21</f>
        <v>-13.686185566796579</v>
      </c>
      <c r="H63" s="70">
        <f>+($C$44-H57)*$E$36*0.21</f>
        <v>-11.790163251916649</v>
      </c>
    </row>
    <row r="64" spans="2:8" x14ac:dyDescent="0.2">
      <c r="B64" s="10"/>
      <c r="C64" s="1">
        <v>2023</v>
      </c>
      <c r="F64" s="70">
        <f>+($C$44-F58)*$F$36*0.21</f>
        <v>-3.4718829076451168</v>
      </c>
      <c r="G64" s="70">
        <f>+($C$44-G58)*$F$36*0.21</f>
        <v>-22.897627757033696</v>
      </c>
      <c r="H64" s="70">
        <f>+($C$44-H58)*$F$36*0.21</f>
        <v>-19.806532007001259</v>
      </c>
    </row>
    <row r="65" spans="2:24" x14ac:dyDescent="0.2">
      <c r="B65" s="10"/>
      <c r="C65" s="1">
        <v>2024</v>
      </c>
      <c r="G65" s="70">
        <f>+($C$44-G59)*$G$36*0.21</f>
        <v>-3.8762697359155207</v>
      </c>
      <c r="H65" s="70">
        <f>+($C$44-H59)*$G$36*0.21</f>
        <v>-25.564624113158992</v>
      </c>
    </row>
    <row r="66" spans="2:24" x14ac:dyDescent="0.2">
      <c r="B66" s="10"/>
      <c r="C66" s="1">
        <v>2025</v>
      </c>
      <c r="E66" s="51"/>
      <c r="F66" s="51"/>
      <c r="G66" s="51"/>
      <c r="H66" s="71">
        <f>+($C$44-H60)*$H$36*0.21</f>
        <v>-3.092716082149618</v>
      </c>
    </row>
    <row r="67" spans="2:24" x14ac:dyDescent="0.2">
      <c r="B67" s="10"/>
      <c r="C67" s="1" t="s">
        <v>191</v>
      </c>
      <c r="E67" s="70">
        <f>+SUM(E63:E66)</f>
        <v>-2.399048643317466</v>
      </c>
      <c r="F67" s="70">
        <f>+SUM(F63:F66)</f>
        <v>-19.293995653653383</v>
      </c>
      <c r="G67" s="70">
        <f>+SUM(G63:G66)</f>
        <v>-40.460083059745799</v>
      </c>
      <c r="H67" s="70">
        <f>+SUM(H63:H66)</f>
        <v>-60.254035454226525</v>
      </c>
    </row>
    <row r="68" spans="2:24" ht="5.45" customHeight="1" x14ac:dyDescent="0.2">
      <c r="B68" s="10"/>
      <c r="E68" s="70"/>
      <c r="F68" s="70"/>
      <c r="G68" s="70"/>
      <c r="H68" s="70"/>
    </row>
    <row r="69" spans="2:24" x14ac:dyDescent="0.2">
      <c r="B69" s="10"/>
      <c r="C69" s="1" t="s">
        <v>192</v>
      </c>
      <c r="E69" s="70">
        <f>+E67</f>
        <v>-2.399048643317466</v>
      </c>
      <c r="F69" s="70">
        <f>+F67+E69</f>
        <v>-21.69304429697085</v>
      </c>
      <c r="G69" s="70">
        <f>+G67+F69</f>
        <v>-62.153127356716652</v>
      </c>
      <c r="H69" s="70">
        <f>+H67+G69</f>
        <v>-122.40716281094318</v>
      </c>
    </row>
    <row r="70" spans="2:24" ht="5.45" customHeight="1" x14ac:dyDescent="0.2">
      <c r="B70" s="10"/>
      <c r="C70" s="68"/>
      <c r="E70" s="67"/>
      <c r="F70" s="67"/>
      <c r="G70" s="67"/>
      <c r="H70" s="67"/>
    </row>
    <row r="71" spans="2:24" x14ac:dyDescent="0.2">
      <c r="B71" s="10"/>
      <c r="C71" s="68" t="s">
        <v>185</v>
      </c>
      <c r="E71" s="4">
        <f>+E69</f>
        <v>-2.399048643317466</v>
      </c>
      <c r="F71" s="4">
        <f>+F69-E69</f>
        <v>-19.293995653653383</v>
      </c>
      <c r="G71" s="4">
        <f>+G69-F69</f>
        <v>-40.460083059745799</v>
      </c>
      <c r="H71" s="4">
        <f>+H69-G69</f>
        <v>-60.254035454226525</v>
      </c>
    </row>
    <row r="76" spans="2:24" x14ac:dyDescent="0.2">
      <c r="T76" s="1">
        <v>2022</v>
      </c>
      <c r="U76" s="1">
        <v>2023</v>
      </c>
      <c r="V76" s="1">
        <v>2024</v>
      </c>
      <c r="W76" s="1">
        <v>2025</v>
      </c>
      <c r="X76" s="1">
        <v>2026</v>
      </c>
    </row>
    <row r="77" spans="2:24" x14ac:dyDescent="0.2">
      <c r="N77" s="72" t="s">
        <v>195</v>
      </c>
      <c r="O77" s="73">
        <v>343</v>
      </c>
      <c r="P77" s="73" t="s">
        <v>196</v>
      </c>
      <c r="Q77" s="74" t="s">
        <v>197</v>
      </c>
      <c r="R77" s="74" t="s">
        <v>198</v>
      </c>
      <c r="S77" s="74" t="s">
        <v>199</v>
      </c>
      <c r="T77" s="75">
        <v>827227.1399999999</v>
      </c>
      <c r="U77" s="75">
        <v>6259992.8799999999</v>
      </c>
      <c r="V77" s="75">
        <v>1653013.0099999839</v>
      </c>
      <c r="W77" s="75">
        <v>7313981.6497999262</v>
      </c>
      <c r="X77" s="76">
        <v>16054214.679799909</v>
      </c>
    </row>
    <row r="78" spans="2:24" x14ac:dyDescent="0.2">
      <c r="L78" s="73" t="s">
        <v>217</v>
      </c>
      <c r="N78" s="72" t="s">
        <v>195</v>
      </c>
      <c r="O78" s="73">
        <v>343</v>
      </c>
      <c r="P78" s="73" t="s">
        <v>200</v>
      </c>
      <c r="Q78" s="74" t="s">
        <v>197</v>
      </c>
      <c r="R78" s="74" t="s">
        <v>201</v>
      </c>
      <c r="S78" s="74" t="s">
        <v>202</v>
      </c>
      <c r="T78" s="75">
        <v>248841.14</v>
      </c>
      <c r="U78" s="75">
        <v>289233</v>
      </c>
      <c r="V78" s="75">
        <v>299217.05999999709</v>
      </c>
      <c r="W78" s="75">
        <v>306712.01159999706</v>
      </c>
      <c r="X78" s="76">
        <v>1144003.2115999942</v>
      </c>
    </row>
    <row r="79" spans="2:24" x14ac:dyDescent="0.2">
      <c r="L79" s="73" t="s">
        <v>200</v>
      </c>
      <c r="N79" s="72" t="s">
        <v>195</v>
      </c>
      <c r="O79" s="73">
        <v>343</v>
      </c>
      <c r="P79" s="73" t="s">
        <v>200</v>
      </c>
      <c r="Q79" s="74" t="s">
        <v>197</v>
      </c>
      <c r="R79" s="74" t="s">
        <v>203</v>
      </c>
      <c r="S79" s="74" t="s">
        <v>204</v>
      </c>
      <c r="T79" s="75">
        <v>2324690.06</v>
      </c>
      <c r="U79" s="75">
        <v>1184167.9100000001</v>
      </c>
      <c r="V79" s="75">
        <v>1659284.6799999839</v>
      </c>
      <c r="W79" s="75">
        <v>2404249.8113999777</v>
      </c>
      <c r="X79" s="76">
        <v>7572392.4613999613</v>
      </c>
    </row>
    <row r="80" spans="2:24" x14ac:dyDescent="0.2">
      <c r="L80" s="73" t="s">
        <v>210</v>
      </c>
      <c r="N80" s="72" t="s">
        <v>195</v>
      </c>
      <c r="O80" s="73">
        <v>343</v>
      </c>
      <c r="P80" s="73" t="s">
        <v>210</v>
      </c>
      <c r="Q80" s="74" t="s">
        <v>197</v>
      </c>
      <c r="R80" s="74" t="s">
        <v>201</v>
      </c>
      <c r="S80" s="74" t="s">
        <v>205</v>
      </c>
      <c r="T80" s="75">
        <v>0</v>
      </c>
      <c r="U80" s="75">
        <v>276430</v>
      </c>
      <c r="V80" s="75">
        <v>830679.74361861008</v>
      </c>
      <c r="W80" s="75">
        <v>1329220.2815211569</v>
      </c>
      <c r="X80" s="76">
        <v>2436330.0251397667</v>
      </c>
    </row>
    <row r="81" spans="12:24" x14ac:dyDescent="0.2">
      <c r="L81" s="73" t="s">
        <v>225</v>
      </c>
      <c r="N81" s="72" t="s">
        <v>195</v>
      </c>
      <c r="O81" s="73">
        <v>332</v>
      </c>
      <c r="P81" s="73" t="s">
        <v>210</v>
      </c>
      <c r="Q81" s="74" t="s">
        <v>197</v>
      </c>
      <c r="R81" s="74" t="s">
        <v>203</v>
      </c>
      <c r="S81" s="74" t="s">
        <v>206</v>
      </c>
      <c r="T81" s="75">
        <v>1921512.96</v>
      </c>
      <c r="U81" s="75">
        <v>2556656.1667196942</v>
      </c>
      <c r="V81" s="75">
        <v>3295793.9317609314</v>
      </c>
      <c r="W81" s="75">
        <v>3849889.187757879</v>
      </c>
      <c r="X81" s="76">
        <v>11623852.246238505</v>
      </c>
    </row>
    <row r="82" spans="12:24" x14ac:dyDescent="0.2">
      <c r="N82" s="72" t="s">
        <v>195</v>
      </c>
      <c r="O82" s="73">
        <v>332</v>
      </c>
      <c r="P82" s="73" t="s">
        <v>210</v>
      </c>
      <c r="Q82" s="74" t="s">
        <v>197</v>
      </c>
      <c r="R82" s="74" t="s">
        <v>201</v>
      </c>
      <c r="S82" s="74" t="s">
        <v>207</v>
      </c>
      <c r="T82" s="75">
        <v>70392</v>
      </c>
      <c r="U82" s="75">
        <v>0</v>
      </c>
      <c r="V82" s="75">
        <v>0</v>
      </c>
      <c r="W82" s="75">
        <v>0</v>
      </c>
      <c r="X82" s="76">
        <v>70392</v>
      </c>
    </row>
    <row r="83" spans="12:24" x14ac:dyDescent="0.2">
      <c r="N83" s="72" t="s">
        <v>195</v>
      </c>
      <c r="O83" s="73">
        <v>332</v>
      </c>
      <c r="P83" s="73" t="s">
        <v>210</v>
      </c>
      <c r="Q83" s="74" t="s">
        <v>197</v>
      </c>
      <c r="R83" s="74" t="s">
        <v>203</v>
      </c>
      <c r="S83" s="74" t="s">
        <v>208</v>
      </c>
      <c r="T83" s="75">
        <v>8588601.8847999983</v>
      </c>
      <c r="U83" s="75">
        <v>12707776.819865812</v>
      </c>
      <c r="V83" s="75">
        <v>14324315.263261233</v>
      </c>
      <c r="W83" s="75">
        <v>3381749.120956969</v>
      </c>
      <c r="X83" s="76">
        <v>39002443.088884011</v>
      </c>
    </row>
    <row r="84" spans="12:24" x14ac:dyDescent="0.2">
      <c r="L84" s="73"/>
      <c r="N84" s="72" t="s">
        <v>195</v>
      </c>
      <c r="O84" s="73">
        <v>332</v>
      </c>
      <c r="P84" s="73" t="s">
        <v>210</v>
      </c>
      <c r="Q84" s="74" t="s">
        <v>197</v>
      </c>
      <c r="R84" s="74" t="s">
        <v>201</v>
      </c>
      <c r="S84" s="74" t="s">
        <v>209</v>
      </c>
      <c r="T84" s="75">
        <v>0</v>
      </c>
      <c r="U84" s="75">
        <v>0</v>
      </c>
      <c r="V84" s="75">
        <v>0</v>
      </c>
      <c r="W84" s="75">
        <v>0</v>
      </c>
      <c r="X84" s="76">
        <v>0</v>
      </c>
    </row>
    <row r="85" spans="12:24" x14ac:dyDescent="0.2">
      <c r="N85" s="72" t="s">
        <v>195</v>
      </c>
      <c r="O85" s="73">
        <v>355</v>
      </c>
      <c r="P85" s="73" t="s">
        <v>210</v>
      </c>
      <c r="Q85" s="74" t="s">
        <v>197</v>
      </c>
      <c r="R85" s="74" t="s">
        <v>203</v>
      </c>
      <c r="S85" s="74" t="s">
        <v>211</v>
      </c>
      <c r="T85" s="75">
        <v>2214469.228441372</v>
      </c>
      <c r="U85" s="75">
        <v>1258678.6010633921</v>
      </c>
      <c r="V85" s="75">
        <v>2368157.4453966836</v>
      </c>
      <c r="W85" s="75">
        <v>2572001.8676893315</v>
      </c>
      <c r="X85" s="76">
        <v>8413307.1425907798</v>
      </c>
    </row>
    <row r="86" spans="12:24" x14ac:dyDescent="0.2">
      <c r="L86" s="73" t="s">
        <v>212</v>
      </c>
      <c r="N86" s="72" t="s">
        <v>195</v>
      </c>
      <c r="O86" s="73">
        <v>355</v>
      </c>
      <c r="P86" s="73" t="s">
        <v>210</v>
      </c>
      <c r="Q86" s="74" t="s">
        <v>197</v>
      </c>
      <c r="R86" s="74" t="s">
        <v>201</v>
      </c>
      <c r="S86" s="74" t="s">
        <v>213</v>
      </c>
      <c r="T86" s="75">
        <v>-251454.57999999414</v>
      </c>
      <c r="U86" s="75">
        <v>2429170.3567720782</v>
      </c>
      <c r="V86" s="75">
        <v>2732568.4939560164</v>
      </c>
      <c r="W86" s="75">
        <v>3015472.9462553104</v>
      </c>
      <c r="X86" s="76">
        <v>7925757.2169834105</v>
      </c>
    </row>
    <row r="87" spans="12:24" x14ac:dyDescent="0.2">
      <c r="L87" s="73" t="s">
        <v>214</v>
      </c>
      <c r="N87" s="72" t="s">
        <v>195</v>
      </c>
      <c r="O87" s="73" t="s">
        <v>215</v>
      </c>
      <c r="P87" s="73" t="s">
        <v>212</v>
      </c>
      <c r="Q87" s="74" t="s">
        <v>197</v>
      </c>
      <c r="R87" s="74" t="s">
        <v>198</v>
      </c>
      <c r="S87" s="74" t="s">
        <v>216</v>
      </c>
      <c r="T87" s="75">
        <v>50820</v>
      </c>
      <c r="U87" s="75">
        <v>83286.077397211513</v>
      </c>
      <c r="V87" s="75">
        <v>0</v>
      </c>
      <c r="W87" s="75">
        <v>0</v>
      </c>
      <c r="X87" s="76">
        <v>134106.07739721151</v>
      </c>
    </row>
    <row r="88" spans="12:24" x14ac:dyDescent="0.2">
      <c r="N88" s="72" t="s">
        <v>195</v>
      </c>
      <c r="O88" s="73" t="s">
        <v>215</v>
      </c>
      <c r="P88" s="73" t="s">
        <v>214</v>
      </c>
      <c r="Q88" s="74" t="s">
        <v>197</v>
      </c>
      <c r="R88" s="74" t="s">
        <v>198</v>
      </c>
      <c r="S88" s="74" t="s">
        <v>218</v>
      </c>
      <c r="T88" s="75">
        <v>122909.4</v>
      </c>
      <c r="U88" s="75">
        <v>1273035.1499420428</v>
      </c>
      <c r="V88" s="75">
        <v>1547501.6933513456</v>
      </c>
      <c r="W88" s="75">
        <v>1586257.6162910045</v>
      </c>
      <c r="X88" s="76">
        <v>4529703.859584393</v>
      </c>
    </row>
    <row r="89" spans="12:24" x14ac:dyDescent="0.2">
      <c r="L89" s="73" t="s">
        <v>219</v>
      </c>
      <c r="N89" s="72" t="s">
        <v>195</v>
      </c>
      <c r="O89" s="73" t="s">
        <v>215</v>
      </c>
      <c r="P89" s="73" t="s">
        <v>217</v>
      </c>
      <c r="Q89" s="74" t="s">
        <v>197</v>
      </c>
      <c r="R89" s="74" t="s">
        <v>203</v>
      </c>
      <c r="S89" s="74" t="s">
        <v>220</v>
      </c>
      <c r="T89" s="75">
        <v>0</v>
      </c>
      <c r="U89" s="75">
        <v>0</v>
      </c>
      <c r="V89" s="75">
        <v>0</v>
      </c>
      <c r="W89" s="75">
        <v>0</v>
      </c>
      <c r="X89" s="76">
        <v>0</v>
      </c>
    </row>
    <row r="90" spans="12:24" x14ac:dyDescent="0.2">
      <c r="L90" s="73" t="s">
        <v>221</v>
      </c>
      <c r="N90" s="72" t="s">
        <v>195</v>
      </c>
      <c r="O90" s="73" t="s">
        <v>215</v>
      </c>
      <c r="P90" s="73" t="s">
        <v>219</v>
      </c>
      <c r="Q90" s="74" t="s">
        <v>197</v>
      </c>
      <c r="R90" s="74" t="s">
        <v>198</v>
      </c>
      <c r="S90" s="74" t="s">
        <v>222</v>
      </c>
      <c r="T90" s="75">
        <v>798598.98596158135</v>
      </c>
      <c r="U90" s="75">
        <v>2571087.7873883927</v>
      </c>
      <c r="V90" s="75">
        <v>3069292.0907419925</v>
      </c>
      <c r="W90" s="75">
        <v>4723946.3758335244</v>
      </c>
      <c r="X90" s="76">
        <v>11162925.239925491</v>
      </c>
    </row>
    <row r="91" spans="12:24" x14ac:dyDescent="0.2">
      <c r="L91" s="73" t="s">
        <v>223</v>
      </c>
      <c r="N91" s="72" t="s">
        <v>195</v>
      </c>
      <c r="O91" s="73" t="s">
        <v>215</v>
      </c>
      <c r="P91" s="73" t="s">
        <v>221</v>
      </c>
      <c r="Q91" s="74" t="s">
        <v>197</v>
      </c>
      <c r="R91" s="74" t="s">
        <v>198</v>
      </c>
      <c r="S91" s="74" t="s">
        <v>224</v>
      </c>
      <c r="T91" s="75">
        <v>0</v>
      </c>
      <c r="U91" s="75">
        <v>0</v>
      </c>
      <c r="V91" s="75">
        <v>0</v>
      </c>
      <c r="W91" s="75">
        <v>0</v>
      </c>
      <c r="X91" s="76">
        <v>0</v>
      </c>
    </row>
    <row r="92" spans="12:24" x14ac:dyDescent="0.2">
      <c r="N92" s="72" t="s">
        <v>195</v>
      </c>
      <c r="O92" s="73" t="s">
        <v>215</v>
      </c>
      <c r="P92" s="73" t="s">
        <v>223</v>
      </c>
      <c r="Q92" s="74" t="s">
        <v>197</v>
      </c>
      <c r="R92" s="74" t="s">
        <v>198</v>
      </c>
      <c r="S92" s="74" t="s">
        <v>226</v>
      </c>
      <c r="T92" s="75">
        <v>523210.07999999914</v>
      </c>
      <c r="U92" s="75">
        <v>5624237.5835610246</v>
      </c>
      <c r="V92" s="75">
        <v>2606198.5356617351</v>
      </c>
      <c r="W92" s="75">
        <v>1307696.2433695968</v>
      </c>
      <c r="X92" s="76">
        <v>10061342.442592354</v>
      </c>
    </row>
    <row r="93" spans="12:24" x14ac:dyDescent="0.2">
      <c r="L93"/>
      <c r="N93" s="72" t="s">
        <v>195</v>
      </c>
      <c r="O93" s="73">
        <v>397</v>
      </c>
      <c r="P93" s="73" t="s">
        <v>225</v>
      </c>
      <c r="Q93" s="74" t="s">
        <v>197</v>
      </c>
      <c r="R93" s="74" t="s">
        <v>203</v>
      </c>
      <c r="S93" s="74" t="s">
        <v>227</v>
      </c>
      <c r="T93" s="75">
        <v>787166.77373443393</v>
      </c>
      <c r="U93" s="75">
        <v>4095024.0783160422</v>
      </c>
      <c r="V93" s="75">
        <v>3129359.8828745699</v>
      </c>
      <c r="W93" s="75">
        <v>2318947.8747182102</v>
      </c>
      <c r="X93" s="76">
        <v>10330498.609643256</v>
      </c>
    </row>
    <row r="94" spans="12:24" x14ac:dyDescent="0.2">
      <c r="L94"/>
      <c r="N94" s="72" t="s">
        <v>195</v>
      </c>
      <c r="O94" s="73">
        <v>397</v>
      </c>
      <c r="P94" s="73" t="s">
        <v>225</v>
      </c>
      <c r="Q94" s="74" t="s">
        <v>197</v>
      </c>
      <c r="R94" s="74" t="s">
        <v>201</v>
      </c>
      <c r="S94" s="74" t="s">
        <v>228</v>
      </c>
      <c r="T94" s="75">
        <v>0</v>
      </c>
      <c r="U94" s="75">
        <v>1215881.7872319999</v>
      </c>
      <c r="V94" s="75">
        <v>291182.50651200005</v>
      </c>
      <c r="W94" s="75">
        <v>697571.98089799192</v>
      </c>
      <c r="X94" s="76">
        <v>2204636.2746419916</v>
      </c>
    </row>
    <row r="95" spans="12:24" x14ac:dyDescent="0.2">
      <c r="L95"/>
      <c r="N95" s="72" t="s">
        <v>195</v>
      </c>
      <c r="O95" s="73">
        <v>397</v>
      </c>
      <c r="P95" s="73" t="s">
        <v>196</v>
      </c>
      <c r="Q95" s="74" t="s">
        <v>197</v>
      </c>
      <c r="R95" s="74" t="s">
        <v>198</v>
      </c>
      <c r="S95" s="74" t="s">
        <v>199</v>
      </c>
      <c r="T95" s="75">
        <v>1659640.6400000006</v>
      </c>
      <c r="U95" s="75">
        <v>2606350.4899999998</v>
      </c>
      <c r="V95" s="75">
        <v>1534673.2405999848</v>
      </c>
      <c r="W95" s="75">
        <v>1234584.6637339883</v>
      </c>
      <c r="X95" s="76">
        <v>7035249.0343339732</v>
      </c>
    </row>
    <row r="96" spans="12:24" x14ac:dyDescent="0.2">
      <c r="L96"/>
      <c r="N96" s="72" t="s">
        <v>195</v>
      </c>
      <c r="O96" s="73">
        <v>397</v>
      </c>
      <c r="P96" s="73" t="s">
        <v>200</v>
      </c>
      <c r="Q96" s="74" t="s">
        <v>197</v>
      </c>
      <c r="R96" s="74" t="s">
        <v>203</v>
      </c>
      <c r="S96" s="74" t="s">
        <v>204</v>
      </c>
      <c r="T96" s="75">
        <v>0</v>
      </c>
      <c r="U96" s="75">
        <v>45071</v>
      </c>
      <c r="V96" s="75">
        <v>0</v>
      </c>
      <c r="W96" s="75">
        <v>0</v>
      </c>
      <c r="X96" s="76">
        <v>45071</v>
      </c>
    </row>
    <row r="97" spans="12:24" x14ac:dyDescent="0.2">
      <c r="L97"/>
      <c r="N97" s="72" t="s">
        <v>195</v>
      </c>
      <c r="O97" s="73">
        <v>397</v>
      </c>
      <c r="P97" s="73" t="s">
        <v>200</v>
      </c>
      <c r="Q97" s="74" t="s">
        <v>197</v>
      </c>
      <c r="R97" s="74" t="s">
        <v>201</v>
      </c>
      <c r="S97" s="74" t="s">
        <v>202</v>
      </c>
      <c r="T97" s="75">
        <v>21608</v>
      </c>
      <c r="U97" s="75">
        <v>22238</v>
      </c>
      <c r="V97" s="75">
        <v>23466.489999999772</v>
      </c>
      <c r="W97" s="75">
        <v>24054.291399999773</v>
      </c>
      <c r="X97" s="76">
        <v>91366.781399999541</v>
      </c>
    </row>
    <row r="98" spans="12:24" x14ac:dyDescent="0.2">
      <c r="L98"/>
      <c r="N98" s="72" t="s">
        <v>195</v>
      </c>
      <c r="O98" s="73">
        <v>397</v>
      </c>
      <c r="P98" s="73" t="s">
        <v>210</v>
      </c>
      <c r="Q98" s="74" t="s">
        <v>197</v>
      </c>
      <c r="R98" s="74" t="s">
        <v>203</v>
      </c>
      <c r="S98" s="74" t="s">
        <v>211</v>
      </c>
      <c r="T98" s="75">
        <v>0</v>
      </c>
      <c r="U98" s="75">
        <v>65742</v>
      </c>
      <c r="V98" s="75">
        <v>31089.519999999698</v>
      </c>
      <c r="W98" s="75">
        <v>0</v>
      </c>
      <c r="X98" s="76">
        <v>96831.519999999698</v>
      </c>
    </row>
    <row r="99" spans="12:24" x14ac:dyDescent="0.2">
      <c r="L99"/>
      <c r="N99" s="72" t="s">
        <v>195</v>
      </c>
      <c r="O99" s="73">
        <v>397</v>
      </c>
      <c r="P99" s="73" t="s">
        <v>210</v>
      </c>
      <c r="Q99" s="74" t="s">
        <v>197</v>
      </c>
      <c r="R99" s="74" t="s">
        <v>201</v>
      </c>
      <c r="S99" s="74" t="s">
        <v>213</v>
      </c>
      <c r="T99" s="75">
        <v>89486.83</v>
      </c>
      <c r="U99" s="75">
        <v>90102</v>
      </c>
      <c r="V99" s="75">
        <v>172115.05999999863</v>
      </c>
      <c r="W99" s="75">
        <v>95129.691599999234</v>
      </c>
      <c r="X99" s="76">
        <v>446833.58159999782</v>
      </c>
    </row>
    <row r="100" spans="12:24" x14ac:dyDescent="0.2">
      <c r="L100"/>
      <c r="N100" s="72" t="s">
        <v>195</v>
      </c>
      <c r="O100" s="73">
        <v>397</v>
      </c>
      <c r="P100" s="73" t="s">
        <v>212</v>
      </c>
      <c r="Q100" s="74" t="s">
        <v>197</v>
      </c>
      <c r="R100" s="74" t="s">
        <v>198</v>
      </c>
      <c r="S100" s="74" t="s">
        <v>216</v>
      </c>
      <c r="T100" s="75">
        <v>2537</v>
      </c>
      <c r="U100" s="75">
        <v>90887.006721567872</v>
      </c>
      <c r="V100" s="75">
        <v>103511.3886627859</v>
      </c>
      <c r="W100" s="75">
        <v>39255.008821749274</v>
      </c>
      <c r="X100" s="76">
        <v>236190.40420610303</v>
      </c>
    </row>
    <row r="101" spans="12:24" x14ac:dyDescent="0.2">
      <c r="L101"/>
      <c r="N101" s="72" t="s">
        <v>195</v>
      </c>
      <c r="O101" s="73">
        <v>397</v>
      </c>
      <c r="P101" s="73" t="s">
        <v>214</v>
      </c>
      <c r="Q101" s="74" t="s">
        <v>197</v>
      </c>
      <c r="R101" s="74" t="s">
        <v>198</v>
      </c>
      <c r="S101" s="74" t="s">
        <v>218</v>
      </c>
      <c r="T101" s="75">
        <v>797362.32690501912</v>
      </c>
      <c r="U101" s="75">
        <v>440022.88176623767</v>
      </c>
      <c r="V101" s="75">
        <v>298813.82600985694</v>
      </c>
      <c r="W101" s="75">
        <v>305233.9471179861</v>
      </c>
      <c r="X101" s="76">
        <v>1841432.9817991001</v>
      </c>
    </row>
    <row r="102" spans="12:24" x14ac:dyDescent="0.2">
      <c r="L102"/>
      <c r="N102" s="72" t="s">
        <v>195</v>
      </c>
      <c r="O102" s="73">
        <v>397</v>
      </c>
      <c r="P102" s="73" t="s">
        <v>217</v>
      </c>
      <c r="Q102" s="74" t="s">
        <v>197</v>
      </c>
      <c r="R102" s="74" t="s">
        <v>201</v>
      </c>
      <c r="S102" s="74" t="s">
        <v>229</v>
      </c>
      <c r="T102" s="75">
        <v>-1508</v>
      </c>
      <c r="U102" s="75">
        <v>174272.36045910217</v>
      </c>
      <c r="V102" s="75">
        <v>208073.96362701044</v>
      </c>
      <c r="W102" s="75">
        <v>77491.090699981112</v>
      </c>
      <c r="X102" s="76">
        <v>458329.41478609375</v>
      </c>
    </row>
    <row r="103" spans="12:24" x14ac:dyDescent="0.2">
      <c r="L103"/>
      <c r="N103" s="72" t="s">
        <v>195</v>
      </c>
      <c r="O103" s="73">
        <v>397</v>
      </c>
      <c r="P103" s="73" t="s">
        <v>219</v>
      </c>
      <c r="Q103" s="74" t="s">
        <v>197</v>
      </c>
      <c r="R103" s="74" t="s">
        <v>198</v>
      </c>
      <c r="S103" s="74" t="s">
        <v>222</v>
      </c>
      <c r="T103" s="75">
        <v>946973.71714869945</v>
      </c>
      <c r="U103" s="75">
        <v>330806.02480053226</v>
      </c>
      <c r="V103" s="75">
        <v>28334.298162462823</v>
      </c>
      <c r="W103" s="75">
        <v>37364.617995119603</v>
      </c>
      <c r="X103" s="76">
        <v>1343478.6581068144</v>
      </c>
    </row>
    <row r="104" spans="12:24" x14ac:dyDescent="0.2">
      <c r="L104"/>
      <c r="N104" s="72" t="s">
        <v>195</v>
      </c>
      <c r="O104" s="73">
        <v>397</v>
      </c>
      <c r="P104" s="73" t="s">
        <v>221</v>
      </c>
      <c r="Q104" s="74" t="s">
        <v>197</v>
      </c>
      <c r="R104" s="74" t="s">
        <v>198</v>
      </c>
      <c r="S104" s="74" t="s">
        <v>224</v>
      </c>
      <c r="T104" s="75">
        <v>0</v>
      </c>
      <c r="U104" s="75">
        <v>0</v>
      </c>
      <c r="V104" s="75">
        <v>0</v>
      </c>
      <c r="W104" s="75">
        <v>0</v>
      </c>
      <c r="X104" s="76">
        <v>0</v>
      </c>
    </row>
    <row r="105" spans="12:24" x14ac:dyDescent="0.2">
      <c r="L105"/>
      <c r="N105" s="72" t="s">
        <v>195</v>
      </c>
      <c r="O105" s="73">
        <v>397</v>
      </c>
      <c r="P105" s="73" t="s">
        <v>223</v>
      </c>
      <c r="Q105" s="74" t="s">
        <v>197</v>
      </c>
      <c r="R105" s="74" t="s">
        <v>198</v>
      </c>
      <c r="S105" s="74" t="s">
        <v>226</v>
      </c>
      <c r="T105" s="75">
        <v>499894.62876480399</v>
      </c>
      <c r="U105" s="75">
        <v>198756.44521465705</v>
      </c>
      <c r="V105" s="75">
        <v>73503.936601684341</v>
      </c>
      <c r="W105" s="75">
        <v>75693.020199397521</v>
      </c>
      <c r="X105" s="76">
        <v>847848.03078054287</v>
      </c>
    </row>
    <row r="106" spans="12:24" x14ac:dyDescent="0.2">
      <c r="L106"/>
      <c r="N106" s="72" t="s">
        <v>195</v>
      </c>
      <c r="O106" s="73">
        <v>303</v>
      </c>
      <c r="P106" s="73" t="s">
        <v>225</v>
      </c>
      <c r="Q106" s="74" t="s">
        <v>197</v>
      </c>
      <c r="R106" s="74" t="s">
        <v>203</v>
      </c>
      <c r="S106" s="74" t="s">
        <v>227</v>
      </c>
      <c r="T106" s="75">
        <v>2896543.0440000002</v>
      </c>
      <c r="U106" s="75">
        <v>2987784</v>
      </c>
      <c r="V106" s="75">
        <v>2162000</v>
      </c>
      <c r="W106" s="75">
        <v>3424908.9610951799</v>
      </c>
      <c r="X106" s="76">
        <v>11471236.00509518</v>
      </c>
    </row>
    <row r="107" spans="12:24" x14ac:dyDescent="0.2">
      <c r="L107"/>
      <c r="N107" s="72" t="s">
        <v>195</v>
      </c>
      <c r="O107" s="73">
        <v>303</v>
      </c>
      <c r="P107" s="73" t="s">
        <v>225</v>
      </c>
      <c r="Q107" s="74" t="s">
        <v>197</v>
      </c>
      <c r="R107" s="74" t="s">
        <v>201</v>
      </c>
      <c r="S107" s="74" t="s">
        <v>228</v>
      </c>
      <c r="T107" s="75">
        <v>0</v>
      </c>
      <c r="U107" s="75">
        <v>229500.00000000003</v>
      </c>
      <c r="V107" s="75">
        <v>550385.59950000013</v>
      </c>
      <c r="W107" s="75">
        <v>1396035.4682560589</v>
      </c>
      <c r="X107" s="76">
        <v>2175921.0677560591</v>
      </c>
    </row>
  </sheetData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4A7C616-9CE4-47EF-8DB6-156FD6AD7EE6}"/>
</file>

<file path=customXml/itemProps2.xml><?xml version="1.0" encoding="utf-8"?>
<ds:datastoreItem xmlns:ds="http://schemas.openxmlformats.org/officeDocument/2006/customXml" ds:itemID="{9DD00BCE-EF2D-46F1-ADAF-828F0A8FBB04}"/>
</file>

<file path=customXml/itemProps3.xml><?xml version="1.0" encoding="utf-8"?>
<ds:datastoreItem xmlns:ds="http://schemas.openxmlformats.org/officeDocument/2006/customXml" ds:itemID="{5D20878C-082A-421B-8425-964AF3786388}"/>
</file>

<file path=customXml/itemProps4.xml><?xml version="1.0" encoding="utf-8"?>
<ds:datastoreItem xmlns:ds="http://schemas.openxmlformats.org/officeDocument/2006/customXml" ds:itemID="{5A84C85C-B63F-46B2-BFFF-CD38B0F643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Table BGM-1</vt:lpstr>
      <vt:lpstr>Exh. BGM-3 (Consolidated)</vt:lpstr>
      <vt:lpstr>Exh. BGM-3 (Detail)</vt:lpstr>
      <vt:lpstr>A1 (Elect. Adj.)</vt:lpstr>
      <vt:lpstr>'A1 (Elect. Adj.)'!Print_Area</vt:lpstr>
      <vt:lpstr>'Exh. BGM-3 (Consolidated)'!Print_Area</vt:lpstr>
      <vt:lpstr>'Exh. BGM-3 (Detail)'!Print_Area</vt:lpstr>
      <vt:lpstr>'Exh. BGM-3 (Consolidated)'!Print_Titles</vt:lpstr>
      <vt:lpstr>'Exh. BGM-3 (Detail)'!Print_Titles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Bradley Mullins</cp:lastModifiedBy>
  <cp:lastPrinted>2023-09-14T11:12:32Z</cp:lastPrinted>
  <dcterms:created xsi:type="dcterms:W3CDTF">2009-02-17T19:17:29Z</dcterms:created>
  <dcterms:modified xsi:type="dcterms:W3CDTF">2023-09-14T14:44:27Z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