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3620" tabRatio="720" activeTab="2"/>
  </bookViews>
  <sheets>
    <sheet name="JHS-19" sheetId="1" r:id="rId1"/>
    <sheet name="JHS-20" sheetId="2" r:id="rId2"/>
    <sheet name="JHS-20.01(A)" sheetId="3" r:id="rId3"/>
    <sheet name="JHS-21" sheetId="4" r:id="rId4"/>
  </sheets>
  <externalReferences>
    <externalReference r:id="rId7"/>
  </externalReferences>
  <definedNames>
    <definedName name="___six6" hidden="1">{#N/A,#N/A,FALSE,"CRPT";#N/A,#N/A,FALSE,"TREND";#N/A,#N/A,FALSE,"%Curve"}</definedName>
    <definedName name="__123Graph_ECURRENT" hidden="1">#N/A</definedName>
    <definedName name="__six6" hidden="1">{#N/A,#N/A,FALSE,"CRPT";#N/A,#N/A,FALSE,"TREND";#N/A,#N/A,FALSE,"%Curve"}</definedName>
    <definedName name="__www1" hidden="1">{#N/A,#N/A,FALSE,"schA"}</definedName>
    <definedName name="_19.01">'JHS-19'!$AN$2:$AR$62</definedName>
    <definedName name="_19.02">'JHS-19'!$C$2:$K$62</definedName>
    <definedName name="_19.03">'JHS-19'!$L$2:$T$62</definedName>
    <definedName name="_19.04">'JHS-19'!$U$2:$AD$62</definedName>
    <definedName name="_19.05">'JHS-19'!$AE$2:$AM$63</definedName>
    <definedName name="_20.01_Power_Costs">'JHS-20'!$A$2:$E$40</definedName>
    <definedName name="_20.02_LSR_project">'JHS-20'!$F$2:$J$38</definedName>
    <definedName name="_20.03_LSR_transmission_deposits">'JHS-20'!$K$2:$O$33</definedName>
    <definedName name="_20.04_Montana">'JHS-20'!$P$2:$T$21</definedName>
    <definedName name="_20.05_Wild_Horse">'JHS-20'!$U$2:$Y$26</definedName>
    <definedName name="_20.06_ASC_815">'JHS-20'!$Z$2:$AD$21</definedName>
    <definedName name="_20.07_storm">'JHS-20'!$AE$2:$AJ$60</definedName>
    <definedName name="_20.08_remove_tenaska_costs">'JHS-20'!$AK$2:$AO$43</definedName>
    <definedName name="_20.09_conrtact_payments_chelan">'JHS-20'!$AP$2:$AT$32</definedName>
    <definedName name="_20.10_Reg_Asset">'JHS-20'!$AU$2:$AY$63</definedName>
    <definedName name="_20.11_Prod_Adj">'JHS-20'!$AZ$2:$BD$107</definedName>
    <definedName name="_20.12_LSR_Deferral">'JHS-20'!$BE$2:$BI$28</definedName>
    <definedName name="_21.01_Temp_Norm">'JHS-21'!$A$2:$G$53</definedName>
    <definedName name="_21.02_Revenues_Expenses">'JHS-21'!$H$2:$L$59</definedName>
    <definedName name="_21.03_Pass_through_Rev_Exp">'JHS-21'!$M$2:$Q$44</definedName>
    <definedName name="_21.04_Federal_Income_Tax">'JHS-21'!$R$2:$U$37</definedName>
    <definedName name="_21.05_Tax_Benefit_Interest">'JHS-21'!$V$2:$Y$23</definedName>
    <definedName name="_21.06_Miscellaneous_Op_Exp">'JHS-21'!$Z$2:$AD$32</definedName>
    <definedName name="_21.07_General_Plant_Depreciation">'JHS-21'!$AE$2:$AI$25</definedName>
    <definedName name="_21.08_Norm_Injuries_Damages">'JHS-21'!$AJ$2:$AN$20</definedName>
    <definedName name="_21.09_Bad_Debts">'JHS-21'!$AO$2:$AW$28</definedName>
    <definedName name="_21.10_Incentive_Pay">'JHS-21'!$AX$2:$BB$30</definedName>
    <definedName name="_21.11_Property_Taxes">'JHS-21'!$BC$2:$BH$19</definedName>
    <definedName name="_21.12_Excise_Tax_Filing_Fee">'JHS-21'!$BI$2:$BL$24</definedName>
    <definedName name="_21.13_Directors_Officers_Insurance">'JHS-21'!$BM$2:$BQ$21</definedName>
    <definedName name="_21.14_Int_Customer_Deposits">'JHS-21'!$BR$2:$BU$15</definedName>
    <definedName name="_21.15_Rate_Case_Expenses">'JHS-21'!$BV$2:$BY$31</definedName>
    <definedName name="_21.16_Defferred_Gains_Losses">'JHS-21'!$BZ$2:$CC$31</definedName>
    <definedName name="_21.17_Property_Liability_Insurance">'JHS-21'!$CD$2:$CH$20</definedName>
    <definedName name="_21.18_Pension_Plan">'JHS-21'!$CI$2:$CM$20</definedName>
    <definedName name="_21.19_Wage_Increase">'JHS-21'!$CN$2:$CR$29</definedName>
    <definedName name="_21.20_Investment_Plan">'JHS-21'!$CS$2:$CW$40</definedName>
    <definedName name="_21.21_Employee_Insurance">'JHS-21'!$CX$2:$DB$24</definedName>
    <definedName name="_21.22_WC">'JHS-21'!$DC$2:$DG$14</definedName>
    <definedName name="_22.03">'[1]JHS-22'!$I$2:$M$21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'JHS-19'!$AR$2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35%</definedName>
    <definedName name="HELP" hidden="1">{#N/A,#N/A,FALSE,"Coversheet";#N/A,#N/A,FALSE,"QA"}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'JHS-19'!$A$1:$AT$62</definedName>
    <definedName name="_xlnm.Print_Area" localSheetId="1">'JHS-20'!$BE$2:$BI$28</definedName>
    <definedName name="_xlnm.Print_Area" localSheetId="2">'JHS-20.01(A)'!$A$1:$N$40</definedName>
    <definedName name="_xlnm.Print_Area" localSheetId="3">'JHS-21'!$A$2:$G$56</definedName>
    <definedName name="_xlnm.Print_Titles" localSheetId="0">'JHS-19'!$A:$B</definedName>
    <definedName name="_xlnm.Print_Titles" localSheetId="1">'JHS-20'!$2:$11</definedName>
    <definedName name="six" hidden="1">{#N/A,#N/A,FALSE,"Drill Sites";"WP 212",#N/A,FALSE,"MWAG EOR";"WP 213",#N/A,FALSE,"MWAG EOR";#N/A,#N/A,FALSE,"Misc. Facility";#N/A,#N/A,FALSE,"WWTP"}</definedName>
    <definedName name="Summary">'JHS-19'!$AN$2:$AR$62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'JHS-21'!$A$7</definedName>
    <definedName name="TESTYEAR1">'JHS-21'!$A$8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03B5CB54_D950_4809_9BFA_B5E91687BDB2_.wvu.Rows" localSheetId="2" hidden="1">'JHS-20.01(A)'!#REF!</definedName>
    <definedName name="Z_109A6FD5_7A38_487C_9B51_9E942A2A6DF7_.wvu.Rows" localSheetId="2" hidden="1">'JHS-20.01(A)'!#REF!</definedName>
    <definedName name="Z_2396DC2C_402A_4916_91F9_9FDB5C342408_.wvu.Rows" localSheetId="2" hidden="1">'JHS-20.01(A)'!#REF!</definedName>
    <definedName name="Z_30171EF4_8F5E_4A73_A7BD_AC361852ECC0_.wvu.Rows" localSheetId="2" hidden="1">'JHS-20.01(A)'!#REF!</definedName>
    <definedName name="Z_323B199E_96B9_4DC6_8637_E126F9BA7C08_.wvu.Rows" localSheetId="2" hidden="1">'JHS-20.01(A)'!#REF!</definedName>
    <definedName name="Z_481D4E2E_20D4_45AB_AA2C_B34407716074_.wvu.Rows" localSheetId="2" hidden="1">'JHS-20.01(A)'!#REF!</definedName>
    <definedName name="Z_663C3115_7A87_49DA_9260_EF1A41B87728_.wvu.Rows" localSheetId="2" hidden="1">'JHS-20.01(A)'!#REF!</definedName>
    <definedName name="Z_6BE2AA00_D0CA_4793_8091_7BAABD0B030C_.wvu.Rows" localSheetId="2" hidden="1">'JHS-20.01(A)'!#REF!</definedName>
    <definedName name="Z_6C054A84_7F92_45EC_B53F_EAC86C7019C4_.wvu.Rows" localSheetId="2" hidden="1">'JHS-20.01(A)'!#REF!</definedName>
    <definedName name="Z_6CCD15FF_0E65_46C3_9881_A9AD5C3EA28A_.wvu.Rows" localSheetId="2" hidden="1">'JHS-20.01(A)'!#REF!</definedName>
    <definedName name="Z_7765C09D_9D61_4D8B_A0C4_7C6D784C2592_.wvu.Rows" localSheetId="2" hidden="1">'JHS-20.01(A)'!#REF!</definedName>
    <definedName name="Z_7B9E46E5_DE40_4DE3_A131_6EB2A495D794_.wvu.Rows" localSheetId="2" hidden="1">'JHS-20.01(A)'!#REF!</definedName>
    <definedName name="Z_84213CFC_D8F9_4E4C_B010_08EF5E3F8AD7_.wvu.Rows" localSheetId="2" hidden="1">'JHS-20.01(A)'!#REF!</definedName>
    <definedName name="Z_A5386FC6_060C_4FF8_9754_8F41ED24E370_.wvu.Rows" localSheetId="2" hidden="1">'JHS-20.01(A)'!#REF!</definedName>
    <definedName name="Z_A68D84AC_3459_4B1A_A82C_09666110CF77_.wvu.Rows" localSheetId="2" hidden="1">'JHS-20.01(A)'!#REF!</definedName>
    <definedName name="Z_B1F8DC23_D716_49D3_B2ED_6AD79DCC127D_.wvu.Rows" localSheetId="2" hidden="1">'JHS-20.01(A)'!#REF!</definedName>
    <definedName name="Z_B645129D_C5C8_4408_A211_8D284ED241D4_.wvu.Rows" localSheetId="2" hidden="1">'JHS-20.01(A)'!#REF!</definedName>
    <definedName name="Z_BFF4269F_5159_4FE7_8C1B_7EF258D66D6C_.wvu.Rows" localSheetId="2" hidden="1">'JHS-20.01(A)'!#REF!</definedName>
    <definedName name="Z_C4883C13_F396_4F7E_A779_FD99A50836F3_.wvu.Rows" localSheetId="2" hidden="1">'JHS-20.01(A)'!#REF!</definedName>
    <definedName name="Z_D15D6F26_DA6E_456D_B7F5_850E9F3039F7_.wvu.Rows" localSheetId="2" hidden="1">'JHS-20.01(A)'!#REF!</definedName>
    <definedName name="Z_DA82D128_5452_45C5_914D_4ECF8FABD1C5_.wvu.Rows" localSheetId="2" hidden="1">'JHS-20.01(A)'!#REF!</definedName>
    <definedName name="Z_E289851B_405E_4A98_8191_445F20CA287E_.wvu.Rows" localSheetId="2" hidden="1">'JHS-20.01(A)'!#REF!</definedName>
    <definedName name="Z_EE559E07_5B41_4877_A4D7_2B8A63F8CFFE_.wvu.Rows" localSheetId="2" hidden="1">'JHS-20.01(A)'!#REF!</definedName>
  </definedNames>
  <calcPr fullCalcOnLoad="1"/>
</workbook>
</file>

<file path=xl/sharedStrings.xml><?xml version="1.0" encoding="utf-8"?>
<sst xmlns="http://schemas.openxmlformats.org/spreadsheetml/2006/main" count="1257" uniqueCount="712">
  <si>
    <t>OPERATING EXPENSE</t>
  </si>
  <si>
    <t>ACTUAL O&amp;M:</t>
  </si>
  <si>
    <t>NORMAL STORMS</t>
  </si>
  <si>
    <t xml:space="preserve">OPERATIONS </t>
  </si>
  <si>
    <t>TOTAL NORMAL STORMS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</si>
  <si>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</si>
  <si>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</si>
  <si>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</si>
  <si>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</si>
  <si>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</si>
  <si>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EXPENSES</t>
  </si>
  <si>
    <t>INCREASE (DECREASE) TAXES OTHER</t>
  </si>
  <si>
    <t>SIX-YEAR AVERAGE STORM EXPENSE FOR RATE YEAR</t>
  </si>
  <si>
    <t xml:space="preserve">RATE YEAR MANAGEMENT WAGE INCREASE 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</si>
  <si>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</si>
  <si>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</si>
  <si>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</si>
  <si>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</si>
  <si>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</si>
  <si>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DEFERRED FIT - DEBIT</t>
  </si>
  <si>
    <t>INCREASE (DECREASE) INCOME</t>
  </si>
  <si>
    <t>DEFERRED FIT - CREDIT</t>
  </si>
  <si>
    <t>INCREASE(DECREASE) WUTC FILING FEE</t>
  </si>
  <si>
    <t>TRANSMISSION</t>
  </si>
  <si>
    <t>INCREASE (DECREASE) FIT</t>
  </si>
  <si>
    <t>SALES FOR RESALE</t>
  </si>
  <si>
    <t>DEFERRED FIT - INV TAX CREDIT, NET OF AMORT.</t>
  </si>
  <si>
    <t xml:space="preserve">INCREASE (DECREASE) FIT @ </t>
  </si>
  <si>
    <t>DISTRIBUTION</t>
  </si>
  <si>
    <t>ACCUMULATED AMORTIZATION ON ACQUISTION ADJ</t>
  </si>
  <si>
    <t>INCREASE (DECREASE) EXPENSE</t>
  </si>
  <si>
    <t>INCREASE(DECREASE) FIT</t>
  </si>
  <si>
    <t>TOTAL RESTATED FIT</t>
  </si>
  <si>
    <t>CUSTOMER ACCTS</t>
  </si>
  <si>
    <t>SALARIED EMPLOYEES</t>
  </si>
  <si>
    <t>CUSTOMER SERVICE</t>
  </si>
  <si>
    <t>UNION EMPLOYEES</t>
  </si>
  <si>
    <t>CAPITAL</t>
  </si>
  <si>
    <t>INCREASE (DECREASE) FIT @ 35%</t>
  </si>
  <si>
    <t>NET PRODUCTION PROPERTY</t>
  </si>
  <si>
    <t>INCREASE (DECREASE) SALES TO CUSTOMERS</t>
  </si>
  <si>
    <t>UNCOLLECTIBLES @</t>
  </si>
  <si>
    <t>ANNUAL FILING FEE @</t>
  </si>
  <si>
    <t>STATE UTILITY TAX @</t>
  </si>
  <si>
    <t>ADDITIONAL DEFERRED CREDITS</t>
  </si>
  <si>
    <t>GENERAL RATE INCREASE</t>
  </si>
  <si>
    <t>RATEBASE</t>
  </si>
  <si>
    <t>QUALIFIED RETIREMENT FUND</t>
  </si>
  <si>
    <t>Add Variable Transmission Income</t>
  </si>
  <si>
    <t>Add Hedging</t>
  </si>
  <si>
    <t>Move Power Cost Related Amortization of Regulatory Assets to separate adjustment</t>
  </si>
  <si>
    <t>PROPERTY TAXES - WASHINGTON</t>
  </si>
  <si>
    <t>PROPERTY TAXES - MONTANA</t>
  </si>
  <si>
    <t>ELECTRIC ENERGY TAX</t>
  </si>
  <si>
    <t>PURCHASED POWER (FERC 557)</t>
  </si>
  <si>
    <t>PROD O&amp;M FERCS</t>
  </si>
  <si>
    <t>Remove Benefits and Taxes as already included in FERC 926</t>
  </si>
  <si>
    <t>Move New Resource Power Costs to Stand Alone Adjustments</t>
  </si>
  <si>
    <t>Reconciliation of Total Power Costs</t>
  </si>
  <si>
    <t>Reconcile DEM to JHS Adjustment No. 03</t>
  </si>
  <si>
    <t>Verify total power costs in JHS adjustments are included in Power Cost Baseline Rate - Exhibit A-1</t>
  </si>
  <si>
    <t>Recap of power costs in Exhibit A-1 and comparison to JHS Summary Page</t>
  </si>
  <si>
    <t>Remove items in above not separately shown on JHS Summary</t>
  </si>
  <si>
    <t>Remove amounts included in Tenaska Rider</t>
  </si>
  <si>
    <t>Total Power Costs in Exhibit A-1</t>
  </si>
  <si>
    <t>Lines 4, 15 and 17 of JHS Summary Page</t>
  </si>
  <si>
    <t>PRODUCTION ADJUSTMENT</t>
  </si>
  <si>
    <t>POWER COSTS</t>
  </si>
  <si>
    <t>DEFERRED BALANCES FOR 10 YEAR AMORTIZATION AT</t>
  </si>
  <si>
    <t>HOPKINS RIDGE MITIGATION CREDIT</t>
  </si>
  <si>
    <t>TOTAL DEPRECIATION AND AMORTIZATION (FERC 403)</t>
  </si>
  <si>
    <t>WHITE RIVER PLANT COSTS</t>
  </si>
  <si>
    <t>TENASKA</t>
  </si>
  <si>
    <t xml:space="preserve">OPERATING EXPENSES </t>
  </si>
  <si>
    <t>PAY</t>
  </si>
  <si>
    <t>INCENTIVE</t>
  </si>
  <si>
    <t>NON-UNION (EXCLUDING. EXECUTIVES)</t>
  </si>
  <si>
    <t>NON-UNION (EXECUTIVES)</t>
  </si>
  <si>
    <t>TOTAL PROFORMA COSTS (LN 4 + LN 9 + LN 14 + LN 19)</t>
  </si>
  <si>
    <t>Jackson Prarie</t>
  </si>
  <si>
    <t>Move from O&amp;M</t>
  </si>
  <si>
    <t>to Fuel</t>
  </si>
  <si>
    <t>Reclass</t>
  </si>
  <si>
    <t>c.1</t>
  </si>
  <si>
    <t>SALES FROM RESALE-FIRM/SPECIAL CONTRACT</t>
  </si>
  <si>
    <t>Add</t>
  </si>
  <si>
    <t>STATEMENT OF OPERATING INCOME AND ADJUSTMENTS</t>
  </si>
  <si>
    <t>RESULTS OF OPERATIONS</t>
  </si>
  <si>
    <t>12/13/06 WIND STORM</t>
  </si>
  <si>
    <t>CUSTOMER ACCTS EXPENSES</t>
  </si>
  <si>
    <t>EXPENSES TO BE NORMALIZED:</t>
  </si>
  <si>
    <t>TOTAL INCREASE (DECREASE) EXPENSE</t>
  </si>
  <si>
    <t>GENERAL RATE CASE</t>
  </si>
  <si>
    <t>After Prod</t>
  </si>
  <si>
    <t>12ME</t>
  </si>
  <si>
    <t>Remove</t>
  </si>
  <si>
    <t>Net Before</t>
  </si>
  <si>
    <t>Factor of</t>
  </si>
  <si>
    <t>FERC</t>
  </si>
  <si>
    <t>Ben&amp;Tax</t>
  </si>
  <si>
    <t>Prod Factor</t>
  </si>
  <si>
    <t>Fuel:</t>
  </si>
  <si>
    <t>Steam Fuel</t>
  </si>
  <si>
    <t>Fuel</t>
  </si>
  <si>
    <t>Purchased and Interchanged:</t>
  </si>
  <si>
    <t>Purchased Power</t>
  </si>
  <si>
    <t>Other Power Expense</t>
  </si>
  <si>
    <t>Wheeling</t>
  </si>
  <si>
    <t>Hydro and Other Power</t>
  </si>
  <si>
    <t xml:space="preserve">Trans. Exp. Incl. 500Kv O&amp;M </t>
  </si>
  <si>
    <t>FERC PART 12 STUDY NON-CONSTRUCTION COSTS UE-070074 (407.3)</t>
  </si>
  <si>
    <t>(PREV. SFAS 133)</t>
  </si>
  <si>
    <t>INCREASE (DECREASE) FIT ON ALL EXPENSES EXCEPT LINE 11 @</t>
  </si>
  <si>
    <t>ACCOUNTING STANDARDS CODIFICATION 815 (FORMERLY SFAS 133)</t>
  </si>
  <si>
    <t>ASC 815</t>
  </si>
  <si>
    <t xml:space="preserve">LOWER SNAKE RIVER </t>
  </si>
  <si>
    <t>TOTAL OPERATING EXPENSES LOWER SNAKE RIVER</t>
  </si>
  <si>
    <t>MINT FARM DEFERRAL UE-090704</t>
  </si>
  <si>
    <t>RECLASS TRANSPORTATION IMBALANCE REVENUE TO OTHER OPERATING REVENUES</t>
  </si>
  <si>
    <t>RECLASS TRANSPORTATION IMBALANCE REVENUE FROM SALES TO CUSTOMERS</t>
  </si>
  <si>
    <t>NON-DEPRECIABLE PRODUCTION PROPERTY</t>
  </si>
  <si>
    <t>Sales for Resale</t>
  </si>
  <si>
    <t>Purchases/Sales Of Non-Core Gas</t>
  </si>
  <si>
    <t>PERCENT</t>
  </si>
  <si>
    <t>TOTAL INCREASE (DECREASE) SALES TO CUSTOMERS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</si>
  <si>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</si>
  <si>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</si>
  <si>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</si>
  <si>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</si>
  <si>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</si>
  <si>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</si>
  <si>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</si>
  <si>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</si>
  <si>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</si>
  <si>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</si>
  <si>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</si>
  <si>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</si>
  <si>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TOTAL</t>
  </si>
  <si>
    <t>RATE YEAR</t>
  </si>
  <si>
    <t>COSTS</t>
  </si>
  <si>
    <t>INCOME TAX</t>
  </si>
  <si>
    <t>INSURANCE</t>
  </si>
  <si>
    <t>DEBTS</t>
  </si>
  <si>
    <t>AMORTIZATION</t>
  </si>
  <si>
    <t>TAXES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</si>
  <si>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</si>
  <si>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</si>
  <si>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</si>
  <si>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</si>
  <si>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</si>
  <si>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</si>
  <si>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</si>
  <si>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</si>
  <si>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</si>
  <si>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</si>
  <si>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</si>
  <si>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</si>
  <si>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</si>
  <si>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</si>
  <si>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FUEL</t>
  </si>
  <si>
    <t>CHARGED TO EXPENSE IN TY</t>
  </si>
  <si>
    <t>CHARGED TO EXPENSE FOR TEST YEAR</t>
  </si>
  <si>
    <t>TAX RATE</t>
  </si>
  <si>
    <t>OPERATING REVENUES</t>
  </si>
  <si>
    <t>GPI MWH</t>
  </si>
  <si>
    <t>CHANGE</t>
  </si>
  <si>
    <t>PROFORMA BAD DEBT RATE</t>
  </si>
  <si>
    <t>RATE BASE</t>
  </si>
  <si>
    <t>PAYROLL OVERHEADS</t>
  </si>
  <si>
    <t>ANNUAL FILING FEE</t>
  </si>
  <si>
    <t>WHEELING</t>
  </si>
  <si>
    <t>INCREASE (DECREASE) NOI</t>
  </si>
  <si>
    <t>PROFORMA BAD DEBTS</t>
  </si>
  <si>
    <t>PAYROLL TAXES ASSOC WITH MERIT PAY</t>
  </si>
  <si>
    <t>RESTATING ADJUSTMENTS SALES TO CUSTOMERS</t>
  </si>
  <si>
    <t>PROFORMA ADJUSTMENTS SALES TO CUSTOMERS</t>
  </si>
  <si>
    <t>MISCELLANEOUS RESTATING ADJUSTMENT</t>
  </si>
  <si>
    <t>TOTAL INCREASE (DECREASE) SALES FOR RESALE - SMALL FIRM</t>
  </si>
  <si>
    <t>CURRENTLY PAYABLE</t>
  </si>
  <si>
    <t>PROPERTY INSURANCE</t>
  </si>
  <si>
    <t xml:space="preserve">  STORM DAMAGE EXPENSE (LINE 8)</t>
  </si>
  <si>
    <t>OREGON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</si>
  <si>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</si>
  <si>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</si>
  <si>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</si>
  <si>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</si>
  <si>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</si>
  <si>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</si>
  <si>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 xml:space="preserve">  TWELVE MONTHS ENDED 12/31/05</t>
  </si>
  <si>
    <t xml:space="preserve">  TWELVE MONTHS ENDED 12/31/06</t>
  </si>
  <si>
    <t xml:space="preserve">  TWELVE MONTHS ENDED 12/31/07</t>
  </si>
  <si>
    <t>WILD HORSE</t>
  </si>
  <si>
    <t xml:space="preserve"> SOLAR</t>
  </si>
  <si>
    <t>ACCUM AMORT. CREDIT PYMT FR. BPA</t>
  </si>
  <si>
    <t>NET LSR PREPAID TRANS. RATEBASE</t>
  </si>
  <si>
    <t xml:space="preserve">     CARRYING CHARGES  BALANCE</t>
  </si>
  <si>
    <t>NET LSR CARRYING CHARGES RATEBASE</t>
  </si>
  <si>
    <t xml:space="preserve"> ACCUM AMORT. CARRYING CHARGES</t>
  </si>
  <si>
    <t xml:space="preserve"> DEFERRED INCOME TAX</t>
  </si>
  <si>
    <t>REGULATORY ASSET</t>
  </si>
  <si>
    <t>NET RATEBASE</t>
  </si>
  <si>
    <t>AMORTIZATION OF PURCHASE PRICE:</t>
  </si>
  <si>
    <t>NON-TAXABLE</t>
  </si>
  <si>
    <t>TOTAL AMORTIZATION OF PURCHASE PRICE</t>
  </si>
  <si>
    <t>AMORTIZATION (NOTE 1) AND DISALLOWANCES</t>
  </si>
  <si>
    <t>LSR Plant</t>
  </si>
  <si>
    <t>Less LSR</t>
  </si>
  <si>
    <t>Ppd Transm</t>
  </si>
  <si>
    <t>Initiation Pmt</t>
  </si>
  <si>
    <t>Less Chelan</t>
  </si>
  <si>
    <t>Remove amounts shown on other adjustments</t>
  </si>
  <si>
    <t>TEST YEAR ENDED DECEMBER 31, 2010</t>
  </si>
  <si>
    <t>RATE YEAR ENDED APRIL 30, 2013</t>
  </si>
  <si>
    <t>PRINCIPAL PORTION OF LSR PREPAID TRANSMISSION (AMA)</t>
  </si>
  <si>
    <t>ACCUMULATED AMORTIZATION</t>
  </si>
  <si>
    <t>PAYMENTS</t>
  </si>
  <si>
    <t>AMORTIZATION OF LOWER SNAKE RIVER</t>
  </si>
  <si>
    <t>OPERATING EXPENSE FIXED COSTS</t>
  </si>
  <si>
    <t>AMORTIZATION OF FIXED COST DEFERRAL</t>
  </si>
  <si>
    <t>DEFERRAL OF LOWER SNAKE RIVER FIXED COSTS</t>
  </si>
  <si>
    <t>INCREASE (DECREASE) OPERATING EXPENSES</t>
  </si>
  <si>
    <t>INCREASE (DECREASE) FIT                                                                    35%</t>
  </si>
  <si>
    <t xml:space="preserve">INCREASE (DECREASE) NOI                                                          </t>
  </si>
  <si>
    <t>TOTAL LOWER SNAKER RIVER PROJECT RATE BASE</t>
  </si>
  <si>
    <t>TOTAL AMORTIZATION LSR PROJECT</t>
  </si>
  <si>
    <t>LSR PROJECT AMA ACCUMULATED AMORTIZATION</t>
  </si>
  <si>
    <t xml:space="preserve">LSR PROJECT AMA GROSS - DEF </t>
  </si>
  <si>
    <t>LSR PROJECT AMA ACCUMULATED DEFERRED FIT</t>
  </si>
  <si>
    <t>(NOTE 1)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</si>
  <si>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</si>
  <si>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DOES NOT INCLUDE A DEDUCTION FOR INTEREST AS THE TAX EFFECT FOR TOTAL</t>
  </si>
  <si>
    <t>REMOVE COSTS ASSOCIATED WITH TENASKA REGULATORY ASSET</t>
  </si>
  <si>
    <t>REMOVE EXPENSE ASSOCIATED WITH FUTURE PTC LIABILITY</t>
  </si>
  <si>
    <t>OPERATING EXPENSES:</t>
  </si>
  <si>
    <t>WESTCOAST PIPELINE CAPACITY - UE-100503 (BNP PARIBUS)</t>
  </si>
  <si>
    <t>WESTCOAST PIPELINE CAPACITY - UE-082013 (FB ENERGY)</t>
  </si>
  <si>
    <t xml:space="preserve"> GENERAL RATE INCREASE</t>
  </si>
  <si>
    <t>DFIT - WHITE RIVER REG ASSET</t>
  </si>
  <si>
    <t>AMORTIZATION OF AFPC PORTION (NOTE 3)</t>
  </si>
  <si>
    <t>GENERAL PLANT</t>
  </si>
  <si>
    <t>ACCUMULATED DEPRECIATION - ELECTRIC</t>
  </si>
  <si>
    <t>TOTAL ADJUSTMENT TO RATE BASE</t>
  </si>
  <si>
    <t xml:space="preserve">  TWELVE MONTHS ENDED 12/31/09</t>
  </si>
  <si>
    <t xml:space="preserve">  TWELVE MONTHS ENDED 12/31/10</t>
  </si>
  <si>
    <t xml:space="preserve">DEFERRED BALANCES FOR UE-090704 4 YEAR AMORTIZATION </t>
  </si>
  <si>
    <t>AT START OF RATE YEAR (05/1/12):</t>
  </si>
  <si>
    <t>START OF RATE YEAR (05/1/12):</t>
  </si>
  <si>
    <t>REVISED</t>
  </si>
  <si>
    <t>FOR THE TWELVE MONTHS ENDED DECEMBER 31, 2010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</si>
  <si>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</si>
  <si>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</si>
  <si>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</si>
  <si>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</si>
  <si>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</si>
  <si>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</si>
  <si>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ACCUMULATED DEFERRED FIT</t>
  </si>
  <si>
    <t>LAID OFF EMPLOYEES:</t>
  </si>
  <si>
    <t xml:space="preserve">     OTHER PRODUTION EXPENSES </t>
  </si>
  <si>
    <t xml:space="preserve">     DISTRIBUTION</t>
  </si>
  <si>
    <t xml:space="preserve">     ADMIN &amp; GENERAL</t>
  </si>
  <si>
    <t>BENEFITS  ON THE ABOVE WAGE ADJUSTMENTS</t>
  </si>
  <si>
    <t>PAYROLL TAXES ON THE ABOVE WAGE ADJUSTMENTS</t>
  </si>
  <si>
    <t>ADJUST FERC LAND USE FEES</t>
  </si>
  <si>
    <t>TEMPERATURE NORMALIZATION ADJUSTMENT:</t>
  </si>
  <si>
    <t>PROFORMA INTEREST</t>
  </si>
  <si>
    <t>FIT</t>
  </si>
  <si>
    <t>PURCHASES/SALES OF NON-CORE GAS</t>
  </si>
  <si>
    <t>WHEELING FOR OTHERS</t>
  </si>
  <si>
    <t>PLANT BALANCE</t>
  </si>
  <si>
    <t>DEPRECIATION EXPENSE</t>
  </si>
  <si>
    <t>WHITE RIVER RELICENSING &amp; CWIP</t>
  </si>
  <si>
    <t>AMA OF REGULATORY ASSET/LIABILITY NET OF ACCUM AMORT AND DFIT</t>
  </si>
  <si>
    <t>Adjustment Detail (Page 1)</t>
  </si>
  <si>
    <t>Adjustment Detail (Page 2)</t>
  </si>
  <si>
    <t>Adjustment Detail (Page 3)</t>
  </si>
  <si>
    <t>Adjustment Detail (Page 4)</t>
  </si>
  <si>
    <t>TOTAL DEPRECIATION EXPENSE</t>
  </si>
  <si>
    <t>ADJUSTMENT TO RATE BASE</t>
  </si>
  <si>
    <t>ADJUSTMENTS</t>
  </si>
  <si>
    <t xml:space="preserve">  DEFERRED TAXES</t>
  </si>
  <si>
    <t xml:space="preserve">  OTHER</t>
  </si>
  <si>
    <t xml:space="preserve">  ALLOWANCE FOR WORKING CAPITAL</t>
  </si>
  <si>
    <t>TEMPERATURE</t>
  </si>
  <si>
    <t xml:space="preserve">INCREASE (DECREASE) DEFERRED FIT @ 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</si>
  <si>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</si>
  <si>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</si>
  <si>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</si>
  <si>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</si>
  <si>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</si>
  <si>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</si>
  <si>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</si>
  <si>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</si>
  <si>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</si>
  <si>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</si>
  <si>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</si>
  <si>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RESTATING ADJUSTMENTS:</t>
  </si>
  <si>
    <t>Rate Increase</t>
  </si>
  <si>
    <t>REVENUE ADJUSTMENT:</t>
  </si>
  <si>
    <t>Transmission</t>
  </si>
  <si>
    <t>Distribution</t>
  </si>
  <si>
    <t>Total</t>
  </si>
  <si>
    <t>PAYROLL TAXES</t>
  </si>
  <si>
    <t>HYDRO AND OTHER POWER</t>
  </si>
  <si>
    <t>AND RESTATED</t>
  </si>
  <si>
    <t>TOTAL ADMIN &amp; GENERAL EXPENSES</t>
  </si>
  <si>
    <t>O&amp;M ON PRODUCTION PROPERTY</t>
  </si>
  <si>
    <t>PRODUCTION PROPERTY RATE BASE:</t>
  </si>
  <si>
    <t>HOPKINS RIDGE PREPAID TRANSMISSION</t>
  </si>
  <si>
    <t>Docket Number UE-111048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</si>
  <si>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</si>
  <si>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</si>
  <si>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</si>
  <si>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</si>
  <si>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</si>
  <si>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BEP (555)</t>
  </si>
  <si>
    <t>(NOTE 3) AFPC STANDS FOR ALLOWANCE FOR FUNDS ON POWER CONTRACTS</t>
  </si>
  <si>
    <t>EXCISE TAX &amp; FILING FEE</t>
  </si>
  <si>
    <t>CHARGED TO EXPENSE FOR YEAR ENDED 12/31/10</t>
  </si>
  <si>
    <t>EXECUTIVE SALARY</t>
  </si>
  <si>
    <t>WHITE RIVER PLANT COSTS (407)</t>
  </si>
  <si>
    <t>HOPKINS RIDGE PREPAID TRANSMISSION (565)</t>
  </si>
  <si>
    <t>GOLDENDALE FIXED COSTS DEFERRAL (407.3)</t>
  </si>
  <si>
    <t>HOPKINS RIDGE MITIGATION CREDIT (555)</t>
  </si>
  <si>
    <t>WESTCOAST PIPELINE CAPACITY - UE-082013 (FB ENERGY) (547)</t>
  </si>
  <si>
    <t>WESTCOAST PIPELINE CAPACITY - UE-100503 (BNP PARIBUS) (547)</t>
  </si>
  <si>
    <t>Move Chelan Reservation Amort to Separate Adjustment</t>
  </si>
  <si>
    <t>AMORTIZATION OF PRINCIPAL (565)</t>
  </si>
  <si>
    <t>AMORTIZATION OF CARRYING CHARGES (407.3)</t>
  </si>
  <si>
    <t>AMORTIZATION OF INITIATION PAYMENT (555)</t>
  </si>
  <si>
    <t>REMOVE REC REVENUES - SCH 137</t>
  </si>
  <si>
    <t>REMOVE OFFSET TO REDUCTION OF REC LIABILITY - SCH 137</t>
  </si>
  <si>
    <t>REMOVE OFFSET TO REDUCTION OF REC LIABILITY - PTC OFFSETS</t>
  </si>
  <si>
    <t>REMOVE EXPENSE RECOGNIZED FOR FUTURE PTC LIABILITY</t>
  </si>
  <si>
    <t>PROPERTY TAX</t>
  </si>
  <si>
    <t>TOTAL PREPAID DEPOSIT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</si>
  <si>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</si>
  <si>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</si>
  <si>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</si>
  <si>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</si>
  <si>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</si>
  <si>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TRANSM DEP</t>
  </si>
  <si>
    <t>LSR PPD</t>
  </si>
  <si>
    <t>MT ELECTRIC</t>
  </si>
  <si>
    <t>REMOVE</t>
  </si>
  <si>
    <t>CHELAN</t>
  </si>
  <si>
    <t>OPERATING</t>
  </si>
  <si>
    <t>LOWER SNAKE RIVER PROJECT</t>
  </si>
  <si>
    <t>LOWER SNAKE RIVER PREPAID TRANSMISSION DEPOSITS</t>
  </si>
  <si>
    <t xml:space="preserve">WILD HORSE SOLAR </t>
  </si>
  <si>
    <t>STORM DAMAGE</t>
  </si>
  <si>
    <t>CONTRACT PAYMENTS TO CHELAN PUD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</si>
  <si>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</si>
  <si>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</si>
  <si>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</si>
  <si>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</si>
  <si>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</si>
  <si>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</si>
  <si>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MISCELLANEOUS OPERATING EXPENSE</t>
  </si>
  <si>
    <t>GENERAL PLANT DEPRECIATION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</si>
  <si>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</si>
  <si>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</si>
  <si>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</si>
  <si>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</si>
  <si>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</si>
  <si>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CHELAN RESERVATION PAYMENT</t>
  </si>
  <si>
    <t>CHELAN SECURITY DEPOSIT</t>
  </si>
  <si>
    <t>CARRYING CHARGES ON LSR PREPAID TRANSM DEPOSITS</t>
  </si>
  <si>
    <t>DFIT WHITE RIVER REG ASSETS</t>
  </si>
  <si>
    <t>TAXABLE DEPRECIATION EXPENSE</t>
  </si>
  <si>
    <t>NON-TAXABLE DEPRECIATION EXPENSE</t>
  </si>
  <si>
    <t>REMOVE DEFERRAL OF MINT FARM COSTS</t>
  </si>
  <si>
    <t>REMOVE DEFERRAL OF WILD HORSE EXPANSION COSTS</t>
  </si>
  <si>
    <t>MINT FARM DEFERRAL (407.3)</t>
  </si>
  <si>
    <t>WILD HORSE EXPANSION DEFERRAL (407.3)</t>
  </si>
  <si>
    <t>REMOVE TENASKA REGULATORY ASSET TRACKER (SCH 133)</t>
  </si>
  <si>
    <t>RECLASS OF CUSTOMERS BETWEEN TARIFFS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</si>
  <si>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</si>
  <si>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</si>
  <si>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</si>
  <si>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</si>
  <si>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</si>
  <si>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</si>
  <si>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</si>
  <si>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</si>
  <si>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SCHEDULE 40 - LARGE SEC VOLTAGE</t>
  </si>
  <si>
    <t>SCHEDULE 40 - PRIMARY VOLTAGE</t>
  </si>
  <si>
    <t>LIGHTING</t>
  </si>
  <si>
    <t>FIRM RESALE</t>
  </si>
  <si>
    <t>INITIATION PAYMENT BALANCE</t>
  </si>
  <si>
    <t>INITIATION PAYMENT AMA (UE-060539)</t>
  </si>
  <si>
    <t>NET INITIATION PAYMENT RATEBASE AMA</t>
  </si>
  <si>
    <t>SECURITY DEPOSIT BALANCE</t>
  </si>
  <si>
    <t>SECURITY DEPOSIT AMA</t>
  </si>
  <si>
    <t>NET SCURITY DEPOSIT AMA</t>
  </si>
  <si>
    <t>INCREASE RATEBASE</t>
  </si>
  <si>
    <t>2008 STORM DAMAGE-PENDING APPROVAL</t>
  </si>
  <si>
    <t>2010 STORM DAMAGE-PENDING APPROVAL</t>
  </si>
  <si>
    <t>TOTAL (LINE 34)</t>
  </si>
  <si>
    <t>INCREASE (DECREASE) OPERATING EXPENSE (LINE 38- LINE 39)</t>
  </si>
  <si>
    <t>FERC PART 12 STUDY NON-CONSTRUCTION COSTS UE-070074</t>
  </si>
  <si>
    <t>&amp; LIABILITIES</t>
  </si>
  <si>
    <t>Rate Year</t>
  </si>
  <si>
    <t>Variable Transmission Income</t>
  </si>
  <si>
    <t>REMOVE RESIDENTIAL EXCHANGE - SCH 194</t>
  </si>
  <si>
    <t>NORMALIZE INJURIES AND DAMAGES</t>
  </si>
  <si>
    <t>NORMALIZE</t>
  </si>
  <si>
    <t>INJ &amp; DMGS</t>
  </si>
  <si>
    <t>RESTATED EXCISE TAXES</t>
  </si>
  <si>
    <t>INCREASE (DECREASE) EXCISE TAX</t>
  </si>
  <si>
    <t>EXCISE TAX</t>
  </si>
  <si>
    <t>&amp; FILING FEE</t>
  </si>
  <si>
    <t>INCREASE(DECREASE) OPERATING EXPENSE</t>
  </si>
  <si>
    <t>INCREASE (DECREASE) OPERATING EXPENSE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</si>
  <si>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</si>
  <si>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</si>
  <si>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</si>
  <si>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</si>
  <si>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</si>
  <si>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</si>
  <si>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</si>
  <si>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</si>
  <si>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</si>
  <si>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</si>
  <si>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</si>
  <si>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CONTRACT MAJOR MAINTENANCE:</t>
  </si>
  <si>
    <t xml:space="preserve">    SUMAS NOVEMBER 2010 HOT GAS PATH INSPECTION</t>
  </si>
  <si>
    <t xml:space="preserve">    FREDDY 1 JULY 2009 HOT GAS PATH INSPECTION</t>
  </si>
  <si>
    <t xml:space="preserve">    GOLENDALE MAY 2009 COMBUSTION INSPECTION</t>
  </si>
  <si>
    <t xml:space="preserve">    SUMAS NOVEMBER 2008 COMBUSTION INSPECTION</t>
  </si>
  <si>
    <t xml:space="preserve">    MINT FARM JUNE 2010 COMBUSTION INSPECTION</t>
  </si>
  <si>
    <t xml:space="preserve">ACCUM DEPRECIATION </t>
  </si>
  <si>
    <t>DEFERRED INCOME TAX</t>
  </si>
  <si>
    <t>BEP</t>
  </si>
  <si>
    <t>&amp; EXPENSES</t>
  </si>
  <si>
    <t>2006 STORM DAMAGE (EXCL 12/13/06 WIND STORM)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</si>
  <si>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</si>
  <si>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</si>
  <si>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</si>
  <si>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</si>
  <si>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</si>
  <si>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</si>
  <si>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2008 STORM DAMAGE</t>
  </si>
  <si>
    <t>REG ASSETS</t>
  </si>
  <si>
    <t>DEPRECIATION / AMORTIZATION:</t>
  </si>
  <si>
    <t>various</t>
  </si>
  <si>
    <t>Line</t>
  </si>
  <si>
    <t>FIT PER BOOKS:</t>
  </si>
  <si>
    <t>ADMIN. &amp; GENERAL</t>
  </si>
  <si>
    <t>PRO FORMA INSURANCE COSTS</t>
  </si>
  <si>
    <t>CATASTROPHIC STORMS</t>
  </si>
  <si>
    <t>TOTAL WAGE INCREASE</t>
  </si>
  <si>
    <t>APPLICABLE TO OPERATIONS @</t>
  </si>
  <si>
    <t>PURCHASED AND INTERCHANGED</t>
  </si>
  <si>
    <t>TOTAL TAXES OTHER</t>
  </si>
  <si>
    <t>TOTAL CHARGED TO EXPENSE</t>
  </si>
  <si>
    <t xml:space="preserve">INCREASE(DECREASE) FIT </t>
  </si>
  <si>
    <t>OTHER POWER SUPPLY EXPENSES</t>
  </si>
  <si>
    <t>INCREASE(DECREASE) DEFERRED FIT</t>
  </si>
  <si>
    <t xml:space="preserve">INCREASE(DECREASE) NOI </t>
  </si>
  <si>
    <t>RATE BASE:</t>
  </si>
  <si>
    <t>SALES FOR RESALE - SMALL FIRM AND SPECIAL CONTRACT</t>
  </si>
  <si>
    <t>12 MOS ENDED</t>
  </si>
  <si>
    <t>AUGUST</t>
  </si>
  <si>
    <t>DECEMBER</t>
  </si>
  <si>
    <t>Hedging</t>
  </si>
  <si>
    <t>HEDGING</t>
  </si>
  <si>
    <t>DEFERRED G/L ON</t>
  </si>
  <si>
    <t>DISALLOWANCES</t>
  </si>
  <si>
    <t>SUBTOTAL NORMALIZED</t>
  </si>
  <si>
    <t>TOTAL NET OPERATING INCOME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</si>
  <si>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</si>
  <si>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</si>
  <si>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</si>
  <si>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</si>
  <si>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</si>
  <si>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</si>
  <si>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</si>
  <si>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</si>
  <si>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</si>
  <si>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</si>
  <si>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</si>
  <si>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</si>
  <si>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</si>
  <si>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</si>
  <si>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</si>
  <si>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</si>
  <si>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Summary</t>
  </si>
  <si>
    <t>BAD DEBTS</t>
  </si>
  <si>
    <t>RESTATED PROPERTY TAX</t>
  </si>
  <si>
    <t>MONTANA ELECTRIC ENERGY TAX</t>
  </si>
  <si>
    <t>TOTAL OPERATING EXPENSES</t>
  </si>
  <si>
    <t>ACQUISITION ADJUSTMENTS</t>
  </si>
  <si>
    <t>ADJUSTMENT NO. 13.05</t>
  </si>
  <si>
    <r>
      <t xml:space="preserve">ANNUAL NORMALIZATION (LINE 3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</si>
  <si>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9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</si>
  <si>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LESS TEST YEAR EXPENSE</t>
  </si>
  <si>
    <t>2007 AND 2009 GRC EXPENSES TO BE NORMALIZED</t>
  </si>
  <si>
    <t>2005 AND 2007 PCORC EXPENSES TO BE NORMALIZED</t>
  </si>
  <si>
    <t>REMOVE MERGER RATE CREDIT SCH 132</t>
  </si>
  <si>
    <t>ADD GRC INCREASE DOCKET UE-090704</t>
  </si>
  <si>
    <t>LOWER SNAKE RIVER RATEBASE (AMA)</t>
  </si>
  <si>
    <t>NET LSR EXPANSION PLANT RATEBASE</t>
  </si>
  <si>
    <t>LOWER SNAKE RIVER OPERATING EXPENSE</t>
  </si>
  <si>
    <t>LOWER SNAKE</t>
  </si>
  <si>
    <t>RIVER</t>
  </si>
  <si>
    <t>OTHER OPERATING</t>
  </si>
  <si>
    <t>RECLASS SPECIAL CONTRACT REVENUE FROM OTHER OPERATING</t>
  </si>
  <si>
    <t>RECLASS SPECIAL CONTRACT REVENUE TO SALES TO CUSTOMERS</t>
  </si>
  <si>
    <t>KWH</t>
  </si>
  <si>
    <t>RECLASS FERC 557</t>
  </si>
  <si>
    <t>INCREASE (DECREASE ) EXPENSE</t>
  </si>
  <si>
    <t>Check</t>
  </si>
  <si>
    <t>SALES TO CUSTOMERS:</t>
  </si>
  <si>
    <t>PROFORMA ADJUSTMENTS:</t>
  </si>
  <si>
    <t>Subtotal</t>
  </si>
  <si>
    <t>TAXES OTHER THAN INCOME TAXES</t>
  </si>
  <si>
    <t>INCOME TAXES</t>
  </si>
  <si>
    <t>UTILITY PLANT RATEBASE</t>
  </si>
  <si>
    <t>Per DEM</t>
  </si>
  <si>
    <t>Add wage &amp; inc adj</t>
  </si>
  <si>
    <t>Adj Colstrip Stlmt Recvbl</t>
  </si>
  <si>
    <t>Per JHS Summary</t>
  </si>
  <si>
    <t>Remove B&amp;T already in FERC 926</t>
  </si>
  <si>
    <t>Prod Factored at 1.0176</t>
  </si>
  <si>
    <t>SALES TO CUSTOMERS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</si>
  <si>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</si>
  <si>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</si>
  <si>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</si>
  <si>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</si>
  <si>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</si>
  <si>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</si>
  <si>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</si>
  <si>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</si>
  <si>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</si>
  <si>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</si>
  <si>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</si>
  <si>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2007 STORM DAMAGE</t>
  </si>
  <si>
    <t>TOTAL INCREASE (DECREASE) OTHER OPERATING REVENUE</t>
  </si>
  <si>
    <t>TOTAL INCREASE (DECREASE) REVENUES</t>
  </si>
  <si>
    <t xml:space="preserve">  DEFERRED DEBITS AND CREDITS</t>
  </si>
  <si>
    <t>POWER COST AND O&amp;M RELATED TO LOWER SNAKE RIVER</t>
  </si>
  <si>
    <t>DEFERRED CARRYING CHARGES (AMA)</t>
  </si>
  <si>
    <t>PROFORMA KWH (COLSTRIP)</t>
  </si>
  <si>
    <t>PROFORMA ENERGY TAX</t>
  </si>
  <si>
    <t>NET WILD HORSE SOLAR PLANT RATEBASE</t>
  </si>
  <si>
    <t>RATEBASE (AMA) UTILITY PLANT RATEBASE</t>
  </si>
  <si>
    <t>ASC 815 OPERATING EXPENSE</t>
  </si>
  <si>
    <t>CHARGED TO EXPENSE  12 MONTHS ENDED 12/31/10</t>
  </si>
  <si>
    <t>DEFERRAL BALANCES BEG OF RY (LINE 22 THROUGH LINE 26)</t>
  </si>
  <si>
    <t>ANNUAL AMORTIZATION (LINE 27 ÷ 48 MONTHS) x 12</t>
  </si>
  <si>
    <t>ANNUAL AMORTIZATION (LINE 35 ÷ 78 (5/2012 - 10/2018) x 12)</t>
  </si>
  <si>
    <t>TOTAL RATE YEAR AMORTIZATION (LINE 29 + LINE 38)</t>
  </si>
  <si>
    <t>LESS TEST YEAR CATASTROPHIC STORM AMORTIZATION</t>
  </si>
  <si>
    <t>ORIGINAL AMORT PERIOD FROM UE-072300 WAS 10 YEARS</t>
  </si>
  <si>
    <t>FROM NOVEMBER 2008 THROUGH OCTOBER 2018</t>
  </si>
  <si>
    <t>TOTAL INCREASE (DECREASE) OPERATING EXPENSE (LINE 16 + LINE 42)</t>
  </si>
  <si>
    <t>INCREASE (DECREASE) FIT @ 35% (LINE 44 X 35%)</t>
  </si>
  <si>
    <t>(NOTE 1) TOTAL AMORTIZATION = $37,532,000 = $14,334,286 TAXABLE PURCHASE PRICE +</t>
  </si>
  <si>
    <t>$16,823,714 NON-TAXABLE PURCHASE PRICE + TAXABLE AFPC $6,374,000.</t>
  </si>
  <si>
    <t>(NOTE 2) THE IMPACT ON THE TAX BENEFIT OF PROFORMA INTEREST IS HANDLED IN</t>
  </si>
  <si>
    <t>PROCEEDS FROM THE SALE OF WHITE RIVER ASSETS TO CWA</t>
  </si>
  <si>
    <t>MINT FARM DEFERRAL - UE-090704</t>
  </si>
  <si>
    <t>WILD HORSE EXPANSION DEFERRAL - UE-090704</t>
  </si>
  <si>
    <t>COLSTRIP 1&amp;2 (WECO) COAL CONTRACT PREPAYMENT</t>
  </si>
  <si>
    <t>MINT FARM DEFERAL - UE-090704 (407.3)</t>
  </si>
  <si>
    <t>WILD HORSE EXPANSION DEFERRAL - UE-090704 (407.3)</t>
  </si>
  <si>
    <t>COLSTRIP 1&amp;2 (WECO) COAL CONTRACT PREPAYMENT (501)</t>
  </si>
  <si>
    <t>CONTRACT MAJOR MAINTENANCE (PROD O&amp;M):</t>
  </si>
  <si>
    <t>TOTAL AMORTIZATION OF REGULATORY ASSETS AND LIABILITIES</t>
  </si>
  <si>
    <t>TOTAL REGULATORY ASSETS AND LIABILITIES RATEBASE</t>
  </si>
  <si>
    <t>PRODUCTION WAGE ADJUSTMENTS AND INCENTIVE:</t>
  </si>
  <si>
    <t>TOTAL WAGE RELATED ADJUSTMENTS</t>
  </si>
  <si>
    <t>AMORTIZATION ON REGULATORY ASSETS:</t>
  </si>
  <si>
    <t>FERC PART 12 NON-CONSTRUCTION STUDY COSTS UE-070074 (407.3)</t>
  </si>
  <si>
    <t>MAJOR MAINTENANCE (SUMMARIZED) (PROD O&amp;M)</t>
  </si>
  <si>
    <t>CHELAN RESERVATION PREPAYMENT (555)</t>
  </si>
  <si>
    <t>DEPRECIABLE PRODUCTION PROPERTY (INCL LSR AND WH SOLAR)</t>
  </si>
  <si>
    <t>PRODUCTION PROPERTY ACCUM DEPR. (INCL LSR AND WH SOLAR)</t>
  </si>
  <si>
    <t>PRODUCTION PROPERTY ACCUM AMORT.</t>
  </si>
  <si>
    <t>NOL DEFERRED TAX ASSET ATTRIBUTABLE TO PRODUCTION</t>
  </si>
  <si>
    <t>TOTAL PRODUCTION PROPERTY RATE BASE</t>
  </si>
  <si>
    <t>FERC PART 12 NON-CONSTRUCTION STUDY COSTS UE-070074</t>
  </si>
  <si>
    <t>MAJOR MAINTENANCE (SUMMARIZED)</t>
  </si>
  <si>
    <t>TOTAL REGULATORY ASSETS AND LIABILITIES RATE BASE</t>
  </si>
  <si>
    <t>TOTAL ADJUSTMENT TO RATEBASE (LINE 73 + LINE 89)</t>
  </si>
  <si>
    <t>Net Power Costs (column c per DEM Exhibit)</t>
  </si>
  <si>
    <t>OTHER OPERATING REVENUES:</t>
  </si>
  <si>
    <t>OPERATING EXPENSES</t>
  </si>
  <si>
    <t>INTEREST EXPENSE AT MOST CURRENT INTEREST RATE</t>
  </si>
  <si>
    <t>DEFERRED LOSSES PENDING APPROVAL SINCE UE-090704</t>
  </si>
  <si>
    <t>DEFERRED GAINS RECORDED FOR UE-090704, et al. at 4/30/2012</t>
  </si>
  <si>
    <t>DEFERRED LOSSES RECORDED FOR UE-090704, et al. at 4/30/2012</t>
  </si>
  <si>
    <t>TOTAL DEFERRED NET GAINS FOR UE-090704, et al. at 4/30/2012</t>
  </si>
  <si>
    <t>DEFERRED GAINS PENDING APPROVAL SINCE UE-090704</t>
  </si>
  <si>
    <t>NET DEFERRED LOSSES PENDING APPROVAL</t>
  </si>
  <si>
    <t>NET GAIN (LINE 3 + LINE 7)</t>
  </si>
  <si>
    <t>ANNUAL AMORTIZATION (LINE 9 ÷ 36 MONHS) x 12 MONTHS</t>
  </si>
  <si>
    <t>REMOVE NON-BUSINESS OR NON-UTILITY RELATED EXPENSES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</si>
  <si>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</si>
  <si>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</si>
  <si>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</si>
  <si>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</si>
  <si>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</si>
  <si>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</si>
  <si>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</si>
  <si>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</si>
  <si>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</si>
  <si>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</si>
  <si>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</si>
  <si>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>PROPERTY</t>
  </si>
  <si>
    <t xml:space="preserve">INTEREST ON </t>
  </si>
  <si>
    <t>MONTANA</t>
  </si>
  <si>
    <t>SUBTOTAL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</si>
  <si>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</si>
  <si>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</si>
  <si>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</si>
  <si>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</si>
  <si>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</si>
  <si>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</si>
  <si>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</si>
  <si>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</si>
  <si>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Test Year</t>
  </si>
  <si>
    <t>DEFERRED FIT</t>
  </si>
  <si>
    <t xml:space="preserve">REMOVE PCA INCREASE  </t>
  </si>
  <si>
    <t>PRODUCTION O&amp;M</t>
  </si>
  <si>
    <t>TOTAL POWER COST AND PROD O&amp;M</t>
  </si>
  <si>
    <t>INCREASE ( DECREASE ) EXPENSE</t>
  </si>
  <si>
    <t xml:space="preserve">  TWELVE MONTHS ENDED 12/31/08</t>
  </si>
  <si>
    <t>GOLDENDALE FIXED COSTS DEFERRAL</t>
  </si>
  <si>
    <t>AMORTIZATION OF REGULATORY ASSET/LIABILITY</t>
  </si>
  <si>
    <t>TOTAL RATEBASE</t>
  </si>
  <si>
    <t>ADJUSTMENT TO OPERATING EXPENSES</t>
  </si>
  <si>
    <t xml:space="preserve">ACTUAL RESUTLS </t>
  </si>
  <si>
    <t>OF OPERATIONS</t>
  </si>
  <si>
    <t>ADMIN &amp; GENERAL EXPENSES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</si>
  <si>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</si>
  <si>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</si>
  <si>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</si>
  <si>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</si>
  <si>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</si>
  <si>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</si>
  <si>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</si>
  <si>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</si>
  <si>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Less</t>
  </si>
  <si>
    <t>Less Amort</t>
  </si>
  <si>
    <t>of Reg Assets</t>
  </si>
  <si>
    <t>DEFERRED INCOME TAX LIABILITY</t>
  </si>
  <si>
    <t>Total Power Costs</t>
  </si>
  <si>
    <t>Power Costs Provided by Power Cost Analysis Dept.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</si>
  <si>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</si>
  <si>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</si>
  <si>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</si>
  <si>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</si>
  <si>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</si>
  <si>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</si>
  <si>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</si>
  <si>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TAXES</t>
  </si>
  <si>
    <t>PROPERTY SALES</t>
  </si>
  <si>
    <t>WAGE</t>
  </si>
  <si>
    <t>PENSION</t>
  </si>
  <si>
    <t>TOTAL INCENTIVE/MERIT PAY</t>
  </si>
  <si>
    <t>REMOVE SCHEDULE 95A PRODUCTION TAX CREDITS</t>
  </si>
  <si>
    <t>POLE ATTACHMENT REVENUES</t>
  </si>
  <si>
    <t>GREEN POWER - SCH 135/136 (TAGS ELIM IN PAGE 4.03)</t>
  </si>
  <si>
    <t>GREEN POWER - SCH 135/136 BENEFITS PORTION OF ADMIN</t>
  </si>
  <si>
    <t>GREEN POWER - SCH 135/136 TAXES PORTION OF ADMIN</t>
  </si>
  <si>
    <t>GREEN POWER - SCH 135/136 ELIMINATE UNDER EXPENSED</t>
  </si>
  <si>
    <t>COLSTRIP COMMON FERC ADJUSTMENT</t>
  </si>
  <si>
    <t>COLSTRIP DEFERRED DEPRECIATION FERC ADJ.</t>
  </si>
  <si>
    <t>REGULATORY ASSETS RATE BASE:</t>
  </si>
  <si>
    <t>TEST</t>
  </si>
  <si>
    <t>PURCHASED POWER</t>
  </si>
  <si>
    <t>OTHER POWER SUPPLY</t>
  </si>
  <si>
    <t>TAXES OTHER-PRODUCTION PROPERTY:</t>
  </si>
  <si>
    <t>TAX BENEFIT OF PRO</t>
  </si>
  <si>
    <t>FORMA INTEREST</t>
  </si>
  <si>
    <t>FEDERAL INCOME TAX EXPENSE (BENEFIT) @</t>
  </si>
  <si>
    <t>SERP PLAN</t>
  </si>
  <si>
    <t>DEPRECIATION</t>
  </si>
  <si>
    <t>PUGET SOUND ENERGY</t>
  </si>
  <si>
    <t>Description</t>
  </si>
  <si>
    <t>SUBTOTAL PURCHASED AND INTERCHANGED</t>
  </si>
  <si>
    <t>LSR</t>
  </si>
  <si>
    <t>DEFERRAL</t>
  </si>
  <si>
    <t>Exhibit No. ___ (JHS-19)</t>
  </si>
  <si>
    <t>Page 19.02</t>
  </si>
  <si>
    <t>Page 19.03</t>
  </si>
  <si>
    <t>Page 19.04</t>
  </si>
  <si>
    <t>Page 19.05</t>
  </si>
  <si>
    <t>PAGE 19.01</t>
  </si>
  <si>
    <t>Exhibit No.    (JHS-20)</t>
  </si>
  <si>
    <t>Exhibit No.     (JHS-21)</t>
  </si>
  <si>
    <t>20.02E</t>
  </si>
  <si>
    <t>20.03E</t>
  </si>
  <si>
    <t>20.09E</t>
  </si>
  <si>
    <t>20.10E</t>
  </si>
  <si>
    <t>WORKING</t>
  </si>
  <si>
    <t>WORKING CAPITAL</t>
  </si>
  <si>
    <t>ALLOWANCE FOR WORKING CAPITAL</t>
  </si>
  <si>
    <t xml:space="preserve">PUGET SOUND ENERGY-ELECTRIC </t>
  </si>
  <si>
    <t>NEW</t>
  </si>
  <si>
    <t>CARRYING CHARGES ON LSR PREPAID TRANS DEPOSITS (407.3)</t>
  </si>
  <si>
    <r>
      <t xml:space="preserve">LOWER SNAKE RIVER PREPAID TRANSMISSION DEPOSIT (565) </t>
    </r>
    <r>
      <rPr>
        <b/>
        <i/>
        <sz val="10"/>
        <rFont val="Times New Roman"/>
        <family val="1"/>
      </rPr>
      <t>(NEW)</t>
    </r>
  </si>
  <si>
    <r>
      <t xml:space="preserve">LOWER SNAKE RIVER DEFERRAL (407.3) </t>
    </r>
    <r>
      <rPr>
        <b/>
        <i/>
        <sz val="10"/>
        <rFont val="Times New Roman"/>
        <family val="1"/>
      </rPr>
      <t>(NEW)</t>
    </r>
  </si>
  <si>
    <r>
      <t xml:space="preserve">LOWER SNAKE RIVER DEFERRAL </t>
    </r>
    <r>
      <rPr>
        <b/>
        <i/>
        <sz val="10"/>
        <rFont val="Times New Roman"/>
        <family val="1"/>
      </rPr>
      <t>(NEW)</t>
    </r>
  </si>
  <si>
    <t>( NEW )</t>
  </si>
  <si>
    <t>PROFORMA INTEREST IS CALCULATED IN ADJUSTMENT 21.05</t>
  </si>
  <si>
    <t>WRITE-OFF'S</t>
  </si>
  <si>
    <t>Exhibit No. ___(JHS-20)</t>
  </si>
  <si>
    <t>Page 20.01 (A)</t>
  </si>
  <si>
    <t>Add / Remove amounts not in / in BR 24 Att A</t>
  </si>
  <si>
    <t>Per BR 24 Att 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</si>
</sst>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;\(#,##0\)"/>
    <numFmt numFmtId="171" formatCode="yyyy"/>
    <numFmt numFmtId="172" formatCode="0.0000000%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_);[Red]_(* \(#,##0\);_(* &quot;-&quot;_);_(@_)"/>
    <numFmt numFmtId="176" formatCode="_(&quot;$&quot;* #,##0_);[Red]_(&quot;$&quot;* \(#,##0\);_(&quot;$&quot;* &quot;-&quot;_);_(@_)"/>
    <numFmt numFmtId="177" formatCode="_(* #,##0.0000_);_(* \(#,##0.0000\);_(* &quot;-&quot;_);_(@_)"/>
    <numFmt numFmtId="178" formatCode="#,##0.00000_);[Red]\(#,##0.00000\)"/>
    <numFmt numFmtId="179" formatCode="_(* #,##0.00000_);_(* \(#,##0.00000\);_(* &quot;-&quot;??_);_(@_)"/>
    <numFmt numFmtId="180" formatCode="_(&quot;$&quot;* #,##0.000_);_(&quot;$&quot;* \(#,##0.000\);_(&quot;$&quot;* &quot;-&quot;??_);_(@_)"/>
    <numFmt numFmtId="181" formatCode="_(&quot;$&quot;* #,##0.000000_);_(&quot;$&quot;* \(#,##0.000000\);_(&quot;$&quot;* &quot;-&quot;??????_);_(@_)"/>
    <numFmt numFmtId="182" formatCode="0.000000"/>
    <numFmt numFmtId="183" formatCode="_(* #,##0.0_);_(* \(#,##0.0\);_(* &quot;-&quot;_);_(@_)"/>
    <numFmt numFmtId="184" formatCode="_(* ###0_);_(* \(###0\);_(* &quot;-&quot;_);_(@_)"/>
    <numFmt numFmtId="185" formatCode="0.00000%"/>
    <numFmt numFmtId="186" formatCode="&quot;PAGE&quot;\ 0.00"/>
    <numFmt numFmtId="187" formatCode="d\.mmm\.yy"/>
    <numFmt numFmtId="188" formatCode="#."/>
    <numFmt numFmtId="189" formatCode="_(&quot;$&quot;* #,##0.0000_);_(&quot;$&quot;* \(#,##0.0000\);_(&quot;$&quot;* &quot;-&quot;????_);_(@_)"/>
    <numFmt numFmtId="190" formatCode="&quot;$&quot;#,##0.00"/>
    <numFmt numFmtId="191" formatCode="_(* #,##0.00_);_(* \(#,##0.00\);_(* &quot;-&quot;_);_(@_)"/>
    <numFmt numFmtId="192" formatCode="&quot;$&quot;#,##0;\-&quot;$&quot;#,##0"/>
    <numFmt numFmtId="193" formatCode="_([$€-2]* #,##0.00_);_([$€-2]* \(#,##0.00\);_([$€-2]* &quot;-&quot;??_)"/>
    <numFmt numFmtId="194" formatCode="0000000"/>
    <numFmt numFmtId="195" formatCode="[$-409]d\-mmm\-yy;@"/>
    <numFmt numFmtId="196" formatCode="[$-409]mmm\-yy;@"/>
    <numFmt numFmtId="197" formatCode="_(* #,##0.000000_);_(* \(#,##0.000000\);_(* &quot;-&quot;??????_);_(@_)"/>
  </numFmts>
  <fonts count="80">
    <font>
      <sz val="8"/>
      <name val="Helv"/>
      <family val="0"/>
    </font>
    <font>
      <sz val="11"/>
      <color indexed="8"/>
      <name val="Calibri"/>
      <family val="2"/>
    </font>
    <font>
      <sz val="11"/>
      <name val="univers (E1)"/>
      <family val="0"/>
    </font>
    <font>
      <b/>
      <sz val="8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8.8"/>
      <name val="Symbol"/>
      <family val="1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12"/>
      <name val="Times New Roman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Helv"/>
      <family val="0"/>
    </font>
    <font>
      <b/>
      <i/>
      <sz val="8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hair"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</borders>
  <cellStyleXfs count="3227">
    <xf numFmtId="18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6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6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3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1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41" fillId="32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87" fontId="15" fillId="0" borderId="0" applyFill="0" applyBorder="0" applyAlignment="0">
      <protection/>
    </xf>
    <xf numFmtId="187" fontId="15" fillId="0" borderId="0" applyFill="0" applyBorder="0" applyAlignment="0">
      <protection/>
    </xf>
    <xf numFmtId="187" fontId="15" fillId="0" borderId="0" applyFill="0" applyBorder="0" applyAlignment="0">
      <protection/>
    </xf>
    <xf numFmtId="41" fontId="8" fillId="33" borderId="0">
      <alignment/>
      <protection/>
    </xf>
    <xf numFmtId="0" fontId="53" fillId="34" borderId="1" applyNumberFormat="0" applyAlignment="0" applyProtection="0"/>
    <xf numFmtId="0" fontId="53" fillId="34" borderId="1" applyNumberFormat="0" applyAlignment="0" applyProtection="0"/>
    <xf numFmtId="0" fontId="53" fillId="34" borderId="1" applyNumberFormat="0" applyAlignment="0" applyProtection="0"/>
    <xf numFmtId="41" fontId="8" fillId="33" borderId="0">
      <alignment/>
      <protection/>
    </xf>
    <xf numFmtId="0" fontId="53" fillId="34" borderId="1" applyNumberFormat="0" applyAlignment="0" applyProtection="0"/>
    <xf numFmtId="41" fontId="8" fillId="33" borderId="0">
      <alignment/>
      <protection/>
    </xf>
    <xf numFmtId="41" fontId="8" fillId="33" borderId="0">
      <alignment/>
      <protection/>
    </xf>
    <xf numFmtId="0" fontId="43" fillId="35" borderId="2" applyNumberFormat="0" applyAlignment="0" applyProtection="0"/>
    <xf numFmtId="0" fontId="43" fillId="35" borderId="2" applyNumberFormat="0" applyAlignment="0" applyProtection="0"/>
    <xf numFmtId="0" fontId="43" fillId="35" borderId="2" applyNumberFormat="0" applyAlignment="0" applyProtection="0"/>
    <xf numFmtId="0" fontId="43" fillId="35" borderId="2" applyNumberFormat="0" applyAlignment="0" applyProtection="0"/>
    <xf numFmtId="0" fontId="43" fillId="35" borderId="2" applyNumberFormat="0" applyAlignment="0" applyProtection="0"/>
    <xf numFmtId="41" fontId="8" fillId="34" borderId="0">
      <alignment/>
      <protection/>
    </xf>
    <xf numFmtId="41" fontId="8" fillId="34" borderId="0">
      <alignment/>
      <protection/>
    </xf>
    <xf numFmtId="41" fontId="8" fillId="34" borderId="0">
      <alignment/>
      <protection/>
    </xf>
    <xf numFmtId="41" fontId="8" fillId="34" borderId="0">
      <alignment/>
      <protection/>
    </xf>
    <xf numFmtId="41" fontId="8" fillId="34" borderId="0">
      <alignment/>
      <protection/>
    </xf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22" fillId="0" borderId="0" applyFont="0" applyFill="0" applyBorder="0" applyAlignment="0" applyProtection="0"/>
    <xf numFmtId="188" fontId="33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8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182" fontId="8" fillId="0" borderId="0">
      <alignment/>
      <protection/>
    </xf>
    <xf numFmtId="182" fontId="8" fillId="0" borderId="0">
      <alignment/>
      <protection/>
    </xf>
    <xf numFmtId="182" fontId="8" fillId="0" borderId="0">
      <alignment/>
      <protection/>
    </xf>
    <xf numFmtId="182" fontId="8" fillId="0" borderId="0">
      <alignment/>
      <protection/>
    </xf>
    <xf numFmtId="182" fontId="8" fillId="0" borderId="0">
      <alignment/>
      <protection/>
    </xf>
    <xf numFmtId="182" fontId="8" fillId="0" borderId="0">
      <alignment/>
      <protection/>
    </xf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40" fillId="0" borderId="0" applyFill="0" applyBorder="0" applyAlignment="0" applyProtection="0"/>
    <xf numFmtId="0" fontId="23" fillId="0" borderId="0">
      <alignment/>
      <protection/>
    </xf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38" fontId="11" fillId="34" borderId="0" applyNumberFormat="0" applyBorder="0" applyAlignment="0" applyProtection="0"/>
    <xf numFmtId="38" fontId="11" fillId="34" borderId="0" applyNumberFormat="0" applyBorder="0" applyAlignment="0" applyProtection="0"/>
    <xf numFmtId="38" fontId="11" fillId="34" borderId="0" applyNumberFormat="0" applyBorder="0" applyAlignment="0" applyProtection="0"/>
    <xf numFmtId="38" fontId="11" fillId="34" borderId="0" applyNumberFormat="0" applyBorder="0" applyAlignment="0" applyProtection="0"/>
    <xf numFmtId="38" fontId="11" fillId="34" borderId="0" applyNumberFormat="0" applyBorder="0" applyAlignment="0" applyProtection="0"/>
    <xf numFmtId="38" fontId="11" fillId="34" borderId="0" applyNumberFormat="0" applyBorder="0" applyAlignment="0" applyProtection="0"/>
    <xf numFmtId="0" fontId="18" fillId="0" borderId="3" applyNumberFormat="0" applyAlignment="0" applyProtection="0"/>
    <xf numFmtId="0" fontId="18" fillId="0" borderId="3" applyNumberFormat="0" applyAlignment="0" applyProtection="0"/>
    <xf numFmtId="0" fontId="18" fillId="0" borderId="3" applyNumberFormat="0" applyAlignment="0" applyProtection="0"/>
    <xf numFmtId="0" fontId="18" fillId="0" borderId="3" applyNumberFormat="0" applyAlignment="0" applyProtection="0"/>
    <xf numFmtId="0" fontId="18" fillId="0" borderId="4">
      <alignment horizontal="left"/>
      <protection/>
    </xf>
    <xf numFmtId="0" fontId="18" fillId="0" borderId="4">
      <alignment horizontal="left"/>
      <protection/>
    </xf>
    <xf numFmtId="0" fontId="18" fillId="0" borderId="4">
      <alignment horizontal="left"/>
      <protection/>
    </xf>
    <xf numFmtId="0" fontId="18" fillId="0" borderId="4">
      <alignment horizontal="left"/>
      <protection/>
    </xf>
    <xf numFmtId="0" fontId="18" fillId="0" borderId="4">
      <alignment horizontal="left"/>
      <protection/>
    </xf>
    <xf numFmtId="0" fontId="2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65" fillId="0" borderId="8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21" fillId="0" borderId="0">
      <alignment/>
      <protection/>
    </xf>
    <xf numFmtId="38" fontId="21" fillId="0" borderId="0">
      <alignment/>
      <protection/>
    </xf>
    <xf numFmtId="38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0" fontId="66" fillId="0" borderId="0" applyNumberFormat="0" applyFill="0" applyBorder="0" applyAlignment="0" applyProtection="0"/>
    <xf numFmtId="0" fontId="47" fillId="7" borderId="1" applyNumberFormat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10" fontId="11" fillId="33" borderId="9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39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39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41" fontId="17" fillId="39" borderId="10">
      <alignment horizontal="left"/>
      <protection locked="0"/>
    </xf>
    <xf numFmtId="41" fontId="17" fillId="39" borderId="10">
      <alignment horizontal="left"/>
      <protection locked="0"/>
    </xf>
    <xf numFmtId="10" fontId="17" fillId="39" borderId="10">
      <alignment horizontal="right"/>
      <protection locked="0"/>
    </xf>
    <xf numFmtId="10" fontId="17" fillId="39" borderId="10">
      <alignment horizontal="right"/>
      <protection locked="0"/>
    </xf>
    <xf numFmtId="10" fontId="17" fillId="39" borderId="10">
      <alignment horizontal="right"/>
      <protection locked="0"/>
    </xf>
    <xf numFmtId="41" fontId="17" fillId="39" borderId="10">
      <alignment horizontal="left"/>
      <protection locked="0"/>
    </xf>
    <xf numFmtId="0" fontId="11" fillId="34" borderId="0">
      <alignment/>
      <protection/>
    </xf>
    <xf numFmtId="0" fontId="11" fillId="34" borderId="0">
      <alignment/>
      <protection/>
    </xf>
    <xf numFmtId="0" fontId="11" fillId="34" borderId="0">
      <alignment/>
      <protection/>
    </xf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48" fillId="0" borderId="11" applyNumberFormat="0" applyFill="0" applyAlignment="0" applyProtection="0"/>
    <xf numFmtId="0" fontId="52" fillId="0" borderId="12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44" fontId="13" fillId="0" borderId="13" applyNumberFormat="0" applyFont="0" applyAlignment="0">
      <protection/>
    </xf>
    <xf numFmtId="44" fontId="13" fillId="0" borderId="13" applyNumberFormat="0" applyFont="0" applyAlignment="0">
      <protection/>
    </xf>
    <xf numFmtId="44" fontId="13" fillId="0" borderId="13" applyNumberFormat="0" applyFont="0" applyAlignment="0">
      <protection/>
    </xf>
    <xf numFmtId="44" fontId="13" fillId="0" borderId="13" applyNumberFormat="0" applyFont="0" applyAlignment="0">
      <protection/>
    </xf>
    <xf numFmtId="44" fontId="13" fillId="0" borderId="13" applyNumberFormat="0" applyFont="0" applyAlignment="0">
      <protection/>
    </xf>
    <xf numFmtId="44" fontId="13" fillId="0" borderId="13" applyNumberFormat="0" applyFont="0" applyAlignment="0">
      <protection/>
    </xf>
    <xf numFmtId="44" fontId="13" fillId="0" borderId="14" applyNumberFormat="0" applyFont="0" applyAlignment="0">
      <protection/>
    </xf>
    <xf numFmtId="44" fontId="13" fillId="0" borderId="14" applyNumberFormat="0" applyFont="0" applyAlignment="0">
      <protection/>
    </xf>
    <xf numFmtId="44" fontId="13" fillId="0" borderId="14" applyNumberFormat="0" applyFont="0" applyAlignment="0">
      <protection/>
    </xf>
    <xf numFmtId="44" fontId="13" fillId="0" borderId="14" applyNumberFormat="0" applyFont="0" applyAlignment="0">
      <protection/>
    </xf>
    <xf numFmtId="44" fontId="13" fillId="0" borderId="14" applyNumberFormat="0" applyFont="0" applyAlignment="0">
      <protection/>
    </xf>
    <xf numFmtId="44" fontId="13" fillId="0" borderId="14" applyNumberFormat="0" applyFont="0" applyAlignment="0">
      <protection/>
    </xf>
    <xf numFmtId="0" fontId="49" fillId="39" borderId="0" applyNumberFormat="0" applyBorder="0" applyAlignment="0" applyProtection="0"/>
    <xf numFmtId="0" fontId="6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37" fontId="27" fillId="0" borderId="0">
      <alignment/>
      <protection/>
    </xf>
    <xf numFmtId="37" fontId="27" fillId="0" borderId="0">
      <alignment/>
      <protection/>
    </xf>
    <xf numFmtId="37" fontId="27" fillId="0" borderId="0">
      <alignment/>
      <protection/>
    </xf>
    <xf numFmtId="181" fontId="0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56" fillId="0" borderId="0">
      <alignment/>
      <protection/>
    </xf>
    <xf numFmtId="179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8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2" fontId="0" fillId="0" borderId="0">
      <alignment horizontal="left" wrapText="1"/>
      <protection/>
    </xf>
    <xf numFmtId="192" fontId="0" fillId="0" borderId="0">
      <alignment horizontal="left" wrapText="1"/>
      <protection/>
    </xf>
    <xf numFmtId="192" fontId="0" fillId="0" borderId="0">
      <alignment horizontal="left" wrapText="1"/>
      <protection/>
    </xf>
    <xf numFmtId="192" fontId="0" fillId="0" borderId="0">
      <alignment horizontal="left" wrapText="1"/>
      <protection/>
    </xf>
    <xf numFmtId="192" fontId="0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5" fontId="8" fillId="0" borderId="0">
      <alignment horizontal="left" wrapText="1"/>
      <protection/>
    </xf>
    <xf numFmtId="165" fontId="8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8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8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1" fillId="40" borderId="15" applyNumberFormat="0" applyFont="0" applyAlignment="0" applyProtection="0"/>
    <xf numFmtId="0" fontId="50" fillId="34" borderId="16" applyNumberFormat="0" applyAlignment="0" applyProtection="0"/>
    <xf numFmtId="0" fontId="50" fillId="33" borderId="16" applyNumberFormat="0" applyAlignment="0" applyProtection="0"/>
    <xf numFmtId="0" fontId="50" fillId="34" borderId="16" applyNumberFormat="0" applyAlignment="0" applyProtection="0"/>
    <xf numFmtId="0" fontId="50" fillId="34" borderId="16" applyNumberFormat="0" applyAlignment="0" applyProtection="0"/>
    <xf numFmtId="0" fontId="50" fillId="34" borderId="16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41" borderId="10">
      <alignment/>
      <protection/>
    </xf>
    <xf numFmtId="41" fontId="8" fillId="41" borderId="10">
      <alignment/>
      <protection/>
    </xf>
    <xf numFmtId="41" fontId="8" fillId="41" borderId="10">
      <alignment/>
      <protection/>
    </xf>
    <xf numFmtId="41" fontId="8" fillId="41" borderId="10">
      <alignment/>
      <protection/>
    </xf>
    <xf numFmtId="41" fontId="8" fillId="41" borderId="1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7">
      <alignment horizontal="center"/>
      <protection/>
    </xf>
    <xf numFmtId="0" fontId="29" fillId="0" borderId="17">
      <alignment horizontal="center"/>
      <protection/>
    </xf>
    <xf numFmtId="0" fontId="29" fillId="0" borderId="17">
      <alignment horizontal="center"/>
      <protection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35" fillId="0" borderId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3" fontId="35" fillId="0" borderId="0" applyFill="0" applyBorder="0" applyAlignment="0" applyProtection="0"/>
    <xf numFmtId="3" fontId="35" fillId="0" borderId="0" applyFill="0" applyBorder="0" applyAlignment="0" applyProtection="0"/>
    <xf numFmtId="42" fontId="8" fillId="33" borderId="0">
      <alignment/>
      <protection/>
    </xf>
    <xf numFmtId="0" fontId="75" fillId="43" borderId="0">
      <alignment/>
      <protection/>
    </xf>
    <xf numFmtId="0" fontId="77" fillId="43" borderId="18">
      <alignment/>
      <protection/>
    </xf>
    <xf numFmtId="0" fontId="78" fillId="44" borderId="19">
      <alignment/>
      <protection/>
    </xf>
    <xf numFmtId="0" fontId="79" fillId="43" borderId="20">
      <alignment/>
      <protection/>
    </xf>
    <xf numFmtId="42" fontId="8" fillId="33" borderId="0">
      <alignment/>
      <protection/>
    </xf>
    <xf numFmtId="42" fontId="8" fillId="33" borderId="0">
      <alignment/>
      <protection/>
    </xf>
    <xf numFmtId="42" fontId="8" fillId="33" borderId="0">
      <alignment/>
      <protection/>
    </xf>
    <xf numFmtId="42" fontId="8" fillId="33" borderId="0">
      <alignment/>
      <protection/>
    </xf>
    <xf numFmtId="42" fontId="8" fillId="33" borderId="21">
      <alignment vertical="center"/>
      <protection/>
    </xf>
    <xf numFmtId="42" fontId="8" fillId="33" borderId="21">
      <alignment vertical="center"/>
      <protection/>
    </xf>
    <xf numFmtId="42" fontId="8" fillId="33" borderId="21">
      <alignment vertical="center"/>
      <protection/>
    </xf>
    <xf numFmtId="42" fontId="8" fillId="33" borderId="21">
      <alignment vertical="center"/>
      <protection/>
    </xf>
    <xf numFmtId="42" fontId="8" fillId="33" borderId="21">
      <alignment vertical="center"/>
      <protection/>
    </xf>
    <xf numFmtId="42" fontId="8" fillId="33" borderId="21">
      <alignment vertical="center"/>
      <protection/>
    </xf>
    <xf numFmtId="0" fontId="13" fillId="33" borderId="22" applyNumberFormat="0">
      <alignment horizontal="center" vertical="center" wrapText="1"/>
      <protection/>
    </xf>
    <xf numFmtId="0" fontId="13" fillId="33" borderId="22" applyNumberFormat="0">
      <alignment horizontal="center" vertical="center" wrapText="1"/>
      <protection/>
    </xf>
    <xf numFmtId="0" fontId="13" fillId="33" borderId="22" applyNumberFormat="0">
      <alignment horizontal="center" vertical="center" wrapText="1"/>
      <protection/>
    </xf>
    <xf numFmtId="10" fontId="8" fillId="33" borderId="0">
      <alignment/>
      <protection/>
    </xf>
    <xf numFmtId="10" fontId="8" fillId="33" borderId="0">
      <alignment/>
      <protection/>
    </xf>
    <xf numFmtId="10" fontId="8" fillId="33" borderId="0">
      <alignment/>
      <protection/>
    </xf>
    <xf numFmtId="10" fontId="8" fillId="33" borderId="0">
      <alignment/>
      <protection/>
    </xf>
    <xf numFmtId="10" fontId="8" fillId="33" borderId="0">
      <alignment/>
      <protection/>
    </xf>
    <xf numFmtId="10" fontId="8" fillId="33" borderId="0">
      <alignment/>
      <protection/>
    </xf>
    <xf numFmtId="189" fontId="8" fillId="33" borderId="0">
      <alignment/>
      <protection/>
    </xf>
    <xf numFmtId="189" fontId="8" fillId="33" borderId="0">
      <alignment/>
      <protection/>
    </xf>
    <xf numFmtId="189" fontId="8" fillId="33" borderId="0">
      <alignment/>
      <protection/>
    </xf>
    <xf numFmtId="189" fontId="8" fillId="33" borderId="0">
      <alignment/>
      <protection/>
    </xf>
    <xf numFmtId="189" fontId="8" fillId="33" borderId="0">
      <alignment/>
      <protection/>
    </xf>
    <xf numFmtId="189" fontId="8" fillId="33" borderId="0">
      <alignment/>
      <protection/>
    </xf>
    <xf numFmtId="42" fontId="8" fillId="33" borderId="0">
      <alignment/>
      <protection/>
    </xf>
    <xf numFmtId="173" fontId="21" fillId="0" borderId="0" applyBorder="0" applyAlignment="0">
      <protection/>
    </xf>
    <xf numFmtId="173" fontId="21" fillId="0" borderId="0" applyBorder="0" applyAlignment="0">
      <protection/>
    </xf>
    <xf numFmtId="42" fontId="8" fillId="33" borderId="23">
      <alignment horizontal="left"/>
      <protection/>
    </xf>
    <xf numFmtId="42" fontId="8" fillId="33" borderId="23">
      <alignment horizontal="left"/>
      <protection/>
    </xf>
    <xf numFmtId="42" fontId="8" fillId="33" borderId="23">
      <alignment horizontal="left"/>
      <protection/>
    </xf>
    <xf numFmtId="42" fontId="8" fillId="33" borderId="23">
      <alignment horizontal="left"/>
      <protection/>
    </xf>
    <xf numFmtId="42" fontId="8" fillId="33" borderId="23">
      <alignment horizontal="left"/>
      <protection/>
    </xf>
    <xf numFmtId="42" fontId="8" fillId="33" borderId="23">
      <alignment horizontal="left"/>
      <protection/>
    </xf>
    <xf numFmtId="189" fontId="12" fillId="33" borderId="23">
      <alignment horizontal="left"/>
      <protection/>
    </xf>
    <xf numFmtId="189" fontId="12" fillId="33" borderId="23">
      <alignment horizontal="left"/>
      <protection/>
    </xf>
    <xf numFmtId="173" fontId="21" fillId="0" borderId="0" applyBorder="0" applyAlignment="0">
      <protection/>
    </xf>
    <xf numFmtId="14" fontId="0" fillId="0" borderId="0" applyNumberFormat="0" applyFill="0" applyBorder="0" applyAlignment="0" applyProtection="0"/>
    <xf numFmtId="183" fontId="8" fillId="0" borderId="0" applyFont="0" applyFill="0" applyAlignment="0">
      <protection/>
    </xf>
    <xf numFmtId="183" fontId="8" fillId="0" borderId="0" applyFont="0" applyFill="0" applyAlignment="0">
      <protection/>
    </xf>
    <xf numFmtId="183" fontId="8" fillId="0" borderId="0" applyFont="0" applyFill="0" applyAlignment="0">
      <protection/>
    </xf>
    <xf numFmtId="183" fontId="8" fillId="0" borderId="0" applyFont="0" applyFill="0" applyAlignment="0">
      <protection/>
    </xf>
    <xf numFmtId="183" fontId="8" fillId="0" borderId="0" applyFont="0" applyFill="0" applyAlignment="0">
      <protection/>
    </xf>
    <xf numFmtId="4" fontId="20" fillId="39" borderId="16" applyNumberFormat="0" applyProtection="0">
      <alignment vertical="center"/>
    </xf>
    <xf numFmtId="4" fontId="20" fillId="39" borderId="16" applyNumberFormat="0" applyProtection="0">
      <alignment vertical="center"/>
    </xf>
    <xf numFmtId="4" fontId="59" fillId="39" borderId="16" applyNumberFormat="0" applyProtection="0">
      <alignment vertical="center"/>
    </xf>
    <xf numFmtId="4" fontId="59" fillId="39" borderId="16" applyNumberFormat="0" applyProtection="0">
      <alignment vertical="center"/>
    </xf>
    <xf numFmtId="4" fontId="20" fillId="39" borderId="16" applyNumberFormat="0" applyProtection="0">
      <alignment horizontal="left" vertical="center" indent="1"/>
    </xf>
    <xf numFmtId="4" fontId="20" fillId="39" borderId="16" applyNumberFormat="0" applyProtection="0">
      <alignment horizontal="left" vertical="center" indent="1"/>
    </xf>
    <xf numFmtId="4" fontId="20" fillId="39" borderId="16" applyNumberFormat="0" applyProtection="0">
      <alignment horizontal="left" vertical="center" indent="1"/>
    </xf>
    <xf numFmtId="4" fontId="20" fillId="39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4" fontId="20" fillId="3" borderId="16" applyNumberFormat="0" applyProtection="0">
      <alignment horizontal="right" vertical="center"/>
    </xf>
    <xf numFmtId="4" fontId="20" fillId="3" borderId="16" applyNumberFormat="0" applyProtection="0">
      <alignment horizontal="right" vertical="center"/>
    </xf>
    <xf numFmtId="4" fontId="20" fillId="9" borderId="16" applyNumberFormat="0" applyProtection="0">
      <alignment horizontal="right" vertical="center"/>
    </xf>
    <xf numFmtId="4" fontId="20" fillId="9" borderId="16" applyNumberFormat="0" applyProtection="0">
      <alignment horizontal="right" vertical="center"/>
    </xf>
    <xf numFmtId="4" fontId="20" fillId="22" borderId="16" applyNumberFormat="0" applyProtection="0">
      <alignment horizontal="right" vertical="center"/>
    </xf>
    <xf numFmtId="4" fontId="20" fillId="22" borderId="16" applyNumberFormat="0" applyProtection="0">
      <alignment horizontal="right" vertical="center"/>
    </xf>
    <xf numFmtId="4" fontId="20" fillId="11" borderId="16" applyNumberFormat="0" applyProtection="0">
      <alignment horizontal="right" vertical="center"/>
    </xf>
    <xf numFmtId="4" fontId="20" fillId="11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4" fontId="20" fillId="13" borderId="16" applyNumberFormat="0" applyProtection="0">
      <alignment horizontal="right" vertical="center"/>
    </xf>
    <xf numFmtId="4" fontId="20" fillId="13" borderId="16" applyNumberFormat="0" applyProtection="0">
      <alignment horizontal="right" vertical="center"/>
    </xf>
    <xf numFmtId="4" fontId="20" fillId="26" borderId="16" applyNumberFormat="0" applyProtection="0">
      <alignment horizontal="right" vertical="center"/>
    </xf>
    <xf numFmtId="4" fontId="20" fillId="26" borderId="16" applyNumberFormat="0" applyProtection="0">
      <alignment horizontal="right" vertical="center"/>
    </xf>
    <xf numFmtId="4" fontId="20" fillId="45" borderId="16" applyNumberFormat="0" applyProtection="0">
      <alignment horizontal="right" vertical="center"/>
    </xf>
    <xf numFmtId="4" fontId="20" fillId="45" borderId="16" applyNumberFormat="0" applyProtection="0">
      <alignment horizontal="right" vertical="center"/>
    </xf>
    <xf numFmtId="4" fontId="20" fillId="10" borderId="16" applyNumberFormat="0" applyProtection="0">
      <alignment horizontal="right" vertical="center"/>
    </xf>
    <xf numFmtId="4" fontId="20" fillId="10" borderId="16" applyNumberFormat="0" applyProtection="0">
      <alignment horizontal="right" vertical="center"/>
    </xf>
    <xf numFmtId="4" fontId="19" fillId="46" borderId="16" applyNumberFormat="0" applyProtection="0">
      <alignment horizontal="left" vertical="center" indent="1"/>
    </xf>
    <xf numFmtId="4" fontId="19" fillId="46" borderId="16" applyNumberFormat="0" applyProtection="0">
      <alignment horizontal="left" vertical="center" indent="1"/>
    </xf>
    <xf numFmtId="4" fontId="20" fillId="47" borderId="24" applyNumberFormat="0" applyProtection="0">
      <alignment horizontal="left" vertical="center" indent="1"/>
    </xf>
    <xf numFmtId="4" fontId="20" fillId="47" borderId="24" applyNumberFormat="0" applyProtection="0">
      <alignment horizontal="left" vertical="center" indent="1"/>
    </xf>
    <xf numFmtId="4" fontId="60" fillId="30" borderId="0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4" fontId="20" fillId="47" borderId="16" applyNumberFormat="0" applyProtection="0">
      <alignment horizontal="left" vertical="center" indent="1"/>
    </xf>
    <xf numFmtId="4" fontId="20" fillId="47" borderId="16" applyNumberFormat="0" applyProtection="0">
      <alignment horizontal="left" vertical="center" indent="1"/>
    </xf>
    <xf numFmtId="4" fontId="20" fillId="48" borderId="16" applyNumberFormat="0" applyProtection="0">
      <alignment horizontal="left" vertical="center" indent="1"/>
    </xf>
    <xf numFmtId="4" fontId="20" fillId="48" borderId="16" applyNumberFormat="0" applyProtection="0">
      <alignment horizontal="left" vertical="center" indent="1"/>
    </xf>
    <xf numFmtId="0" fontId="8" fillId="48" borderId="16" applyNumberFormat="0" applyProtection="0">
      <alignment horizontal="left" vertical="center" indent="1"/>
    </xf>
    <xf numFmtId="0" fontId="8" fillId="48" borderId="16" applyNumberFormat="0" applyProtection="0">
      <alignment horizontal="left" vertical="center" indent="1"/>
    </xf>
    <xf numFmtId="0" fontId="8" fillId="48" borderId="16" applyNumberFormat="0" applyProtection="0">
      <alignment horizontal="left" vertical="center" indent="1"/>
    </xf>
    <xf numFmtId="0" fontId="8" fillId="48" borderId="16" applyNumberFormat="0" applyProtection="0">
      <alignment horizontal="left" vertical="center" indent="1"/>
    </xf>
    <xf numFmtId="0" fontId="8" fillId="35" borderId="16" applyNumberFormat="0" applyProtection="0">
      <alignment horizontal="left" vertical="center" indent="1"/>
    </xf>
    <xf numFmtId="0" fontId="8" fillId="35" borderId="16" applyNumberFormat="0" applyProtection="0">
      <alignment horizontal="left" vertical="center" indent="1"/>
    </xf>
    <xf numFmtId="0" fontId="8" fillId="35" borderId="16" applyNumberFormat="0" applyProtection="0">
      <alignment horizontal="left" vertical="center" indent="1"/>
    </xf>
    <xf numFmtId="0" fontId="8" fillId="35" borderId="16" applyNumberFormat="0" applyProtection="0">
      <alignment horizontal="left" vertical="center" indent="1"/>
    </xf>
    <xf numFmtId="0" fontId="8" fillId="34" borderId="16" applyNumberFormat="0" applyProtection="0">
      <alignment horizontal="left" vertical="center" indent="1"/>
    </xf>
    <xf numFmtId="0" fontId="8" fillId="34" borderId="16" applyNumberFormat="0" applyProtection="0">
      <alignment horizontal="left" vertical="center" indent="1"/>
    </xf>
    <xf numFmtId="0" fontId="8" fillId="34" borderId="16" applyNumberFormat="0" applyProtection="0">
      <alignment horizontal="left" vertical="center" indent="1"/>
    </xf>
    <xf numFmtId="0" fontId="8" fillId="34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33" borderId="9" applyNumberFormat="0">
      <alignment/>
      <protection locked="0"/>
    </xf>
    <xf numFmtId="0" fontId="8" fillId="33" borderId="9" applyNumberFormat="0">
      <alignment/>
      <protection locked="0"/>
    </xf>
    <xf numFmtId="4" fontId="20" fillId="40" borderId="16" applyNumberFormat="0" applyProtection="0">
      <alignment vertical="center"/>
    </xf>
    <xf numFmtId="4" fontId="20" fillId="40" borderId="16" applyNumberFormat="0" applyProtection="0">
      <alignment vertical="center"/>
    </xf>
    <xf numFmtId="4" fontId="59" fillId="40" borderId="16" applyNumberFormat="0" applyProtection="0">
      <alignment vertical="center"/>
    </xf>
    <xf numFmtId="4" fontId="59" fillId="40" borderId="16" applyNumberFormat="0" applyProtection="0">
      <alignment vertical="center"/>
    </xf>
    <xf numFmtId="4" fontId="20" fillId="40" borderId="16" applyNumberFormat="0" applyProtection="0">
      <alignment horizontal="left" vertical="center" indent="1"/>
    </xf>
    <xf numFmtId="4" fontId="20" fillId="40" borderId="16" applyNumberFormat="0" applyProtection="0">
      <alignment horizontal="left" vertical="center" indent="1"/>
    </xf>
    <xf numFmtId="4" fontId="20" fillId="40" borderId="16" applyNumberFormat="0" applyProtection="0">
      <alignment horizontal="left" vertical="center" indent="1"/>
    </xf>
    <xf numFmtId="4" fontId="20" fillId="40" borderId="16" applyNumberFormat="0" applyProtection="0">
      <alignment horizontal="left" vertical="center" indent="1"/>
    </xf>
    <xf numFmtId="4" fontId="20" fillId="47" borderId="16" applyNumberFormat="0" applyProtection="0">
      <alignment horizontal="right" vertical="center"/>
    </xf>
    <xf numFmtId="4" fontId="20" fillId="47" borderId="16" applyNumberFormat="0" applyProtection="0">
      <alignment horizontal="right" vertical="center"/>
    </xf>
    <xf numFmtId="4" fontId="20" fillId="47" borderId="16" applyNumberFormat="0" applyProtection="0">
      <alignment horizontal="right" vertical="center"/>
    </xf>
    <xf numFmtId="4" fontId="59" fillId="47" borderId="16" applyNumberFormat="0" applyProtection="0">
      <alignment horizontal="right" vertical="center"/>
    </xf>
    <xf numFmtId="4" fontId="59" fillId="47" borderId="16" applyNumberFormat="0" applyProtection="0">
      <alignment horizontal="right" vertical="center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8" fillId="2" borderId="16" applyNumberFormat="0" applyProtection="0">
      <alignment horizontal="left" vertical="center" indent="1"/>
    </xf>
    <xf numFmtId="0" fontId="61" fillId="0" borderId="0">
      <alignment/>
      <protection/>
    </xf>
    <xf numFmtId="4" fontId="58" fillId="47" borderId="16" applyNumberFormat="0" applyProtection="0">
      <alignment horizontal="right" vertical="center"/>
    </xf>
    <xf numFmtId="4" fontId="58" fillId="47" borderId="16" applyNumberFormat="0" applyProtection="0">
      <alignment horizontal="right" vertical="center"/>
    </xf>
    <xf numFmtId="39" fontId="8" fillId="49" borderId="0">
      <alignment/>
      <protection/>
    </xf>
    <xf numFmtId="39" fontId="8" fillId="49" borderId="0">
      <alignment/>
      <protection/>
    </xf>
    <xf numFmtId="39" fontId="8" fillId="49" borderId="0">
      <alignment/>
      <protection/>
    </xf>
    <xf numFmtId="39" fontId="8" fillId="49" borderId="0">
      <alignment/>
      <protection/>
    </xf>
    <xf numFmtId="39" fontId="8" fillId="49" borderId="0">
      <alignment/>
      <protection/>
    </xf>
    <xf numFmtId="39" fontId="8" fillId="49" borderId="0">
      <alignment/>
      <protection/>
    </xf>
    <xf numFmtId="0" fontId="62" fillId="0" borderId="0" applyNumberFormat="0" applyFill="0" applyBorder="0" applyAlignment="0" applyProtection="0"/>
    <xf numFmtId="38" fontId="11" fillId="0" borderId="25">
      <alignment/>
      <protection/>
    </xf>
    <xf numFmtId="38" fontId="11" fillId="0" borderId="25">
      <alignment/>
      <protection/>
    </xf>
    <xf numFmtId="38" fontId="11" fillId="0" borderId="25">
      <alignment/>
      <protection/>
    </xf>
    <xf numFmtId="38" fontId="11" fillId="0" borderId="25">
      <alignment/>
      <protection/>
    </xf>
    <xf numFmtId="38" fontId="11" fillId="0" borderId="25">
      <alignment/>
      <protection/>
    </xf>
    <xf numFmtId="38" fontId="11" fillId="0" borderId="25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9" fontId="0" fillId="50" borderId="0">
      <alignment/>
      <protection/>
    </xf>
    <xf numFmtId="167" fontId="8" fillId="0" borderId="0">
      <alignment horizontal="left" wrapText="1"/>
      <protection/>
    </xf>
    <xf numFmtId="182" fontId="8" fillId="0" borderId="0">
      <alignment horizontal="left" wrapText="1"/>
      <protection/>
    </xf>
    <xf numFmtId="179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66" fontId="8" fillId="0" borderId="0">
      <alignment horizontal="left" wrapText="1"/>
      <protection/>
    </xf>
    <xf numFmtId="182" fontId="8" fillId="0" borderId="0">
      <alignment horizontal="left" wrapText="1"/>
      <protection/>
    </xf>
    <xf numFmtId="182" fontId="8" fillId="0" borderId="0">
      <alignment horizontal="left" wrapText="1"/>
      <protection/>
    </xf>
    <xf numFmtId="180" fontId="8" fillId="0" borderId="0">
      <alignment horizontal="left" wrapText="1"/>
      <protection/>
    </xf>
    <xf numFmtId="180" fontId="8" fillId="0" borderId="0">
      <alignment horizontal="left" wrapText="1"/>
      <protection/>
    </xf>
    <xf numFmtId="0" fontId="8" fillId="0" borderId="0">
      <alignment horizontal="left" wrapText="1"/>
      <protection/>
    </xf>
    <xf numFmtId="185" fontId="8" fillId="0" borderId="0">
      <alignment horizontal="left" wrapText="1"/>
      <protection/>
    </xf>
    <xf numFmtId="185" fontId="8" fillId="0" borderId="0">
      <alignment horizontal="left" wrapText="1"/>
      <protection/>
    </xf>
    <xf numFmtId="185" fontId="8" fillId="0" borderId="0">
      <alignment horizontal="left" wrapText="1"/>
      <protection/>
    </xf>
    <xf numFmtId="166" fontId="8" fillId="0" borderId="0">
      <alignment horizontal="left" wrapText="1"/>
      <protection/>
    </xf>
    <xf numFmtId="167" fontId="8" fillId="0" borderId="0">
      <alignment horizontal="left" wrapText="1"/>
      <protection/>
    </xf>
    <xf numFmtId="195" fontId="8" fillId="0" borderId="0">
      <alignment horizontal="left" wrapText="1"/>
      <protection/>
    </xf>
    <xf numFmtId="40" fontId="30" fillId="0" borderId="0" applyBorder="0">
      <alignment horizontal="right"/>
      <protection/>
    </xf>
    <xf numFmtId="41" fontId="14" fillId="33" borderId="0">
      <alignment horizontal="left"/>
      <protection/>
    </xf>
    <xf numFmtId="0" fontId="8" fillId="0" borderId="0" applyNumberFormat="0" applyBorder="0" applyAlignment="0">
      <protection/>
    </xf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0">
      <alignment/>
      <protection/>
    </xf>
    <xf numFmtId="0" fontId="77" fillId="43" borderId="0">
      <alignment/>
      <protection/>
    </xf>
    <xf numFmtId="190" fontId="37" fillId="33" borderId="0">
      <alignment horizontal="left" vertical="center"/>
      <protection/>
    </xf>
    <xf numFmtId="0" fontId="13" fillId="33" borderId="0">
      <alignment horizontal="left" wrapText="1"/>
      <protection/>
    </xf>
    <xf numFmtId="0" fontId="13" fillId="33" borderId="0">
      <alignment horizontal="left" wrapText="1"/>
      <protection/>
    </xf>
    <xf numFmtId="0" fontId="13" fillId="33" borderId="0">
      <alignment horizontal="left" wrapText="1"/>
      <protection/>
    </xf>
    <xf numFmtId="0" fontId="31" fillId="0" borderId="0">
      <alignment horizontal="left" vertical="center"/>
      <protection/>
    </xf>
    <xf numFmtId="0" fontId="22" fillId="0" borderId="26" applyNumberFormat="0" applyFon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22" fillId="0" borderId="26" applyNumberFormat="0" applyFont="0" applyFill="0" applyAlignment="0" applyProtection="0"/>
    <xf numFmtId="0" fontId="22" fillId="0" borderId="26" applyNumberFormat="0" applyFont="0" applyFill="0" applyAlignment="0" applyProtection="0"/>
    <xf numFmtId="0" fontId="32" fillId="0" borderId="28">
      <alignment/>
      <protection/>
    </xf>
    <xf numFmtId="0" fontId="32" fillId="0" borderId="28">
      <alignment/>
      <protection/>
    </xf>
    <xf numFmtId="0" fontId="32" fillId="0" borderId="28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38"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right"/>
    </xf>
    <xf numFmtId="41" fontId="4" fillId="0" borderId="0" xfId="2528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41" fontId="4" fillId="0" borderId="22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fill"/>
    </xf>
    <xf numFmtId="2" fontId="5" fillId="0" borderId="0" xfId="0" applyNumberFormat="1" applyFont="1" applyFill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5" fontId="5" fillId="0" borderId="0" xfId="0" applyNumberFormat="1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 applyProtection="1">
      <alignment horizontal="center"/>
      <protection locked="0"/>
    </xf>
    <xf numFmtId="42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 quotePrefix="1">
      <alignment horizontal="centerContinuous"/>
    </xf>
    <xf numFmtId="18" fontId="5" fillId="0" borderId="0" xfId="0" applyNumberFormat="1" applyFont="1" applyFill="1" applyAlignment="1" quotePrefix="1">
      <alignment horizontal="centerContinuous"/>
    </xf>
    <xf numFmtId="41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fill"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>
      <alignment horizontal="centerContinuous"/>
    </xf>
    <xf numFmtId="0" fontId="4" fillId="0" borderId="22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9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 quotePrefix="1">
      <alignment horizontal="left"/>
    </xf>
    <xf numFmtId="1" fontId="4" fillId="0" borderId="0" xfId="0" applyNumberFormat="1" applyFont="1" applyFill="1" applyAlignment="1" quotePrefix="1">
      <alignment horizontal="left"/>
    </xf>
    <xf numFmtId="42" fontId="4" fillId="0" borderId="0" xfId="0" applyNumberFormat="1" applyFont="1" applyFill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170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0" fontId="4" fillId="0" borderId="0" xfId="0" applyNumberFormat="1" applyFont="1" applyFill="1" applyAlignment="1" applyProtection="1">
      <alignment horizontal="left"/>
      <protection locked="0"/>
    </xf>
    <xf numFmtId="42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70" fontId="5" fillId="0" borderId="0" xfId="0" applyNumberFormat="1" applyFont="1" applyFill="1" applyAlignment="1">
      <alignment horizontal="centerContinuous"/>
    </xf>
    <xf numFmtId="170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 applyProtection="1" quotePrefix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center" wrapText="1"/>
      <protection locked="0"/>
    </xf>
    <xf numFmtId="0" fontId="5" fillId="0" borderId="0" xfId="0" applyNumberFormat="1" applyFont="1" applyFill="1" applyAlignment="1" quotePrefix="1">
      <alignment horizontal="center"/>
    </xf>
    <xf numFmtId="9" fontId="5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17" fontId="4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Alignment="1" applyProtection="1">
      <alignment horizontal="right"/>
      <protection locked="0"/>
    </xf>
    <xf numFmtId="3" fontId="4" fillId="0" borderId="0" xfId="2528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22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/>
    </xf>
    <xf numFmtId="3" fontId="5" fillId="0" borderId="0" xfId="2528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fill"/>
    </xf>
    <xf numFmtId="3" fontId="5" fillId="0" borderId="0" xfId="0" applyNumberFormat="1" applyFont="1" applyFill="1" applyAlignment="1">
      <alignment horizontal="center"/>
    </xf>
    <xf numFmtId="3" fontId="5" fillId="0" borderId="22" xfId="2528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fill"/>
    </xf>
    <xf numFmtId="178" fontId="4" fillId="0" borderId="22" xfId="2606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22" xfId="2528" applyNumberFormat="1" applyFont="1" applyFill="1" applyBorder="1" applyAlignment="1" applyProtection="1">
      <alignment/>
      <protection locked="0"/>
    </xf>
    <xf numFmtId="9" fontId="4" fillId="0" borderId="0" xfId="2956" applyFont="1" applyFill="1" applyAlignment="1">
      <alignment horizontal="center"/>
    </xf>
    <xf numFmtId="17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Border="1" applyAlignment="1" applyProtection="1">
      <alignment/>
      <protection locked="0"/>
    </xf>
    <xf numFmtId="9" fontId="4" fillId="0" borderId="0" xfId="2956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 applyProtection="1">
      <alignment horizontal="left"/>
      <protection/>
    </xf>
    <xf numFmtId="42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/>
    </xf>
    <xf numFmtId="3" fontId="4" fillId="0" borderId="0" xfId="2528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15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7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3" fontId="5" fillId="0" borderId="0" xfId="2528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42" fontId="4" fillId="0" borderId="0" xfId="2606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2" fontId="4" fillId="0" borderId="0" xfId="0" applyNumberFormat="1" applyFont="1" applyFill="1" applyAlignment="1">
      <alignment/>
    </xf>
    <xf numFmtId="170" fontId="4" fillId="0" borderId="0" xfId="0" applyNumberFormat="1" applyFont="1" applyFill="1" applyBorder="1" applyAlignment="1">
      <alignment/>
    </xf>
    <xf numFmtId="42" fontId="4" fillId="0" borderId="0" xfId="2528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2" fontId="4" fillId="0" borderId="0" xfId="2606" applyNumberFormat="1" applyFont="1" applyFill="1" applyBorder="1" applyAlignment="1">
      <alignment/>
    </xf>
    <xf numFmtId="42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37" fontId="4" fillId="0" borderId="0" xfId="2528" applyNumberFormat="1" applyFont="1" applyFill="1" applyAlignment="1">
      <alignment/>
    </xf>
    <xf numFmtId="41" fontId="4" fillId="0" borderId="22" xfId="2528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7" fontId="4" fillId="0" borderId="0" xfId="0" applyNumberFormat="1" applyFont="1" applyFill="1" applyAlignment="1">
      <alignment/>
    </xf>
    <xf numFmtId="173" fontId="4" fillId="0" borderId="0" xfId="2528" applyNumberFormat="1" applyFont="1" applyFill="1" applyBorder="1" applyAlignment="1">
      <alignment/>
    </xf>
    <xf numFmtId="173" fontId="4" fillId="0" borderId="0" xfId="2528" applyNumberFormat="1" applyFont="1" applyFill="1" applyAlignment="1">
      <alignment/>
    </xf>
    <xf numFmtId="41" fontId="4" fillId="0" borderId="22" xfId="0" applyNumberFormat="1" applyFont="1" applyFill="1" applyBorder="1" applyAlignment="1">
      <alignment/>
    </xf>
    <xf numFmtId="42" fontId="4" fillId="0" borderId="23" xfId="2606" applyNumberFormat="1" applyFont="1" applyFill="1" applyBorder="1" applyAlignment="1" applyProtection="1">
      <alignment/>
      <protection locked="0"/>
    </xf>
    <xf numFmtId="41" fontId="4" fillId="0" borderId="0" xfId="2528" applyNumberFormat="1" applyFont="1" applyFill="1" applyAlignment="1">
      <alignment/>
    </xf>
    <xf numFmtId="41" fontId="4" fillId="0" borderId="0" xfId="2528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2" fontId="4" fillId="0" borderId="23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9" fontId="4" fillId="0" borderId="0" xfId="2956" applyFont="1" applyFill="1" applyAlignment="1">
      <alignment/>
    </xf>
    <xf numFmtId="1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22" xfId="2528" applyNumberFormat="1" applyFont="1" applyFill="1" applyBorder="1" applyAlignment="1" applyProtection="1">
      <alignment/>
      <protection locked="0"/>
    </xf>
    <xf numFmtId="173" fontId="4" fillId="0" borderId="22" xfId="2528" applyNumberFormat="1" applyFont="1" applyFill="1" applyBorder="1" applyAlignment="1">
      <alignment/>
    </xf>
    <xf numFmtId="37" fontId="4" fillId="0" borderId="0" xfId="2528" applyNumberFormat="1" applyFont="1" applyFill="1" applyBorder="1" applyAlignment="1">
      <alignment/>
    </xf>
    <xf numFmtId="4" fontId="4" fillId="0" borderId="0" xfId="2528" applyFont="1" applyFill="1" applyAlignment="1">
      <alignment/>
    </xf>
    <xf numFmtId="174" fontId="4" fillId="0" borderId="0" xfId="0" applyNumberFormat="1" applyFont="1" applyFill="1" applyAlignment="1">
      <alignment/>
    </xf>
    <xf numFmtId="3" fontId="10" fillId="0" borderId="0" xfId="2528" applyNumberFormat="1" applyFont="1" applyFill="1" applyAlignment="1">
      <alignment/>
    </xf>
    <xf numFmtId="3" fontId="4" fillId="0" borderId="0" xfId="2528" applyNumberFormat="1" applyFont="1" applyFill="1" applyBorder="1" applyAlignment="1">
      <alignment/>
    </xf>
    <xf numFmtId="0" fontId="4" fillId="0" borderId="0" xfId="2908" applyFont="1" applyFill="1" applyAlignment="1">
      <alignment/>
      <protection/>
    </xf>
    <xf numFmtId="37" fontId="4" fillId="0" borderId="0" xfId="2908" applyNumberFormat="1" applyFont="1" applyFill="1" applyAlignment="1">
      <alignment/>
      <protection/>
    </xf>
    <xf numFmtId="41" fontId="4" fillId="0" borderId="23" xfId="2528" applyNumberFormat="1" applyFont="1" applyFill="1" applyBorder="1" applyAlignment="1">
      <alignment/>
    </xf>
    <xf numFmtId="42" fontId="0" fillId="0" borderId="0" xfId="0" applyNumberFormat="1" applyAlignment="1">
      <alignment/>
    </xf>
    <xf numFmtId="17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left"/>
    </xf>
    <xf numFmtId="44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2" fontId="5" fillId="0" borderId="0" xfId="0" applyNumberFormat="1" applyFont="1" applyFill="1" applyBorder="1" applyAlignment="1">
      <alignment/>
    </xf>
    <xf numFmtId="6" fontId="4" fillId="0" borderId="0" xfId="2606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>
      <alignment horizontal="centerContinuous" vertical="center"/>
    </xf>
    <xf numFmtId="9" fontId="4" fillId="0" borderId="0" xfId="0" applyNumberFormat="1" applyFont="1" applyFill="1" applyBorder="1" applyAlignment="1">
      <alignment/>
    </xf>
    <xf numFmtId="42" fontId="4" fillId="0" borderId="0" xfId="2528" applyNumberFormat="1" applyFont="1" applyFill="1" applyAlignment="1" applyProtection="1">
      <alignment horizontal="right"/>
      <protection locked="0"/>
    </xf>
    <xf numFmtId="41" fontId="4" fillId="0" borderId="0" xfId="2528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170" fontId="4" fillId="0" borderId="23" xfId="0" applyNumberFormat="1" applyFont="1" applyFill="1" applyBorder="1" applyAlignment="1" applyProtection="1">
      <alignment horizontal="right"/>
      <protection locked="0"/>
    </xf>
    <xf numFmtId="182" fontId="4" fillId="0" borderId="0" xfId="0" applyFont="1" applyFill="1" applyAlignment="1">
      <alignment/>
    </xf>
    <xf numFmtId="182" fontId="5" fillId="0" borderId="0" xfId="0" applyFont="1" applyFill="1" applyAlignment="1" applyProtection="1">
      <alignment horizontal="centerContinuous"/>
      <protection locked="0"/>
    </xf>
    <xf numFmtId="182" fontId="5" fillId="0" borderId="0" xfId="0" applyFont="1" applyFill="1" applyAlignment="1">
      <alignment horizontal="centerContinuous"/>
    </xf>
    <xf numFmtId="182" fontId="5" fillId="0" borderId="0" xfId="0" applyFont="1" applyFill="1" applyAlignment="1" applyProtection="1">
      <alignment horizontal="center"/>
      <protection locked="0"/>
    </xf>
    <xf numFmtId="182" fontId="5" fillId="0" borderId="0" xfId="0" applyFont="1" applyFill="1" applyAlignment="1">
      <alignment horizontal="center"/>
    </xf>
    <xf numFmtId="182" fontId="5" fillId="0" borderId="22" xfId="0" applyFont="1" applyFill="1" applyBorder="1" applyAlignment="1">
      <alignment horizontal="center"/>
    </xf>
    <xf numFmtId="173" fontId="8" fillId="0" borderId="0" xfId="2528" applyNumberFormat="1" applyFont="1" applyFill="1" applyAlignment="1">
      <alignment/>
    </xf>
    <xf numFmtId="42" fontId="5" fillId="0" borderId="0" xfId="0" applyNumberFormat="1" applyFont="1" applyFill="1" applyAlignment="1" applyProtection="1">
      <alignment horizontal="center"/>
      <protection locked="0"/>
    </xf>
    <xf numFmtId="182" fontId="4" fillId="0" borderId="0" xfId="0" applyFont="1" applyFill="1" applyAlignment="1">
      <alignment horizontal="left"/>
    </xf>
    <xf numFmtId="182" fontId="4" fillId="0" borderId="0" xfId="0" applyFont="1" applyFill="1" applyAlignment="1">
      <alignment vertical="center"/>
    </xf>
    <xf numFmtId="182" fontId="4" fillId="0" borderId="0" xfId="0" applyFont="1" applyFill="1" applyAlignment="1">
      <alignment horizontal="left" vertical="center"/>
    </xf>
    <xf numFmtId="182" fontId="4" fillId="0" borderId="0" xfId="0" applyFont="1" applyAlignment="1">
      <alignment horizontal="left"/>
    </xf>
    <xf numFmtId="0" fontId="4" fillId="2" borderId="29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4" xfId="2528" applyNumberFormat="1" applyFont="1" applyFill="1" applyBorder="1" applyAlignment="1">
      <alignment/>
    </xf>
    <xf numFmtId="0" fontId="4" fillId="2" borderId="4" xfId="0" applyNumberFormat="1" applyFont="1" applyFill="1" applyBorder="1" applyAlignment="1" applyProtection="1">
      <alignment/>
      <protection locked="0"/>
    </xf>
    <xf numFmtId="0" fontId="4" fillId="2" borderId="4" xfId="2606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left"/>
    </xf>
    <xf numFmtId="182" fontId="4" fillId="0" borderId="0" xfId="0" applyFont="1" applyFill="1" applyAlignment="1" quotePrefix="1">
      <alignment/>
    </xf>
    <xf numFmtId="1" fontId="4" fillId="0" borderId="0" xfId="0" applyNumberFormat="1" applyFont="1" applyFill="1" applyBorder="1" applyAlignment="1" quotePrefix="1">
      <alignment horizontal="left"/>
    </xf>
    <xf numFmtId="41" fontId="4" fillId="0" borderId="0" xfId="0" applyNumberFormat="1" applyFont="1" applyFill="1" applyBorder="1" applyAlignment="1" quotePrefix="1">
      <alignment horizontal="left"/>
    </xf>
    <xf numFmtId="1" fontId="4" fillId="0" borderId="0" xfId="0" applyNumberFormat="1" applyFont="1" applyFill="1" applyBorder="1" applyAlignment="1">
      <alignment horizontal="left"/>
    </xf>
    <xf numFmtId="42" fontId="4" fillId="2" borderId="4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183" fontId="4" fillId="0" borderId="0" xfId="0" applyNumberFormat="1" applyFont="1" applyFill="1" applyAlignment="1">
      <alignment/>
    </xf>
    <xf numFmtId="173" fontId="8" fillId="0" borderId="0" xfId="2528" applyNumberFormat="1" applyFont="1" applyFill="1" applyAlignment="1">
      <alignment horizontal="right"/>
    </xf>
    <xf numFmtId="173" fontId="4" fillId="0" borderId="0" xfId="0" applyNumberFormat="1" applyFont="1" applyFill="1" applyAlignment="1" applyProtection="1">
      <alignment/>
      <protection locked="0"/>
    </xf>
    <xf numFmtId="173" fontId="4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2" borderId="4" xfId="0" applyNumberFormat="1" applyFill="1" applyBorder="1" applyAlignment="1">
      <alignment/>
    </xf>
    <xf numFmtId="182" fontId="4" fillId="0" borderId="0" xfId="0" applyFont="1" applyFill="1" applyAlignment="1">
      <alignment horizontal="left" wrapText="1"/>
    </xf>
    <xf numFmtId="4" fontId="0" fillId="0" borderId="0" xfId="2528" applyFont="1" applyAlignment="1">
      <alignment/>
    </xf>
    <xf numFmtId="0" fontId="4" fillId="0" borderId="0" xfId="0" applyNumberFormat="1" applyFont="1" applyFill="1" applyAlignment="1">
      <alignment horizontal="left" wrapText="1"/>
    </xf>
    <xf numFmtId="0" fontId="8" fillId="0" borderId="0" xfId="0" applyNumberFormat="1" applyFont="1" applyAlignment="1">
      <alignment/>
    </xf>
    <xf numFmtId="182" fontId="5" fillId="0" borderId="0" xfId="0" applyFont="1" applyFill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42" fontId="0" fillId="0" borderId="0" xfId="0" applyNumberFormat="1" applyFont="1" applyFill="1" applyAlignment="1">
      <alignment/>
    </xf>
    <xf numFmtId="41" fontId="4" fillId="0" borderId="22" xfId="0" applyNumberFormat="1" applyFont="1" applyFill="1" applyBorder="1" applyAlignment="1">
      <alignment horizontal="center"/>
    </xf>
    <xf numFmtId="37" fontId="0" fillId="0" borderId="0" xfId="2528" applyNumberFormat="1" applyFont="1" applyFill="1" applyAlignment="1">
      <alignment/>
    </xf>
    <xf numFmtId="3" fontId="0" fillId="0" borderId="0" xfId="2528" applyNumberFormat="1" applyFont="1" applyFill="1" applyAlignment="1">
      <alignment/>
    </xf>
    <xf numFmtId="42" fontId="4" fillId="0" borderId="30" xfId="0" applyNumberFormat="1" applyFont="1" applyFill="1" applyBorder="1" applyAlignment="1" applyProtection="1">
      <alignment horizontal="left" wrapText="1"/>
      <protection locked="0"/>
    </xf>
    <xf numFmtId="174" fontId="4" fillId="2" borderId="4" xfId="0" applyNumberFormat="1" applyFont="1" applyFill="1" applyBorder="1" applyAlignment="1">
      <alignment/>
    </xf>
    <xf numFmtId="182" fontId="4" fillId="0" borderId="0" xfId="0" applyFont="1" applyFill="1" applyAlignment="1">
      <alignment horizontal="left" wrapText="1"/>
    </xf>
    <xf numFmtId="182" fontId="7" fillId="0" borderId="0" xfId="0" applyFont="1" applyFill="1" applyAlignment="1">
      <alignment horizontal="centerContinuous"/>
    </xf>
    <xf numFmtId="182" fontId="16" fillId="0" borderId="0" xfId="0" applyFont="1" applyFill="1" applyAlignment="1">
      <alignment horizontal="centerContinuous"/>
    </xf>
    <xf numFmtId="182" fontId="5" fillId="0" borderId="0" xfId="0" applyFont="1" applyFill="1" applyAlignment="1">
      <alignment horizontal="left" wrapText="1"/>
    </xf>
    <xf numFmtId="182" fontId="4" fillId="0" borderId="0" xfId="0" applyFont="1" applyFill="1" applyAlignment="1">
      <alignment horizontal="center"/>
    </xf>
    <xf numFmtId="182" fontId="5" fillId="0" borderId="22" xfId="0" applyFont="1" applyFill="1" applyBorder="1" applyAlignment="1">
      <alignment horizontal="left" wrapText="1"/>
    </xf>
    <xf numFmtId="182" fontId="6" fillId="0" borderId="0" xfId="0" applyFont="1" applyAlignment="1">
      <alignment horizontal="left"/>
    </xf>
    <xf numFmtId="182" fontId="4" fillId="0" borderId="0" xfId="0" applyFont="1" applyAlignment="1">
      <alignment horizontal="left" indent="2"/>
    </xf>
    <xf numFmtId="42" fontId="4" fillId="0" borderId="0" xfId="2528" applyNumberFormat="1" applyFont="1" applyFill="1" applyBorder="1" applyAlignment="1">
      <alignment/>
    </xf>
    <xf numFmtId="41" fontId="4" fillId="0" borderId="0" xfId="2528" applyNumberFormat="1" applyFont="1" applyAlignment="1">
      <alignment/>
    </xf>
    <xf numFmtId="182" fontId="5" fillId="0" borderId="22" xfId="0" applyFont="1" applyBorder="1" applyAlignment="1" applyProtection="1">
      <alignment horizontal="left" wrapText="1"/>
      <protection locked="0"/>
    </xf>
    <xf numFmtId="182" fontId="5" fillId="0" borderId="22" xfId="0" applyFont="1" applyFill="1" applyBorder="1" applyAlignment="1" applyProtection="1">
      <alignment horizontal="center"/>
      <protection locked="0"/>
    </xf>
    <xf numFmtId="41" fontId="4" fillId="0" borderId="0" xfId="2528" applyNumberFormat="1" applyFont="1" applyFill="1" applyBorder="1" applyAlignment="1">
      <alignment/>
    </xf>
    <xf numFmtId="41" fontId="4" fillId="0" borderId="22" xfId="2528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left" wrapText="1"/>
    </xf>
    <xf numFmtId="182" fontId="5" fillId="0" borderId="0" xfId="0" applyFont="1" applyFill="1" applyBorder="1" applyAlignment="1">
      <alignment horizontal="left"/>
    </xf>
    <xf numFmtId="182" fontId="5" fillId="0" borderId="0" xfId="0" applyFont="1" applyFill="1" applyAlignment="1">
      <alignment horizontal="centerContinuous" wrapText="1"/>
    </xf>
    <xf numFmtId="182" fontId="4" fillId="0" borderId="0" xfId="0" applyFont="1" applyAlignment="1">
      <alignment horizontal="left" indent="1"/>
    </xf>
    <xf numFmtId="182" fontId="5" fillId="0" borderId="0" xfId="0" applyFont="1" applyAlignment="1">
      <alignment horizontal="center"/>
    </xf>
    <xf numFmtId="182" fontId="5" fillId="0" borderId="0" xfId="0" applyFont="1" applyAlignment="1" applyProtection="1">
      <alignment horizontal="left" wrapText="1"/>
      <protection locked="0"/>
    </xf>
    <xf numFmtId="182" fontId="5" fillId="0" borderId="22" xfId="0" applyFont="1" applyBorder="1" applyAlignment="1">
      <alignment horizontal="center"/>
    </xf>
    <xf numFmtId="182" fontId="4" fillId="0" borderId="0" xfId="0" applyFont="1" applyBorder="1" applyAlignment="1" quotePrefix="1">
      <alignment horizontal="left"/>
    </xf>
    <xf numFmtId="182" fontId="4" fillId="0" borderId="0" xfId="0" applyFont="1" applyBorder="1" applyAlignment="1">
      <alignment horizontal="left"/>
    </xf>
    <xf numFmtId="185" fontId="4" fillId="0" borderId="0" xfId="2956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 wrapText="1"/>
    </xf>
    <xf numFmtId="182" fontId="6" fillId="0" borderId="0" xfId="0" applyFont="1" applyBorder="1" applyAlignment="1">
      <alignment horizontal="left"/>
    </xf>
    <xf numFmtId="42" fontId="4" fillId="0" borderId="0" xfId="2528" applyNumberFormat="1" applyFont="1" applyFill="1" applyAlignment="1">
      <alignment/>
    </xf>
    <xf numFmtId="41" fontId="4" fillId="0" borderId="0" xfId="2528" applyNumberFormat="1" applyFont="1" applyFill="1" applyAlignment="1">
      <alignment/>
    </xf>
    <xf numFmtId="41" fontId="4" fillId="0" borderId="23" xfId="2528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left" wrapText="1"/>
    </xf>
    <xf numFmtId="182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indent="2"/>
    </xf>
    <xf numFmtId="41" fontId="4" fillId="0" borderId="0" xfId="0" applyNumberFormat="1" applyFont="1" applyFill="1" applyAlignment="1">
      <alignment horizontal="fill"/>
    </xf>
    <xf numFmtId="37" fontId="4" fillId="0" borderId="0" xfId="2528" applyNumberFormat="1" applyFont="1" applyFill="1" applyBorder="1" applyAlignment="1">
      <alignment/>
    </xf>
    <xf numFmtId="42" fontId="4" fillId="0" borderId="3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Alignment="1">
      <alignment horizontal="left" vertical="center" indent="2"/>
    </xf>
    <xf numFmtId="172" fontId="4" fillId="0" borderId="0" xfId="2956" applyNumberFormat="1" applyFont="1" applyFill="1" applyBorder="1" applyAlignment="1">
      <alignment horizontal="right"/>
    </xf>
    <xf numFmtId="173" fontId="8" fillId="0" borderId="0" xfId="2528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173" fontId="4" fillId="0" borderId="0" xfId="2528" applyNumberFormat="1" applyFont="1" applyFill="1" applyBorder="1" applyAlignment="1">
      <alignment/>
    </xf>
    <xf numFmtId="182" fontId="4" fillId="0" borderId="0" xfId="0" applyFont="1" applyBorder="1" applyAlignment="1">
      <alignment/>
    </xf>
    <xf numFmtId="0" fontId="4" fillId="0" borderId="0" xfId="0" applyNumberFormat="1" applyFont="1" applyFill="1" applyAlignment="1">
      <alignment horizontal="left" indent="3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2528" applyNumberFormat="1" applyFont="1" applyFill="1" applyBorder="1" applyAlignment="1" applyProtection="1">
      <alignment/>
      <protection locked="0"/>
    </xf>
    <xf numFmtId="42" fontId="0" fillId="2" borderId="4" xfId="0" applyNumberForma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182" fontId="4" fillId="0" borderId="0" xfId="0" applyFont="1" applyFill="1" applyAlignment="1">
      <alignment horizontal="left" indent="2"/>
    </xf>
    <xf numFmtId="170" fontId="6" fillId="0" borderId="0" xfId="0" applyNumberFormat="1" applyFont="1" applyFill="1" applyBorder="1" applyAlignment="1">
      <alignment/>
    </xf>
    <xf numFmtId="41" fontId="4" fillId="0" borderId="4" xfId="2528" applyNumberFormat="1" applyFont="1" applyBorder="1" applyAlignment="1">
      <alignment/>
    </xf>
    <xf numFmtId="182" fontId="4" fillId="0" borderId="0" xfId="0" applyFont="1" applyFill="1" applyAlignment="1">
      <alignment horizontal="left" indent="1"/>
    </xf>
    <xf numFmtId="10" fontId="6" fillId="0" borderId="0" xfId="0" applyNumberFormat="1" applyFont="1" applyFill="1" applyAlignment="1">
      <alignment horizontal="center"/>
    </xf>
    <xf numFmtId="41" fontId="16" fillId="0" borderId="0" xfId="0" applyNumberFormat="1" applyFont="1" applyFill="1" applyBorder="1" applyAlignment="1">
      <alignment/>
    </xf>
    <xf numFmtId="42" fontId="16" fillId="0" borderId="0" xfId="0" applyNumberFormat="1" applyFont="1" applyFill="1" applyBorder="1" applyAlignment="1">
      <alignment/>
    </xf>
    <xf numFmtId="182" fontId="6" fillId="0" borderId="0" xfId="0" applyFont="1" applyFill="1" applyBorder="1" applyAlignment="1">
      <alignment horizontal="left" wrapText="1"/>
    </xf>
    <xf numFmtId="182" fontId="4" fillId="0" borderId="0" xfId="0" applyFont="1" applyFill="1" applyAlignment="1">
      <alignment horizontal="right"/>
    </xf>
    <xf numFmtId="37" fontId="4" fillId="0" borderId="22" xfId="0" applyNumberFormat="1" applyFont="1" applyFill="1" applyBorder="1" applyAlignment="1">
      <alignment horizontal="right"/>
    </xf>
    <xf numFmtId="42" fontId="4" fillId="0" borderId="0" xfId="2606" applyNumberFormat="1" applyFont="1" applyFill="1" applyAlignment="1">
      <alignment horizontal="right"/>
    </xf>
    <xf numFmtId="41" fontId="4" fillId="0" borderId="22" xfId="0" applyNumberFormat="1" applyFont="1" applyFill="1" applyBorder="1" applyAlignment="1">
      <alignment horizontal="right"/>
    </xf>
    <xf numFmtId="41" fontId="4" fillId="0" borderId="0" xfId="2606" applyNumberFormat="1" applyFont="1" applyFill="1" applyAlignment="1">
      <alignment/>
    </xf>
    <xf numFmtId="42" fontId="4" fillId="0" borderId="22" xfId="2606" applyNumberFormat="1" applyFont="1" applyFill="1" applyBorder="1" applyAlignment="1">
      <alignment/>
    </xf>
    <xf numFmtId="41" fontId="4" fillId="0" borderId="22" xfId="2606" applyNumberFormat="1" applyFont="1" applyFill="1" applyBorder="1" applyAlignment="1">
      <alignment/>
    </xf>
    <xf numFmtId="42" fontId="4" fillId="0" borderId="30" xfId="2528" applyNumberFormat="1" applyFont="1" applyFill="1" applyBorder="1" applyAlignment="1">
      <alignment/>
    </xf>
    <xf numFmtId="41" fontId="9" fillId="0" borderId="0" xfId="2606" applyNumberFormat="1" applyFont="1" applyFill="1" applyBorder="1" applyAlignment="1" applyProtection="1">
      <alignment/>
      <protection locked="0"/>
    </xf>
    <xf numFmtId="182" fontId="4" fillId="0" borderId="0" xfId="0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5" fillId="0" borderId="0" xfId="0" applyNumberFormat="1" applyFont="1" applyFill="1" applyAlignment="1" quotePrefix="1">
      <alignment horizontal="centerContinuous" vertical="center"/>
    </xf>
    <xf numFmtId="182" fontId="4" fillId="0" borderId="0" xfId="0" applyFont="1" applyFill="1" applyBorder="1" applyAlignment="1">
      <alignment horizontal="center"/>
    </xf>
    <xf numFmtId="41" fontId="4" fillId="0" borderId="0" xfId="2606" applyNumberFormat="1" applyFont="1" applyFill="1" applyAlignment="1" applyProtection="1">
      <alignment/>
      <protection locked="0"/>
    </xf>
    <xf numFmtId="41" fontId="4" fillId="0" borderId="0" xfId="2606" applyNumberFormat="1" applyFont="1" applyFill="1" applyBorder="1" applyAlignment="1">
      <alignment vertical="center"/>
    </xf>
    <xf numFmtId="41" fontId="4" fillId="0" borderId="22" xfId="2606" applyNumberFormat="1" applyFont="1" applyFill="1" applyBorder="1" applyAlignment="1" applyProtection="1">
      <alignment/>
      <protection locked="0"/>
    </xf>
    <xf numFmtId="41" fontId="4" fillId="0" borderId="22" xfId="0" applyNumberFormat="1" applyFont="1" applyFill="1" applyBorder="1" applyAlignment="1">
      <alignment wrapText="1"/>
    </xf>
    <xf numFmtId="0" fontId="5" fillId="0" borderId="32" xfId="0" applyNumberFormat="1" applyFont="1" applyFill="1" applyBorder="1" applyAlignment="1">
      <alignment horizontal="center"/>
    </xf>
    <xf numFmtId="186" fontId="5" fillId="0" borderId="32" xfId="0" applyNumberFormat="1" applyFont="1" applyFill="1" applyBorder="1" applyAlignment="1">
      <alignment/>
    </xf>
    <xf numFmtId="182" fontId="5" fillId="0" borderId="0" xfId="0" applyFont="1" applyFill="1" applyAlignment="1" applyProtection="1">
      <alignment horizontal="centerContinuous" vertical="center"/>
      <protection locked="0"/>
    </xf>
    <xf numFmtId="182" fontId="6" fillId="0" borderId="0" xfId="0" applyFont="1" applyFill="1" applyAlignment="1">
      <alignment horizontal="left"/>
    </xf>
    <xf numFmtId="174" fontId="4" fillId="0" borderId="0" xfId="2606" applyNumberFormat="1" applyFont="1" applyFill="1" applyBorder="1" applyAlignment="1">
      <alignment/>
    </xf>
    <xf numFmtId="173" fontId="4" fillId="0" borderId="0" xfId="2528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left" wrapText="1"/>
    </xf>
    <xf numFmtId="182" fontId="6" fillId="0" borderId="0" xfId="0" applyFont="1" applyFill="1" applyBorder="1" applyAlignment="1">
      <alignment horizontal="left"/>
    </xf>
    <xf numFmtId="9" fontId="4" fillId="0" borderId="0" xfId="2956" applyFont="1" applyFill="1" applyAlignment="1">
      <alignment/>
    </xf>
    <xf numFmtId="9" fontId="4" fillId="0" borderId="0" xfId="2956" applyFont="1" applyAlignment="1">
      <alignment/>
    </xf>
    <xf numFmtId="3" fontId="4" fillId="0" borderId="0" xfId="2528" applyNumberFormat="1" applyFont="1" applyBorder="1" applyAlignment="1">
      <alignment/>
    </xf>
    <xf numFmtId="0" fontId="4" fillId="0" borderId="0" xfId="2905" applyFont="1" applyFill="1" applyAlignment="1">
      <alignment horizontal="center"/>
      <protection/>
    </xf>
    <xf numFmtId="0" fontId="4" fillId="0" borderId="0" xfId="2905" applyFont="1" applyFill="1">
      <alignment/>
      <protection/>
    </xf>
    <xf numFmtId="0" fontId="4" fillId="0" borderId="0" xfId="2905" applyFont="1" applyFill="1" applyAlignment="1">
      <alignment horizontal="left" indent="2"/>
      <protection/>
    </xf>
    <xf numFmtId="42" fontId="4" fillId="0" borderId="0" xfId="2905" applyNumberFormat="1" applyFont="1" applyFill="1" applyBorder="1">
      <alignment/>
      <protection/>
    </xf>
    <xf numFmtId="41" fontId="4" fillId="0" borderId="0" xfId="2905" applyNumberFormat="1" applyFont="1" applyFill="1" applyBorder="1">
      <alignment/>
      <protection/>
    </xf>
    <xf numFmtId="0" fontId="4" fillId="0" borderId="0" xfId="2910" applyFont="1" applyFill="1" applyBorder="1" applyAlignment="1">
      <alignment horizontal="left"/>
      <protection/>
    </xf>
    <xf numFmtId="4" fontId="4" fillId="0" borderId="0" xfId="2528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65" fontId="4" fillId="0" borderId="0" xfId="2956" applyNumberFormat="1" applyFont="1" applyFill="1" applyBorder="1" applyAlignment="1">
      <alignment horizontal="right"/>
    </xf>
    <xf numFmtId="165" fontId="4" fillId="0" borderId="22" xfId="2956" applyNumberFormat="1" applyFont="1" applyFill="1" applyBorder="1" applyAlignment="1">
      <alignment horizontal="right"/>
    </xf>
    <xf numFmtId="0" fontId="4" fillId="0" borderId="0" xfId="0" applyNumberFormat="1" applyFont="1" applyFill="1" applyAlignment="1" quotePrefix="1">
      <alignment horizontal="left" indent="1"/>
    </xf>
    <xf numFmtId="173" fontId="4" fillId="0" borderId="22" xfId="2528" applyNumberFormat="1" applyFont="1" applyFill="1" applyBorder="1" applyAlignment="1">
      <alignment/>
    </xf>
    <xf numFmtId="182" fontId="4" fillId="0" borderId="0" xfId="3183" applyFont="1" applyFill="1" applyBorder="1" applyAlignment="1">
      <alignment horizontal="left" indent="1"/>
      <protection/>
    </xf>
    <xf numFmtId="182" fontId="4" fillId="0" borderId="0" xfId="3183" applyFont="1" applyFill="1" applyAlignment="1">
      <alignment horizontal="left" indent="1"/>
      <protection/>
    </xf>
    <xf numFmtId="4" fontId="4" fillId="0" borderId="0" xfId="2528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 quotePrefix="1">
      <alignment horizontal="center"/>
      <protection locked="0"/>
    </xf>
    <xf numFmtId="43" fontId="4" fillId="0" borderId="0" xfId="0" applyNumberFormat="1" applyFont="1" applyFill="1" applyAlignment="1">
      <alignment/>
    </xf>
    <xf numFmtId="3" fontId="4" fillId="0" borderId="0" xfId="2528" applyNumberFormat="1" applyFont="1" applyFill="1" applyAlignment="1">
      <alignment wrapText="1"/>
    </xf>
    <xf numFmtId="15" fontId="4" fillId="0" borderId="0" xfId="0" applyNumberFormat="1" applyFont="1" applyFill="1" applyAlignment="1">
      <alignment horizontal="left" wrapText="1"/>
    </xf>
    <xf numFmtId="37" fontId="4" fillId="0" borderId="22" xfId="2528" applyNumberFormat="1" applyFont="1" applyFill="1" applyBorder="1" applyAlignment="1">
      <alignment/>
    </xf>
    <xf numFmtId="37" fontId="4" fillId="0" borderId="0" xfId="2528" applyNumberFormat="1" applyFont="1" applyFill="1" applyAlignment="1">
      <alignment/>
    </xf>
    <xf numFmtId="182" fontId="4" fillId="0" borderId="0" xfId="0" applyFont="1" applyFill="1" applyAlignment="1">
      <alignment horizontal="center" vertical="top"/>
    </xf>
    <xf numFmtId="182" fontId="4" fillId="0" borderId="0" xfId="0" applyFont="1" applyFill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0" fontId="5" fillId="0" borderId="0" xfId="2907" applyNumberFormat="1" applyFont="1" applyFill="1" applyAlignment="1">
      <alignment horizontal="center"/>
      <protection/>
    </xf>
    <xf numFmtId="174" fontId="4" fillId="0" borderId="0" xfId="2643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42" fontId="4" fillId="0" borderId="0" xfId="0" applyNumberFormat="1" applyFont="1" applyAlignment="1" applyProtection="1">
      <alignment horizontal="right"/>
      <protection locked="0"/>
    </xf>
    <xf numFmtId="182" fontId="4" fillId="0" borderId="22" xfId="0" applyFont="1" applyFill="1" applyBorder="1" applyAlignment="1">
      <alignment horizontal="left"/>
    </xf>
    <xf numFmtId="182" fontId="4" fillId="0" borderId="22" xfId="0" applyFont="1" applyFill="1" applyBorder="1" applyAlignment="1">
      <alignment horizontal="left" vertical="top"/>
    </xf>
    <xf numFmtId="182" fontId="4" fillId="0" borderId="0" xfId="0" applyFont="1" applyFill="1" applyAlignment="1" quotePrefix="1">
      <alignment horizontal="left"/>
    </xf>
    <xf numFmtId="10" fontId="4" fillId="0" borderId="0" xfId="2907" applyNumberFormat="1" applyFont="1" applyFill="1" applyAlignment="1" applyProtection="1">
      <alignment/>
      <protection locked="0"/>
    </xf>
    <xf numFmtId="0" fontId="16" fillId="0" borderId="0" xfId="0" applyNumberFormat="1" applyFont="1" applyFill="1" applyAlignment="1">
      <alignment horizontal="centerContinuous"/>
    </xf>
    <xf numFmtId="41" fontId="4" fillId="0" borderId="0" xfId="2528" applyNumberFormat="1" applyFont="1" applyFill="1" applyBorder="1" applyAlignment="1" applyProtection="1">
      <alignment/>
      <protection locked="0"/>
    </xf>
    <xf numFmtId="0" fontId="4" fillId="0" borderId="0" xfId="2904" applyFont="1">
      <alignment/>
      <protection/>
    </xf>
    <xf numFmtId="0" fontId="4" fillId="0" borderId="0" xfId="2904" applyFont="1" applyAlignment="1">
      <alignment horizontal="centerContinuous"/>
      <protection/>
    </xf>
    <xf numFmtId="0" fontId="5" fillId="0" borderId="0" xfId="2904" applyFont="1" applyAlignment="1">
      <alignment horizontal="centerContinuous"/>
      <protection/>
    </xf>
    <xf numFmtId="0" fontId="4" fillId="0" borderId="0" xfId="2904" applyFont="1" applyFill="1" applyAlignment="1">
      <alignment horizontal="center"/>
      <protection/>
    </xf>
    <xf numFmtId="173" fontId="4" fillId="0" borderId="0" xfId="2577" applyNumberFormat="1" applyFont="1" applyFill="1" applyBorder="1" applyAlignment="1">
      <alignment/>
    </xf>
    <xf numFmtId="41" fontId="4" fillId="0" borderId="0" xfId="2528" applyNumberFormat="1" applyFont="1" applyFill="1" applyAlignment="1" applyProtection="1">
      <alignment/>
      <protection locked="0"/>
    </xf>
    <xf numFmtId="174" fontId="4" fillId="0" borderId="23" xfId="0" applyNumberFormat="1" applyFont="1" applyFill="1" applyBorder="1" applyAlignment="1">
      <alignment/>
    </xf>
    <xf numFmtId="42" fontId="4" fillId="0" borderId="0" xfId="2606" applyNumberFormat="1" applyFont="1" applyFill="1" applyAlignment="1">
      <alignment/>
    </xf>
    <xf numFmtId="41" fontId="4" fillId="0" borderId="0" xfId="0" applyNumberFormat="1" applyFont="1" applyFill="1" applyBorder="1" applyAlignment="1">
      <alignment horizontal="center"/>
    </xf>
    <xf numFmtId="10" fontId="4" fillId="0" borderId="0" xfId="2956" applyNumberFormat="1" applyFont="1" applyFill="1" applyAlignment="1" applyProtection="1">
      <alignment/>
      <protection locked="0"/>
    </xf>
    <xf numFmtId="0" fontId="5" fillId="0" borderId="0" xfId="0" applyNumberFormat="1" applyFont="1" applyFill="1" applyBorder="1" applyAlignment="1" quotePrefix="1">
      <alignment horizontal="centerContinuous"/>
    </xf>
    <xf numFmtId="174" fontId="9" fillId="0" borderId="0" xfId="2606" applyNumberFormat="1" applyFont="1" applyBorder="1" applyAlignment="1">
      <alignment/>
    </xf>
    <xf numFmtId="174" fontId="9" fillId="0" borderId="0" xfId="2606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7" fontId="4" fillId="0" borderId="0" xfId="2528" applyNumberFormat="1" applyFont="1" applyAlignment="1">
      <alignment/>
    </xf>
    <xf numFmtId="37" fontId="4" fillId="0" borderId="22" xfId="2528" applyNumberFormat="1" applyFont="1" applyBorder="1" applyAlignment="1">
      <alignment/>
    </xf>
    <xf numFmtId="37" fontId="4" fillId="0" borderId="0" xfId="2528" applyNumberFormat="1" applyFont="1" applyBorder="1" applyAlignment="1">
      <alignment/>
    </xf>
    <xf numFmtId="37" fontId="4" fillId="0" borderId="0" xfId="2528" applyNumberFormat="1" applyFont="1" applyFill="1" applyAlignment="1" applyProtection="1">
      <alignment/>
      <protection locked="0"/>
    </xf>
    <xf numFmtId="0" fontId="5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left"/>
      <protection/>
    </xf>
    <xf numFmtId="10" fontId="9" fillId="0" borderId="0" xfId="2956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69" fillId="0" borderId="0" xfId="0" applyNumberFormat="1" applyFont="1" applyFill="1" applyBorder="1" applyAlignment="1" applyProtection="1">
      <alignment horizontal="left"/>
      <protection/>
    </xf>
    <xf numFmtId="37" fontId="69" fillId="0" borderId="0" xfId="0" applyNumberFormat="1" applyFont="1" applyFill="1" applyAlignment="1" applyProtection="1">
      <alignment horizontal="left"/>
      <protection/>
    </xf>
    <xf numFmtId="175" fontId="9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2" fontId="4" fillId="0" borderId="3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4" fillId="0" borderId="0" xfId="2904" applyFont="1" applyAlignment="1">
      <alignment horizontal="center"/>
      <protection/>
    </xf>
    <xf numFmtId="14" fontId="4" fillId="0" borderId="22" xfId="2904" applyNumberFormat="1" applyFont="1" applyBorder="1" applyAlignment="1">
      <alignment horizontal="center"/>
      <protection/>
    </xf>
    <xf numFmtId="0" fontId="4" fillId="0" borderId="0" xfId="2904" applyFont="1" applyAlignment="1">
      <alignment horizontal="centerContinuous" vertical="center"/>
      <protection/>
    </xf>
    <xf numFmtId="14" fontId="4" fillId="0" borderId="22" xfId="2904" applyNumberFormat="1" applyFont="1" applyFill="1" applyBorder="1" applyAlignment="1">
      <alignment horizontal="center"/>
      <protection/>
    </xf>
    <xf numFmtId="0" fontId="4" fillId="0" borderId="22" xfId="2904" applyFont="1" applyBorder="1" applyAlignment="1">
      <alignment horizontal="center"/>
      <protection/>
    </xf>
    <xf numFmtId="0" fontId="4" fillId="0" borderId="0" xfId="2904" applyFont="1" applyBorder="1" applyAlignment="1">
      <alignment horizontal="center"/>
      <protection/>
    </xf>
    <xf numFmtId="174" fontId="4" fillId="0" borderId="0" xfId="2642" applyNumberFormat="1" applyFont="1" applyFill="1" applyAlignment="1">
      <alignment/>
    </xf>
    <xf numFmtId="173" fontId="4" fillId="0" borderId="0" xfId="2577" applyNumberFormat="1" applyFont="1" applyFill="1" applyAlignment="1">
      <alignment/>
    </xf>
    <xf numFmtId="174" fontId="4" fillId="0" borderId="0" xfId="2904" applyNumberFormat="1" applyFont="1" applyBorder="1">
      <alignment/>
      <protection/>
    </xf>
    <xf numFmtId="173" fontId="4" fillId="0" borderId="0" xfId="2577" applyNumberFormat="1" applyFont="1" applyAlignment="1">
      <alignment/>
    </xf>
    <xf numFmtId="174" fontId="4" fillId="0" borderId="0" xfId="2904" applyNumberFormat="1" applyFont="1">
      <alignment/>
      <protection/>
    </xf>
    <xf numFmtId="173" fontId="4" fillId="0" borderId="0" xfId="2577" applyNumberFormat="1" applyFont="1" applyBorder="1" applyAlignment="1">
      <alignment/>
    </xf>
    <xf numFmtId="3" fontId="4" fillId="0" borderId="0" xfId="2528" applyNumberFormat="1" applyFont="1" applyAlignment="1">
      <alignment/>
    </xf>
    <xf numFmtId="0" fontId="4" fillId="0" borderId="0" xfId="2904" applyFont="1" applyFill="1">
      <alignment/>
      <protection/>
    </xf>
    <xf numFmtId="3" fontId="4" fillId="0" borderId="0" xfId="2528" applyNumberFormat="1" applyFont="1" applyFill="1" applyAlignment="1">
      <alignment/>
    </xf>
    <xf numFmtId="173" fontId="4" fillId="0" borderId="0" xfId="2904" applyNumberFormat="1" applyFont="1">
      <alignment/>
      <protection/>
    </xf>
    <xf numFmtId="42" fontId="4" fillId="0" borderId="0" xfId="2904" applyNumberFormat="1" applyFont="1" applyBorder="1">
      <alignment/>
      <protection/>
    </xf>
    <xf numFmtId="0" fontId="4" fillId="0" borderId="0" xfId="2904" applyFont="1" applyBorder="1">
      <alignment/>
      <protection/>
    </xf>
    <xf numFmtId="173" fontId="4" fillId="0" borderId="0" xfId="2904" applyNumberFormat="1" applyFont="1" applyBorder="1">
      <alignment/>
      <protection/>
    </xf>
    <xf numFmtId="174" fontId="4" fillId="0" borderId="30" xfId="2904" applyNumberFormat="1" applyFont="1" applyBorder="1">
      <alignment/>
      <protection/>
    </xf>
    <xf numFmtId="174" fontId="4" fillId="0" borderId="21" xfId="2904" applyNumberFormat="1" applyFont="1" applyBorder="1">
      <alignment/>
      <protection/>
    </xf>
    <xf numFmtId="41" fontId="4" fillId="0" borderId="21" xfId="2904" applyNumberFormat="1" applyFont="1" applyBorder="1">
      <alignment/>
      <protection/>
    </xf>
    <xf numFmtId="0" fontId="4" fillId="0" borderId="0" xfId="2904" applyFont="1" applyFill="1" applyBorder="1" applyAlignment="1">
      <alignment horizontal="centerContinuous"/>
      <protection/>
    </xf>
    <xf numFmtId="0" fontId="4" fillId="0" borderId="0" xfId="2904" applyFont="1" applyFill="1" applyAlignment="1">
      <alignment horizontal="centerContinuous"/>
      <protection/>
    </xf>
    <xf numFmtId="0" fontId="4" fillId="0" borderId="0" xfId="2904" applyFont="1" applyBorder="1" applyAlignment="1">
      <alignment horizontal="centerContinuous"/>
      <protection/>
    </xf>
    <xf numFmtId="42" fontId="4" fillId="0" borderId="0" xfId="2904" applyNumberFormat="1" applyFont="1">
      <alignment/>
      <protection/>
    </xf>
    <xf numFmtId="174" fontId="4" fillId="0" borderId="0" xfId="2642" applyNumberFormat="1" applyFont="1" applyBorder="1" applyAlignment="1">
      <alignment/>
    </xf>
    <xf numFmtId="174" fontId="4" fillId="0" borderId="21" xfId="2642" applyNumberFormat="1" applyFont="1" applyBorder="1" applyAlignment="1">
      <alignment/>
    </xf>
    <xf numFmtId="191" fontId="4" fillId="0" borderId="0" xfId="2904" applyNumberFormat="1" applyFont="1">
      <alignment/>
      <protection/>
    </xf>
    <xf numFmtId="174" fontId="4" fillId="0" borderId="0" xfId="2642" applyNumberFormat="1" applyFont="1" applyBorder="1" applyAlignment="1">
      <alignment horizontal="right"/>
    </xf>
    <xf numFmtId="0" fontId="4" fillId="0" borderId="30" xfId="2904" applyFont="1" applyBorder="1">
      <alignment/>
      <protection/>
    </xf>
    <xf numFmtId="41" fontId="70" fillId="0" borderId="30" xfId="2904" applyNumberFormat="1" applyFont="1" applyBorder="1">
      <alignment/>
      <protection/>
    </xf>
    <xf numFmtId="41" fontId="4" fillId="0" borderId="30" xfId="2904" applyNumberFormat="1" applyFont="1" applyBorder="1">
      <alignment/>
      <protection/>
    </xf>
    <xf numFmtId="0" fontId="4" fillId="0" borderId="22" xfId="2904" applyFont="1" applyBorder="1">
      <alignment/>
      <protection/>
    </xf>
    <xf numFmtId="0" fontId="4" fillId="0" borderId="0" xfId="2904" applyFont="1" applyAlignment="1">
      <alignment horizontal="left"/>
      <protection/>
    </xf>
    <xf numFmtId="0" fontId="4" fillId="0" borderId="0" xfId="2904" applyFont="1" applyFill="1" applyBorder="1" applyAlignment="1">
      <alignment horizontal="center"/>
      <protection/>
    </xf>
    <xf numFmtId="0" fontId="4" fillId="0" borderId="0" xfId="2904" applyFont="1" applyFill="1" applyBorder="1" applyAlignment="1">
      <alignment horizontal="left"/>
      <protection/>
    </xf>
    <xf numFmtId="0" fontId="4" fillId="0" borderId="0" xfId="2904" applyFont="1" applyAlignment="1">
      <alignment horizontal="left" indent="1"/>
      <protection/>
    </xf>
    <xf numFmtId="0" fontId="4" fillId="0" borderId="30" xfId="2904" applyFont="1" applyBorder="1" applyAlignment="1">
      <alignment horizontal="center"/>
      <protection/>
    </xf>
    <xf numFmtId="41" fontId="4" fillId="0" borderId="2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2" fontId="4" fillId="0" borderId="21" xfId="0" applyNumberFormat="1" applyFont="1" applyBorder="1" applyAlignment="1">
      <alignment/>
    </xf>
    <xf numFmtId="41" fontId="4" fillId="0" borderId="0" xfId="2904" applyNumberFormat="1" applyFont="1">
      <alignment/>
      <protection/>
    </xf>
    <xf numFmtId="168" fontId="4" fillId="0" borderId="22" xfId="2904" applyNumberFormat="1" applyFont="1" applyBorder="1" applyAlignment="1">
      <alignment horizontal="center"/>
      <protection/>
    </xf>
    <xf numFmtId="197" fontId="4" fillId="0" borderId="0" xfId="0" applyNumberFormat="1" applyFont="1" applyFill="1" applyAlignment="1">
      <alignment/>
    </xf>
    <xf numFmtId="44" fontId="4" fillId="0" borderId="2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4" fillId="0" borderId="22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Alignment="1">
      <alignment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2" fontId="4" fillId="0" borderId="22" xfId="0" applyNumberFormat="1" applyFont="1" applyFill="1" applyBorder="1" applyAlignment="1">
      <alignment horizontal="right"/>
    </xf>
    <xf numFmtId="42" fontId="4" fillId="0" borderId="22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left" wrapText="1"/>
      <protection locked="0"/>
    </xf>
    <xf numFmtId="41" fontId="4" fillId="0" borderId="0" xfId="0" applyNumberFormat="1" applyFont="1" applyFill="1" applyBorder="1" applyAlignment="1">
      <alignment horizontal="right"/>
    </xf>
    <xf numFmtId="41" fontId="4" fillId="0" borderId="22" xfId="2606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>
      <alignment horizontal="right" wrapText="1"/>
    </xf>
    <xf numFmtId="42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left" wrapText="1"/>
    </xf>
    <xf numFmtId="42" fontId="4" fillId="0" borderId="0" xfId="2606" applyNumberFormat="1" applyFont="1" applyFill="1" applyAlignment="1" applyProtection="1">
      <alignment/>
      <protection locked="0"/>
    </xf>
    <xf numFmtId="41" fontId="4" fillId="0" borderId="0" xfId="2528" applyNumberFormat="1" applyFont="1" applyFill="1" applyAlignment="1" applyProtection="1">
      <alignment/>
      <protection locked="0"/>
    </xf>
    <xf numFmtId="41" fontId="4" fillId="0" borderId="22" xfId="2528" applyNumberFormat="1" applyFont="1" applyFill="1" applyBorder="1" applyAlignment="1" applyProtection="1">
      <alignment/>
      <protection locked="0"/>
    </xf>
    <xf numFmtId="41" fontId="4" fillId="0" borderId="0" xfId="2528" applyNumberFormat="1" applyFont="1" applyBorder="1" applyAlignment="1">
      <alignment/>
    </xf>
    <xf numFmtId="0" fontId="8" fillId="0" borderId="0" xfId="2905" applyFont="1">
      <alignment/>
      <protection/>
    </xf>
    <xf numFmtId="0" fontId="8" fillId="0" borderId="0" xfId="2905" applyFont="1" applyFill="1">
      <alignment/>
      <protection/>
    </xf>
    <xf numFmtId="42" fontId="4" fillId="0" borderId="0" xfId="2549" applyNumberFormat="1" applyFont="1" applyFill="1" applyAlignment="1">
      <alignment/>
    </xf>
    <xf numFmtId="42" fontId="4" fillId="0" borderId="0" xfId="2549" applyNumberFormat="1" applyFont="1" applyFill="1" applyBorder="1" applyAlignment="1">
      <alignment/>
    </xf>
    <xf numFmtId="41" fontId="4" fillId="0" borderId="0" xfId="2549" applyNumberFormat="1" applyFont="1" applyFill="1" applyAlignment="1">
      <alignment/>
    </xf>
    <xf numFmtId="41" fontId="4" fillId="0" borderId="0" xfId="2549" applyNumberFormat="1" applyFont="1" applyFill="1" applyBorder="1" applyAlignment="1">
      <alignment/>
    </xf>
    <xf numFmtId="0" fontId="6" fillId="0" borderId="0" xfId="2910" applyFont="1" applyFill="1" applyBorder="1" applyAlignment="1">
      <alignment horizontal="left"/>
      <protection/>
    </xf>
    <xf numFmtId="0" fontId="8" fillId="0" borderId="0" xfId="2905" applyFont="1" applyBorder="1">
      <alignment/>
      <protection/>
    </xf>
    <xf numFmtId="0" fontId="8" fillId="0" borderId="0" xfId="2905" applyFont="1" applyFill="1" applyBorder="1">
      <alignment/>
      <protection/>
    </xf>
    <xf numFmtId="41" fontId="4" fillId="0" borderId="22" xfId="2549" applyNumberFormat="1" applyFont="1" applyFill="1" applyBorder="1" applyAlignment="1">
      <alignment/>
    </xf>
    <xf numFmtId="182" fontId="72" fillId="0" borderId="0" xfId="0" applyNumberFormat="1" applyFont="1" applyFill="1" applyAlignment="1">
      <alignment horizontal="left"/>
    </xf>
    <xf numFmtId="182" fontId="4" fillId="0" borderId="0" xfId="0" applyNumberFormat="1" applyFont="1" applyFill="1" applyAlignment="1">
      <alignment horizontal="left" indent="2"/>
    </xf>
    <xf numFmtId="182" fontId="4" fillId="0" borderId="0" xfId="0" applyNumberFormat="1" applyFont="1" applyAlignment="1">
      <alignment horizontal="left" indent="2"/>
    </xf>
    <xf numFmtId="182" fontId="4" fillId="0" borderId="0" xfId="0" applyNumberFormat="1" applyFont="1" applyAlignment="1">
      <alignment horizontal="left"/>
    </xf>
    <xf numFmtId="0" fontId="73" fillId="0" borderId="0" xfId="2909" applyFont="1" applyFill="1">
      <alignment/>
      <protection/>
    </xf>
    <xf numFmtId="182" fontId="4" fillId="0" borderId="0" xfId="0" applyNumberFormat="1" applyFont="1" applyFill="1" applyAlignment="1">
      <alignment horizontal="left" indent="1"/>
    </xf>
    <xf numFmtId="41" fontId="4" fillId="0" borderId="22" xfId="2905" applyNumberFormat="1" applyFont="1" applyFill="1" applyBorder="1">
      <alignment/>
      <protection/>
    </xf>
    <xf numFmtId="42" fontId="4" fillId="0" borderId="22" xfId="2528" applyNumberFormat="1" applyFont="1" applyFill="1" applyBorder="1" applyAlignment="1">
      <alignment/>
    </xf>
    <xf numFmtId="182" fontId="4" fillId="0" borderId="0" xfId="0" applyNumberFormat="1" applyFont="1" applyFill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42" fontId="4" fillId="0" borderId="30" xfId="2905" applyNumberFormat="1" applyFont="1" applyFill="1" applyBorder="1">
      <alignment/>
      <protection/>
    </xf>
    <xf numFmtId="182" fontId="72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left" indent="1"/>
    </xf>
    <xf numFmtId="182" fontId="8" fillId="0" borderId="0" xfId="0" applyFont="1" applyFill="1" applyAlignment="1">
      <alignment horizontal="left" wrapText="1"/>
    </xf>
    <xf numFmtId="182" fontId="4" fillId="0" borderId="0" xfId="0" applyFont="1" applyFill="1" applyBorder="1" applyAlignment="1">
      <alignment/>
    </xf>
    <xf numFmtId="182" fontId="4" fillId="0" borderId="0" xfId="0" applyFont="1" applyFill="1" applyBorder="1" applyAlignment="1">
      <alignment horizontal="left" wrapText="1"/>
    </xf>
    <xf numFmtId="9" fontId="4" fillId="0" borderId="0" xfId="2956" applyFont="1" applyFill="1" applyBorder="1" applyAlignment="1" quotePrefix="1">
      <alignment horizontal="right"/>
    </xf>
    <xf numFmtId="42" fontId="4" fillId="0" borderId="3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7" fontId="4" fillId="0" borderId="0" xfId="0" applyNumberFormat="1" applyFont="1" applyFill="1" applyBorder="1" applyAlignment="1">
      <alignment horizontal="left" indent="1"/>
    </xf>
    <xf numFmtId="174" fontId="9" fillId="0" borderId="0" xfId="0" applyNumberFormat="1" applyFont="1" applyFill="1" applyAlignment="1">
      <alignment/>
    </xf>
    <xf numFmtId="174" fontId="9" fillId="0" borderId="30" xfId="0" applyNumberFormat="1" applyFont="1" applyFill="1" applyBorder="1" applyAlignment="1">
      <alignment/>
    </xf>
    <xf numFmtId="0" fontId="7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indent="1"/>
    </xf>
    <xf numFmtId="0" fontId="9" fillId="0" borderId="0" xfId="0" applyNumberFormat="1" applyFont="1" applyFill="1" applyAlignment="1">
      <alignment horizontal="left" indent="2"/>
    </xf>
    <xf numFmtId="173" fontId="9" fillId="0" borderId="0" xfId="2528" applyNumberFormat="1" applyFont="1" applyFill="1" applyAlignment="1">
      <alignment/>
    </xf>
    <xf numFmtId="173" fontId="9" fillId="0" borderId="0" xfId="2528" applyNumberFormat="1" applyFont="1" applyFill="1" applyBorder="1" applyAlignment="1">
      <alignment/>
    </xf>
    <xf numFmtId="174" fontId="4" fillId="0" borderId="30" xfId="2606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indent="5"/>
    </xf>
    <xf numFmtId="173" fontId="9" fillId="0" borderId="0" xfId="0" applyNumberFormat="1" applyFont="1" applyFill="1" applyBorder="1" applyAlignment="1" quotePrefix="1">
      <alignment/>
    </xf>
    <xf numFmtId="173" fontId="9" fillId="0" borderId="0" xfId="0" applyNumberFormat="1" applyFont="1" applyFill="1" applyBorder="1" applyAlignment="1">
      <alignment/>
    </xf>
    <xf numFmtId="41" fontId="4" fillId="0" borderId="0" xfId="2818" applyNumberFormat="1" applyFont="1" applyFill="1" applyBorder="1" applyAlignment="1">
      <alignment horizontal="right"/>
      <protection/>
    </xf>
    <xf numFmtId="0" fontId="5" fillId="0" borderId="22" xfId="0" applyNumberFormat="1" applyFont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/>
    </xf>
    <xf numFmtId="173" fontId="4" fillId="0" borderId="22" xfId="2577" applyNumberFormat="1" applyFont="1" applyFill="1" applyBorder="1" applyAlignment="1">
      <alignment/>
    </xf>
    <xf numFmtId="173" fontId="4" fillId="0" borderId="22" xfId="2577" applyNumberFormat="1" applyFont="1" applyBorder="1" applyAlignment="1">
      <alignment/>
    </xf>
    <xf numFmtId="0" fontId="4" fillId="0" borderId="9" xfId="2904" applyFont="1" applyBorder="1" applyAlignment="1">
      <alignment horizontal="center"/>
      <protection/>
    </xf>
    <xf numFmtId="0" fontId="4" fillId="0" borderId="33" xfId="2904" applyFont="1" applyBorder="1" applyAlignment="1">
      <alignment horizontal="centerContinuous" vertical="center" wrapText="1"/>
      <protection/>
    </xf>
    <xf numFmtId="41" fontId="4" fillId="0" borderId="0" xfId="2904" applyNumberFormat="1" applyFont="1" applyFill="1">
      <alignment/>
      <protection/>
    </xf>
    <xf numFmtId="42" fontId="4" fillId="0" borderId="0" xfId="2528" applyNumberFormat="1" applyFont="1" applyBorder="1" applyAlignment="1">
      <alignment/>
    </xf>
    <xf numFmtId="41" fontId="4" fillId="0" borderId="0" xfId="2904" applyNumberFormat="1" applyFont="1" applyBorder="1">
      <alignment/>
      <protection/>
    </xf>
    <xf numFmtId="41" fontId="4" fillId="0" borderId="23" xfId="2528" applyNumberFormat="1" applyFont="1" applyBorder="1" applyAlignment="1">
      <alignment/>
    </xf>
    <xf numFmtId="41" fontId="4" fillId="0" borderId="21" xfId="2528" applyNumberFormat="1" applyFont="1" applyBorder="1" applyAlignment="1">
      <alignment/>
    </xf>
    <xf numFmtId="42" fontId="4" fillId="0" borderId="21" xfId="2528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5" fillId="0" borderId="0" xfId="2906" applyFont="1" applyFill="1" applyAlignment="1" applyProtection="1">
      <alignment/>
      <protection locked="0"/>
    </xf>
    <xf numFmtId="168" fontId="16" fillId="0" borderId="22" xfId="2904" applyNumberFormat="1" applyFont="1" applyBorder="1" applyAlignment="1">
      <alignment horizontal="center"/>
      <protection/>
    </xf>
    <xf numFmtId="44" fontId="4" fillId="0" borderId="0" xfId="2904" applyNumberFormat="1" applyFont="1">
      <alignment/>
      <protection/>
    </xf>
    <xf numFmtId="0" fontId="4" fillId="0" borderId="29" xfId="2904" applyFont="1" applyBorder="1" applyAlignment="1">
      <alignment horizontal="centerContinuous" wrapText="1"/>
      <protection/>
    </xf>
    <xf numFmtId="0" fontId="4" fillId="0" borderId="34" xfId="0" applyNumberFormat="1" applyFont="1" applyBorder="1" applyAlignment="1">
      <alignment/>
    </xf>
    <xf numFmtId="173" fontId="4" fillId="0" borderId="30" xfId="2577" applyNumberFormat="1" applyFont="1" applyFill="1" applyBorder="1" applyAlignment="1">
      <alignment/>
    </xf>
    <xf numFmtId="0" fontId="4" fillId="0" borderId="29" xfId="2904" applyFont="1" applyBorder="1" applyAlignment="1">
      <alignment horizontal="centerContinuous"/>
      <protection/>
    </xf>
    <xf numFmtId="0" fontId="4" fillId="0" borderId="4" xfId="2904" applyFont="1" applyBorder="1" applyAlignment="1">
      <alignment horizontal="centerContinuous"/>
      <protection/>
    </xf>
    <xf numFmtId="0" fontId="4" fillId="0" borderId="33" xfId="2904" applyFont="1" applyBorder="1" applyAlignment="1">
      <alignment horizontal="centerContinuous"/>
      <protection/>
    </xf>
    <xf numFmtId="186" fontId="5" fillId="0" borderId="35" xfId="0" applyNumberFormat="1" applyFont="1" applyFill="1" applyBorder="1" applyAlignment="1" quotePrefix="1">
      <alignment horizontal="right"/>
    </xf>
    <xf numFmtId="42" fontId="4" fillId="0" borderId="30" xfId="2606" applyNumberFormat="1" applyFont="1" applyFill="1" applyBorder="1" applyAlignment="1">
      <alignment/>
    </xf>
    <xf numFmtId="41" fontId="16" fillId="0" borderId="0" xfId="0" applyNumberFormat="1" applyFont="1" applyFill="1" applyAlignment="1">
      <alignment/>
    </xf>
    <xf numFmtId="170" fontId="16" fillId="0" borderId="0" xfId="0" applyNumberFormat="1" applyFont="1" applyFill="1" applyAlignment="1" applyProtection="1">
      <alignment/>
      <protection locked="0"/>
    </xf>
    <xf numFmtId="41" fontId="74" fillId="0" borderId="0" xfId="2606" applyNumberFormat="1" applyFont="1" applyFill="1" applyBorder="1" applyAlignment="1" applyProtection="1">
      <alignment/>
      <protection locked="0"/>
    </xf>
    <xf numFmtId="42" fontId="16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 applyProtection="1">
      <alignment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6" fillId="0" borderId="22" xfId="0" applyNumberFormat="1" applyFont="1" applyFill="1" applyBorder="1" applyAlignment="1" applyProtection="1">
      <alignment/>
      <protection locked="0"/>
    </xf>
    <xf numFmtId="41" fontId="16" fillId="0" borderId="0" xfId="0" applyNumberFormat="1" applyFont="1" applyAlignment="1">
      <alignment/>
    </xf>
    <xf numFmtId="42" fontId="16" fillId="0" borderId="21" xfId="0" applyNumberFormat="1" applyFont="1" applyBorder="1" applyAlignment="1">
      <alignment/>
    </xf>
    <xf numFmtId="174" fontId="16" fillId="0" borderId="0" xfId="2642" applyNumberFormat="1" applyFont="1" applyFill="1" applyAlignment="1">
      <alignment/>
    </xf>
    <xf numFmtId="173" fontId="16" fillId="0" borderId="0" xfId="2577" applyNumberFormat="1" applyFont="1" applyFill="1" applyAlignment="1">
      <alignment/>
    </xf>
    <xf numFmtId="173" fontId="16" fillId="0" borderId="0" xfId="2577" applyNumberFormat="1" applyFont="1" applyFill="1" applyBorder="1" applyAlignment="1">
      <alignment/>
    </xf>
    <xf numFmtId="42" fontId="16" fillId="0" borderId="30" xfId="0" applyNumberFormat="1" applyFont="1" applyBorder="1" applyAlignment="1">
      <alignment/>
    </xf>
    <xf numFmtId="173" fontId="16" fillId="0" borderId="22" xfId="2577" applyNumberFormat="1" applyFont="1" applyFill="1" applyBorder="1" applyAlignment="1">
      <alignment/>
    </xf>
    <xf numFmtId="174" fontId="16" fillId="0" borderId="30" xfId="2904" applyNumberFormat="1" applyFont="1" applyBorder="1">
      <alignment/>
      <protection/>
    </xf>
    <xf numFmtId="173" fontId="16" fillId="0" borderId="0" xfId="2577" applyNumberFormat="1" applyFont="1" applyAlignment="1">
      <alignment/>
    </xf>
    <xf numFmtId="173" fontId="16" fillId="0" borderId="0" xfId="2577" applyNumberFormat="1" applyFont="1" applyBorder="1" applyAlignment="1">
      <alignment/>
    </xf>
    <xf numFmtId="41" fontId="16" fillId="0" borderId="0" xfId="2905" applyNumberFormat="1" applyFont="1" applyFill="1" applyBorder="1">
      <alignment/>
      <protection/>
    </xf>
    <xf numFmtId="41" fontId="16" fillId="0" borderId="22" xfId="2549" applyNumberFormat="1" applyFont="1" applyFill="1" applyBorder="1" applyAlignment="1">
      <alignment/>
    </xf>
    <xf numFmtId="41" fontId="16" fillId="0" borderId="23" xfId="0" applyNumberFormat="1" applyFont="1" applyFill="1" applyBorder="1" applyAlignment="1">
      <alignment/>
    </xf>
    <xf numFmtId="41" fontId="16" fillId="0" borderId="22" xfId="0" applyNumberFormat="1" applyFont="1" applyFill="1" applyBorder="1" applyAlignment="1">
      <alignment/>
    </xf>
    <xf numFmtId="42" fontId="16" fillId="0" borderId="0" xfId="0" applyNumberFormat="1" applyFont="1" applyFill="1" applyAlignment="1" applyProtection="1">
      <alignment/>
      <protection locked="0"/>
    </xf>
    <xf numFmtId="42" fontId="16" fillId="0" borderId="30" xfId="2528" applyNumberFormat="1" applyFont="1" applyFill="1" applyBorder="1" applyAlignment="1">
      <alignment/>
    </xf>
    <xf numFmtId="41" fontId="16" fillId="0" borderId="0" xfId="2528" applyNumberFormat="1" applyFont="1" applyFill="1" applyAlignment="1" applyProtection="1">
      <alignment/>
      <protection locked="0"/>
    </xf>
    <xf numFmtId="37" fontId="16" fillId="0" borderId="0" xfId="2528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Alignment="1">
      <alignment horizontal="center"/>
    </xf>
    <xf numFmtId="41" fontId="16" fillId="0" borderId="0" xfId="2528" applyNumberFormat="1" applyFont="1" applyFill="1" applyAlignment="1">
      <alignment/>
    </xf>
    <xf numFmtId="42" fontId="16" fillId="0" borderId="23" xfId="0" applyNumberFormat="1" applyFont="1" applyFill="1" applyBorder="1" applyAlignment="1">
      <alignment/>
    </xf>
    <xf numFmtId="0" fontId="76" fillId="0" borderId="0" xfId="0" applyNumberFormat="1" applyFont="1" applyAlignment="1">
      <alignment/>
    </xf>
    <xf numFmtId="42" fontId="16" fillId="0" borderId="0" xfId="0" applyNumberFormat="1" applyFont="1" applyAlignment="1">
      <alignment/>
    </xf>
    <xf numFmtId="41" fontId="16" fillId="0" borderId="22" xfId="0" applyNumberFormat="1" applyFont="1" applyBorder="1" applyAlignment="1">
      <alignment/>
    </xf>
    <xf numFmtId="173" fontId="16" fillId="0" borderId="0" xfId="0" applyNumberFormat="1" applyFont="1" applyFill="1" applyAlignment="1">
      <alignment/>
    </xf>
    <xf numFmtId="10" fontId="16" fillId="0" borderId="0" xfId="2956" applyNumberFormat="1" applyFont="1" applyFill="1" applyAlignment="1" applyProtection="1">
      <alignment/>
      <protection locked="0"/>
    </xf>
    <xf numFmtId="173" fontId="16" fillId="0" borderId="0" xfId="0" applyNumberFormat="1" applyFont="1" applyFill="1" applyAlignment="1" applyProtection="1">
      <alignment/>
      <protection locked="0"/>
    </xf>
    <xf numFmtId="37" fontId="16" fillId="0" borderId="0" xfId="2528" applyNumberFormat="1" applyFont="1" applyAlignment="1">
      <alignment/>
    </xf>
    <xf numFmtId="0" fontId="16" fillId="0" borderId="0" xfId="0" applyNumberFormat="1" applyFont="1" applyFill="1" applyBorder="1" applyAlignment="1">
      <alignment horizontal="center"/>
    </xf>
    <xf numFmtId="41" fontId="16" fillId="0" borderId="4" xfId="0" applyNumberFormat="1" applyFont="1" applyBorder="1" applyAlignment="1">
      <alignment/>
    </xf>
    <xf numFmtId="42" fontId="16" fillId="0" borderId="0" xfId="0" applyNumberFormat="1" applyFont="1" applyFill="1" applyBorder="1" applyAlignment="1" applyProtection="1">
      <alignment horizontal="right"/>
      <protection locked="0"/>
    </xf>
    <xf numFmtId="41" fontId="16" fillId="0" borderId="0" xfId="2528" applyNumberFormat="1" applyFont="1" applyFill="1" applyAlignment="1">
      <alignment horizontal="right"/>
    </xf>
    <xf numFmtId="182" fontId="16" fillId="0" borderId="0" xfId="0" applyFont="1" applyFill="1" applyAlignment="1">
      <alignment/>
    </xf>
    <xf numFmtId="42" fontId="16" fillId="0" borderId="0" xfId="0" applyNumberFormat="1" applyFont="1" applyFill="1" applyBorder="1" applyAlignment="1" applyProtection="1">
      <alignment/>
      <protection locked="0"/>
    </xf>
    <xf numFmtId="174" fontId="4" fillId="0" borderId="23" xfId="2606" applyNumberFormat="1" applyFont="1" applyFill="1" applyBorder="1" applyAlignment="1">
      <alignment/>
    </xf>
    <xf numFmtId="0" fontId="16" fillId="0" borderId="0" xfId="2904" applyFont="1" applyAlignment="1">
      <alignment horizontal="centerContinuous"/>
      <protection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41" fontId="9" fillId="0" borderId="0" xfId="2606" applyNumberFormat="1" applyFont="1" applyFill="1" applyAlignment="1" applyProtection="1">
      <alignment/>
      <protection locked="0"/>
    </xf>
    <xf numFmtId="41" fontId="74" fillId="0" borderId="0" xfId="2606" applyNumberFormat="1" applyFont="1" applyFill="1" applyAlignment="1" applyProtection="1">
      <alignment/>
      <protection locked="0"/>
    </xf>
    <xf numFmtId="0" fontId="0" fillId="0" borderId="0" xfId="0" applyNumberFormat="1" applyFill="1" applyAlignment="1">
      <alignment horizontal="centerContinuous"/>
    </xf>
    <xf numFmtId="185" fontId="4" fillId="0" borderId="0" xfId="0" applyNumberFormat="1" applyFont="1" applyBorder="1" applyAlignment="1">
      <alignment horizontal="center" vertical="center" wrapText="1"/>
    </xf>
    <xf numFmtId="41" fontId="4" fillId="11" borderId="0" xfId="2528" applyNumberFormat="1" applyFont="1" applyFill="1" applyBorder="1" applyAlignment="1">
      <alignment/>
    </xf>
    <xf numFmtId="41" fontId="4" fillId="11" borderId="0" xfId="0" applyNumberFormat="1" applyFont="1" applyFill="1" applyAlignment="1">
      <alignment/>
    </xf>
    <xf numFmtId="41" fontId="16" fillId="11" borderId="0" xfId="2528" applyNumberFormat="1" applyFont="1" applyFill="1" applyBorder="1" applyAlignment="1">
      <alignment/>
    </xf>
    <xf numFmtId="41" fontId="16" fillId="11" borderId="0" xfId="0" applyNumberFormat="1" applyFont="1" applyFill="1" applyAlignment="1">
      <alignment/>
    </xf>
    <xf numFmtId="41" fontId="4" fillId="11" borderId="0" xfId="2528" applyNumberFormat="1" applyFont="1" applyFill="1" applyAlignment="1">
      <alignment/>
    </xf>
    <xf numFmtId="0" fontId="0" fillId="0" borderId="0" xfId="0" applyNumberFormat="1" applyFont="1" applyAlignment="1">
      <alignment/>
    </xf>
    <xf numFmtId="10" fontId="4" fillId="0" borderId="36" xfId="2956" applyNumberFormat="1" applyFont="1" applyFill="1" applyBorder="1" applyAlignment="1" applyProtection="1">
      <alignment horizontal="center"/>
      <protection locked="0"/>
    </xf>
    <xf numFmtId="173" fontId="4" fillId="0" borderId="22" xfId="0" applyNumberFormat="1" applyFont="1" applyFill="1" applyBorder="1" applyAlignment="1" applyProtection="1">
      <alignment/>
      <protection locked="0"/>
    </xf>
    <xf numFmtId="3" fontId="4" fillId="0" borderId="0" xfId="2528" applyNumberFormat="1" applyFont="1" applyFill="1" applyAlignment="1" applyProtection="1">
      <alignment/>
      <protection locked="0"/>
    </xf>
    <xf numFmtId="173" fontId="16" fillId="0" borderId="22" xfId="0" applyNumberFormat="1" applyFont="1" applyFill="1" applyBorder="1" applyAlignment="1">
      <alignment/>
    </xf>
    <xf numFmtId="173" fontId="4" fillId="0" borderId="23" xfId="0" applyNumberFormat="1" applyFont="1" applyFill="1" applyBorder="1" applyAlignment="1" applyProtection="1">
      <alignment/>
      <protection locked="0"/>
    </xf>
    <xf numFmtId="173" fontId="16" fillId="0" borderId="23" xfId="0" applyNumberFormat="1" applyFont="1" applyFill="1" applyBorder="1" applyAlignment="1" applyProtection="1">
      <alignment/>
      <protection locked="0"/>
    </xf>
    <xf numFmtId="42" fontId="5" fillId="0" borderId="23" xfId="0" applyNumberFormat="1" applyFont="1" applyFill="1" applyBorder="1" applyAlignment="1">
      <alignment/>
    </xf>
    <xf numFmtId="42" fontId="4" fillId="0" borderId="21" xfId="0" applyNumberFormat="1" applyFont="1" applyFill="1" applyBorder="1" applyAlignment="1" applyProtection="1">
      <alignment/>
      <protection locked="0"/>
    </xf>
    <xf numFmtId="42" fontId="16" fillId="0" borderId="21" xfId="0" applyNumberFormat="1" applyFont="1" applyFill="1" applyBorder="1" applyAlignment="1" applyProtection="1">
      <alignment/>
      <protection locked="0"/>
    </xf>
    <xf numFmtId="37" fontId="16" fillId="0" borderId="21" xfId="2528" applyNumberFormat="1" applyFont="1" applyBorder="1" applyAlignment="1">
      <alignment/>
    </xf>
    <xf numFmtId="41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174" fontId="74" fillId="0" borderId="0" xfId="0" applyNumberFormat="1" applyFon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42" fontId="4" fillId="0" borderId="21" xfId="2905" applyNumberFormat="1" applyFont="1" applyFill="1" applyBorder="1">
      <alignment/>
      <protection/>
    </xf>
    <xf numFmtId="0" fontId="0" fillId="0" borderId="0" xfId="0" applyNumberFormat="1" applyFont="1" applyFill="1" applyAlignment="1">
      <alignment/>
    </xf>
    <xf numFmtId="3" fontId="4" fillId="0" borderId="23" xfId="2528" applyNumberFormat="1" applyFont="1" applyFill="1" applyBorder="1" applyAlignment="1">
      <alignment/>
    </xf>
    <xf numFmtId="42" fontId="4" fillId="0" borderId="23" xfId="2528" applyNumberFormat="1" applyFont="1" applyFill="1" applyBorder="1" applyAlignment="1">
      <alignment/>
    </xf>
    <xf numFmtId="42" fontId="16" fillId="0" borderId="21" xfId="0" applyNumberFormat="1" applyFont="1" applyFill="1" applyBorder="1" applyAlignment="1">
      <alignment/>
    </xf>
    <xf numFmtId="42" fontId="4" fillId="0" borderId="21" xfId="0" applyNumberFormat="1" applyFont="1" applyFill="1" applyBorder="1" applyAlignment="1">
      <alignment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2" fontId="9" fillId="0" borderId="23" xfId="2606" applyNumberFormat="1" applyFont="1" applyFill="1" applyBorder="1" applyAlignment="1" applyProtection="1">
      <alignment/>
      <protection locked="0"/>
    </xf>
    <xf numFmtId="42" fontId="4" fillId="0" borderId="23" xfId="0" applyNumberFormat="1" applyFont="1" applyFill="1" applyBorder="1" applyAlignment="1">
      <alignment horizontal="right"/>
    </xf>
    <xf numFmtId="173" fontId="4" fillId="0" borderId="23" xfId="2528" applyNumberFormat="1" applyFont="1" applyFill="1" applyBorder="1" applyAlignment="1">
      <alignment/>
    </xf>
    <xf numFmtId="42" fontId="4" fillId="0" borderId="23" xfId="2549" applyNumberFormat="1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173" fontId="16" fillId="0" borderId="0" xfId="2528" applyNumberFormat="1" applyFont="1" applyFill="1" applyBorder="1" applyAlignment="1">
      <alignment/>
    </xf>
    <xf numFmtId="37" fontId="4" fillId="0" borderId="0" xfId="2818" applyNumberFormat="1" applyFont="1" applyFill="1" applyBorder="1" applyAlignment="1">
      <alignment horizontal="right"/>
      <protection/>
    </xf>
    <xf numFmtId="41" fontId="4" fillId="0" borderId="23" xfId="2606" applyNumberFormat="1" applyFont="1" applyFill="1" applyBorder="1" applyAlignment="1" applyProtection="1">
      <alignment/>
      <protection locked="0"/>
    </xf>
    <xf numFmtId="41" fontId="16" fillId="0" borderId="23" xfId="2606" applyNumberFormat="1" applyFont="1" applyFill="1" applyBorder="1" applyAlignment="1" applyProtection="1">
      <alignment/>
      <protection locked="0"/>
    </xf>
    <xf numFmtId="182" fontId="4" fillId="0" borderId="0" xfId="3197" applyNumberFormat="1" applyFont="1" applyFill="1" applyAlignment="1">
      <alignment horizontal="left"/>
      <protection/>
    </xf>
    <xf numFmtId="182" fontId="4" fillId="0" borderId="0" xfId="3197" applyNumberFormat="1" applyFont="1" applyFill="1" applyAlignment="1" quotePrefix="1">
      <alignment horizontal="left"/>
      <protection/>
    </xf>
    <xf numFmtId="42" fontId="4" fillId="0" borderId="23" xfId="2905" applyNumberFormat="1" applyFont="1" applyFill="1" applyBorder="1">
      <alignment/>
      <protection/>
    </xf>
    <xf numFmtId="41" fontId="4" fillId="0" borderId="0" xfId="3197" applyNumberFormat="1" applyFont="1" applyFill="1" applyBorder="1" applyAlignment="1" applyProtection="1">
      <alignment/>
      <protection locked="0"/>
    </xf>
    <xf numFmtId="174" fontId="4" fillId="0" borderId="0" xfId="3197" applyNumberFormat="1" applyFont="1" applyFill="1" applyBorder="1" applyAlignment="1">
      <alignment/>
      <protection/>
    </xf>
    <xf numFmtId="173" fontId="16" fillId="0" borderId="22" xfId="2528" applyNumberFormat="1" applyFont="1" applyFill="1" applyBorder="1" applyAlignment="1">
      <alignment/>
    </xf>
    <xf numFmtId="174" fontId="16" fillId="0" borderId="0" xfId="2606" applyNumberFormat="1" applyFont="1" applyFill="1" applyBorder="1" applyAlignment="1">
      <alignment/>
    </xf>
    <xf numFmtId="174" fontId="16" fillId="0" borderId="21" xfId="0" applyNumberFormat="1" applyFont="1" applyFill="1" applyBorder="1" applyAlignment="1">
      <alignment/>
    </xf>
    <xf numFmtId="174" fontId="16" fillId="0" borderId="23" xfId="2606" applyNumberFormat="1" applyFont="1" applyFill="1" applyBorder="1" applyAlignment="1">
      <alignment/>
    </xf>
    <xf numFmtId="37" fontId="16" fillId="0" borderId="22" xfId="2528" applyNumberFormat="1" applyFont="1" applyBorder="1" applyAlignment="1">
      <alignment/>
    </xf>
    <xf numFmtId="174" fontId="16" fillId="0" borderId="30" xfId="2606" applyNumberFormat="1" applyFont="1" applyFill="1" applyBorder="1" applyAlignment="1">
      <alignment/>
    </xf>
    <xf numFmtId="42" fontId="16" fillId="0" borderId="23" xfId="0" applyNumberFormat="1" applyFont="1" applyBorder="1" applyAlignment="1">
      <alignment/>
    </xf>
    <xf numFmtId="177" fontId="4" fillId="0" borderId="23" xfId="0" applyNumberFormat="1" applyFont="1" applyFill="1" applyBorder="1" applyAlignment="1">
      <alignment/>
    </xf>
    <xf numFmtId="41" fontId="16" fillId="0" borderId="0" xfId="0" applyNumberFormat="1" applyFont="1" applyBorder="1" applyAlignment="1">
      <alignment/>
    </xf>
    <xf numFmtId="0" fontId="4" fillId="0" borderId="0" xfId="2906" applyFont="1" applyFill="1" applyAlignment="1" applyProtection="1">
      <alignment/>
      <protection locked="0"/>
    </xf>
    <xf numFmtId="173" fontId="16" fillId="0" borderId="23" xfId="2577" applyNumberFormat="1" applyFont="1" applyFill="1" applyBorder="1" applyAlignment="1">
      <alignment/>
    </xf>
    <xf numFmtId="173" fontId="4" fillId="0" borderId="23" xfId="2577" applyNumberFormat="1" applyFont="1" applyFill="1" applyBorder="1" applyAlignment="1">
      <alignment/>
    </xf>
    <xf numFmtId="173" fontId="4" fillId="0" borderId="23" xfId="2577" applyNumberFormat="1" applyFont="1" applyBorder="1" applyAlignment="1">
      <alignment/>
    </xf>
    <xf numFmtId="173" fontId="16" fillId="0" borderId="23" xfId="2577" applyNumberFormat="1" applyFont="1" applyBorder="1" applyAlignment="1">
      <alignment/>
    </xf>
    <xf numFmtId="173" fontId="16" fillId="0" borderId="4" xfId="2904" applyNumberFormat="1" applyFont="1" applyFill="1" applyBorder="1">
      <alignment/>
      <protection/>
    </xf>
    <xf numFmtId="173" fontId="4" fillId="0" borderId="4" xfId="2904" applyNumberFormat="1" applyFont="1" applyFill="1" applyBorder="1">
      <alignment/>
      <protection/>
    </xf>
    <xf numFmtId="173" fontId="4" fillId="0" borderId="4" xfId="2904" applyNumberFormat="1" applyFont="1" applyBorder="1">
      <alignment/>
      <protection/>
    </xf>
    <xf numFmtId="173" fontId="16" fillId="0" borderId="4" xfId="2904" applyNumberFormat="1" applyFont="1" applyBorder="1">
      <alignment/>
      <protection/>
    </xf>
    <xf numFmtId="0" fontId="4" fillId="0" borderId="23" xfId="2904" applyFont="1" applyBorder="1">
      <alignment/>
      <protection/>
    </xf>
    <xf numFmtId="10" fontId="4" fillId="0" borderId="0" xfId="0" applyNumberFormat="1" applyFont="1" applyFill="1" applyBorder="1" applyAlignment="1">
      <alignment horizontal="center"/>
    </xf>
    <xf numFmtId="37" fontId="4" fillId="0" borderId="0" xfId="2528" applyNumberFormat="1" applyFont="1" applyFill="1" applyBorder="1" applyAlignment="1" applyProtection="1">
      <alignment/>
      <protection locked="0"/>
    </xf>
    <xf numFmtId="42" fontId="4" fillId="0" borderId="21" xfId="2528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10" fontId="4" fillId="0" borderId="22" xfId="2956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</cellXfs>
  <cellStyles count="3213">
    <cellStyle name="Normal" xfId="0"/>
    <cellStyle name="_x0013_" xfId="15"/>
    <cellStyle name=" 1" xfId="16"/>
    <cellStyle name=" 1 2" xfId="17"/>
    <cellStyle name="_x0013_ 2" xfId="18"/>
    <cellStyle name="_x0013_ 3" xfId="19"/>
    <cellStyle name="_x0013_ 4" xfId="20"/>
    <cellStyle name="_09GRC Gas Transport For Review" xfId="21"/>
    <cellStyle name="_09GRC Gas Transport For Review 2" xfId="22"/>
    <cellStyle name="_09GRC Gas Transport For Review_Book4" xfId="23"/>
    <cellStyle name="_09GRC Gas Transport For Review_Book4 2" xfId="24"/>
    <cellStyle name="_x0013__16.07E Wild Horse Wind Expansionwrkingfile" xfId="25"/>
    <cellStyle name="_x0013__16.07E Wild Horse Wind Expansionwrkingfile 2" xfId="26"/>
    <cellStyle name="_x0013__16.07E Wild Horse Wind Expansionwrkingfile SF" xfId="27"/>
    <cellStyle name="_x0013__16.07E Wild Horse Wind Expansionwrkingfile SF 2" xfId="28"/>
    <cellStyle name="_x0013__16.37E Wild Horse Expansion DeferralRevwrkingfile SF" xfId="29"/>
    <cellStyle name="_x0013__16.37E Wild Horse Expansion DeferralRevwrkingfile SF 2" xfId="30"/>
    <cellStyle name="_2008 Strat Plan Power Costs Forecast V2 (2009 Update)" xfId="31"/>
    <cellStyle name="_2008 Strat Plan Power Costs Forecast V2 (2009 Update) 2" xfId="32"/>
    <cellStyle name="_2008 Strat Plan Power Costs Forecast V2 (2009 Update)_NIM Summary" xfId="33"/>
    <cellStyle name="_2008 Strat Plan Power Costs Forecast V2 (2009 Update)_NIM Summary 2" xfId="34"/>
    <cellStyle name="_4.06E Pass Throughs" xfId="35"/>
    <cellStyle name="_4.06E Pass Throughs 2" xfId="36"/>
    <cellStyle name="_4.06E Pass Throughs 2 2" xfId="37"/>
    <cellStyle name="_4.06E Pass Throughs 3" xfId="38"/>
    <cellStyle name="_4.06E Pass Throughs 4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_Adj Bench DR 3 for Initial Briefs (Electric)" xfId="42"/>
    <cellStyle name="_4.06E Pass Throughs_04 07E Wild Horse Wind Expansion (C) (2)_Adj Bench DR 3 for Initial Briefs (Electric) 2" xfId="43"/>
    <cellStyle name="_4.06E Pass Throughs_04 07E Wild Horse Wind Expansion (C) (2)_Electric Rev Req Model (2009 GRC) " xfId="44"/>
    <cellStyle name="_4.06E Pass Throughs_04 07E Wild Horse Wind Expansion (C) (2)_Electric Rev Req Model (2009 GRC)  2" xfId="45"/>
    <cellStyle name="_4.06E Pass Throughs_04 07E Wild Horse Wind Expansion (C) (2)_Electric Rev Req Model (2009 GRC) Rebuttal" xfId="46"/>
    <cellStyle name="_4.06E Pass Throughs_04 07E Wild Horse Wind Expansion (C) (2)_Electric Rev Req Model (2009 GRC) Rebuttal REmoval of New  WH Solar AdjustMI" xfId="47"/>
    <cellStyle name="_4.06E Pass Throughs_04 07E Wild Horse Wind Expansion (C) (2)_Electric Rev Req Model (2009 GRC) Rebuttal REmoval of New  WH Solar AdjustMI 2" xfId="48"/>
    <cellStyle name="_4.06E Pass Throughs_04 07E Wild Horse Wind Expansion (C) (2)_Electric Rev Req Model (2009 GRC) Revised 01-18-2010" xfId="49"/>
    <cellStyle name="_4.06E Pass Throughs_04 07E Wild Horse Wind Expansion (C) (2)_Electric Rev Req Model (2009 GRC) Revised 01-18-2010 2" xfId="50"/>
    <cellStyle name="_4.06E Pass Throughs_04 07E Wild Horse Wind Expansion (C) (2)_Final Order Electric EXHIBIT A-1" xfId="51"/>
    <cellStyle name="_4.06E Pass Throughs_04 07E Wild Horse Wind Expansion (C) (2)_TENASKA REGULATORY ASSET" xfId="52"/>
    <cellStyle name="_4.06E Pass Throughs_16.37E Wild Horse Expansion DeferralRevwrkingfile SF" xfId="53"/>
    <cellStyle name="_4.06E Pass Throughs_16.37E Wild Horse Expansion DeferralRevwrkingfile SF 2" xfId="54"/>
    <cellStyle name="_4.06E Pass Throughs_2009 GRC Compl Filing - Exhibit D" xfId="55"/>
    <cellStyle name="_4.06E Pass Throughs_2009 GRC Compl Filing - Exhibit D 2" xfId="56"/>
    <cellStyle name="_4.06E Pass Throughs_4 31 Regulatory Assets and Liabilities  7 06- Exhibit D" xfId="57"/>
    <cellStyle name="_4.06E Pass Throughs_4 31 Regulatory Assets and Liabilities  7 06- Exhibit D 2" xfId="58"/>
    <cellStyle name="_4.06E Pass Throughs_4 31 Regulatory Assets and Liabilities  7 06- Exhibit D_NIM Summary" xfId="59"/>
    <cellStyle name="_4.06E Pass Throughs_4 31 Regulatory Assets and Liabilities  7 06- Exhibit D_NIM Summary 2" xfId="60"/>
    <cellStyle name="_4.06E Pass Throughs_4 32 Regulatory Assets and Liabilities  7 06- Exhibit D" xfId="61"/>
    <cellStyle name="_4.06E Pass Throughs_4 32 Regulatory Assets and Liabilities  7 06- Exhibit D 2" xfId="62"/>
    <cellStyle name="_4.06E Pass Throughs_4 32 Regulatory Assets and Liabilities  7 06- Exhibit D_NIM Summary" xfId="63"/>
    <cellStyle name="_4.06E Pass Throughs_4 32 Regulatory Assets and Liabilities  7 06- Exhibit D_NIM Summary 2" xfId="64"/>
    <cellStyle name="_4.06E Pass Throughs_AURORA Total New" xfId="65"/>
    <cellStyle name="_4.06E Pass Throughs_AURORA Total New 2" xfId="66"/>
    <cellStyle name="_4.06E Pass Throughs_Book2" xfId="67"/>
    <cellStyle name="_4.06E Pass Throughs_Book2 2" xfId="68"/>
    <cellStyle name="_4.06E Pass Throughs_Book2_Adj Bench DR 3 for Initial Briefs (Electric)" xfId="69"/>
    <cellStyle name="_4.06E Pass Throughs_Book2_Adj Bench DR 3 for Initial Briefs (Electric) 2" xfId="70"/>
    <cellStyle name="_4.06E Pass Throughs_Book2_Electric Rev Req Model (2009 GRC) Rebuttal" xfId="71"/>
    <cellStyle name="_4.06E Pass Throughs_Book2_Electric Rev Req Model (2009 GRC) Rebuttal REmoval of New  WH Solar AdjustMI" xfId="72"/>
    <cellStyle name="_4.06E Pass Throughs_Book2_Electric Rev Req Model (2009 GRC) Rebuttal REmoval of New  WH Solar AdjustMI 2" xfId="73"/>
    <cellStyle name="_4.06E Pass Throughs_Book2_Electric Rev Req Model (2009 GRC) Revised 01-18-2010" xfId="74"/>
    <cellStyle name="_4.06E Pass Throughs_Book2_Electric Rev Req Model (2009 GRC) Revised 01-18-2010 2" xfId="75"/>
    <cellStyle name="_4.06E Pass Throughs_Book2_Final Order Electric EXHIBIT A-1" xfId="76"/>
    <cellStyle name="_4.06E Pass Throughs_Book4" xfId="77"/>
    <cellStyle name="_4.06E Pass Throughs_Book4 2" xfId="78"/>
    <cellStyle name="_4.06E Pass Throughs_Book9" xfId="79"/>
    <cellStyle name="_4.06E Pass Throughs_Book9 2" xfId="80"/>
    <cellStyle name="_4.06E Pass Throughs_NIM Summary" xfId="81"/>
    <cellStyle name="_4.06E Pass Throughs_NIM Summary 09GRC" xfId="82"/>
    <cellStyle name="_4.06E Pass Throughs_NIM Summary 09GRC 2" xfId="83"/>
    <cellStyle name="_4.06E Pass Throughs_NIM Summary 2" xfId="84"/>
    <cellStyle name="_4.06E Pass Throughs_NIM Summary 3" xfId="85"/>
    <cellStyle name="_4.06E Pass Throughs_PCA 9 -  Exhibit D April 2010 (3)" xfId="86"/>
    <cellStyle name="_4.06E Pass Throughs_PCA 9 -  Exhibit D April 2010 (3) 2" xfId="87"/>
    <cellStyle name="_4.06E Pass Throughs_Power Costs - Comparison bx Rbtl-Staff-Jt-PC" xfId="88"/>
    <cellStyle name="_4.06E Pass Throughs_Power Costs - Comparison bx Rbtl-Staff-Jt-PC 2" xfId="89"/>
    <cellStyle name="_4.06E Pass Throughs_Power Costs - Comparison bx Rbtl-Staff-Jt-PC_Adj Bench DR 3 for Initial Briefs (Electric)" xfId="90"/>
    <cellStyle name="_4.06E Pass Throughs_Power Costs - Comparison bx Rbtl-Staff-Jt-PC_Adj Bench DR 3 for Initial Briefs (Electric) 2" xfId="91"/>
    <cellStyle name="_4.06E Pass Throughs_Power Costs - Comparison bx Rbtl-Staff-Jt-PC_Electric Rev Req Model (2009 GRC) Rebuttal" xfId="92"/>
    <cellStyle name="_4.06E Pass Throughs_Power Costs - Comparison bx Rbtl-Staff-Jt-PC_Electric Rev Req Model (2009 GRC) Rebuttal REmoval of New  WH Solar AdjustMI" xfId="93"/>
    <cellStyle name="_4.06E Pass Throughs_Power Costs - Comparison bx Rbtl-Staff-Jt-PC_Electric Rev Req Model (2009 GRC) Rebuttal REmoval of New  WH Solar AdjustMI 2" xfId="94"/>
    <cellStyle name="_4.06E Pass Throughs_Power Costs - Comparison bx Rbtl-Staff-Jt-PC_Electric Rev Req Model (2009 GRC) Revised 01-18-2010" xfId="95"/>
    <cellStyle name="_4.06E Pass Throughs_Power Costs - Comparison bx Rbtl-Staff-Jt-PC_Electric Rev Req Model (2009 GRC) Revised 01-18-2010 2" xfId="96"/>
    <cellStyle name="_4.06E Pass Throughs_Power Costs - Comparison bx Rbtl-Staff-Jt-PC_Final Order Electric EXHIBIT A-1" xfId="97"/>
    <cellStyle name="_4.06E Pass Throughs_Rebuttal Power Costs" xfId="98"/>
    <cellStyle name="_4.06E Pass Throughs_Rebuttal Power Costs 2" xfId="99"/>
    <cellStyle name="_4.06E Pass Throughs_Rebuttal Power Costs_Adj Bench DR 3 for Initial Briefs (Electric)" xfId="100"/>
    <cellStyle name="_4.06E Pass Throughs_Rebuttal Power Costs_Adj Bench DR 3 for Initial Briefs (Electric) 2" xfId="101"/>
    <cellStyle name="_4.06E Pass Throughs_Rebuttal Power Costs_Electric Rev Req Model (2009 GRC) Rebuttal" xfId="102"/>
    <cellStyle name="_4.06E Pass Throughs_Rebuttal Power Costs_Electric Rev Req Model (2009 GRC) Rebuttal REmoval of New  WH Solar AdjustMI" xfId="103"/>
    <cellStyle name="_4.06E Pass Throughs_Rebuttal Power Costs_Electric Rev Req Model (2009 GRC) Rebuttal REmoval of New  WH Solar AdjustMI 2" xfId="104"/>
    <cellStyle name="_4.06E Pass Throughs_Rebuttal Power Costs_Electric Rev Req Model (2009 GRC) Revised 01-18-2010" xfId="105"/>
    <cellStyle name="_4.06E Pass Throughs_Rebuttal Power Costs_Electric Rev Req Model (2009 GRC) Revised 01-18-2010 2" xfId="106"/>
    <cellStyle name="_4.06E Pass Throughs_Rebuttal Power Costs_Final Order Electric EXHIBIT A-1" xfId="107"/>
    <cellStyle name="_4.06E Pass Throughs_Wind Integration 10GRC" xfId="108"/>
    <cellStyle name="_4.06E Pass Throughs_Wind Integration 10GRC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4" xfId="11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REmoval of New  WH Solar AdjustMI" xfId="122"/>
    <cellStyle name="_4.13E Montana Energy Tax_04 07E Wild Horse Wind Expansion (C) (2)_Electric Rev Req Model (2009 GRC) Rebuttal REmoval of New  WH Solar AdjustMI 2" xfId="123"/>
    <cellStyle name="_4.13E Montana Energy Tax_04 07E Wild Horse Wind Expansion (C) (2)_Electric Rev Req Model (2009 GRC) Revised 01-18-2010" xfId="124"/>
    <cellStyle name="_4.13E Montana Energy Tax_04 07E Wild Horse Wind Expansion (C) (2)_Electric Rev Req Model (2009 GRC) Revised 01-18-2010 2" xfId="125"/>
    <cellStyle name="_4.13E Montana Energy Tax_04 07E Wild Horse Wind Expansion (C) (2)_Final Order Electric EXHIBIT A-1" xfId="126"/>
    <cellStyle name="_4.13E Montana Energy Tax_04 07E Wild Horse Wind Expansion (C) (2)_TENASKA REGULATORY ASSET" xfId="127"/>
    <cellStyle name="_4.13E Montana Energy Tax_16.37E Wild Horse Expansion DeferralRevwrkingfile SF" xfId="128"/>
    <cellStyle name="_4.13E Montana Energy Tax_16.37E Wild Horse Expansion DeferralRevwrkingfile SF 2" xfId="129"/>
    <cellStyle name="_4.13E Montana Energy Tax_2009 GRC Compl Filing - Exhibit D" xfId="130"/>
    <cellStyle name="_4.13E Montana Energy Tax_2009 GRC Compl Filing - Exhibit D 2" xfId="131"/>
    <cellStyle name="_4.13E Montana Energy Tax_4 31 Regulatory Assets and Liabilities  7 06- Exhibit D" xfId="132"/>
    <cellStyle name="_4.13E Montana Energy Tax_4 31 Regulatory Assets and Liabilities  7 06- Exhibit D 2" xfId="133"/>
    <cellStyle name="_4.13E Montana Energy Tax_4 31 Regulatory Assets and Liabilities  7 06- Exhibit D_NIM Summary" xfId="134"/>
    <cellStyle name="_4.13E Montana Energy Tax_4 31 Regulatory Assets and Liabilities  7 06- Exhibit D_NIM Summary 2" xfId="135"/>
    <cellStyle name="_4.13E Montana Energy Tax_4 32 Regulatory Assets and Liabilities  7 06- Exhibit D" xfId="136"/>
    <cellStyle name="_4.13E Montana Energy Tax_4 32 Regulatory Assets and Liabilities  7 06- Exhibit D 2" xfId="137"/>
    <cellStyle name="_4.13E Montana Energy Tax_4 32 Regulatory Assets and Liabilities  7 06- Exhibit D_NIM Summary" xfId="138"/>
    <cellStyle name="_4.13E Montana Energy Tax_4 32 Regulatory Assets and Liabilities  7 06- Exhibit D_NIM Summary 2" xfId="139"/>
    <cellStyle name="_4.13E Montana Energy Tax_AURORA Total New" xfId="140"/>
    <cellStyle name="_4.13E Montana Energy Tax_AURORA Total New 2" xfId="141"/>
    <cellStyle name="_4.13E Montana Energy Tax_Book2" xfId="142"/>
    <cellStyle name="_4.13E Montana Energy Tax_Book2 2" xfId="143"/>
    <cellStyle name="_4.13E Montana Energy Tax_Book2_Adj Bench DR 3 for Initial Briefs (Electric)" xfId="144"/>
    <cellStyle name="_4.13E Montana Energy Tax_Book2_Adj Bench DR 3 for Initial Briefs (Electric) 2" xfId="145"/>
    <cellStyle name="_4.13E Montana Energy Tax_Book2_Electric Rev Req Model (2009 GRC) Rebuttal" xfId="146"/>
    <cellStyle name="_4.13E Montana Energy Tax_Book2_Electric Rev Req Model (2009 GRC) Rebuttal REmoval of New  WH Solar AdjustMI" xfId="147"/>
    <cellStyle name="_4.13E Montana Energy Tax_Book2_Electric Rev Req Model (2009 GRC) Rebuttal REmoval of New  WH Solar AdjustMI 2" xfId="148"/>
    <cellStyle name="_4.13E Montana Energy Tax_Book2_Electric Rev Req Model (2009 GRC) Revised 01-18-2010" xfId="149"/>
    <cellStyle name="_4.13E Montana Energy Tax_Book2_Electric Rev Req Model (2009 GRC) Revised 01-18-2010 2" xfId="150"/>
    <cellStyle name="_4.13E Montana Energy Tax_Book2_Final Order Electric EXHIBIT A-1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NIM Summary" xfId="156"/>
    <cellStyle name="_4.13E Montana Energy Tax_NIM Summary 09GRC" xfId="157"/>
    <cellStyle name="_4.13E Montana Energy Tax_NIM Summary 09GRC 2" xfId="158"/>
    <cellStyle name="_4.13E Montana Energy Tax_NIM Summary 2" xfId="159"/>
    <cellStyle name="_4.13E Montana Energy Tax_NIM Summary 3" xfId="160"/>
    <cellStyle name="_4.13E Montana Energy Tax_PCA 9 -  Exhibit D April 2010 (3)" xfId="161"/>
    <cellStyle name="_4.13E Montana Energy Tax_PCA 9 -  Exhibit D April 2010 (3) 2" xfId="162"/>
    <cellStyle name="_4.13E Montana Energy Tax_Power Costs - Comparison bx Rbtl-Staff-Jt-PC" xfId="163"/>
    <cellStyle name="_4.13E Montana Energy Tax_Power Costs - Comparison bx Rbtl-Staff-Jt-PC 2" xfId="164"/>
    <cellStyle name="_4.13E Montana Energy Tax_Power Costs - Comparison bx Rbtl-Staff-Jt-PC_Adj Bench DR 3 for Initial Briefs (Electric)" xfId="165"/>
    <cellStyle name="_4.13E Montana Energy Tax_Power Costs - Comparison bx Rbtl-Staff-Jt-PC_Adj Bench DR 3 for Initial Briefs (Electric) 2" xfId="166"/>
    <cellStyle name="_4.13E Montana Energy Tax_Power Costs - Comparison bx Rbtl-Staff-Jt-PC_Electric Rev Req Model (2009 GRC) Rebuttal" xfId="167"/>
    <cellStyle name="_4.13E Montana Energy Tax_Power Costs - Comparison bx Rbtl-Staff-Jt-PC_Electric Rev Req Model (2009 GRC) Rebuttal REmoval of New  WH Solar AdjustMI" xfId="168"/>
    <cellStyle name="_4.13E Montana Energy Tax_Power Costs - Comparison bx Rbtl-Staff-Jt-PC_Electric Rev Req Model (2009 GRC) Rebuttal REmoval of New  WH Solar AdjustMI 2" xfId="169"/>
    <cellStyle name="_4.13E Montana Energy Tax_Power Costs - Comparison bx Rbtl-Staff-Jt-PC_Electric Rev Req Model (2009 GRC) Revised 01-18-2010" xfId="170"/>
    <cellStyle name="_4.13E Montana Energy Tax_Power Costs - Comparison bx Rbtl-Staff-Jt-PC_Electric Rev Req Model (2009 GRC) Revised 01-18-2010 2" xfId="171"/>
    <cellStyle name="_4.13E Montana Energy Tax_Power Costs - Comparison bx Rbtl-Staff-Jt-PC_Final Order Electric EXHIBIT A-1" xfId="172"/>
    <cellStyle name="_4.13E Montana Energy Tax_Rebuttal Power Costs" xfId="173"/>
    <cellStyle name="_4.13E Montana Energy Tax_Rebuttal Power Costs 2" xfId="174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Electric Rev Req Model (2009 GRC) Rebuttal" xfId="177"/>
    <cellStyle name="_4.13E Montana Energy Tax_Rebuttal Power Costs_Electric Rev Req Model (2009 GRC) Rebuttal REmoval of New  WH Solar AdjustMI" xfId="178"/>
    <cellStyle name="_4.13E Montana Energy Tax_Rebuttal Power Costs_Electric Rev Req Model (2009 GRC) Rebuttal REmoval of New  WH Solar AdjustMI 2" xfId="179"/>
    <cellStyle name="_4.13E Montana Energy Tax_Rebuttal Power Costs_Electric Rev Req Model (2009 GRC) Revised 01-18-2010" xfId="180"/>
    <cellStyle name="_4.13E Montana Energy Tax_Rebuttal Power Costs_Electric Rev Req Model (2009 GRC) Revised 01-18-2010 2" xfId="181"/>
    <cellStyle name="_4.13E Montana Energy Tax_Rebuttal Power Costs_Final Order Electric EXHIBIT A-1" xfId="182"/>
    <cellStyle name="_4.13E Montana Energy Tax_Wind Integration 10GRC" xfId="183"/>
    <cellStyle name="_4.13E Montana Energy Tax_Wind Integration 10GRC 2" xfId="184"/>
    <cellStyle name="_x0013__Adj Bench DR 3 for Initial Briefs (Electric)" xfId="185"/>
    <cellStyle name="_x0013__Adj Bench DR 3 for Initial Briefs (Electric) 2" xfId="186"/>
    <cellStyle name="_AURORA WIP" xfId="187"/>
    <cellStyle name="_AURORA WIP 2" xfId="188"/>
    <cellStyle name="_AURORA WIP_DEM-WP(C) Costs Not In AURORA 2010GRC As Filed" xfId="189"/>
    <cellStyle name="_AURORA WIP_NIM Summary" xfId="190"/>
    <cellStyle name="_AURORA WIP_NIM Summary 09GRC" xfId="191"/>
    <cellStyle name="_AURORA WIP_NIM Summary 09GRC 2" xfId="192"/>
    <cellStyle name="_AURORA WIP_NIM Summary 2" xfId="193"/>
    <cellStyle name="_AURORA WIP_NIM Summary 3" xfId="194"/>
    <cellStyle name="_AURORA WIP_PCA 9 -  Exhibit D April 2010 (3)" xfId="195"/>
    <cellStyle name="_AURORA WIP_PCA 9 -  Exhibit D April 2010 (3) 2" xfId="196"/>
    <cellStyle name="_AURORA WIP_Reconciliation" xfId="197"/>
    <cellStyle name="_AURORA WIP_Wind Integration 10GRC" xfId="198"/>
    <cellStyle name="_AURORA WIP_Wind Integration 10GRC 2" xfId="199"/>
    <cellStyle name="_Book1" xfId="200"/>
    <cellStyle name="_Book1 (2)" xfId="201"/>
    <cellStyle name="_Book1 (2) 2" xfId="202"/>
    <cellStyle name="_Book1 (2) 2 2" xfId="203"/>
    <cellStyle name="_Book1 (2) 3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TENASKA REGULATORY ASSET" xfId="218"/>
    <cellStyle name="_Book1 (2)_16.37E Wild Horse Expansion DeferralRevwrkingfile SF" xfId="219"/>
    <cellStyle name="_Book1 (2)_16.37E Wild Horse Expansion DeferralRevwrkingfile SF 2" xfId="220"/>
    <cellStyle name="_Book1 (2)_2009 GRC Compl Filing - Exhibit D" xfId="221"/>
    <cellStyle name="_Book1 (2)_2009 GRC Compl Filing - Exhibit D 2" xfId="222"/>
    <cellStyle name="_Book1 (2)_4 31 Regulatory Assets and Liabilities  7 06- Exhibit D" xfId="223"/>
    <cellStyle name="_Book1 (2)_4 31 Regulatory Assets and Liabilities  7 06- Exhibit D 2" xfId="224"/>
    <cellStyle name="_Book1 (2)_4 31 Regulatory Assets and Liabilities  7 06- Exhibit D_NIM Summary" xfId="225"/>
    <cellStyle name="_Book1 (2)_4 31 Regulatory Assets and Liabilities  7 06- Exhibit D_NIM Summary 2" xfId="226"/>
    <cellStyle name="_Book1 (2)_4 32 Regulatory Assets and Liabilities  7 06- Exhibit D" xfId="227"/>
    <cellStyle name="_Book1 (2)_4 32 Regulatory Assets and Liabilities  7 06- Exhibit D 2" xfId="228"/>
    <cellStyle name="_Book1 (2)_4 32 Regulatory Assets and Liabilities  7 06- Exhibit D_NIM Summary" xfId="229"/>
    <cellStyle name="_Book1 (2)_4 32 Regulatory Assets and Liabilities  7 06- Exhibit D_NIM Summary 2" xfId="230"/>
    <cellStyle name="_Book1 (2)_AURORA Total New" xfId="231"/>
    <cellStyle name="_Book1 (2)_AURORA Total New 2" xfId="232"/>
    <cellStyle name="_Book1 (2)_Book2" xfId="233"/>
    <cellStyle name="_Book1 (2)_Book2 2" xfId="234"/>
    <cellStyle name="_Book1 (2)_Book2_Adj Bench DR 3 for Initial Briefs (Electric)" xfId="235"/>
    <cellStyle name="_Book1 (2)_Book2_Adj Bench DR 3 for Initial Briefs (Electric) 2" xfId="236"/>
    <cellStyle name="_Book1 (2)_Book2_Electric Rev Req Model (2009 GRC) Rebuttal" xfId="237"/>
    <cellStyle name="_Book1 (2)_Book2_Electric Rev Req Model (2009 GRC) Rebuttal REmoval of New  WH Solar AdjustMI" xfId="238"/>
    <cellStyle name="_Book1 (2)_Book2_Electric Rev Req Model (2009 GRC) Rebuttal REmoval of New  WH Solar AdjustMI 2" xfId="239"/>
    <cellStyle name="_Book1 (2)_Book2_Electric Rev Req Model (2009 GRC) Revised 01-18-2010" xfId="240"/>
    <cellStyle name="_Book1 (2)_Book2_Electric Rev Req Model (2009 GRC) Revised 01-18-2010 2" xfId="241"/>
    <cellStyle name="_Book1 (2)_Book2_Final Order Electric EXHIBIT A-1" xfId="242"/>
    <cellStyle name="_Book1 (2)_Book4" xfId="243"/>
    <cellStyle name="_Book1 (2)_Book4 2" xfId="244"/>
    <cellStyle name="_Book1 (2)_Book9" xfId="245"/>
    <cellStyle name="_Book1 (2)_Book9 2" xfId="246"/>
    <cellStyle name="_Book1 (2)_NIM Summary" xfId="247"/>
    <cellStyle name="_Book1 (2)_NIM Summary 09GRC" xfId="248"/>
    <cellStyle name="_Book1 (2)_NIM Summary 09GRC 2" xfId="249"/>
    <cellStyle name="_Book1 (2)_NIM Summary 2" xfId="250"/>
    <cellStyle name="_Book1 (2)_NIM Summary 3" xfId="251"/>
    <cellStyle name="_Book1 (2)_PCA 9 -  Exhibit D April 2010 (3)" xfId="252"/>
    <cellStyle name="_Book1 (2)_PCA 9 -  Exhibit D April 2010 (3) 2" xfId="253"/>
    <cellStyle name="_Book1 (2)_Power Costs - Comparison bx Rbtl-Staff-Jt-PC" xfId="254"/>
    <cellStyle name="_Book1 (2)_Power Costs - Comparison bx Rbtl-Staff-Jt-PC 2" xfId="255"/>
    <cellStyle name="_Book1 (2)_Power Costs - Comparison bx Rbtl-Staff-Jt-PC_Adj Bench DR 3 for Initial Briefs (Electric)" xfId="256"/>
    <cellStyle name="_Book1 (2)_Power Costs - Comparison bx Rbtl-Staff-Jt-PC_Adj Bench DR 3 for Initial Briefs (Electric) 2" xfId="257"/>
    <cellStyle name="_Book1 (2)_Power Costs - Comparison bx Rbtl-Staff-Jt-PC_Electric Rev Req Model (2009 GRC) Rebuttal" xfId="258"/>
    <cellStyle name="_Book1 (2)_Power Costs - Comparison bx Rbtl-Staff-Jt-PC_Electric Rev Req Model (2009 GRC) Rebuttal REmoval of New  WH Solar AdjustMI" xfId="259"/>
    <cellStyle name="_Book1 (2)_Power Costs - Comparison bx Rbtl-Staff-Jt-PC_Electric Rev Req Model (2009 GRC) Rebuttal REmoval of New  WH Solar AdjustMI 2" xfId="260"/>
    <cellStyle name="_Book1 (2)_Power Costs - Comparison bx Rbtl-Staff-Jt-PC_Electric Rev Req Model (2009 GRC) Revised 01-18-2010" xfId="261"/>
    <cellStyle name="_Book1 (2)_Power Costs - Comparison bx Rbtl-Staff-Jt-PC_Electric Rev Req Model (2009 GRC) Revised 01-18-2010 2" xfId="262"/>
    <cellStyle name="_Book1 (2)_Power Costs - Comparison bx Rbtl-Staff-Jt-PC_Final Order Electric EXHIBIT A-1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Wind Integration 10GRC" xfId="274"/>
    <cellStyle name="_Book1 (2)_Wind Integration 10GRC 2" xfId="275"/>
    <cellStyle name="_Book1 2" xfId="276"/>
    <cellStyle name="_Book1 2 2" xfId="277"/>
    <cellStyle name="_Book1 3" xfId="278"/>
    <cellStyle name="_Book1 3 2" xfId="279"/>
    <cellStyle name="_Book1 4" xfId="280"/>
    <cellStyle name="_Book1 4 2" xfId="281"/>
    <cellStyle name="_Book1 5" xfId="282"/>
    <cellStyle name="_Book1 5 2" xfId="283"/>
    <cellStyle name="_Book1 6" xfId="284"/>
    <cellStyle name="_Book1 7" xfId="285"/>
    <cellStyle name="_Book1 8" xfId="286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rebuttal_120709" xfId="295"/>
    <cellStyle name="_Book1_(C) WHE Proforma with ITC cash grant 10 Yr Amort_for rebuttal_120709 2" xfId="296"/>
    <cellStyle name="_Book1_04.07E Wild Horse Wind Expansion" xfId="297"/>
    <cellStyle name="_Book1_04.07E Wild Horse Wind Expansion 2" xfId="298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16.07E Wild Horse Wind Expansionwrkingfile" xfId="305"/>
    <cellStyle name="_Book1_16.07E Wild Horse Wind Expansionwrkingfile 2" xfId="306"/>
    <cellStyle name="_Book1_16.07E Wild Horse Wind Expansionwrkingfile SF" xfId="307"/>
    <cellStyle name="_Book1_16.07E Wild Horse Wind Expansionwrkingfile SF 2" xfId="308"/>
    <cellStyle name="_Book1_16.37E Wild Horse Expansion DeferralRevwrkingfile SF" xfId="309"/>
    <cellStyle name="_Book1_16.37E Wild Horse Expansion DeferralRevwrkingfile SF 2" xfId="310"/>
    <cellStyle name="_Book1_2009 GRC Compl Filing - Exhibit D" xfId="311"/>
    <cellStyle name="_Book1_2009 GRC Compl Filing - Exhibit D 2" xfId="312"/>
    <cellStyle name="_Book1_4 31 Regulatory Assets and Liabilities  7 06- Exhibit D" xfId="313"/>
    <cellStyle name="_Book1_4 31 Regulatory Assets and Liabilities  7 06- Exhibit D 2" xfId="314"/>
    <cellStyle name="_Book1_4 31 Regulatory Assets and Liabilities  7 06- Exhibit D_NIM Summary" xfId="315"/>
    <cellStyle name="_Book1_4 31 Regulatory Assets and Liabilities  7 06- Exhibit D_NIM Summary 2" xfId="316"/>
    <cellStyle name="_Book1_4 32 Regulatory Assets and Liabilities  7 06- Exhibit D" xfId="317"/>
    <cellStyle name="_Book1_4 32 Regulatory Assets and Liabilities  7 06- Exhibit D 2" xfId="318"/>
    <cellStyle name="_Book1_4 32 Regulatory Assets and Liabilities  7 06- Exhibit D_NIM Summary" xfId="319"/>
    <cellStyle name="_Book1_4 32 Regulatory Assets and Liabilities  7 06- Exhibit D_NIM Summary 2" xfId="320"/>
    <cellStyle name="_Book1_AURORA Total New" xfId="321"/>
    <cellStyle name="_Book1_AURORA Total New 2" xfId="322"/>
    <cellStyle name="_Book1_Book2" xfId="323"/>
    <cellStyle name="_Book1_Book2 2" xfId="324"/>
    <cellStyle name="_Book1_Book2_Adj Bench DR 3 for Initial Briefs (Electric)" xfId="325"/>
    <cellStyle name="_Book1_Book2_Adj Bench DR 3 for Initial Briefs (Electric) 2" xfId="326"/>
    <cellStyle name="_Book1_Book2_Electric Rev Req Model (2009 GRC) Rebuttal" xfId="327"/>
    <cellStyle name="_Book1_Book2_Electric Rev Req Model (2009 GRC) Rebuttal REmoval of New  WH Solar AdjustMI" xfId="328"/>
    <cellStyle name="_Book1_Book2_Electric Rev Req Model (2009 GRC) Rebuttal REmoval of New  WH Solar AdjustMI 2" xfId="329"/>
    <cellStyle name="_Book1_Book2_Electric Rev Req Model (2009 GRC) Revised 01-18-2010" xfId="330"/>
    <cellStyle name="_Book1_Book2_Electric Rev Req Model (2009 GRC) Revised 01-18-2010 2" xfId="331"/>
    <cellStyle name="_Book1_Book2_Final Order Electric EXHIBIT A-1" xfId="332"/>
    <cellStyle name="_Book1_Book4" xfId="333"/>
    <cellStyle name="_Book1_Book4 2" xfId="334"/>
    <cellStyle name="_Book1_Book9" xfId="335"/>
    <cellStyle name="_Book1_Book9 2" xfId="336"/>
    <cellStyle name="_Book1_NIM Summary" xfId="337"/>
    <cellStyle name="_Book1_NIM Summary 09GRC" xfId="338"/>
    <cellStyle name="_Book1_NIM Summary 09GRC 2" xfId="339"/>
    <cellStyle name="_Book1_NIM Summary 2" xfId="340"/>
    <cellStyle name="_Book1_NIM Summary 3" xfId="341"/>
    <cellStyle name="_Book1_PCA 9 -  Exhibit D April 2010 (3)" xfId="342"/>
    <cellStyle name="_Book1_PCA 9 -  Exhibit D April 2010 (3) 2" xfId="343"/>
    <cellStyle name="_Book1_Power Costs - Comparison bx Rbtl-Staff-Jt-PC" xfId="344"/>
    <cellStyle name="_Book1_Power Costs - Comparison bx Rbtl-Staff-Jt-PC 2" xfId="345"/>
    <cellStyle name="_Book1_Power Costs - Comparison bx Rbtl-Staff-Jt-PC_Adj Bench DR 3 for Initial Briefs (Electric)" xfId="346"/>
    <cellStyle name="_Book1_Power Costs - Comparison bx Rbtl-Staff-Jt-PC_Adj Bench DR 3 for Initial Briefs (Electric) 2" xfId="347"/>
    <cellStyle name="_Book1_Power Costs - Comparison bx Rbtl-Staff-Jt-PC_Electric Rev Req Model (2009 GRC) Rebuttal" xfId="348"/>
    <cellStyle name="_Book1_Power Costs - Comparison bx Rbtl-Staff-Jt-PC_Electric Rev Req Model (2009 GRC) Rebuttal REmoval of New  WH Solar AdjustMI" xfId="349"/>
    <cellStyle name="_Book1_Power Costs - Comparison bx Rbtl-Staff-Jt-PC_Electric Rev Req Model (2009 GRC) Rebuttal REmoval of New  WH Solar AdjustMI 2" xfId="350"/>
    <cellStyle name="_Book1_Power Costs - Comparison bx Rbtl-Staff-Jt-PC_Electric Rev Req Model (2009 GRC) Revised 01-18-2010" xfId="351"/>
    <cellStyle name="_Book1_Power Costs - Comparison bx Rbtl-Staff-Jt-PC_Electric Rev Req Model (2009 GRC) Revised 01-18-2010 2" xfId="352"/>
    <cellStyle name="_Book1_Power Costs - Comparison bx Rbtl-Staff-Jt-PC_Final Order Electric EXHIBIT A-1" xfId="353"/>
    <cellStyle name="_Book1_Rebuttal Power Costs" xfId="354"/>
    <cellStyle name="_Book1_Rebuttal Power Costs 2" xfId="355"/>
    <cellStyle name="_Book1_Rebuttal Power Costs_Adj Bench DR 3 for Initial Briefs (Electric)" xfId="356"/>
    <cellStyle name="_Book1_Rebuttal Power Costs_Adj Bench DR 3 for Initial Briefs (Electric) 2" xfId="357"/>
    <cellStyle name="_Book1_Rebuttal Power Costs_Electric Rev Req Model (2009 GRC) Rebuttal" xfId="358"/>
    <cellStyle name="_Book1_Rebuttal Power Costs_Electric Rev Req Model (2009 GRC) Rebuttal REmoval of New  WH Solar AdjustMI" xfId="359"/>
    <cellStyle name="_Book1_Rebuttal Power Costs_Electric Rev Req Model (2009 GRC) Rebuttal REmoval of New  WH Solar AdjustMI 2" xfId="360"/>
    <cellStyle name="_Book1_Rebuttal Power Costs_Electric Rev Req Model (2009 GRC) Revised 01-18-2010" xfId="361"/>
    <cellStyle name="_Book1_Rebuttal Power Costs_Electric Rev Req Model (2009 GRC) Revised 01-18-2010 2" xfId="362"/>
    <cellStyle name="_Book1_Rebuttal Power Costs_Final Order Electric EXHIBIT A-1" xfId="363"/>
    <cellStyle name="_Book1_Transmission Workbook for May BOD" xfId="364"/>
    <cellStyle name="_Book1_Transmission Workbook for May BOD 2" xfId="365"/>
    <cellStyle name="_Book1_Wind Integration 10GRC" xfId="366"/>
    <cellStyle name="_Book1_Wind Integration 10GRC 2" xfId="367"/>
    <cellStyle name="_Book2" xfId="368"/>
    <cellStyle name="_x0013__Book2" xfId="369"/>
    <cellStyle name="_Book2 2" xfId="370"/>
    <cellStyle name="_x0013__Book2 2" xfId="371"/>
    <cellStyle name="_Book2 2 2" xfId="372"/>
    <cellStyle name="_Book2 2 3" xfId="373"/>
    <cellStyle name="_Book2 3" xfId="374"/>
    <cellStyle name="_x0013__Book2 3" xfId="375"/>
    <cellStyle name="_Book2 4" xfId="376"/>
    <cellStyle name="_x0013__Book2 4" xfId="377"/>
    <cellStyle name="_Book2_04 07E Wild Horse Wind Expansion (C) (2)" xfId="378"/>
    <cellStyle name="_Book2_04 07E Wild Horse Wind Expansion (C) (2) 2" xfId="379"/>
    <cellStyle name="_Book2_04 07E Wild Horse Wind Expansion (C) (2)_Adj Bench DR 3 for Initial Briefs (Electric)" xfId="380"/>
    <cellStyle name="_Book2_04 07E Wild Horse Wind Expansion (C) (2)_Adj Bench DR 3 for Initial Briefs (Electric) 2" xfId="381"/>
    <cellStyle name="_Book2_04 07E Wild Horse Wind Expansion (C) (2)_Electric Rev Req Model (2009 GRC) " xfId="382"/>
    <cellStyle name="_Book2_04 07E Wild Horse Wind Expansion (C) (2)_Electric Rev Req Model (2009 GRC)  2" xfId="383"/>
    <cellStyle name="_Book2_04 07E Wild Horse Wind Expansion (C) (2)_Electric Rev Req Model (2009 GRC) Rebuttal" xfId="384"/>
    <cellStyle name="_Book2_04 07E Wild Horse Wind Expansion (C) (2)_Electric Rev Req Model (2009 GRC) Rebuttal REmoval of New  WH Solar AdjustMI" xfId="385"/>
    <cellStyle name="_Book2_04 07E Wild Horse Wind Expansion (C) (2)_Electric Rev Req Model (2009 GRC) Rebuttal REmoval of New  WH Solar AdjustMI 2" xfId="386"/>
    <cellStyle name="_Book2_04 07E Wild Horse Wind Expansion (C) (2)_Electric Rev Req Model (2009 GRC) Revised 01-18-2010" xfId="387"/>
    <cellStyle name="_Book2_04 07E Wild Horse Wind Expansion (C) (2)_Electric Rev Req Model (2009 GRC) Revised 01-18-2010 2" xfId="388"/>
    <cellStyle name="_Book2_04 07E Wild Horse Wind Expansion (C) (2)_Final Order Electric EXHIBIT A-1" xfId="389"/>
    <cellStyle name="_Book2_04 07E Wild Horse Wind Expansion (C) (2)_TENASKA REGULATORY ASSET" xfId="390"/>
    <cellStyle name="_Book2_16.37E Wild Horse Expansion DeferralRevwrkingfile SF" xfId="391"/>
    <cellStyle name="_Book2_16.37E Wild Horse Expansion DeferralRevwrkingfile SF 2" xfId="392"/>
    <cellStyle name="_Book2_2009 GRC Compl Filing - Exhibit D" xfId="393"/>
    <cellStyle name="_Book2_2009 GRC Compl Filing - Exhibit D 2" xfId="394"/>
    <cellStyle name="_Book2_4 31 Regulatory Assets and Liabilities  7 06- Exhibit D" xfId="395"/>
    <cellStyle name="_Book2_4 31 Regulatory Assets and Liabilities  7 06- Exhibit D 2" xfId="396"/>
    <cellStyle name="_Book2_4 31 Regulatory Assets and Liabilities  7 06- Exhibit D_NIM Summary" xfId="397"/>
    <cellStyle name="_Book2_4 31 Regulatory Assets and Liabilities  7 06- Exhibit D_NIM Summary 2" xfId="398"/>
    <cellStyle name="_Book2_4 32 Regulatory Assets and Liabilities  7 06- Exhibit D" xfId="399"/>
    <cellStyle name="_Book2_4 32 Regulatory Assets and Liabilities  7 06- Exhibit D 2" xfId="400"/>
    <cellStyle name="_Book2_4 32 Regulatory Assets and Liabilities  7 06- Exhibit D_NIM Summary" xfId="401"/>
    <cellStyle name="_Book2_4 32 Regulatory Assets and Liabilities  7 06- Exhibit D_NIM Summary 2" xfId="402"/>
    <cellStyle name="_x0013__Book2_Adj Bench DR 3 for Initial Briefs (Electric)" xfId="403"/>
    <cellStyle name="_x0013__Book2_Adj Bench DR 3 for Initial Briefs (Electric) 2" xfId="404"/>
    <cellStyle name="_Book2_AURORA Total New" xfId="405"/>
    <cellStyle name="_Book2_AURORA Total New 2" xfId="406"/>
    <cellStyle name="_Book2_Book2" xfId="407"/>
    <cellStyle name="_Book2_Book2 2" xfId="408"/>
    <cellStyle name="_Book2_Book2_Adj Bench DR 3 for Initial Briefs (Electric)" xfId="409"/>
    <cellStyle name="_Book2_Book2_Adj Bench DR 3 for Initial Briefs (Electric) 2" xfId="410"/>
    <cellStyle name="_Book2_Book2_Electric Rev Req Model (2009 GRC) Rebuttal" xfId="411"/>
    <cellStyle name="_Book2_Book2_Electric Rev Req Model (2009 GRC) Rebuttal REmoval of New  WH Solar AdjustMI" xfId="412"/>
    <cellStyle name="_Book2_Book2_Electric Rev Req Model (2009 GRC) Rebuttal REmoval of New  WH Solar AdjustMI 2" xfId="413"/>
    <cellStyle name="_Book2_Book2_Electric Rev Req Model (2009 GRC) Revised 01-18-2010" xfId="414"/>
    <cellStyle name="_Book2_Book2_Electric Rev Req Model (2009 GRC) Revised 01-18-2010 2" xfId="415"/>
    <cellStyle name="_Book2_Book2_Final Order Electric EXHIBIT A-1" xfId="416"/>
    <cellStyle name="_Book2_Book4" xfId="417"/>
    <cellStyle name="_Book2_Book4 2" xfId="418"/>
    <cellStyle name="_Book2_Book9" xfId="419"/>
    <cellStyle name="_Book2_Book9 2" xfId="420"/>
    <cellStyle name="_x0013__Book2_Electric Rev Req Model (2009 GRC) Rebuttal" xfId="421"/>
    <cellStyle name="_x0013__Book2_Electric Rev Req Model (2009 GRC) Rebuttal REmoval of New  WH Solar AdjustMI" xfId="422"/>
    <cellStyle name="_x0013__Book2_Electric Rev Req Model (2009 GRC) Rebuttal REmoval of New  WH Solar AdjustMI 2" xfId="423"/>
    <cellStyle name="_x0013__Book2_Electric Rev Req Model (2009 GRC) Revised 01-18-2010" xfId="424"/>
    <cellStyle name="_x0013__Book2_Electric Rev Req Model (2009 GRC) Revised 01-18-2010 2" xfId="425"/>
    <cellStyle name="_x0013__Book2_Final Order Electric EXHIBIT A-1" xfId="426"/>
    <cellStyle name="_Book2_NIM Summary" xfId="427"/>
    <cellStyle name="_Book2_NIM Summary 09GRC" xfId="428"/>
    <cellStyle name="_Book2_NIM Summary 09GRC 2" xfId="429"/>
    <cellStyle name="_Book2_NIM Summary 2" xfId="430"/>
    <cellStyle name="_Book2_NIM Summary 3" xfId="431"/>
    <cellStyle name="_Book2_PCA 9 -  Exhibit D April 2010 (3)" xfId="432"/>
    <cellStyle name="_Book2_PCA 9 -  Exhibit D April 2010 (3) 2" xfId="433"/>
    <cellStyle name="_Book2_Power Costs - Comparison bx Rbtl-Staff-Jt-PC" xfId="434"/>
    <cellStyle name="_Book2_Power Costs - Comparison bx Rbtl-Staff-Jt-PC 2" xfId="435"/>
    <cellStyle name="_Book2_Power Costs - Comparison bx Rbtl-Staff-Jt-PC_Adj Bench DR 3 for Initial Briefs (Electric)" xfId="436"/>
    <cellStyle name="_Book2_Power Costs - Comparison bx Rbtl-Staff-Jt-PC_Adj Bench DR 3 for Initial Briefs (Electric) 2" xfId="437"/>
    <cellStyle name="_Book2_Power Costs - Comparison bx Rbtl-Staff-Jt-PC_Electric Rev Req Model (2009 GRC) Rebuttal" xfId="438"/>
    <cellStyle name="_Book2_Power Costs - Comparison bx Rbtl-Staff-Jt-PC_Electric Rev Req Model (2009 GRC) Rebuttal REmoval of New  WH Solar AdjustMI" xfId="439"/>
    <cellStyle name="_Book2_Power Costs - Comparison bx Rbtl-Staff-Jt-PC_Electric Rev Req Model (2009 GRC) Rebuttal REmoval of New  WH Solar AdjustMI 2" xfId="440"/>
    <cellStyle name="_Book2_Power Costs - Comparison bx Rbtl-Staff-Jt-PC_Electric Rev Req Model (2009 GRC) Revised 01-18-2010" xfId="441"/>
    <cellStyle name="_Book2_Power Costs - Comparison bx Rbtl-Staff-Jt-PC_Electric Rev Req Model (2009 GRC) Revised 01-18-2010 2" xfId="442"/>
    <cellStyle name="_Book2_Power Costs - Comparison bx Rbtl-Staff-Jt-PC_Final Order Electric EXHIBIT A-1" xfId="443"/>
    <cellStyle name="_Book2_Rebuttal Power Costs" xfId="444"/>
    <cellStyle name="_Book2_Rebuttal Power Costs 2" xfId="445"/>
    <cellStyle name="_Book2_Rebuttal Power Costs_Adj Bench DR 3 for Initial Briefs (Electric)" xfId="446"/>
    <cellStyle name="_Book2_Rebuttal Power Costs_Adj Bench DR 3 for Initial Briefs (Electric) 2" xfId="447"/>
    <cellStyle name="_Book2_Rebuttal Power Costs_Electric Rev Req Model (2009 GRC) Rebuttal" xfId="448"/>
    <cellStyle name="_Book2_Rebuttal Power Costs_Electric Rev Req Model (2009 GRC) Rebuttal REmoval of New  WH Solar AdjustMI" xfId="449"/>
    <cellStyle name="_Book2_Rebuttal Power Costs_Electric Rev Req Model (2009 GRC) Rebuttal REmoval of New  WH Solar AdjustMI 2" xfId="450"/>
    <cellStyle name="_Book2_Rebuttal Power Costs_Electric Rev Req Model (2009 GRC) Revised 01-18-2010" xfId="451"/>
    <cellStyle name="_Book2_Rebuttal Power Costs_Electric Rev Req Model (2009 GRC) Revised 01-18-2010 2" xfId="452"/>
    <cellStyle name="_Book2_Rebuttal Power Costs_Final Order Electric EXHIBIT A-1" xfId="453"/>
    <cellStyle name="_Book2_Wind Integration 10GRC" xfId="454"/>
    <cellStyle name="_Book2_Wind Integration 10GRC 2" xfId="455"/>
    <cellStyle name="_Book3" xfId="456"/>
    <cellStyle name="_Book5" xfId="457"/>
    <cellStyle name="_Book5_DEM-WP(C) Costs Not In AURORA 2010GRC As Filed" xfId="458"/>
    <cellStyle name="_Book5_NIM Summary" xfId="459"/>
    <cellStyle name="_Book5_NIM Summary 09GRC" xfId="460"/>
    <cellStyle name="_Book5_NIM Summary 2" xfId="461"/>
    <cellStyle name="_Book5_NIM Summary 3" xfId="462"/>
    <cellStyle name="_Book5_PCA 9 -  Exhibit D April 2010 (3)" xfId="463"/>
    <cellStyle name="_Book5_Reconciliation" xfId="464"/>
    <cellStyle name="_Book5_Wind Integration 10GRC" xfId="465"/>
    <cellStyle name="_Book5_Wind Integration 10GRC 2" xfId="466"/>
    <cellStyle name="_BPA NOS" xfId="467"/>
    <cellStyle name="_BPA NOS_DEM-WP(C) Wind Integration Summary 2010GRC" xfId="468"/>
    <cellStyle name="_BPA NOS_DEM-WP(C) Wind Integration Summary 2010GRC 2" xfId="469"/>
    <cellStyle name="_BPA NOS_NIM Summary" xfId="470"/>
    <cellStyle name="_BPA NOS_NIM Summary 2" xfId="471"/>
    <cellStyle name="_Chelan Debt Forecast 12.19.05" xfId="472"/>
    <cellStyle name="_Chelan Debt Forecast 12.19.05 2" xfId="473"/>
    <cellStyle name="_Chelan Debt Forecast 12.19.05 2 2" xfId="474"/>
    <cellStyle name="_Chelan Debt Forecast 12.19.05 3" xfId="475"/>
    <cellStyle name="_Chelan Debt Forecast 12.19.05 4" xfId="476"/>
    <cellStyle name="_Chelan Debt Forecast 12.19.05_(C) WHE Proforma with ITC cash grant 10 Yr Amort_for deferral_102809" xfId="477"/>
    <cellStyle name="_Chelan Debt Forecast 12.19.05_(C) WHE Proforma with ITC cash grant 10 Yr Amort_for deferral_102809 2" xfId="478"/>
    <cellStyle name="_Chelan Debt Forecast 12.19.05_(C) WHE Proforma with ITC cash grant 10 Yr Amort_for deferral_102809_16.07E Wild Horse Wind Expansionwrkingfile" xfId="479"/>
    <cellStyle name="_Chelan Debt Forecast 12.19.05_(C) WHE Proforma with ITC cash grant 10 Yr Amort_for deferral_102809_16.07E Wild Horse Wind Expansionwrkingfile 2" xfId="480"/>
    <cellStyle name="_Chelan Debt Forecast 12.19.05_(C) WHE Proforma with ITC cash grant 10 Yr Amort_for deferral_102809_16.07E Wild Horse Wind Expansionwrkingfile SF" xfId="481"/>
    <cellStyle name="_Chelan Debt Forecast 12.19.05_(C) WHE Proforma with ITC cash grant 10 Yr Amort_for deferral_102809_16.07E Wild Horse Wind Expansionwrkingfile SF 2" xfId="482"/>
    <cellStyle name="_Chelan Debt Forecast 12.19.05_(C) WHE Proforma with ITC cash grant 10 Yr Amort_for deferral_102809_16.37E Wild Horse Expansion DeferralRevwrkingfile SF" xfId="483"/>
    <cellStyle name="_Chelan Debt Forecast 12.19.05_(C) WHE Proforma with ITC cash grant 10 Yr Amort_for deferral_102809_16.37E Wild Horse Expansion DeferralRevwrkingfile SF 2" xfId="484"/>
    <cellStyle name="_Chelan Debt Forecast 12.19.05_(C) WHE Proforma with ITC cash grant 10 Yr Amort_for rebuttal_120709" xfId="485"/>
    <cellStyle name="_Chelan Debt Forecast 12.19.05_(C) WHE Proforma with ITC cash grant 10 Yr Amort_for rebuttal_120709 2" xfId="486"/>
    <cellStyle name="_Chelan Debt Forecast 12.19.05_04.07E Wild Horse Wind Expansion" xfId="487"/>
    <cellStyle name="_Chelan Debt Forecast 12.19.05_04.07E Wild Horse Wind Expansion 2" xfId="488"/>
    <cellStyle name="_Chelan Debt Forecast 12.19.05_04.07E Wild Horse Wind Expansion_16.07E Wild Horse Wind Expansionwrkingfile" xfId="489"/>
    <cellStyle name="_Chelan Debt Forecast 12.19.05_04.07E Wild Horse Wind Expansion_16.07E Wild Horse Wind Expansionwrkingfile 2" xfId="490"/>
    <cellStyle name="_Chelan Debt Forecast 12.19.05_04.07E Wild Horse Wind Expansion_16.07E Wild Horse Wind Expansionwrkingfile SF" xfId="491"/>
    <cellStyle name="_Chelan Debt Forecast 12.19.05_04.07E Wild Horse Wind Expansion_16.07E Wild Horse Wind Expansionwrkingfile SF 2" xfId="492"/>
    <cellStyle name="_Chelan Debt Forecast 12.19.05_04.07E Wild Horse Wind Expansion_16.37E Wild Horse Expansion DeferralRevwrkingfile SF" xfId="493"/>
    <cellStyle name="_Chelan Debt Forecast 12.19.05_04.07E Wild Horse Wind Expansion_16.37E Wild Horse Expansion DeferralRevwrkingfile SF 2" xfId="494"/>
    <cellStyle name="_Chelan Debt Forecast 12.19.05_16.07E Wild Horse Wind Expansionwrkingfile" xfId="495"/>
    <cellStyle name="_Chelan Debt Forecast 12.19.05_16.07E Wild Horse Wind Expansionwrkingfile 2" xfId="496"/>
    <cellStyle name="_Chelan Debt Forecast 12.19.05_16.07E Wild Horse Wind Expansionwrkingfile SF" xfId="497"/>
    <cellStyle name="_Chelan Debt Forecast 12.19.05_16.07E Wild Horse Wind Expansionwrkingfile SF 2" xfId="498"/>
    <cellStyle name="_Chelan Debt Forecast 12.19.05_16.37E Wild Horse Expansion DeferralRevwrkingfile SF" xfId="499"/>
    <cellStyle name="_Chelan Debt Forecast 12.19.05_16.37E Wild Horse Expansion DeferralRevwrkingfile SF 2" xfId="500"/>
    <cellStyle name="_Chelan Debt Forecast 12.19.05_2009 GRC Compl Filing - Exhibit D" xfId="501"/>
    <cellStyle name="_Chelan Debt Forecast 12.19.05_2009 GRC Compl Filing - Exhibit D 2" xfId="502"/>
    <cellStyle name="_Chelan Debt Forecast 12.19.05_4 31 Regulatory Assets and Liabilities  7 06- Exhibit D" xfId="503"/>
    <cellStyle name="_Chelan Debt Forecast 12.19.05_4 31 Regulatory Assets and Liabilities  7 06- Exhibit D 2" xfId="504"/>
    <cellStyle name="_Chelan Debt Forecast 12.19.05_4 31 Regulatory Assets and Liabilities  7 06- Exhibit D_NIM Summary" xfId="505"/>
    <cellStyle name="_Chelan Debt Forecast 12.19.05_4 31 Regulatory Assets and Liabilities  7 06- Exhibit D_NIM Summary 2" xfId="506"/>
    <cellStyle name="_Chelan Debt Forecast 12.19.05_4 32 Regulatory Assets and Liabilities  7 06- Exhibit D" xfId="507"/>
    <cellStyle name="_Chelan Debt Forecast 12.19.05_4 32 Regulatory Assets and Liabilities  7 06- Exhibit D 2" xfId="508"/>
    <cellStyle name="_Chelan Debt Forecast 12.19.05_4 32 Regulatory Assets and Liabilities  7 06- Exhibit D_NIM Summary" xfId="509"/>
    <cellStyle name="_Chelan Debt Forecast 12.19.05_4 32 Regulatory Assets and Liabilities  7 06- Exhibit D_NIM Summary 2" xfId="510"/>
    <cellStyle name="_Chelan Debt Forecast 12.19.05_AURORA Total New" xfId="511"/>
    <cellStyle name="_Chelan Debt Forecast 12.19.05_AURORA Total New 2" xfId="512"/>
    <cellStyle name="_Chelan Debt Forecast 12.19.05_Book2" xfId="513"/>
    <cellStyle name="_Chelan Debt Forecast 12.19.05_Book2 2" xfId="514"/>
    <cellStyle name="_Chelan Debt Forecast 12.19.05_Book2_Adj Bench DR 3 for Initial Briefs (Electric)" xfId="515"/>
    <cellStyle name="_Chelan Debt Forecast 12.19.05_Book2_Adj Bench DR 3 for Initial Briefs (Electric) 2" xfId="516"/>
    <cellStyle name="_Chelan Debt Forecast 12.19.05_Book2_Electric Rev Req Model (2009 GRC) Rebuttal" xfId="517"/>
    <cellStyle name="_Chelan Debt Forecast 12.19.05_Book2_Electric Rev Req Model (2009 GRC) Rebuttal REmoval of New  WH Solar AdjustMI" xfId="518"/>
    <cellStyle name="_Chelan Debt Forecast 12.19.05_Book2_Electric Rev Req Model (2009 GRC) Rebuttal REmoval of New  WH Solar AdjustMI 2" xfId="519"/>
    <cellStyle name="_Chelan Debt Forecast 12.19.05_Book2_Electric Rev Req Model (2009 GRC) Revised 01-18-2010" xfId="520"/>
    <cellStyle name="_Chelan Debt Forecast 12.19.05_Book2_Electric Rev Req Model (2009 GRC) Revised 01-18-2010 2" xfId="521"/>
    <cellStyle name="_Chelan Debt Forecast 12.19.05_Book2_Final Order Electric EXHIBIT A-1" xfId="522"/>
    <cellStyle name="_Chelan Debt Forecast 12.19.05_Book4" xfId="523"/>
    <cellStyle name="_Chelan Debt Forecast 12.19.05_Book4 2" xfId="524"/>
    <cellStyle name="_Chelan Debt Forecast 12.19.05_Book9" xfId="525"/>
    <cellStyle name="_Chelan Debt Forecast 12.19.05_Book9 2" xfId="526"/>
    <cellStyle name="_Chelan Debt Forecast 12.19.05_Exhibit D fr R Gho 12-31-08" xfId="527"/>
    <cellStyle name="_Chelan Debt Forecast 12.19.05_Exhibit D fr R Gho 12-31-08 2" xfId="528"/>
    <cellStyle name="_Chelan Debt Forecast 12.19.05_Exhibit D fr R Gho 12-31-08 v2" xfId="529"/>
    <cellStyle name="_Chelan Debt Forecast 12.19.05_Exhibit D fr R Gho 12-31-08 v2 2" xfId="530"/>
    <cellStyle name="_Chelan Debt Forecast 12.19.05_Exhibit D fr R Gho 12-31-08 v2_NIM Summary" xfId="531"/>
    <cellStyle name="_Chelan Debt Forecast 12.19.05_Exhibit D fr R Gho 12-31-08 v2_NIM Summary 2" xfId="532"/>
    <cellStyle name="_Chelan Debt Forecast 12.19.05_Exhibit D fr R Gho 12-31-08_NIM Summary" xfId="533"/>
    <cellStyle name="_Chelan Debt Forecast 12.19.05_Exhibit D fr R Gho 12-31-08_NIM Summary 2" xfId="534"/>
    <cellStyle name="_Chelan Debt Forecast 12.19.05_Hopkins Ridge Prepaid Tran - Interest Earned RY 12ME Feb  '11" xfId="535"/>
    <cellStyle name="_Chelan Debt Forecast 12.19.05_Hopkins Ridge Prepaid Tran - Interest Earned RY 12ME Feb  '11 2" xfId="536"/>
    <cellStyle name="_Chelan Debt Forecast 12.19.05_Hopkins Ridge Prepaid Tran - Interest Earned RY 12ME Feb  '11_NIM Summary" xfId="537"/>
    <cellStyle name="_Chelan Debt Forecast 12.19.05_Hopkins Ridge Prepaid Tran - Interest Earned RY 12ME Feb  '11_NIM Summary 2" xfId="538"/>
    <cellStyle name="_Chelan Debt Forecast 12.19.05_Hopkins Ridge Prepaid Tran - Interest Earned RY 12ME Feb  '11_Transmission Workbook for May BOD" xfId="539"/>
    <cellStyle name="_Chelan Debt Forecast 12.19.05_Hopkins Ridge Prepaid Tran - Interest Earned RY 12ME Feb  '11_Transmission Workbook for May BOD 2" xfId="540"/>
    <cellStyle name="_Chelan Debt Forecast 12.19.05_NIM Summary" xfId="541"/>
    <cellStyle name="_Chelan Debt Forecast 12.19.05_NIM Summary 09GRC" xfId="542"/>
    <cellStyle name="_Chelan Debt Forecast 12.19.05_NIM Summary 09GRC 2" xfId="543"/>
    <cellStyle name="_Chelan Debt Forecast 12.19.05_NIM Summary 2" xfId="544"/>
    <cellStyle name="_Chelan Debt Forecast 12.19.05_NIM Summary 3" xfId="545"/>
    <cellStyle name="_Chelan Debt Forecast 12.19.05_PCA 7 - Exhibit D update 11_30_08 (2)" xfId="546"/>
    <cellStyle name="_Chelan Debt Forecast 12.19.05_PCA 7 - Exhibit D update 11_30_08 (2) 2" xfId="547"/>
    <cellStyle name="_Chelan Debt Forecast 12.19.05_PCA 7 - Exhibit D update 11_30_08 (2) 2 2" xfId="548"/>
    <cellStyle name="_Chelan Debt Forecast 12.19.05_PCA 7 - Exhibit D update 11_30_08 (2) 3" xfId="549"/>
    <cellStyle name="_Chelan Debt Forecast 12.19.05_PCA 7 - Exhibit D update 11_30_08 (2)_NIM Summary" xfId="550"/>
    <cellStyle name="_Chelan Debt Forecast 12.19.05_PCA 7 - Exhibit D update 11_30_08 (2)_NIM Summary 2" xfId="551"/>
    <cellStyle name="_Chelan Debt Forecast 12.19.05_PCA 9 -  Exhibit D April 2010 (3)" xfId="552"/>
    <cellStyle name="_Chelan Debt Forecast 12.19.05_PCA 9 -  Exhibit D April 2010 (3) 2" xfId="553"/>
    <cellStyle name="_Chelan Debt Forecast 12.19.05_Power Costs - Comparison bx Rbtl-Staff-Jt-PC" xfId="554"/>
    <cellStyle name="_Chelan Debt Forecast 12.19.05_Power Costs - Comparison bx Rbtl-Staff-Jt-PC 2" xfId="555"/>
    <cellStyle name="_Chelan Debt Forecast 12.19.05_Power Costs - Comparison bx Rbtl-Staff-Jt-PC_Adj Bench DR 3 for Initial Briefs (Electric)" xfId="556"/>
    <cellStyle name="_Chelan Debt Forecast 12.19.05_Power Costs - Comparison bx Rbtl-Staff-Jt-PC_Adj Bench DR 3 for Initial Briefs (Electric) 2" xfId="557"/>
    <cellStyle name="_Chelan Debt Forecast 12.19.05_Power Costs - Comparison bx Rbtl-Staff-Jt-PC_Electric Rev Req Model (2009 GRC) Rebuttal" xfId="558"/>
    <cellStyle name="_Chelan Debt Forecast 12.19.05_Power Costs - Comparison bx Rbtl-Staff-Jt-PC_Electric Rev Req Model (2009 GRC) Rebuttal REmoval of New  WH Solar AdjustMI" xfId="559"/>
    <cellStyle name="_Chelan Debt Forecast 12.19.05_Power Costs - Comparison bx Rbtl-Staff-Jt-PC_Electric Rev Req Model (2009 GRC) Rebuttal REmoval of New  WH Solar AdjustMI 2" xfId="560"/>
    <cellStyle name="_Chelan Debt Forecast 12.19.05_Power Costs - Comparison bx Rbtl-Staff-Jt-PC_Electric Rev Req Model (2009 GRC) Revised 01-18-2010" xfId="561"/>
    <cellStyle name="_Chelan Debt Forecast 12.19.05_Power Costs - Comparison bx Rbtl-Staff-Jt-PC_Electric Rev Req Model (2009 GRC) Revised 01-18-2010 2" xfId="562"/>
    <cellStyle name="_Chelan Debt Forecast 12.19.05_Power Costs - Comparison bx Rbtl-Staff-Jt-PC_Final Order Electric EXHIBIT A-1" xfId="563"/>
    <cellStyle name="_Chelan Debt Forecast 12.19.05_Rebuttal Power Costs" xfId="564"/>
    <cellStyle name="_Chelan Debt Forecast 12.19.05_Rebuttal Power Costs 2" xfId="565"/>
    <cellStyle name="_Chelan Debt Forecast 12.19.05_Rebuttal Power Costs_Adj Bench DR 3 for Initial Briefs (Electric)" xfId="566"/>
    <cellStyle name="_Chelan Debt Forecast 12.19.05_Rebuttal Power Costs_Adj Bench DR 3 for Initial Briefs (Electric) 2" xfId="567"/>
    <cellStyle name="_Chelan Debt Forecast 12.19.05_Rebuttal Power Costs_Electric Rev Req Model (2009 GRC) Rebuttal" xfId="568"/>
    <cellStyle name="_Chelan Debt Forecast 12.19.05_Rebuttal Power Costs_Electric Rev Req Model (2009 GRC) Rebuttal REmoval of New  WH Solar AdjustMI" xfId="569"/>
    <cellStyle name="_Chelan Debt Forecast 12.19.05_Rebuttal Power Costs_Electric Rev Req Model (2009 GRC) Rebuttal REmoval of New  WH Solar AdjustMI 2" xfId="570"/>
    <cellStyle name="_Chelan Debt Forecast 12.19.05_Rebuttal Power Costs_Electric Rev Req Model (2009 GRC) Revised 01-18-2010" xfId="571"/>
    <cellStyle name="_Chelan Debt Forecast 12.19.05_Rebuttal Power Costs_Electric Rev Req Model (2009 GRC) Revised 01-18-2010 2" xfId="572"/>
    <cellStyle name="_Chelan Debt Forecast 12.19.05_Rebuttal Power Costs_Final Order Electric EXHIBIT A-1" xfId="573"/>
    <cellStyle name="_Chelan Debt Forecast 12.19.05_Transmission Workbook for May BOD" xfId="574"/>
    <cellStyle name="_Chelan Debt Forecast 12.19.05_Transmission Workbook for May BOD 2" xfId="575"/>
    <cellStyle name="_Chelan Debt Forecast 12.19.05_Wind Integration 10GRC" xfId="576"/>
    <cellStyle name="_Chelan Debt Forecast 12.19.05_Wind Integration 10GRC 2" xfId="577"/>
    <cellStyle name="_Copy 11-9 Sumas Proforma - Current" xfId="578"/>
    <cellStyle name="_Costs not in AURORA 06GRC" xfId="579"/>
    <cellStyle name="_Costs not in AURORA 06GRC 2" xfId="580"/>
    <cellStyle name="_Costs not in AURORA 06GRC 2 2" xfId="581"/>
    <cellStyle name="_Costs not in AURORA 06GRC 3" xfId="582"/>
    <cellStyle name="_Costs not in AURORA 06GRC 4" xfId="583"/>
    <cellStyle name="_Costs not in AURORA 06GRC_04 07E Wild Horse Wind Expansion (C) (2)" xfId="584"/>
    <cellStyle name="_Costs not in AURORA 06GRC_04 07E Wild Horse Wind Expansion (C) (2) 2" xfId="585"/>
    <cellStyle name="_Costs not in AURORA 06GRC_04 07E Wild Horse Wind Expansion (C) (2)_Adj Bench DR 3 for Initial Briefs (Electric)" xfId="586"/>
    <cellStyle name="_Costs not in AURORA 06GRC_04 07E Wild Horse Wind Expansion (C) (2)_Adj Bench DR 3 for Initial Briefs (Electric) 2" xfId="587"/>
    <cellStyle name="_Costs not in AURORA 06GRC_04 07E Wild Horse Wind Expansion (C) (2)_Electric Rev Req Model (2009 GRC) " xfId="588"/>
    <cellStyle name="_Costs not in AURORA 06GRC_04 07E Wild Horse Wind Expansion (C) (2)_Electric Rev Req Model (2009 GRC)  2" xfId="589"/>
    <cellStyle name="_Costs not in AURORA 06GRC_04 07E Wild Horse Wind Expansion (C) (2)_Electric Rev Req Model (2009 GRC) Rebuttal" xfId="590"/>
    <cellStyle name="_Costs not in AURORA 06GRC_04 07E Wild Horse Wind Expansion (C) (2)_Electric Rev Req Model (2009 GRC) Rebuttal REmoval of New  WH Solar AdjustMI" xfId="591"/>
    <cellStyle name="_Costs not in AURORA 06GRC_04 07E Wild Horse Wind Expansion (C) (2)_Electric Rev Req Model (2009 GRC) Rebuttal REmoval of New  WH Solar AdjustMI 2" xfId="592"/>
    <cellStyle name="_Costs not in AURORA 06GRC_04 07E Wild Horse Wind Expansion (C) (2)_Electric Rev Req Model (2009 GRC) Revised 01-18-2010" xfId="593"/>
    <cellStyle name="_Costs not in AURORA 06GRC_04 07E Wild Horse Wind Expansion (C) (2)_Electric Rev Req Model (2009 GRC) Revised 01-18-2010 2" xfId="594"/>
    <cellStyle name="_Costs not in AURORA 06GRC_04 07E Wild Horse Wind Expansion (C) (2)_Final Order Electric EXHIBIT A-1" xfId="595"/>
    <cellStyle name="_Costs not in AURORA 06GRC_04 07E Wild Horse Wind Expansion (C) (2)_TENASKA REGULATORY ASSET" xfId="596"/>
    <cellStyle name="_Costs not in AURORA 06GRC_16.37E Wild Horse Expansion DeferralRevwrkingfile SF" xfId="597"/>
    <cellStyle name="_Costs not in AURORA 06GRC_16.37E Wild Horse Expansion DeferralRevwrkingfile SF 2" xfId="598"/>
    <cellStyle name="_Costs not in AURORA 06GRC_2009 GRC Compl Filing - Exhibit D" xfId="599"/>
    <cellStyle name="_Costs not in AURORA 06GRC_2009 GRC Compl Filing - Exhibit D 2" xfId="600"/>
    <cellStyle name="_Costs not in AURORA 06GRC_4 31 Regulatory Assets and Liabilities  7 06- Exhibit D" xfId="601"/>
    <cellStyle name="_Costs not in AURORA 06GRC_4 31 Regulatory Assets and Liabilities  7 06- Exhibit D 2" xfId="602"/>
    <cellStyle name="_Costs not in AURORA 06GRC_4 31 Regulatory Assets and Liabilities  7 06- Exhibit D_NIM Summary" xfId="603"/>
    <cellStyle name="_Costs not in AURORA 06GRC_4 31 Regulatory Assets and Liabilities  7 06- Exhibit D_NIM Summary 2" xfId="604"/>
    <cellStyle name="_Costs not in AURORA 06GRC_4 32 Regulatory Assets and Liabilities  7 06- Exhibit D" xfId="605"/>
    <cellStyle name="_Costs not in AURORA 06GRC_4 32 Regulatory Assets and Liabilities  7 06- Exhibit D 2" xfId="606"/>
    <cellStyle name="_Costs not in AURORA 06GRC_4 32 Regulatory Assets and Liabilities  7 06- Exhibit D_NIM Summary" xfId="607"/>
    <cellStyle name="_Costs not in AURORA 06GRC_4 32 Regulatory Assets and Liabilities  7 06- Exhibit D_NIM Summary 2" xfId="608"/>
    <cellStyle name="_Costs not in AURORA 06GRC_AURORA Total New" xfId="609"/>
    <cellStyle name="_Costs not in AURORA 06GRC_AURORA Total New 2" xfId="610"/>
    <cellStyle name="_Costs not in AURORA 06GRC_Book2" xfId="611"/>
    <cellStyle name="_Costs not in AURORA 06GRC_Book2 2" xfId="612"/>
    <cellStyle name="_Costs not in AURORA 06GRC_Book2_Adj Bench DR 3 for Initial Briefs (Electric)" xfId="613"/>
    <cellStyle name="_Costs not in AURORA 06GRC_Book2_Adj Bench DR 3 for Initial Briefs (Electric) 2" xfId="614"/>
    <cellStyle name="_Costs not in AURORA 06GRC_Book2_Electric Rev Req Model (2009 GRC) Rebuttal" xfId="615"/>
    <cellStyle name="_Costs not in AURORA 06GRC_Book2_Electric Rev Req Model (2009 GRC) Rebuttal REmoval of New  WH Solar AdjustMI" xfId="616"/>
    <cellStyle name="_Costs not in AURORA 06GRC_Book2_Electric Rev Req Model (2009 GRC) Rebuttal REmoval of New  WH Solar AdjustMI 2" xfId="617"/>
    <cellStyle name="_Costs not in AURORA 06GRC_Book2_Electric Rev Req Model (2009 GRC) Revised 01-18-2010" xfId="618"/>
    <cellStyle name="_Costs not in AURORA 06GRC_Book2_Electric Rev Req Model (2009 GRC) Revised 01-18-2010 2" xfId="619"/>
    <cellStyle name="_Costs not in AURORA 06GRC_Book2_Final Order Electric EXHIBIT A-1" xfId="620"/>
    <cellStyle name="_Costs not in AURORA 06GRC_Book4" xfId="621"/>
    <cellStyle name="_Costs not in AURORA 06GRC_Book4 2" xfId="622"/>
    <cellStyle name="_Costs not in AURORA 06GRC_Book9" xfId="623"/>
    <cellStyle name="_Costs not in AURORA 06GRC_Book9 2" xfId="624"/>
    <cellStyle name="_Costs not in AURORA 06GRC_Exhibit D fr R Gho 12-31-08" xfId="625"/>
    <cellStyle name="_Costs not in AURORA 06GRC_Exhibit D fr R Gho 12-31-08 2" xfId="626"/>
    <cellStyle name="_Costs not in AURORA 06GRC_Exhibit D fr R Gho 12-31-08 v2" xfId="627"/>
    <cellStyle name="_Costs not in AURORA 06GRC_Exhibit D fr R Gho 12-31-08 v2 2" xfId="628"/>
    <cellStyle name="_Costs not in AURORA 06GRC_Exhibit D fr R Gho 12-31-08 v2_NIM Summary" xfId="629"/>
    <cellStyle name="_Costs not in AURORA 06GRC_Exhibit D fr R Gho 12-31-08 v2_NIM Summary 2" xfId="630"/>
    <cellStyle name="_Costs not in AURORA 06GRC_Exhibit D fr R Gho 12-31-08_NIM Summary" xfId="631"/>
    <cellStyle name="_Costs not in AURORA 06GRC_Exhibit D fr R Gho 12-31-08_NIM Summary 2" xfId="632"/>
    <cellStyle name="_Costs not in AURORA 06GRC_Hopkins Ridge Prepaid Tran - Interest Earned RY 12ME Feb  '11" xfId="633"/>
    <cellStyle name="_Costs not in AURORA 06GRC_Hopkins Ridge Prepaid Tran - Interest Earned RY 12ME Feb  '11 2" xfId="634"/>
    <cellStyle name="_Costs not in AURORA 06GRC_Hopkins Ridge Prepaid Tran - Interest Earned RY 12ME Feb  '11_NIM Summary" xfId="635"/>
    <cellStyle name="_Costs not in AURORA 06GRC_Hopkins Ridge Prepaid Tran - Interest Earned RY 12ME Feb  '11_NIM Summary 2" xfId="636"/>
    <cellStyle name="_Costs not in AURORA 06GRC_Hopkins Ridge Prepaid Tran - Interest Earned RY 12ME Feb  '11_Transmission Workbook for May BOD" xfId="637"/>
    <cellStyle name="_Costs not in AURORA 06GRC_Hopkins Ridge Prepaid Tran - Interest Earned RY 12ME Feb  '11_Transmission Workbook for May BOD 2" xfId="638"/>
    <cellStyle name="_Costs not in AURORA 06GRC_NIM Summary" xfId="639"/>
    <cellStyle name="_Costs not in AURORA 06GRC_NIM Summary 09GRC" xfId="640"/>
    <cellStyle name="_Costs not in AURORA 06GRC_NIM Summary 09GRC 2" xfId="641"/>
    <cellStyle name="_Costs not in AURORA 06GRC_NIM Summary 2" xfId="642"/>
    <cellStyle name="_Costs not in AURORA 06GRC_NIM Summary 3" xfId="643"/>
    <cellStyle name="_Costs not in AURORA 06GRC_PCA 7 - Exhibit D update 11_30_08 (2)" xfId="644"/>
    <cellStyle name="_Costs not in AURORA 06GRC_PCA 7 - Exhibit D update 11_30_08 (2) 2" xfId="645"/>
    <cellStyle name="_Costs not in AURORA 06GRC_PCA 7 - Exhibit D update 11_30_08 (2) 2 2" xfId="646"/>
    <cellStyle name="_Costs not in AURORA 06GRC_PCA 7 - Exhibit D update 11_30_08 (2) 3" xfId="647"/>
    <cellStyle name="_Costs not in AURORA 06GRC_PCA 7 - Exhibit D update 11_30_08 (2)_NIM Summary" xfId="648"/>
    <cellStyle name="_Costs not in AURORA 06GRC_PCA 7 - Exhibit D update 11_30_08 (2)_NIM Summary 2" xfId="649"/>
    <cellStyle name="_Costs not in AURORA 06GRC_PCA 9 -  Exhibit D April 2010 (3)" xfId="650"/>
    <cellStyle name="_Costs not in AURORA 06GRC_PCA 9 -  Exhibit D April 2010 (3) 2" xfId="651"/>
    <cellStyle name="_Costs not in AURORA 06GRC_Power Costs - Comparison bx Rbtl-Staff-Jt-PC" xfId="652"/>
    <cellStyle name="_Costs not in AURORA 06GRC_Power Costs - Comparison bx Rbtl-Staff-Jt-PC 2" xfId="653"/>
    <cellStyle name="_Costs not in AURORA 06GRC_Power Costs - Comparison bx Rbtl-Staff-Jt-PC_Adj Bench DR 3 for Initial Briefs (Electric)" xfId="654"/>
    <cellStyle name="_Costs not in AURORA 06GRC_Power Costs - Comparison bx Rbtl-Staff-Jt-PC_Adj Bench DR 3 for Initial Briefs (Electric) 2" xfId="655"/>
    <cellStyle name="_Costs not in AURORA 06GRC_Power Costs - Comparison bx Rbtl-Staff-Jt-PC_Electric Rev Req Model (2009 GRC) Rebuttal" xfId="656"/>
    <cellStyle name="_Costs not in AURORA 06GRC_Power Costs - Comparison bx Rbtl-Staff-Jt-PC_Electric Rev Req Model (2009 GRC) Rebuttal REmoval of New  WH Solar AdjustMI" xfId="657"/>
    <cellStyle name="_Costs not in AURORA 06GRC_Power Costs - Comparison bx Rbtl-Staff-Jt-PC_Electric Rev Req Model (2009 GRC) Rebuttal REmoval of New  WH Solar AdjustMI 2" xfId="658"/>
    <cellStyle name="_Costs not in AURORA 06GRC_Power Costs - Comparison bx Rbtl-Staff-Jt-PC_Electric Rev Req Model (2009 GRC) Revised 01-18-2010" xfId="659"/>
    <cellStyle name="_Costs not in AURORA 06GRC_Power Costs - Comparison bx Rbtl-Staff-Jt-PC_Electric Rev Req Model (2009 GRC) Revised 01-18-2010 2" xfId="660"/>
    <cellStyle name="_Costs not in AURORA 06GRC_Power Costs - Comparison bx Rbtl-Staff-Jt-PC_Final Order Electric EXHIBIT A-1" xfId="661"/>
    <cellStyle name="_Costs not in AURORA 06GRC_Rebuttal Power Costs" xfId="662"/>
    <cellStyle name="_Costs not in AURORA 06GRC_Rebuttal Power Costs 2" xfId="663"/>
    <cellStyle name="_Costs not in AURORA 06GRC_Rebuttal Power Costs_Adj Bench DR 3 for Initial Briefs (Electric)" xfId="664"/>
    <cellStyle name="_Costs not in AURORA 06GRC_Rebuttal Power Costs_Adj Bench DR 3 for Initial Briefs (Electric) 2" xfId="665"/>
    <cellStyle name="_Costs not in AURORA 06GRC_Rebuttal Power Costs_Electric Rev Req Model (2009 GRC) Rebuttal" xfId="666"/>
    <cellStyle name="_Costs not in AURORA 06GRC_Rebuttal Power Costs_Electric Rev Req Model (2009 GRC) Rebuttal REmoval of New  WH Solar AdjustMI" xfId="667"/>
    <cellStyle name="_Costs not in AURORA 06GRC_Rebuttal Power Costs_Electric Rev Req Model (2009 GRC) Rebuttal REmoval of New  WH Solar AdjustMI 2" xfId="668"/>
    <cellStyle name="_Costs not in AURORA 06GRC_Rebuttal Power Costs_Electric Rev Req Model (2009 GRC) Revised 01-18-2010" xfId="669"/>
    <cellStyle name="_Costs not in AURORA 06GRC_Rebuttal Power Costs_Electric Rev Req Model (2009 GRC) Revised 01-18-2010 2" xfId="670"/>
    <cellStyle name="_Costs not in AURORA 06GRC_Rebuttal Power Costs_Final Order Electric EXHIBIT A-1" xfId="671"/>
    <cellStyle name="_Costs not in AURORA 06GRC_Transmission Workbook for May BOD" xfId="672"/>
    <cellStyle name="_Costs not in AURORA 06GRC_Transmission Workbook for May BOD 2" xfId="673"/>
    <cellStyle name="_Costs not in AURORA 06GRC_Wind Integration 10GRC" xfId="674"/>
    <cellStyle name="_Costs not in AURORA 06GRC_Wind Integration 10GRC 2" xfId="675"/>
    <cellStyle name="_Costs not in AURORA 2006GRC 6.15.06" xfId="676"/>
    <cellStyle name="_Costs not in AURORA 2006GRC 6.15.06 2" xfId="677"/>
    <cellStyle name="_Costs not in AURORA 2006GRC 6.15.06 2 2" xfId="678"/>
    <cellStyle name="_Costs not in AURORA 2006GRC 6.15.06 3" xfId="679"/>
    <cellStyle name="_Costs not in AURORA 2006GRC 6.15.06 4" xfId="680"/>
    <cellStyle name="_Costs not in AURORA 2006GRC 6.15.06_04 07E Wild Horse Wind Expansion (C) (2)" xfId="681"/>
    <cellStyle name="_Costs not in AURORA 2006GRC 6.15.06_04 07E Wild Horse Wind Expansion (C) (2) 2" xfId="682"/>
    <cellStyle name="_Costs not in AURORA 2006GRC 6.15.06_04 07E Wild Horse Wind Expansion (C) (2)_Adj Bench DR 3 for Initial Briefs (Electric)" xfId="683"/>
    <cellStyle name="_Costs not in AURORA 2006GRC 6.15.06_04 07E Wild Horse Wind Expansion (C) (2)_Adj Bench DR 3 for Initial Briefs (Electric) 2" xfId="684"/>
    <cellStyle name="_Costs not in AURORA 2006GRC 6.15.06_04 07E Wild Horse Wind Expansion (C) (2)_Electric Rev Req Model (2009 GRC) " xfId="685"/>
    <cellStyle name="_Costs not in AURORA 2006GRC 6.15.06_04 07E Wild Horse Wind Expansion (C) (2)_Electric Rev Req Model (2009 GRC)  2" xfId="686"/>
    <cellStyle name="_Costs not in AURORA 2006GRC 6.15.06_04 07E Wild Horse Wind Expansion (C) (2)_Electric Rev Req Model (2009 GRC) Rebuttal" xfId="687"/>
    <cellStyle name="_Costs not in AURORA 2006GRC 6.15.06_04 07E Wild Horse Wind Expansion (C) (2)_Electric Rev Req Model (2009 GRC) Rebuttal REmoval of New  WH Solar AdjustMI" xfId="688"/>
    <cellStyle name="_Costs not in AURORA 2006GRC 6.15.06_04 07E Wild Horse Wind Expansion (C) (2)_Electric Rev Req Model (2009 GRC) Rebuttal REmoval of New  WH Solar AdjustMI 2" xfId="689"/>
    <cellStyle name="_Costs not in AURORA 2006GRC 6.15.06_04 07E Wild Horse Wind Expansion (C) (2)_Electric Rev Req Model (2009 GRC) Revised 01-18-2010" xfId="690"/>
    <cellStyle name="_Costs not in AURORA 2006GRC 6.15.06_04 07E Wild Horse Wind Expansion (C) (2)_Electric Rev Req Model (2009 GRC) Revised 01-18-2010 2" xfId="691"/>
    <cellStyle name="_Costs not in AURORA 2006GRC 6.15.06_04 07E Wild Horse Wind Expansion (C) (2)_Final Order Electric EXHIBIT A-1" xfId="692"/>
    <cellStyle name="_Costs not in AURORA 2006GRC 6.15.06_04 07E Wild Horse Wind Expansion (C) (2)_TENASKA REGULATORY ASSET" xfId="693"/>
    <cellStyle name="_Costs not in AURORA 2006GRC 6.15.06_16.37E Wild Horse Expansion DeferralRevwrkingfile SF" xfId="694"/>
    <cellStyle name="_Costs not in AURORA 2006GRC 6.15.06_16.37E Wild Horse Expansion DeferralRevwrkingfile SF 2" xfId="695"/>
    <cellStyle name="_Costs not in AURORA 2006GRC 6.15.06_2009 GRC Compl Filing - Exhibit D" xfId="696"/>
    <cellStyle name="_Costs not in AURORA 2006GRC 6.15.06_2009 GRC Compl Filing - Exhibit D 2" xfId="697"/>
    <cellStyle name="_Costs not in AURORA 2006GRC 6.15.06_4 31 Regulatory Assets and Liabilities  7 06- Exhibit D" xfId="698"/>
    <cellStyle name="_Costs not in AURORA 2006GRC 6.15.06_4 31 Regulatory Assets and Liabilities  7 06- Exhibit D 2" xfId="699"/>
    <cellStyle name="_Costs not in AURORA 2006GRC 6.15.06_4 31 Regulatory Assets and Liabilities  7 06- Exhibit D_NIM Summary" xfId="700"/>
    <cellStyle name="_Costs not in AURORA 2006GRC 6.15.06_4 31 Regulatory Assets and Liabilities  7 06- Exhibit D_NIM Summary 2" xfId="701"/>
    <cellStyle name="_Costs not in AURORA 2006GRC 6.15.06_4 32 Regulatory Assets and Liabilities  7 06- Exhibit D" xfId="702"/>
    <cellStyle name="_Costs not in AURORA 2006GRC 6.15.06_4 32 Regulatory Assets and Liabilities  7 06- Exhibit D 2" xfId="703"/>
    <cellStyle name="_Costs not in AURORA 2006GRC 6.15.06_4 32 Regulatory Assets and Liabilities  7 06- Exhibit D_NIM Summary" xfId="704"/>
    <cellStyle name="_Costs not in AURORA 2006GRC 6.15.06_4 32 Regulatory Assets and Liabilities  7 06- Exhibit D_NIM Summary 2" xfId="705"/>
    <cellStyle name="_Costs not in AURORA 2006GRC 6.15.06_AURORA Total New" xfId="706"/>
    <cellStyle name="_Costs not in AURORA 2006GRC 6.15.06_AURORA Total New 2" xfId="707"/>
    <cellStyle name="_Costs not in AURORA 2006GRC 6.15.06_Book2" xfId="708"/>
    <cellStyle name="_Costs not in AURORA 2006GRC 6.15.06_Book2 2" xfId="709"/>
    <cellStyle name="_Costs not in AURORA 2006GRC 6.15.06_Book2_Adj Bench DR 3 for Initial Briefs (Electric)" xfId="710"/>
    <cellStyle name="_Costs not in AURORA 2006GRC 6.15.06_Book2_Adj Bench DR 3 for Initial Briefs (Electric) 2" xfId="711"/>
    <cellStyle name="_Costs not in AURORA 2006GRC 6.15.06_Book2_Electric Rev Req Model (2009 GRC) Rebuttal" xfId="712"/>
    <cellStyle name="_Costs not in AURORA 2006GRC 6.15.06_Book2_Electric Rev Req Model (2009 GRC) Rebuttal REmoval of New  WH Solar AdjustMI" xfId="713"/>
    <cellStyle name="_Costs not in AURORA 2006GRC 6.15.06_Book2_Electric Rev Req Model (2009 GRC) Rebuttal REmoval of New  WH Solar AdjustMI 2" xfId="714"/>
    <cellStyle name="_Costs not in AURORA 2006GRC 6.15.06_Book2_Electric Rev Req Model (2009 GRC) Revised 01-18-2010" xfId="715"/>
    <cellStyle name="_Costs not in AURORA 2006GRC 6.15.06_Book2_Electric Rev Req Model (2009 GRC) Revised 01-18-2010 2" xfId="716"/>
    <cellStyle name="_Costs not in AURORA 2006GRC 6.15.06_Book2_Final Order Electric EXHIBIT A-1" xfId="717"/>
    <cellStyle name="_Costs not in AURORA 2006GRC 6.15.06_Book4" xfId="718"/>
    <cellStyle name="_Costs not in AURORA 2006GRC 6.15.06_Book4 2" xfId="719"/>
    <cellStyle name="_Costs not in AURORA 2006GRC 6.15.06_Book9" xfId="720"/>
    <cellStyle name="_Costs not in AURORA 2006GRC 6.15.06_Book9 2" xfId="721"/>
    <cellStyle name="_Costs not in AURORA 2006GRC 6.15.06_NIM Summary" xfId="722"/>
    <cellStyle name="_Costs not in AURORA 2006GRC 6.15.06_NIM Summary 09GRC" xfId="723"/>
    <cellStyle name="_Costs not in AURORA 2006GRC 6.15.06_NIM Summary 09GRC 2" xfId="724"/>
    <cellStyle name="_Costs not in AURORA 2006GRC 6.15.06_NIM Summary 2" xfId="725"/>
    <cellStyle name="_Costs not in AURORA 2006GRC 6.15.06_NIM Summary 3" xfId="726"/>
    <cellStyle name="_Costs not in AURORA 2006GRC 6.15.06_PCA 9 -  Exhibit D April 2010 (3)" xfId="727"/>
    <cellStyle name="_Costs not in AURORA 2006GRC 6.15.06_PCA 9 -  Exhibit D April 2010 (3) 2" xfId="728"/>
    <cellStyle name="_Costs not in AURORA 2006GRC 6.15.06_Power Costs - Comparison bx Rbtl-Staff-Jt-PC" xfId="729"/>
    <cellStyle name="_Costs not in AURORA 2006GRC 6.15.06_Power Costs - Comparison bx Rbtl-Staff-Jt-PC 2" xfId="730"/>
    <cellStyle name="_Costs not in AURORA 2006GRC 6.15.06_Power Costs - Comparison bx Rbtl-Staff-Jt-PC_Adj Bench DR 3 for Initial Briefs (Electric)" xfId="731"/>
    <cellStyle name="_Costs not in AURORA 2006GRC 6.15.06_Power Costs - Comparison bx Rbtl-Staff-Jt-PC_Adj Bench DR 3 for Initial Briefs (Electric) 2" xfId="732"/>
    <cellStyle name="_Costs not in AURORA 2006GRC 6.15.06_Power Costs - Comparison bx Rbtl-Staff-Jt-PC_Electric Rev Req Model (2009 GRC) Rebuttal" xfId="733"/>
    <cellStyle name="_Costs not in AURORA 2006GRC 6.15.06_Power Costs - Comparison bx Rbtl-Staff-Jt-PC_Electric Rev Req Model (2009 GRC) Rebuttal REmoval of New  WH Solar AdjustMI" xfId="734"/>
    <cellStyle name="_Costs not in AURORA 2006GRC 6.15.06_Power Costs - Comparison bx Rbtl-Staff-Jt-PC_Electric Rev Req Model (2009 GRC) Rebuttal REmoval of New  WH Solar AdjustMI 2" xfId="735"/>
    <cellStyle name="_Costs not in AURORA 2006GRC 6.15.06_Power Costs - Comparison bx Rbtl-Staff-Jt-PC_Electric Rev Req Model (2009 GRC) Revised 01-18-2010" xfId="736"/>
    <cellStyle name="_Costs not in AURORA 2006GRC 6.15.06_Power Costs - Comparison bx Rbtl-Staff-Jt-PC_Electric Rev Req Model (2009 GRC) Revised 01-18-2010 2" xfId="737"/>
    <cellStyle name="_Costs not in AURORA 2006GRC 6.15.06_Power Costs - Comparison bx Rbtl-Staff-Jt-PC_Final Order Electric EXHIBIT A-1" xfId="738"/>
    <cellStyle name="_Costs not in AURORA 2006GRC 6.15.06_Rebuttal Power Costs" xfId="739"/>
    <cellStyle name="_Costs not in AURORA 2006GRC 6.15.06_Rebuttal Power Costs 2" xfId="740"/>
    <cellStyle name="_Costs not in AURORA 2006GRC 6.15.06_Rebuttal Power Costs_Adj Bench DR 3 for Initial Briefs (Electric)" xfId="741"/>
    <cellStyle name="_Costs not in AURORA 2006GRC 6.15.06_Rebuttal Power Costs_Adj Bench DR 3 for Initial Briefs (Electric) 2" xfId="742"/>
    <cellStyle name="_Costs not in AURORA 2006GRC 6.15.06_Rebuttal Power Costs_Electric Rev Req Model (2009 GRC) Rebuttal" xfId="743"/>
    <cellStyle name="_Costs not in AURORA 2006GRC 6.15.06_Rebuttal Power Costs_Electric Rev Req Model (2009 GRC) Rebuttal REmoval of New  WH Solar AdjustMI" xfId="744"/>
    <cellStyle name="_Costs not in AURORA 2006GRC 6.15.06_Rebuttal Power Costs_Electric Rev Req Model (2009 GRC) Rebuttal REmoval of New  WH Solar AdjustMI 2" xfId="745"/>
    <cellStyle name="_Costs not in AURORA 2006GRC 6.15.06_Rebuttal Power Costs_Electric Rev Req Model (2009 GRC) Revised 01-18-2010" xfId="746"/>
    <cellStyle name="_Costs not in AURORA 2006GRC 6.15.06_Rebuttal Power Costs_Electric Rev Req Model (2009 GRC) Revised 01-18-2010 2" xfId="747"/>
    <cellStyle name="_Costs not in AURORA 2006GRC 6.15.06_Rebuttal Power Costs_Final Order Electric EXHIBIT A-1" xfId="748"/>
    <cellStyle name="_Costs not in AURORA 2006GRC 6.15.06_Wind Integration 10GRC" xfId="749"/>
    <cellStyle name="_Costs not in AURORA 2006GRC 6.15.06_Wind Integration 10GRC 2" xfId="750"/>
    <cellStyle name="_Costs not in AURORA 2006GRC w gas price updated" xfId="751"/>
    <cellStyle name="_Costs not in AURORA 2006GRC w gas price updated 2" xfId="752"/>
    <cellStyle name="_Costs not in AURORA 2006GRC w gas price updated_Adj Bench DR 3 for Initial Briefs (Electric)" xfId="753"/>
    <cellStyle name="_Costs not in AURORA 2006GRC w gas price updated_Adj Bench DR 3 for Initial Briefs (Electric) 2" xfId="754"/>
    <cellStyle name="_Costs not in AURORA 2006GRC w gas price updated_Book2" xfId="755"/>
    <cellStyle name="_Costs not in AURORA 2006GRC w gas price updated_Book2 2" xfId="756"/>
    <cellStyle name="_Costs not in AURORA 2006GRC w gas price updated_Book2_Adj Bench DR 3 for Initial Briefs (Electric)" xfId="757"/>
    <cellStyle name="_Costs not in AURORA 2006GRC w gas price updated_Book2_Adj Bench DR 3 for Initial Briefs (Electric) 2" xfId="758"/>
    <cellStyle name="_Costs not in AURORA 2006GRC w gas price updated_Book2_Electric Rev Req Model (2009 GRC) Rebuttal" xfId="759"/>
    <cellStyle name="_Costs not in AURORA 2006GRC w gas price updated_Book2_Electric Rev Req Model (2009 GRC) Rebuttal REmoval of New  WH Solar AdjustMI" xfId="760"/>
    <cellStyle name="_Costs not in AURORA 2006GRC w gas price updated_Book2_Electric Rev Req Model (2009 GRC) Rebuttal REmoval of New  WH Solar AdjustMI 2" xfId="761"/>
    <cellStyle name="_Costs not in AURORA 2006GRC w gas price updated_Book2_Electric Rev Req Model (2009 GRC) Revised 01-18-2010" xfId="762"/>
    <cellStyle name="_Costs not in AURORA 2006GRC w gas price updated_Book2_Electric Rev Req Model (2009 GRC) Revised 01-18-2010 2" xfId="763"/>
    <cellStyle name="_Costs not in AURORA 2006GRC w gas price updated_Book2_Final Order Electric EXHIBIT A-1" xfId="764"/>
    <cellStyle name="_Costs not in AURORA 2006GRC w gas price updated_Electric Rev Req Model (2009 GRC) " xfId="765"/>
    <cellStyle name="_Costs not in AURORA 2006GRC w gas price updated_Electric Rev Req Model (2009 GRC)  2" xfId="766"/>
    <cellStyle name="_Costs not in AURORA 2006GRC w gas price updated_Electric Rev Req Model (2009 GRC) Rebuttal" xfId="767"/>
    <cellStyle name="_Costs not in AURORA 2006GRC w gas price updated_Electric Rev Req Model (2009 GRC) Rebuttal REmoval of New  WH Solar AdjustMI" xfId="768"/>
    <cellStyle name="_Costs not in AURORA 2006GRC w gas price updated_Electric Rev Req Model (2009 GRC) Rebuttal REmoval of New  WH Solar AdjustMI 2" xfId="769"/>
    <cellStyle name="_Costs not in AURORA 2006GRC w gas price updated_Electric Rev Req Model (2009 GRC) Revised 01-18-2010" xfId="770"/>
    <cellStyle name="_Costs not in AURORA 2006GRC w gas price updated_Electric Rev Req Model (2009 GRC) Revised 01-18-2010 2" xfId="771"/>
    <cellStyle name="_Costs not in AURORA 2006GRC w gas price updated_Final Order Electric EXHIBIT A-1" xfId="772"/>
    <cellStyle name="_Costs not in AURORA 2006GRC w gas price updated_NIM Summary" xfId="773"/>
    <cellStyle name="_Costs not in AURORA 2006GRC w gas price updated_NIM Summary 2" xfId="774"/>
    <cellStyle name="_Costs not in AURORA 2006GRC w gas price updated_Rebuttal Power Costs" xfId="775"/>
    <cellStyle name="_Costs not in AURORA 2006GRC w gas price updated_Rebuttal Power Costs 2" xfId="776"/>
    <cellStyle name="_Costs not in AURORA 2006GRC w gas price updated_Rebuttal Power Costs_Adj Bench DR 3 for Initial Briefs (Electric)" xfId="777"/>
    <cellStyle name="_Costs not in AURORA 2006GRC w gas price updated_Rebuttal Power Costs_Adj Bench DR 3 for Initial Briefs (Electric) 2" xfId="778"/>
    <cellStyle name="_Costs not in AURORA 2006GRC w gas price updated_Rebuttal Power Costs_Electric Rev Req Model (2009 GRC) Rebuttal" xfId="779"/>
    <cellStyle name="_Costs not in AURORA 2006GRC w gas price updated_Rebuttal Power Costs_Electric Rev Req Model (2009 GRC) Rebuttal REmoval of New  WH Solar AdjustMI" xfId="780"/>
    <cellStyle name="_Costs not in AURORA 2006GRC w gas price updated_Rebuttal Power Costs_Electric Rev Req Model (2009 GRC) Rebuttal REmoval of New  WH Solar AdjustMI 2" xfId="781"/>
    <cellStyle name="_Costs not in AURORA 2006GRC w gas price updated_Rebuttal Power Costs_Electric Rev Req Model (2009 GRC) Revised 01-18-2010" xfId="782"/>
    <cellStyle name="_Costs not in AURORA 2006GRC w gas price updated_Rebuttal Power Costs_Electric Rev Req Model (2009 GRC) Revised 01-18-2010 2" xfId="783"/>
    <cellStyle name="_Costs not in AURORA 2006GRC w gas price updated_Rebuttal Power Costs_Final Order Electric EXHIBIT A-1" xfId="784"/>
    <cellStyle name="_Costs not in AURORA 2006GRC w gas price updated_TENASKA REGULATORY ASSET" xfId="785"/>
    <cellStyle name="_Costs not in AURORA 2007 Rate Case" xfId="786"/>
    <cellStyle name="_Costs not in AURORA 2007 Rate Case 2" xfId="787"/>
    <cellStyle name="_Costs not in AURORA 2007 Rate Case 2 2" xfId="788"/>
    <cellStyle name="_Costs not in AURORA 2007 Rate Case 3" xfId="789"/>
    <cellStyle name="_Costs not in AURORA 2007 Rate Case 4" xfId="790"/>
    <cellStyle name="_Costs not in AURORA 2007 Rate Case_(C) WHE Proforma with ITC cash grant 10 Yr Amort_for deferral_102809" xfId="791"/>
    <cellStyle name="_Costs not in AURORA 2007 Rate Case_(C) WHE Proforma with ITC cash grant 10 Yr Amort_for deferral_102809 2" xfId="792"/>
    <cellStyle name="_Costs not in AURORA 2007 Rate Case_(C) WHE Proforma with ITC cash grant 10 Yr Amort_for deferral_102809_16.07E Wild Horse Wind Expansionwrkingfile" xfId="793"/>
    <cellStyle name="_Costs not in AURORA 2007 Rate Case_(C) WHE Proforma with ITC cash grant 10 Yr Amort_for deferral_102809_16.07E Wild Horse Wind Expansionwrkingfile 2" xfId="794"/>
    <cellStyle name="_Costs not in AURORA 2007 Rate Case_(C) WHE Proforma with ITC cash grant 10 Yr Amort_for deferral_102809_16.07E Wild Horse Wind Expansionwrkingfile SF" xfId="795"/>
    <cellStyle name="_Costs not in AURORA 2007 Rate Case_(C) WHE Proforma with ITC cash grant 10 Yr Amort_for deferral_102809_16.07E Wild Horse Wind Expansionwrkingfile SF 2" xfId="796"/>
    <cellStyle name="_Costs not in AURORA 2007 Rate Case_(C) WHE Proforma with ITC cash grant 10 Yr Amort_for deferral_102809_16.37E Wild Horse Expansion DeferralRevwrkingfile SF" xfId="797"/>
    <cellStyle name="_Costs not in AURORA 2007 Rate Case_(C) WHE Proforma with ITC cash grant 10 Yr Amort_for deferral_102809_16.37E Wild Horse Expansion DeferralRevwrkingfile SF 2" xfId="798"/>
    <cellStyle name="_Costs not in AURORA 2007 Rate Case_(C) WHE Proforma with ITC cash grant 10 Yr Amort_for rebuttal_120709" xfId="799"/>
    <cellStyle name="_Costs not in AURORA 2007 Rate Case_(C) WHE Proforma with ITC cash grant 10 Yr Amort_for rebuttal_120709 2" xfId="800"/>
    <cellStyle name="_Costs not in AURORA 2007 Rate Case_04.07E Wild Horse Wind Expansion" xfId="801"/>
    <cellStyle name="_Costs not in AURORA 2007 Rate Case_04.07E Wild Horse Wind Expansion 2" xfId="802"/>
    <cellStyle name="_Costs not in AURORA 2007 Rate Case_04.07E Wild Horse Wind Expansion_16.07E Wild Horse Wind Expansionwrkingfile" xfId="803"/>
    <cellStyle name="_Costs not in AURORA 2007 Rate Case_04.07E Wild Horse Wind Expansion_16.07E Wild Horse Wind Expansionwrkingfile 2" xfId="804"/>
    <cellStyle name="_Costs not in AURORA 2007 Rate Case_04.07E Wild Horse Wind Expansion_16.07E Wild Horse Wind Expansionwrkingfile SF" xfId="805"/>
    <cellStyle name="_Costs not in AURORA 2007 Rate Case_04.07E Wild Horse Wind Expansion_16.07E Wild Horse Wind Expansionwrkingfile SF 2" xfId="806"/>
    <cellStyle name="_Costs not in AURORA 2007 Rate Case_04.07E Wild Horse Wind Expansion_16.37E Wild Horse Expansion DeferralRevwrkingfile SF" xfId="807"/>
    <cellStyle name="_Costs not in AURORA 2007 Rate Case_04.07E Wild Horse Wind Expansion_16.37E Wild Horse Expansion DeferralRevwrkingfile SF 2" xfId="808"/>
    <cellStyle name="_Costs not in AURORA 2007 Rate Case_16.07E Wild Horse Wind Expansionwrkingfile" xfId="809"/>
    <cellStyle name="_Costs not in AURORA 2007 Rate Case_16.07E Wild Horse Wind Expansionwrkingfile 2" xfId="810"/>
    <cellStyle name="_Costs not in AURORA 2007 Rate Case_16.07E Wild Horse Wind Expansionwrkingfile SF" xfId="811"/>
    <cellStyle name="_Costs not in AURORA 2007 Rate Case_16.07E Wild Horse Wind Expansionwrkingfile SF 2" xfId="812"/>
    <cellStyle name="_Costs not in AURORA 2007 Rate Case_16.37E Wild Horse Expansion DeferralRevwrkingfile SF" xfId="813"/>
    <cellStyle name="_Costs not in AURORA 2007 Rate Case_16.37E Wild Horse Expansion DeferralRevwrkingfile SF 2" xfId="814"/>
    <cellStyle name="_Costs not in AURORA 2007 Rate Case_2009 GRC Compl Filing - Exhibit D" xfId="815"/>
    <cellStyle name="_Costs not in AURORA 2007 Rate Case_2009 GRC Compl Filing - Exhibit D 2" xfId="816"/>
    <cellStyle name="_Costs not in AURORA 2007 Rate Case_4 31 Regulatory Assets and Liabilities  7 06- Exhibit D" xfId="817"/>
    <cellStyle name="_Costs not in AURORA 2007 Rate Case_4 31 Regulatory Assets and Liabilities  7 06- Exhibit D 2" xfId="818"/>
    <cellStyle name="_Costs not in AURORA 2007 Rate Case_4 31 Regulatory Assets and Liabilities  7 06- Exhibit D_NIM Summary" xfId="819"/>
    <cellStyle name="_Costs not in AURORA 2007 Rate Case_4 31 Regulatory Assets and Liabilities  7 06- Exhibit D_NIM Summary 2" xfId="820"/>
    <cellStyle name="_Costs not in AURORA 2007 Rate Case_4 32 Regulatory Assets and Liabilities  7 06- Exhibit D" xfId="821"/>
    <cellStyle name="_Costs not in AURORA 2007 Rate Case_4 32 Regulatory Assets and Liabilities  7 06- Exhibit D 2" xfId="822"/>
    <cellStyle name="_Costs not in AURORA 2007 Rate Case_4 32 Regulatory Assets and Liabilities  7 06- Exhibit D_NIM Summary" xfId="823"/>
    <cellStyle name="_Costs not in AURORA 2007 Rate Case_4 32 Regulatory Assets and Liabilities  7 06- Exhibit D_NIM Summary 2" xfId="824"/>
    <cellStyle name="_Costs not in AURORA 2007 Rate Case_AURORA Total New" xfId="825"/>
    <cellStyle name="_Costs not in AURORA 2007 Rate Case_AURORA Total New 2" xfId="826"/>
    <cellStyle name="_Costs not in AURORA 2007 Rate Case_Book2" xfId="827"/>
    <cellStyle name="_Costs not in AURORA 2007 Rate Case_Book2 2" xfId="828"/>
    <cellStyle name="_Costs not in AURORA 2007 Rate Case_Book2_Adj Bench DR 3 for Initial Briefs (Electric)" xfId="829"/>
    <cellStyle name="_Costs not in AURORA 2007 Rate Case_Book2_Adj Bench DR 3 for Initial Briefs (Electric) 2" xfId="830"/>
    <cellStyle name="_Costs not in AURORA 2007 Rate Case_Book2_Electric Rev Req Model (2009 GRC) Rebuttal" xfId="831"/>
    <cellStyle name="_Costs not in AURORA 2007 Rate Case_Book2_Electric Rev Req Model (2009 GRC) Rebuttal REmoval of New  WH Solar AdjustMI" xfId="832"/>
    <cellStyle name="_Costs not in AURORA 2007 Rate Case_Book2_Electric Rev Req Model (2009 GRC) Rebuttal REmoval of New  WH Solar AdjustMI 2" xfId="833"/>
    <cellStyle name="_Costs not in AURORA 2007 Rate Case_Book2_Electric Rev Req Model (2009 GRC) Revised 01-18-2010" xfId="834"/>
    <cellStyle name="_Costs not in AURORA 2007 Rate Case_Book2_Electric Rev Req Model (2009 GRC) Revised 01-18-2010 2" xfId="835"/>
    <cellStyle name="_Costs not in AURORA 2007 Rate Case_Book2_Final Order Electric EXHIBIT A-1" xfId="836"/>
    <cellStyle name="_Costs not in AURORA 2007 Rate Case_Book4" xfId="837"/>
    <cellStyle name="_Costs not in AURORA 2007 Rate Case_Book4 2" xfId="838"/>
    <cellStyle name="_Costs not in AURORA 2007 Rate Case_Book9" xfId="839"/>
    <cellStyle name="_Costs not in AURORA 2007 Rate Case_Book9 2" xfId="840"/>
    <cellStyle name="_Costs not in AURORA 2007 Rate Case_NIM Summary" xfId="841"/>
    <cellStyle name="_Costs not in AURORA 2007 Rate Case_NIM Summary 09GRC" xfId="842"/>
    <cellStyle name="_Costs not in AURORA 2007 Rate Case_NIM Summary 09GRC 2" xfId="843"/>
    <cellStyle name="_Costs not in AURORA 2007 Rate Case_NIM Summary 2" xfId="844"/>
    <cellStyle name="_Costs not in AURORA 2007 Rate Case_NIM Summary 3" xfId="845"/>
    <cellStyle name="_Costs not in AURORA 2007 Rate Case_PCA 9 -  Exhibit D April 2010 (3)" xfId="846"/>
    <cellStyle name="_Costs not in AURORA 2007 Rate Case_PCA 9 -  Exhibit D April 2010 (3) 2" xfId="847"/>
    <cellStyle name="_Costs not in AURORA 2007 Rate Case_Power Costs - Comparison bx Rbtl-Staff-Jt-PC" xfId="848"/>
    <cellStyle name="_Costs not in AURORA 2007 Rate Case_Power Costs - Comparison bx Rbtl-Staff-Jt-PC 2" xfId="849"/>
    <cellStyle name="_Costs not in AURORA 2007 Rate Case_Power Costs - Comparison bx Rbtl-Staff-Jt-PC_Adj Bench DR 3 for Initial Briefs (Electric)" xfId="850"/>
    <cellStyle name="_Costs not in AURORA 2007 Rate Case_Power Costs - Comparison bx Rbtl-Staff-Jt-PC_Adj Bench DR 3 for Initial Briefs (Electric) 2" xfId="851"/>
    <cellStyle name="_Costs not in AURORA 2007 Rate Case_Power Costs - Comparison bx Rbtl-Staff-Jt-PC_Electric Rev Req Model (2009 GRC) Rebuttal" xfId="852"/>
    <cellStyle name="_Costs not in AURORA 2007 Rate Case_Power Costs - Comparison bx Rbtl-Staff-Jt-PC_Electric Rev Req Model (2009 GRC) Rebuttal REmoval of New  WH Solar AdjustMI" xfId="853"/>
    <cellStyle name="_Costs not in AURORA 2007 Rate Case_Power Costs - Comparison bx Rbtl-Staff-Jt-PC_Electric Rev Req Model (2009 GRC) Rebuttal REmoval of New  WH Solar AdjustMI 2" xfId="854"/>
    <cellStyle name="_Costs not in AURORA 2007 Rate Case_Power Costs - Comparison bx Rbtl-Staff-Jt-PC_Electric Rev Req Model (2009 GRC) Revised 01-18-2010" xfId="855"/>
    <cellStyle name="_Costs not in AURORA 2007 Rate Case_Power Costs - Comparison bx Rbtl-Staff-Jt-PC_Electric Rev Req Model (2009 GRC) Revised 01-18-2010 2" xfId="856"/>
    <cellStyle name="_Costs not in AURORA 2007 Rate Case_Power Costs - Comparison bx Rbtl-Staff-Jt-PC_Final Order Electric EXHIBIT A-1" xfId="857"/>
    <cellStyle name="_Costs not in AURORA 2007 Rate Case_Rebuttal Power Costs" xfId="858"/>
    <cellStyle name="_Costs not in AURORA 2007 Rate Case_Rebuttal Power Costs 2" xfId="859"/>
    <cellStyle name="_Costs not in AURORA 2007 Rate Case_Rebuttal Power Costs_Adj Bench DR 3 for Initial Briefs (Electric)" xfId="860"/>
    <cellStyle name="_Costs not in AURORA 2007 Rate Case_Rebuttal Power Costs_Adj Bench DR 3 for Initial Briefs (Electric) 2" xfId="861"/>
    <cellStyle name="_Costs not in AURORA 2007 Rate Case_Rebuttal Power Costs_Electric Rev Req Model (2009 GRC) Rebuttal" xfId="862"/>
    <cellStyle name="_Costs not in AURORA 2007 Rate Case_Rebuttal Power Costs_Electric Rev Req Model (2009 GRC) Rebuttal REmoval of New  WH Solar AdjustMI" xfId="863"/>
    <cellStyle name="_Costs not in AURORA 2007 Rate Case_Rebuttal Power Costs_Electric Rev Req Model (2009 GRC) Rebuttal REmoval of New  WH Solar AdjustMI 2" xfId="864"/>
    <cellStyle name="_Costs not in AURORA 2007 Rate Case_Rebuttal Power Costs_Electric Rev Req Model (2009 GRC) Revised 01-18-2010" xfId="865"/>
    <cellStyle name="_Costs not in AURORA 2007 Rate Case_Rebuttal Power Costs_Electric Rev Req Model (2009 GRC) Revised 01-18-2010 2" xfId="866"/>
    <cellStyle name="_Costs not in AURORA 2007 Rate Case_Rebuttal Power Costs_Final Order Electric EXHIBIT A-1" xfId="867"/>
    <cellStyle name="_Costs not in AURORA 2007 Rate Case_Transmission Workbook for May BOD" xfId="868"/>
    <cellStyle name="_Costs not in AURORA 2007 Rate Case_Transmission Workbook for May BOD 2" xfId="869"/>
    <cellStyle name="_Costs not in AURORA 2007 Rate Case_Wind Integration 10GRC" xfId="870"/>
    <cellStyle name="_Costs not in AURORA 2007 Rate Case_Wind Integration 10GRC 2" xfId="871"/>
    <cellStyle name="_Costs not in KWI3000 '06Budget" xfId="872"/>
    <cellStyle name="_Costs not in KWI3000 '06Budget 2" xfId="873"/>
    <cellStyle name="_Costs not in KWI3000 '06Budget 2 2" xfId="874"/>
    <cellStyle name="_Costs not in KWI3000 '06Budget 3" xfId="875"/>
    <cellStyle name="_Costs not in KWI3000 '06Budget 4" xfId="876"/>
    <cellStyle name="_Costs not in KWI3000 '06Budget_(C) WHE Proforma with ITC cash grant 10 Yr Amort_for deferral_102809" xfId="877"/>
    <cellStyle name="_Costs not in KWI3000 '06Budget_(C) WHE Proforma with ITC cash grant 10 Yr Amort_for deferral_102809 2" xfId="878"/>
    <cellStyle name="_Costs not in KWI3000 '06Budget_(C) WHE Proforma with ITC cash grant 10 Yr Amort_for deferral_102809_16.07E Wild Horse Wind Expansionwrkingfile" xfId="879"/>
    <cellStyle name="_Costs not in KWI3000 '06Budget_(C) WHE Proforma with ITC cash grant 10 Yr Amort_for deferral_102809_16.07E Wild Horse Wind Expansionwrkingfile 2" xfId="880"/>
    <cellStyle name="_Costs not in KWI3000 '06Budget_(C) WHE Proforma with ITC cash grant 10 Yr Amort_for deferral_102809_16.07E Wild Horse Wind Expansionwrkingfile SF" xfId="881"/>
    <cellStyle name="_Costs not in KWI3000 '06Budget_(C) WHE Proforma with ITC cash grant 10 Yr Amort_for deferral_102809_16.07E Wild Horse Wind Expansionwrkingfile SF 2" xfId="882"/>
    <cellStyle name="_Costs not in KWI3000 '06Budget_(C) WHE Proforma with ITC cash grant 10 Yr Amort_for deferral_102809_16.37E Wild Horse Expansion DeferralRevwrkingfile SF" xfId="883"/>
    <cellStyle name="_Costs not in KWI3000 '06Budget_(C) WHE Proforma with ITC cash grant 10 Yr Amort_for deferral_102809_16.37E Wild Horse Expansion DeferralRevwrkingfile SF 2" xfId="884"/>
    <cellStyle name="_Costs not in KWI3000 '06Budget_(C) WHE Proforma with ITC cash grant 10 Yr Amort_for rebuttal_120709" xfId="885"/>
    <cellStyle name="_Costs not in KWI3000 '06Budget_(C) WHE Proforma with ITC cash grant 10 Yr Amort_for rebuttal_120709 2" xfId="886"/>
    <cellStyle name="_Costs not in KWI3000 '06Budget_04.07E Wild Horse Wind Expansion" xfId="887"/>
    <cellStyle name="_Costs not in KWI3000 '06Budget_04.07E Wild Horse Wind Expansion 2" xfId="888"/>
    <cellStyle name="_Costs not in KWI3000 '06Budget_04.07E Wild Horse Wind Expansion_16.07E Wild Horse Wind Expansionwrkingfile" xfId="889"/>
    <cellStyle name="_Costs not in KWI3000 '06Budget_04.07E Wild Horse Wind Expansion_16.07E Wild Horse Wind Expansionwrkingfile 2" xfId="890"/>
    <cellStyle name="_Costs not in KWI3000 '06Budget_04.07E Wild Horse Wind Expansion_16.07E Wild Horse Wind Expansionwrkingfile SF" xfId="891"/>
    <cellStyle name="_Costs not in KWI3000 '06Budget_04.07E Wild Horse Wind Expansion_16.07E Wild Horse Wind Expansionwrkingfile SF 2" xfId="892"/>
    <cellStyle name="_Costs not in KWI3000 '06Budget_04.07E Wild Horse Wind Expansion_16.37E Wild Horse Expansion DeferralRevwrkingfile SF" xfId="893"/>
    <cellStyle name="_Costs not in KWI3000 '06Budget_04.07E Wild Horse Wind Expansion_16.37E Wild Horse Expansion DeferralRevwrkingfile SF 2" xfId="894"/>
    <cellStyle name="_Costs not in KWI3000 '06Budget_16.07E Wild Horse Wind Expansionwrkingfile" xfId="895"/>
    <cellStyle name="_Costs not in KWI3000 '06Budget_16.07E Wild Horse Wind Expansionwrkingfile 2" xfId="896"/>
    <cellStyle name="_Costs not in KWI3000 '06Budget_16.07E Wild Horse Wind Expansionwrkingfile SF" xfId="897"/>
    <cellStyle name="_Costs not in KWI3000 '06Budget_16.07E Wild Horse Wind Expansionwrkingfile SF 2" xfId="898"/>
    <cellStyle name="_Costs not in KWI3000 '06Budget_16.37E Wild Horse Expansion DeferralRevwrkingfile SF" xfId="899"/>
    <cellStyle name="_Costs not in KWI3000 '06Budget_16.37E Wild Horse Expansion DeferralRevwrkingfile SF 2" xfId="900"/>
    <cellStyle name="_Costs not in KWI3000 '06Budget_2009 GRC Compl Filing - Exhibit D" xfId="901"/>
    <cellStyle name="_Costs not in KWI3000 '06Budget_2009 GRC Compl Filing - Exhibit D 2" xfId="902"/>
    <cellStyle name="_Costs not in KWI3000 '06Budget_4 31 Regulatory Assets and Liabilities  7 06- Exhibit D" xfId="903"/>
    <cellStyle name="_Costs not in KWI3000 '06Budget_4 31 Regulatory Assets and Liabilities  7 06- Exhibit D 2" xfId="904"/>
    <cellStyle name="_Costs not in KWI3000 '06Budget_4 31 Regulatory Assets and Liabilities  7 06- Exhibit D_NIM Summary" xfId="905"/>
    <cellStyle name="_Costs not in KWI3000 '06Budget_4 31 Regulatory Assets and Liabilities  7 06- Exhibit D_NIM Summary 2" xfId="906"/>
    <cellStyle name="_Costs not in KWI3000 '06Budget_4 32 Regulatory Assets and Liabilities  7 06- Exhibit D" xfId="907"/>
    <cellStyle name="_Costs not in KWI3000 '06Budget_4 32 Regulatory Assets and Liabilities  7 06- Exhibit D 2" xfId="908"/>
    <cellStyle name="_Costs not in KWI3000 '06Budget_4 32 Regulatory Assets and Liabilities  7 06- Exhibit D_NIM Summary" xfId="909"/>
    <cellStyle name="_Costs not in KWI3000 '06Budget_4 32 Regulatory Assets and Liabilities  7 06- Exhibit D_NIM Summary 2" xfId="910"/>
    <cellStyle name="_Costs not in KWI3000 '06Budget_AURORA Total New" xfId="911"/>
    <cellStyle name="_Costs not in KWI3000 '06Budget_AURORA Total New 2" xfId="912"/>
    <cellStyle name="_Costs not in KWI3000 '06Budget_Book2" xfId="913"/>
    <cellStyle name="_Costs not in KWI3000 '06Budget_Book2 2" xfId="914"/>
    <cellStyle name="_Costs not in KWI3000 '06Budget_Book2_Adj Bench DR 3 for Initial Briefs (Electric)" xfId="915"/>
    <cellStyle name="_Costs not in KWI3000 '06Budget_Book2_Adj Bench DR 3 for Initial Briefs (Electric) 2" xfId="916"/>
    <cellStyle name="_Costs not in KWI3000 '06Budget_Book2_Electric Rev Req Model (2009 GRC) Rebuttal" xfId="917"/>
    <cellStyle name="_Costs not in KWI3000 '06Budget_Book2_Electric Rev Req Model (2009 GRC) Rebuttal REmoval of New  WH Solar AdjustMI" xfId="918"/>
    <cellStyle name="_Costs not in KWI3000 '06Budget_Book2_Electric Rev Req Model (2009 GRC) Rebuttal REmoval of New  WH Solar AdjustMI 2" xfId="919"/>
    <cellStyle name="_Costs not in KWI3000 '06Budget_Book2_Electric Rev Req Model (2009 GRC) Revised 01-18-2010" xfId="920"/>
    <cellStyle name="_Costs not in KWI3000 '06Budget_Book2_Electric Rev Req Model (2009 GRC) Revised 01-18-2010 2" xfId="921"/>
    <cellStyle name="_Costs not in KWI3000 '06Budget_Book2_Final Order Electric EXHIBIT A-1" xfId="922"/>
    <cellStyle name="_Costs not in KWI3000 '06Budget_Book4" xfId="923"/>
    <cellStyle name="_Costs not in KWI3000 '06Budget_Book4 2" xfId="924"/>
    <cellStyle name="_Costs not in KWI3000 '06Budget_Book9" xfId="925"/>
    <cellStyle name="_Costs not in KWI3000 '06Budget_Book9 2" xfId="926"/>
    <cellStyle name="_Costs not in KWI3000 '06Budget_Exhibit D fr R Gho 12-31-08" xfId="927"/>
    <cellStyle name="_Costs not in KWI3000 '06Budget_Exhibit D fr R Gho 12-31-08 2" xfId="928"/>
    <cellStyle name="_Costs not in KWI3000 '06Budget_Exhibit D fr R Gho 12-31-08 v2" xfId="929"/>
    <cellStyle name="_Costs not in KWI3000 '06Budget_Exhibit D fr R Gho 12-31-08 v2 2" xfId="930"/>
    <cellStyle name="_Costs not in KWI3000 '06Budget_Exhibit D fr R Gho 12-31-08 v2_NIM Summary" xfId="931"/>
    <cellStyle name="_Costs not in KWI3000 '06Budget_Exhibit D fr R Gho 12-31-08 v2_NIM Summary 2" xfId="932"/>
    <cellStyle name="_Costs not in KWI3000 '06Budget_Exhibit D fr R Gho 12-31-08_NIM Summary" xfId="933"/>
    <cellStyle name="_Costs not in KWI3000 '06Budget_Exhibit D fr R Gho 12-31-08_NIM Summary 2" xfId="934"/>
    <cellStyle name="_Costs not in KWI3000 '06Budget_Hopkins Ridge Prepaid Tran - Interest Earned RY 12ME Feb  '11" xfId="935"/>
    <cellStyle name="_Costs not in KWI3000 '06Budget_Hopkins Ridge Prepaid Tran - Interest Earned RY 12ME Feb  '11 2" xfId="936"/>
    <cellStyle name="_Costs not in KWI3000 '06Budget_Hopkins Ridge Prepaid Tran - Interest Earned RY 12ME Feb  '11_NIM Summary" xfId="937"/>
    <cellStyle name="_Costs not in KWI3000 '06Budget_Hopkins Ridge Prepaid Tran - Interest Earned RY 12ME Feb  '11_NIM Summary 2" xfId="938"/>
    <cellStyle name="_Costs not in KWI3000 '06Budget_Hopkins Ridge Prepaid Tran - Interest Earned RY 12ME Feb  '11_Transmission Workbook for May BOD" xfId="939"/>
    <cellStyle name="_Costs not in KWI3000 '06Budget_Hopkins Ridge Prepaid Tran - Interest Earned RY 12ME Feb  '11_Transmission Workbook for May BOD 2" xfId="940"/>
    <cellStyle name="_Costs not in KWI3000 '06Budget_NIM Summary" xfId="941"/>
    <cellStyle name="_Costs not in KWI3000 '06Budget_NIM Summary 09GRC" xfId="942"/>
    <cellStyle name="_Costs not in KWI3000 '06Budget_NIM Summary 09GRC 2" xfId="943"/>
    <cellStyle name="_Costs not in KWI3000 '06Budget_NIM Summary 2" xfId="944"/>
    <cellStyle name="_Costs not in KWI3000 '06Budget_NIM Summary 3" xfId="945"/>
    <cellStyle name="_Costs not in KWI3000 '06Budget_PCA 7 - Exhibit D update 11_30_08 (2)" xfId="946"/>
    <cellStyle name="_Costs not in KWI3000 '06Budget_PCA 7 - Exhibit D update 11_30_08 (2) 2" xfId="947"/>
    <cellStyle name="_Costs not in KWI3000 '06Budget_PCA 7 - Exhibit D update 11_30_08 (2) 2 2" xfId="948"/>
    <cellStyle name="_Costs not in KWI3000 '06Budget_PCA 7 - Exhibit D update 11_30_08 (2) 3" xfId="949"/>
    <cellStyle name="_Costs not in KWI3000 '06Budget_PCA 7 - Exhibit D update 11_30_08 (2)_NIM Summary" xfId="950"/>
    <cellStyle name="_Costs not in KWI3000 '06Budget_PCA 7 - Exhibit D update 11_30_08 (2)_NIM Summary 2" xfId="951"/>
    <cellStyle name="_Costs not in KWI3000 '06Budget_PCA 9 -  Exhibit D April 2010 (3)" xfId="952"/>
    <cellStyle name="_Costs not in KWI3000 '06Budget_PCA 9 -  Exhibit D April 2010 (3) 2" xfId="953"/>
    <cellStyle name="_Costs not in KWI3000 '06Budget_Power Costs - Comparison bx Rbtl-Staff-Jt-PC" xfId="954"/>
    <cellStyle name="_Costs not in KWI3000 '06Budget_Power Costs - Comparison bx Rbtl-Staff-Jt-PC 2" xfId="955"/>
    <cellStyle name="_Costs not in KWI3000 '06Budget_Power Costs - Comparison bx Rbtl-Staff-Jt-PC_Adj Bench DR 3 for Initial Briefs (Electric)" xfId="956"/>
    <cellStyle name="_Costs not in KWI3000 '06Budget_Power Costs - Comparison bx Rbtl-Staff-Jt-PC_Adj Bench DR 3 for Initial Briefs (Electric) 2" xfId="957"/>
    <cellStyle name="_Costs not in KWI3000 '06Budget_Power Costs - Comparison bx Rbtl-Staff-Jt-PC_Electric Rev Req Model (2009 GRC) Rebuttal" xfId="958"/>
    <cellStyle name="_Costs not in KWI3000 '06Budget_Power Costs - Comparison bx Rbtl-Staff-Jt-PC_Electric Rev Req Model (2009 GRC) Rebuttal REmoval of New  WH Solar AdjustMI" xfId="959"/>
    <cellStyle name="_Costs not in KWI3000 '06Budget_Power Costs - Comparison bx Rbtl-Staff-Jt-PC_Electric Rev Req Model (2009 GRC) Rebuttal REmoval of New  WH Solar AdjustMI 2" xfId="960"/>
    <cellStyle name="_Costs not in KWI3000 '06Budget_Power Costs - Comparison bx Rbtl-Staff-Jt-PC_Electric Rev Req Model (2009 GRC) Revised 01-18-2010" xfId="961"/>
    <cellStyle name="_Costs not in KWI3000 '06Budget_Power Costs - Comparison bx Rbtl-Staff-Jt-PC_Electric Rev Req Model (2009 GRC) Revised 01-18-2010 2" xfId="962"/>
    <cellStyle name="_Costs not in KWI3000 '06Budget_Power Costs - Comparison bx Rbtl-Staff-Jt-PC_Final Order Electric EXHIBIT A-1" xfId="963"/>
    <cellStyle name="_Costs not in KWI3000 '06Budget_Rebuttal Power Costs" xfId="964"/>
    <cellStyle name="_Costs not in KWI3000 '06Budget_Rebuttal Power Costs 2" xfId="965"/>
    <cellStyle name="_Costs not in KWI3000 '06Budget_Rebuttal Power Costs_Adj Bench DR 3 for Initial Briefs (Electric)" xfId="966"/>
    <cellStyle name="_Costs not in KWI3000 '06Budget_Rebuttal Power Costs_Adj Bench DR 3 for Initial Briefs (Electric) 2" xfId="967"/>
    <cellStyle name="_Costs not in KWI3000 '06Budget_Rebuttal Power Costs_Electric Rev Req Model (2009 GRC) Rebuttal" xfId="968"/>
    <cellStyle name="_Costs not in KWI3000 '06Budget_Rebuttal Power Costs_Electric Rev Req Model (2009 GRC) Rebuttal REmoval of New  WH Solar AdjustMI" xfId="969"/>
    <cellStyle name="_Costs not in KWI3000 '06Budget_Rebuttal Power Costs_Electric Rev Req Model (2009 GRC) Rebuttal REmoval of New  WH Solar AdjustMI 2" xfId="970"/>
    <cellStyle name="_Costs not in KWI3000 '06Budget_Rebuttal Power Costs_Electric Rev Req Model (2009 GRC) Revised 01-18-2010" xfId="971"/>
    <cellStyle name="_Costs not in KWI3000 '06Budget_Rebuttal Power Costs_Electric Rev Req Model (2009 GRC) Revised 01-18-2010 2" xfId="972"/>
    <cellStyle name="_Costs not in KWI3000 '06Budget_Rebuttal Power Costs_Final Order Electric EXHIBIT A-1" xfId="973"/>
    <cellStyle name="_Costs not in KWI3000 '06Budget_Transmission Workbook for May BOD" xfId="974"/>
    <cellStyle name="_Costs not in KWI3000 '06Budget_Transmission Workbook for May BOD 2" xfId="975"/>
    <cellStyle name="_Costs not in KWI3000 '06Budget_Wind Integration 10GRC" xfId="976"/>
    <cellStyle name="_Costs not in KWI3000 '06Budget_Wind Integration 10GRC 2" xfId="977"/>
    <cellStyle name="_DEM-WP (C) Costs not in AURORA 2006GRC Order 11.30.06 Gas" xfId="978"/>
    <cellStyle name="_DEM-WP (C) Costs not in AURORA 2006GRC Order 11.30.06 Gas 2" xfId="979"/>
    <cellStyle name="_DEM-WP (C) Costs not in AURORA 2006GRC Order 11.30.06 Gas_NIM Summary" xfId="980"/>
    <cellStyle name="_DEM-WP (C) Costs not in AURORA 2006GRC Order 11.30.06 Gas_NIM Summary 2" xfId="981"/>
    <cellStyle name="_DEM-WP (C) Power Cost 2006GRC Order" xfId="982"/>
    <cellStyle name="_DEM-WP (C) Power Cost 2006GRC Order 2" xfId="983"/>
    <cellStyle name="_DEM-WP (C) Power Cost 2006GRC Order 2 2" xfId="984"/>
    <cellStyle name="_DEM-WP (C) Power Cost 2006GRC Order 3" xfId="985"/>
    <cellStyle name="_DEM-WP (C) Power Cost 2006GRC Order 4" xfId="986"/>
    <cellStyle name="_DEM-WP (C) Power Cost 2006GRC Order_04 07E Wild Horse Wind Expansion (C) (2)" xfId="987"/>
    <cellStyle name="_DEM-WP (C) Power Cost 2006GRC Order_04 07E Wild Horse Wind Expansion (C) (2) 2" xfId="988"/>
    <cellStyle name="_DEM-WP (C) Power Cost 2006GRC Order_04 07E Wild Horse Wind Expansion (C) (2)_Adj Bench DR 3 for Initial Briefs (Electric)" xfId="989"/>
    <cellStyle name="_DEM-WP (C) Power Cost 2006GRC Order_04 07E Wild Horse Wind Expansion (C) (2)_Adj Bench DR 3 for Initial Briefs (Electric) 2" xfId="990"/>
    <cellStyle name="_DEM-WP (C) Power Cost 2006GRC Order_04 07E Wild Horse Wind Expansion (C) (2)_Electric Rev Req Model (2009 GRC) " xfId="991"/>
    <cellStyle name="_DEM-WP (C) Power Cost 2006GRC Order_04 07E Wild Horse Wind Expansion (C) (2)_Electric Rev Req Model (2009 GRC)  2" xfId="992"/>
    <cellStyle name="_DEM-WP (C) Power Cost 2006GRC Order_04 07E Wild Horse Wind Expansion (C) (2)_Electric Rev Req Model (2009 GRC) Rebuttal" xfId="993"/>
    <cellStyle name="_DEM-WP (C) Power Cost 2006GRC Order_04 07E Wild Horse Wind Expansion (C) (2)_Electric Rev Req Model (2009 GRC) Rebuttal REmoval of New  WH Solar AdjustMI" xfId="994"/>
    <cellStyle name="_DEM-WP (C) Power Cost 2006GRC Order_04 07E Wild Horse Wind Expansion (C) (2)_Electric Rev Req Model (2009 GRC) Rebuttal REmoval of New  WH Solar AdjustMI 2" xfId="995"/>
    <cellStyle name="_DEM-WP (C) Power Cost 2006GRC Order_04 07E Wild Horse Wind Expansion (C) (2)_Electric Rev Req Model (2009 GRC) Revised 01-18-2010" xfId="996"/>
    <cellStyle name="_DEM-WP (C) Power Cost 2006GRC Order_04 07E Wild Horse Wind Expansion (C) (2)_Electric Rev Req Model (2009 GRC) Revised 01-18-2010 2" xfId="997"/>
    <cellStyle name="_DEM-WP (C) Power Cost 2006GRC Order_04 07E Wild Horse Wind Expansion (C) (2)_Final Order Electric EXHIBIT A-1" xfId="998"/>
    <cellStyle name="_DEM-WP (C) Power Cost 2006GRC Order_04 07E Wild Horse Wind Expansion (C) (2)_TENASKA REGULATORY ASSET" xfId="999"/>
    <cellStyle name="_DEM-WP (C) Power Cost 2006GRC Order_16.37E Wild Horse Expansion DeferralRevwrkingfile SF" xfId="1000"/>
    <cellStyle name="_DEM-WP (C) Power Cost 2006GRC Order_16.37E Wild Horse Expansion DeferralRevwrkingfile SF 2" xfId="1001"/>
    <cellStyle name="_DEM-WP (C) Power Cost 2006GRC Order_2009 GRC Compl Filing - Exhibit D" xfId="1002"/>
    <cellStyle name="_DEM-WP (C) Power Cost 2006GRC Order_2009 GRC Compl Filing - Exhibit D 2" xfId="1003"/>
    <cellStyle name="_DEM-WP (C) Power Cost 2006GRC Order_4 31 Regulatory Assets and Liabilities  7 06- Exhibit D" xfId="1004"/>
    <cellStyle name="_DEM-WP (C) Power Cost 2006GRC Order_4 31 Regulatory Assets and Liabilities  7 06- Exhibit D 2" xfId="1005"/>
    <cellStyle name="_DEM-WP (C) Power Cost 2006GRC Order_4 31 Regulatory Assets and Liabilities  7 06- Exhibit D_NIM Summary" xfId="1006"/>
    <cellStyle name="_DEM-WP (C) Power Cost 2006GRC Order_4 31 Regulatory Assets and Liabilities  7 06- Exhibit D_NIM Summary 2" xfId="1007"/>
    <cellStyle name="_DEM-WP (C) Power Cost 2006GRC Order_4 32 Regulatory Assets and Liabilities  7 06- Exhibit D" xfId="1008"/>
    <cellStyle name="_DEM-WP (C) Power Cost 2006GRC Order_4 32 Regulatory Assets and Liabilities  7 06- Exhibit D 2" xfId="1009"/>
    <cellStyle name="_DEM-WP (C) Power Cost 2006GRC Order_4 32 Regulatory Assets and Liabilities  7 06- Exhibit D_NIM Summary" xfId="1010"/>
    <cellStyle name="_DEM-WP (C) Power Cost 2006GRC Order_4 32 Regulatory Assets and Liabilities  7 06- Exhibit D_NIM Summary 2" xfId="1011"/>
    <cellStyle name="_DEM-WP (C) Power Cost 2006GRC Order_AURORA Total New" xfId="1012"/>
    <cellStyle name="_DEM-WP (C) Power Cost 2006GRC Order_AURORA Total New 2" xfId="1013"/>
    <cellStyle name="_DEM-WP (C) Power Cost 2006GRC Order_Book2" xfId="1014"/>
    <cellStyle name="_DEM-WP (C) Power Cost 2006GRC Order_Book2 2" xfId="1015"/>
    <cellStyle name="_DEM-WP (C) Power Cost 2006GRC Order_Book2_Adj Bench DR 3 for Initial Briefs (Electric)" xfId="1016"/>
    <cellStyle name="_DEM-WP (C) Power Cost 2006GRC Order_Book2_Adj Bench DR 3 for Initial Briefs (Electric) 2" xfId="1017"/>
    <cellStyle name="_DEM-WP (C) Power Cost 2006GRC Order_Book2_Electric Rev Req Model (2009 GRC) Rebuttal" xfId="1018"/>
    <cellStyle name="_DEM-WP (C) Power Cost 2006GRC Order_Book2_Electric Rev Req Model (2009 GRC) Rebuttal REmoval of New  WH Solar AdjustMI" xfId="1019"/>
    <cellStyle name="_DEM-WP (C) Power Cost 2006GRC Order_Book2_Electric Rev Req Model (2009 GRC) Rebuttal REmoval of New  WH Solar AdjustMI 2" xfId="1020"/>
    <cellStyle name="_DEM-WP (C) Power Cost 2006GRC Order_Book2_Electric Rev Req Model (2009 GRC) Revised 01-18-2010" xfId="1021"/>
    <cellStyle name="_DEM-WP (C) Power Cost 2006GRC Order_Book2_Electric Rev Req Model (2009 GRC) Revised 01-18-2010 2" xfId="1022"/>
    <cellStyle name="_DEM-WP (C) Power Cost 2006GRC Order_Book2_Final Order Electric EXHIBIT A-1" xfId="1023"/>
    <cellStyle name="_DEM-WP (C) Power Cost 2006GRC Order_Book4" xfId="1024"/>
    <cellStyle name="_DEM-WP (C) Power Cost 2006GRC Order_Book4 2" xfId="1025"/>
    <cellStyle name="_DEM-WP (C) Power Cost 2006GRC Order_Book9" xfId="1026"/>
    <cellStyle name="_DEM-WP (C) Power Cost 2006GRC Order_Book9 2" xfId="1027"/>
    <cellStyle name="_DEM-WP (C) Power Cost 2006GRC Order_NIM Summary" xfId="1028"/>
    <cellStyle name="_DEM-WP (C) Power Cost 2006GRC Order_NIM Summary 09GRC" xfId="1029"/>
    <cellStyle name="_DEM-WP (C) Power Cost 2006GRC Order_NIM Summary 09GRC 2" xfId="1030"/>
    <cellStyle name="_DEM-WP (C) Power Cost 2006GRC Order_NIM Summary 2" xfId="1031"/>
    <cellStyle name="_DEM-WP (C) Power Cost 2006GRC Order_NIM Summary 3" xfId="1032"/>
    <cellStyle name="_DEM-WP (C) Power Cost 2006GRC Order_PCA 9 -  Exhibit D April 2010 (3)" xfId="1033"/>
    <cellStyle name="_DEM-WP (C) Power Cost 2006GRC Order_PCA 9 -  Exhibit D April 2010 (3) 2" xfId="1034"/>
    <cellStyle name="_DEM-WP (C) Power Cost 2006GRC Order_Power Costs - Comparison bx Rbtl-Staff-Jt-PC" xfId="1035"/>
    <cellStyle name="_DEM-WP (C) Power Cost 2006GRC Order_Power Costs - Comparison bx Rbtl-Staff-Jt-PC 2" xfId="1036"/>
    <cellStyle name="_DEM-WP (C) Power Cost 2006GRC Order_Power Costs - Comparison bx Rbtl-Staff-Jt-PC_Adj Bench DR 3 for Initial Briefs (Electric)" xfId="1037"/>
    <cellStyle name="_DEM-WP (C) Power Cost 2006GRC Order_Power Costs - Comparison bx Rbtl-Staff-Jt-PC_Adj Bench DR 3 for Initial Briefs (Electric) 2" xfId="1038"/>
    <cellStyle name="_DEM-WP (C) Power Cost 2006GRC Order_Power Costs - Comparison bx Rbtl-Staff-Jt-PC_Electric Rev Req Model (2009 GRC) Rebuttal" xfId="1039"/>
    <cellStyle name="_DEM-WP (C) Power Cost 2006GRC Order_Power Costs - Comparison bx Rbtl-Staff-Jt-PC_Electric Rev Req Model (2009 GRC) Rebuttal REmoval of New  WH Solar AdjustMI" xfId="1040"/>
    <cellStyle name="_DEM-WP (C) Power Cost 2006GRC Order_Power Costs - Comparison bx Rbtl-Staff-Jt-PC_Electric Rev Req Model (2009 GRC) Rebuttal REmoval of New  WH Solar AdjustMI 2" xfId="1041"/>
    <cellStyle name="_DEM-WP (C) Power Cost 2006GRC Order_Power Costs - Comparison bx Rbtl-Staff-Jt-PC_Electric Rev Req Model (2009 GRC) Revised 01-18-2010" xfId="1042"/>
    <cellStyle name="_DEM-WP (C) Power Cost 2006GRC Order_Power Costs - Comparison bx Rbtl-Staff-Jt-PC_Electric Rev Req Model (2009 GRC) Revised 01-18-2010 2" xfId="1043"/>
    <cellStyle name="_DEM-WP (C) Power Cost 2006GRC Order_Power Costs - Comparison bx Rbtl-Staff-Jt-PC_Final Order Electric EXHIBIT A-1" xfId="1044"/>
    <cellStyle name="_DEM-WP (C) Power Cost 2006GRC Order_Rebuttal Power Costs" xfId="1045"/>
    <cellStyle name="_DEM-WP (C) Power Cost 2006GRC Order_Rebuttal Power Costs 2" xfId="1046"/>
    <cellStyle name="_DEM-WP (C) Power Cost 2006GRC Order_Rebuttal Power Costs_Adj Bench DR 3 for Initial Briefs (Electric)" xfId="1047"/>
    <cellStyle name="_DEM-WP (C) Power Cost 2006GRC Order_Rebuttal Power Costs_Adj Bench DR 3 for Initial Briefs (Electric) 2" xfId="1048"/>
    <cellStyle name="_DEM-WP (C) Power Cost 2006GRC Order_Rebuttal Power Costs_Electric Rev Req Model (2009 GRC) Rebuttal" xfId="1049"/>
    <cellStyle name="_DEM-WP (C) Power Cost 2006GRC Order_Rebuttal Power Costs_Electric Rev Req Model (2009 GRC) Rebuttal REmoval of New  WH Solar AdjustMI" xfId="1050"/>
    <cellStyle name="_DEM-WP (C) Power Cost 2006GRC Order_Rebuttal Power Costs_Electric Rev Req Model (2009 GRC) Rebuttal REmoval of New  WH Solar AdjustMI 2" xfId="1051"/>
    <cellStyle name="_DEM-WP (C) Power Cost 2006GRC Order_Rebuttal Power Costs_Electric Rev Req Model (2009 GRC) Revised 01-18-2010" xfId="1052"/>
    <cellStyle name="_DEM-WP (C) Power Cost 2006GRC Order_Rebuttal Power Costs_Electric Rev Req Model (2009 GRC) Revised 01-18-2010 2" xfId="1053"/>
    <cellStyle name="_DEM-WP (C) Power Cost 2006GRC Order_Rebuttal Power Costs_Final Order Electric EXHIBIT A-1" xfId="1054"/>
    <cellStyle name="_DEM-WP (C) Power Cost 2006GRC Order_Wind Integration 10GRC" xfId="1055"/>
    <cellStyle name="_DEM-WP (C) Power Cost 2006GRC Order_Wind Integration 10GRC 2" xfId="1056"/>
    <cellStyle name="_DEM-WP Revised (HC) Wild Horse 2006GRC" xfId="1057"/>
    <cellStyle name="_DEM-WP Revised (HC) Wild Horse 2006GRC 2" xfId="1058"/>
    <cellStyle name="_DEM-WP Revised (HC) Wild Horse 2006GRC_16.37E Wild Horse Expansion DeferralRevwrkingfile SF" xfId="1059"/>
    <cellStyle name="_DEM-WP Revised (HC) Wild Horse 2006GRC_16.37E Wild Horse Expansion DeferralRevwrkingfile SF 2" xfId="1060"/>
    <cellStyle name="_DEM-WP Revised (HC) Wild Horse 2006GRC_2009 GRC Compl Filing - Exhibit D" xfId="1061"/>
    <cellStyle name="_DEM-WP Revised (HC) Wild Horse 2006GRC_2009 GRC Compl Filing - Exhibit D 2" xfId="1062"/>
    <cellStyle name="_DEM-WP Revised (HC) Wild Horse 2006GRC_Adj Bench DR 3 for Initial Briefs (Electric)" xfId="1063"/>
    <cellStyle name="_DEM-WP Revised (HC) Wild Horse 2006GRC_Adj Bench DR 3 for Initial Briefs (Electric) 2" xfId="1064"/>
    <cellStyle name="_DEM-WP Revised (HC) Wild Horse 2006GRC_Book2" xfId="1065"/>
    <cellStyle name="_DEM-WP Revised (HC) Wild Horse 2006GRC_Book2 2" xfId="1066"/>
    <cellStyle name="_DEM-WP Revised (HC) Wild Horse 2006GRC_Book4" xfId="1067"/>
    <cellStyle name="_DEM-WP Revised (HC) Wild Horse 2006GRC_Book4 2" xfId="1068"/>
    <cellStyle name="_DEM-WP Revised (HC) Wild Horse 2006GRC_Electric Rev Req Model (2009 GRC) " xfId="1069"/>
    <cellStyle name="_DEM-WP Revised (HC) Wild Horse 2006GRC_Electric Rev Req Model (2009 GRC)  2" xfId="1070"/>
    <cellStyle name="_DEM-WP Revised (HC) Wild Horse 2006GRC_Electric Rev Req Model (2009 GRC) Rebuttal" xfId="1071"/>
    <cellStyle name="_DEM-WP Revised (HC) Wild Horse 2006GRC_Electric Rev Req Model (2009 GRC) Rebuttal REmoval of New  WH Solar AdjustMI" xfId="1072"/>
    <cellStyle name="_DEM-WP Revised (HC) Wild Horse 2006GRC_Electric Rev Req Model (2009 GRC) Rebuttal REmoval of New  WH Solar AdjustMI 2" xfId="1073"/>
    <cellStyle name="_DEM-WP Revised (HC) Wild Horse 2006GRC_Electric Rev Req Model (2009 GRC) Revised 01-18-2010" xfId="1074"/>
    <cellStyle name="_DEM-WP Revised (HC) Wild Horse 2006GRC_Electric Rev Req Model (2009 GRC) Revised 01-18-2010 2" xfId="1075"/>
    <cellStyle name="_DEM-WP Revised (HC) Wild Horse 2006GRC_Final Order Electric EXHIBIT A-1" xfId="1076"/>
    <cellStyle name="_DEM-WP Revised (HC) Wild Horse 2006GRC_NIM Summary" xfId="1077"/>
    <cellStyle name="_DEM-WP Revised (HC) Wild Horse 2006GRC_NIM Summary 2" xfId="1078"/>
    <cellStyle name="_DEM-WP Revised (HC) Wild Horse 2006GRC_Power Costs - Comparison bx Rbtl-Staff-Jt-PC" xfId="1079"/>
    <cellStyle name="_DEM-WP Revised (HC) Wild Horse 2006GRC_Power Costs - Comparison bx Rbtl-Staff-Jt-PC 2" xfId="1080"/>
    <cellStyle name="_DEM-WP Revised (HC) Wild Horse 2006GRC_Rebuttal Power Costs" xfId="1081"/>
    <cellStyle name="_DEM-WP Revised (HC) Wild Horse 2006GRC_Rebuttal Power Costs 2" xfId="1082"/>
    <cellStyle name="_DEM-WP Revised (HC) Wild Horse 2006GRC_TENASKA REGULATORY ASSET" xfId="1083"/>
    <cellStyle name="_DEM-WP(C) Colstrip FOR" xfId="1084"/>
    <cellStyle name="_DEM-WP(C) Colstrip FOR 2" xfId="1085"/>
    <cellStyle name="_DEM-WP(C) Colstrip FOR_(C) WHE Proforma with ITC cash grant 10 Yr Amort_for rebuttal_120709" xfId="1086"/>
    <cellStyle name="_DEM-WP(C) Colstrip FOR_(C) WHE Proforma with ITC cash grant 10 Yr Amort_for rebuttal_120709 2" xfId="1087"/>
    <cellStyle name="_DEM-WP(C) Colstrip FOR_16.07E Wild Horse Wind Expansionwrkingfile" xfId="1088"/>
    <cellStyle name="_DEM-WP(C) Colstrip FOR_16.07E Wild Horse Wind Expansionwrkingfile 2" xfId="1089"/>
    <cellStyle name="_DEM-WP(C) Colstrip FOR_16.07E Wild Horse Wind Expansionwrkingfile SF" xfId="1090"/>
    <cellStyle name="_DEM-WP(C) Colstrip FOR_16.07E Wild Horse Wind Expansionwrkingfile SF 2" xfId="1091"/>
    <cellStyle name="_DEM-WP(C) Colstrip FOR_16.37E Wild Horse Expansion DeferralRevwrkingfile SF" xfId="1092"/>
    <cellStyle name="_DEM-WP(C) Colstrip FOR_16.37E Wild Horse Expansion DeferralRevwrkingfile SF 2" xfId="1093"/>
    <cellStyle name="_DEM-WP(C) Colstrip FOR_Adj Bench DR 3 for Initial Briefs (Electric)" xfId="1094"/>
    <cellStyle name="_DEM-WP(C) Colstrip FOR_Adj Bench DR 3 for Initial Briefs (Electric) 2" xfId="1095"/>
    <cellStyle name="_DEM-WP(C) Colstrip FOR_Book2" xfId="1096"/>
    <cellStyle name="_DEM-WP(C) Colstrip FOR_Book2 2" xfId="1097"/>
    <cellStyle name="_DEM-WP(C) Colstrip FOR_Book2_Adj Bench DR 3 for Initial Briefs (Electric)" xfId="1098"/>
    <cellStyle name="_DEM-WP(C) Colstrip FOR_Book2_Adj Bench DR 3 for Initial Briefs (Electric) 2" xfId="1099"/>
    <cellStyle name="_DEM-WP(C) Colstrip FOR_Book2_Electric Rev Req Model (2009 GRC) Rebuttal" xfId="1100"/>
    <cellStyle name="_DEM-WP(C) Colstrip FOR_Book2_Electric Rev Req Model (2009 GRC) Rebuttal REmoval of New  WH Solar AdjustMI" xfId="1101"/>
    <cellStyle name="_DEM-WP(C) Colstrip FOR_Book2_Electric Rev Req Model (2009 GRC) Rebuttal REmoval of New  WH Solar AdjustMI 2" xfId="1102"/>
    <cellStyle name="_DEM-WP(C) Colstrip FOR_Book2_Electric Rev Req Model (2009 GRC) Revised 01-18-2010" xfId="1103"/>
    <cellStyle name="_DEM-WP(C) Colstrip FOR_Book2_Electric Rev Req Model (2009 GRC) Revised 01-18-2010 2" xfId="1104"/>
    <cellStyle name="_DEM-WP(C) Colstrip FOR_Book2_Final Order Electric EXHIBIT A-1" xfId="1105"/>
    <cellStyle name="_DEM-WP(C) Colstrip FOR_Electric Rev Req Model (2009 GRC) Rebuttal" xfId="1106"/>
    <cellStyle name="_DEM-WP(C) Colstrip FOR_Electric Rev Req Model (2009 GRC) Rebuttal REmoval of New  WH Solar AdjustMI" xfId="1107"/>
    <cellStyle name="_DEM-WP(C) Colstrip FOR_Electric Rev Req Model (2009 GRC) Rebuttal REmoval of New  WH Solar AdjustMI 2" xfId="1108"/>
    <cellStyle name="_DEM-WP(C) Colstrip FOR_Electric Rev Req Model (2009 GRC) Revised 01-18-2010" xfId="1109"/>
    <cellStyle name="_DEM-WP(C) Colstrip FOR_Electric Rev Req Model (2009 GRC) Revised 01-18-2010 2" xfId="1110"/>
    <cellStyle name="_DEM-WP(C) Colstrip FOR_Final Order Electric EXHIBIT A-1" xfId="1111"/>
    <cellStyle name="_DEM-WP(C) Colstrip FOR_Rebuttal Power Costs" xfId="1112"/>
    <cellStyle name="_DEM-WP(C) Colstrip FOR_Rebuttal Power Costs 2" xfId="1113"/>
    <cellStyle name="_DEM-WP(C) Colstrip FOR_Rebuttal Power Costs_Adj Bench DR 3 for Initial Briefs (Electric)" xfId="1114"/>
    <cellStyle name="_DEM-WP(C) Colstrip FOR_Rebuttal Power Costs_Adj Bench DR 3 for Initial Briefs (Electric) 2" xfId="1115"/>
    <cellStyle name="_DEM-WP(C) Colstrip FOR_Rebuttal Power Costs_Electric Rev Req Model (2009 GRC) Rebuttal" xfId="1116"/>
    <cellStyle name="_DEM-WP(C) Colstrip FOR_Rebuttal Power Costs_Electric Rev Req Model (2009 GRC) Rebuttal REmoval of New  WH Solar AdjustMI" xfId="1117"/>
    <cellStyle name="_DEM-WP(C) Colstrip FOR_Rebuttal Power Costs_Electric Rev Req Model (2009 GRC) Rebuttal REmoval of New  WH Solar AdjustMI 2" xfId="1118"/>
    <cellStyle name="_DEM-WP(C) Colstrip FOR_Rebuttal Power Costs_Electric Rev Req Model (2009 GRC) Revised 01-18-2010" xfId="1119"/>
    <cellStyle name="_DEM-WP(C) Colstrip FOR_Rebuttal Power Costs_Electric Rev Req Model (2009 GRC) Revised 01-18-2010 2" xfId="1120"/>
    <cellStyle name="_DEM-WP(C) Colstrip FOR_Rebuttal Power Costs_Final Order Electric EXHIBIT A-1" xfId="1121"/>
    <cellStyle name="_DEM-WP(C) Colstrip FOR_TENASKA REGULATORY ASSET" xfId="1122"/>
    <cellStyle name="_DEM-WP(C) Costs not in AURORA 2006GRC" xfId="1123"/>
    <cellStyle name="_DEM-WP(C) Costs not in AURORA 2006GRC 2" xfId="1124"/>
    <cellStyle name="_DEM-WP(C) Costs not in AURORA 2006GRC 2 2" xfId="1125"/>
    <cellStyle name="_DEM-WP(C) Costs not in AURORA 2006GRC 3" xfId="1126"/>
    <cellStyle name="_DEM-WP(C) Costs not in AURORA 2006GRC 4" xfId="1127"/>
    <cellStyle name="_DEM-WP(C) Costs not in AURORA 2006GRC_(C) WHE Proforma with ITC cash grant 10 Yr Amort_for deferral_102809" xfId="1128"/>
    <cellStyle name="_DEM-WP(C) Costs not in AURORA 2006GRC_(C) WHE Proforma with ITC cash grant 10 Yr Amort_for deferral_102809 2" xfId="1129"/>
    <cellStyle name="_DEM-WP(C) Costs not in AURORA 2006GRC_(C) WHE Proforma with ITC cash grant 10 Yr Amort_for deferral_102809_16.07E Wild Horse Wind Expansionwrkingfile" xfId="1130"/>
    <cellStyle name="_DEM-WP(C) Costs not in AURORA 2006GRC_(C) WHE Proforma with ITC cash grant 10 Yr Amort_for deferral_102809_16.07E Wild Horse Wind Expansionwrkingfile 2" xfId="1131"/>
    <cellStyle name="_DEM-WP(C) Costs not in AURORA 2006GRC_(C) WHE Proforma with ITC cash grant 10 Yr Amort_for deferral_102809_16.07E Wild Horse Wind Expansionwrkingfile SF" xfId="1132"/>
    <cellStyle name="_DEM-WP(C) Costs not in AURORA 2006GRC_(C) WHE Proforma with ITC cash grant 10 Yr Amort_for deferral_102809_16.07E Wild Horse Wind Expansionwrkingfile SF 2" xfId="1133"/>
    <cellStyle name="_DEM-WP(C) Costs not in AURORA 2006GRC_(C) WHE Proforma with ITC cash grant 10 Yr Amort_for deferral_102809_16.37E Wild Horse Expansion DeferralRevwrkingfile SF" xfId="1134"/>
    <cellStyle name="_DEM-WP(C) Costs not in AURORA 2006GRC_(C) WHE Proforma with ITC cash grant 10 Yr Amort_for deferral_102809_16.37E Wild Horse Expansion DeferralRevwrkingfile SF 2" xfId="1135"/>
    <cellStyle name="_DEM-WP(C) Costs not in AURORA 2006GRC_(C) WHE Proforma with ITC cash grant 10 Yr Amort_for rebuttal_120709" xfId="1136"/>
    <cellStyle name="_DEM-WP(C) Costs not in AURORA 2006GRC_(C) WHE Proforma with ITC cash grant 10 Yr Amort_for rebuttal_120709 2" xfId="1137"/>
    <cellStyle name="_DEM-WP(C) Costs not in AURORA 2006GRC_04.07E Wild Horse Wind Expansion" xfId="1138"/>
    <cellStyle name="_DEM-WP(C) Costs not in AURORA 2006GRC_04.07E Wild Horse Wind Expansion 2" xfId="1139"/>
    <cellStyle name="_DEM-WP(C) Costs not in AURORA 2006GRC_04.07E Wild Horse Wind Expansion_16.07E Wild Horse Wind Expansionwrkingfile" xfId="1140"/>
    <cellStyle name="_DEM-WP(C) Costs not in AURORA 2006GRC_04.07E Wild Horse Wind Expansion_16.07E Wild Horse Wind Expansionwrkingfile 2" xfId="1141"/>
    <cellStyle name="_DEM-WP(C) Costs not in AURORA 2006GRC_04.07E Wild Horse Wind Expansion_16.07E Wild Horse Wind Expansionwrkingfile SF" xfId="1142"/>
    <cellStyle name="_DEM-WP(C) Costs not in AURORA 2006GRC_04.07E Wild Horse Wind Expansion_16.07E Wild Horse Wind Expansionwrkingfile SF 2" xfId="1143"/>
    <cellStyle name="_DEM-WP(C) Costs not in AURORA 2006GRC_04.07E Wild Horse Wind Expansion_16.37E Wild Horse Expansion DeferralRevwrkingfile SF" xfId="1144"/>
    <cellStyle name="_DEM-WP(C) Costs not in AURORA 2006GRC_04.07E Wild Horse Wind Expansion_16.37E Wild Horse Expansion DeferralRevwrkingfile SF 2" xfId="1145"/>
    <cellStyle name="_DEM-WP(C) Costs not in AURORA 2006GRC_16.07E Wild Horse Wind Expansionwrkingfile" xfId="1146"/>
    <cellStyle name="_DEM-WP(C) Costs not in AURORA 2006GRC_16.07E Wild Horse Wind Expansionwrkingfile 2" xfId="1147"/>
    <cellStyle name="_DEM-WP(C) Costs not in AURORA 2006GRC_16.07E Wild Horse Wind Expansionwrkingfile SF" xfId="1148"/>
    <cellStyle name="_DEM-WP(C) Costs not in AURORA 2006GRC_16.07E Wild Horse Wind Expansionwrkingfile SF 2" xfId="1149"/>
    <cellStyle name="_DEM-WP(C) Costs not in AURORA 2006GRC_16.37E Wild Horse Expansion DeferralRevwrkingfile SF" xfId="1150"/>
    <cellStyle name="_DEM-WP(C) Costs not in AURORA 2006GRC_16.37E Wild Horse Expansion DeferralRevwrkingfile SF 2" xfId="1151"/>
    <cellStyle name="_DEM-WP(C) Costs not in AURORA 2006GRC_2009 GRC Compl Filing - Exhibit D" xfId="1152"/>
    <cellStyle name="_DEM-WP(C) Costs not in AURORA 2006GRC_2009 GRC Compl Filing - Exhibit D 2" xfId="1153"/>
    <cellStyle name="_DEM-WP(C) Costs not in AURORA 2006GRC_4 31 Regulatory Assets and Liabilities  7 06- Exhibit D" xfId="1154"/>
    <cellStyle name="_DEM-WP(C) Costs not in AURORA 2006GRC_4 31 Regulatory Assets and Liabilities  7 06- Exhibit D 2" xfId="1155"/>
    <cellStyle name="_DEM-WP(C) Costs not in AURORA 2006GRC_4 31 Regulatory Assets and Liabilities  7 06- Exhibit D_NIM Summary" xfId="1156"/>
    <cellStyle name="_DEM-WP(C) Costs not in AURORA 2006GRC_4 31 Regulatory Assets and Liabilities  7 06- Exhibit D_NIM Summary 2" xfId="1157"/>
    <cellStyle name="_DEM-WP(C) Costs not in AURORA 2006GRC_4 32 Regulatory Assets and Liabilities  7 06- Exhibit D" xfId="1158"/>
    <cellStyle name="_DEM-WP(C) Costs not in AURORA 2006GRC_4 32 Regulatory Assets and Liabilities  7 06- Exhibit D 2" xfId="1159"/>
    <cellStyle name="_DEM-WP(C) Costs not in AURORA 2006GRC_4 32 Regulatory Assets and Liabilities  7 06- Exhibit D_NIM Summary" xfId="1160"/>
    <cellStyle name="_DEM-WP(C) Costs not in AURORA 2006GRC_4 32 Regulatory Assets and Liabilities  7 06- Exhibit D_NIM Summary 2" xfId="1161"/>
    <cellStyle name="_DEM-WP(C) Costs not in AURORA 2006GRC_AURORA Total New" xfId="1162"/>
    <cellStyle name="_DEM-WP(C) Costs not in AURORA 2006GRC_AURORA Total New 2" xfId="1163"/>
    <cellStyle name="_DEM-WP(C) Costs not in AURORA 2006GRC_Book2" xfId="1164"/>
    <cellStyle name="_DEM-WP(C) Costs not in AURORA 2006GRC_Book2 2" xfId="1165"/>
    <cellStyle name="_DEM-WP(C) Costs not in AURORA 2006GRC_Book2_Adj Bench DR 3 for Initial Briefs (Electric)" xfId="1166"/>
    <cellStyle name="_DEM-WP(C) Costs not in AURORA 2006GRC_Book2_Adj Bench DR 3 for Initial Briefs (Electric) 2" xfId="1167"/>
    <cellStyle name="_DEM-WP(C) Costs not in AURORA 2006GRC_Book2_Electric Rev Req Model (2009 GRC) Rebuttal" xfId="1168"/>
    <cellStyle name="_DEM-WP(C) Costs not in AURORA 2006GRC_Book2_Electric Rev Req Model (2009 GRC) Rebuttal REmoval of New  WH Solar AdjustMI" xfId="1169"/>
    <cellStyle name="_DEM-WP(C) Costs not in AURORA 2006GRC_Book2_Electric Rev Req Model (2009 GRC) Rebuttal REmoval of New  WH Solar AdjustMI 2" xfId="1170"/>
    <cellStyle name="_DEM-WP(C) Costs not in AURORA 2006GRC_Book2_Electric Rev Req Model (2009 GRC) Revised 01-18-2010" xfId="1171"/>
    <cellStyle name="_DEM-WP(C) Costs not in AURORA 2006GRC_Book2_Electric Rev Req Model (2009 GRC) Revised 01-18-2010 2" xfId="1172"/>
    <cellStyle name="_DEM-WP(C) Costs not in AURORA 2006GRC_Book2_Final Order Electric EXHIBIT A-1" xfId="1173"/>
    <cellStyle name="_DEM-WP(C) Costs not in AURORA 2006GRC_Book4" xfId="1174"/>
    <cellStyle name="_DEM-WP(C) Costs not in AURORA 2006GRC_Book4 2" xfId="1175"/>
    <cellStyle name="_DEM-WP(C) Costs not in AURORA 2006GRC_Book9" xfId="1176"/>
    <cellStyle name="_DEM-WP(C) Costs not in AURORA 2006GRC_Book9 2" xfId="1177"/>
    <cellStyle name="_DEM-WP(C) Costs not in AURORA 2006GRC_NIM Summary" xfId="1178"/>
    <cellStyle name="_DEM-WP(C) Costs not in AURORA 2006GRC_NIM Summary 09GRC" xfId="1179"/>
    <cellStyle name="_DEM-WP(C) Costs not in AURORA 2006GRC_NIM Summary 09GRC 2" xfId="1180"/>
    <cellStyle name="_DEM-WP(C) Costs not in AURORA 2006GRC_NIM Summary 2" xfId="1181"/>
    <cellStyle name="_DEM-WP(C) Costs not in AURORA 2006GRC_NIM Summary 3" xfId="1182"/>
    <cellStyle name="_DEM-WP(C) Costs not in AURORA 2006GRC_PCA 9 -  Exhibit D April 2010 (3)" xfId="1183"/>
    <cellStyle name="_DEM-WP(C) Costs not in AURORA 2006GRC_PCA 9 -  Exhibit D April 2010 (3) 2" xfId="1184"/>
    <cellStyle name="_DEM-WP(C) Costs not in AURORA 2006GRC_Power Costs - Comparison bx Rbtl-Staff-Jt-PC" xfId="1185"/>
    <cellStyle name="_DEM-WP(C) Costs not in AURORA 2006GRC_Power Costs - Comparison bx Rbtl-Staff-Jt-PC 2" xfId="1186"/>
    <cellStyle name="_DEM-WP(C) Costs not in AURORA 2006GRC_Power Costs - Comparison bx Rbtl-Staff-Jt-PC_Adj Bench DR 3 for Initial Briefs (Electric)" xfId="1187"/>
    <cellStyle name="_DEM-WP(C) Costs not in AURORA 2006GRC_Power Costs - Comparison bx Rbtl-Staff-Jt-PC_Adj Bench DR 3 for Initial Briefs (Electric) 2" xfId="1188"/>
    <cellStyle name="_DEM-WP(C) Costs not in AURORA 2006GRC_Power Costs - Comparison bx Rbtl-Staff-Jt-PC_Electric Rev Req Model (2009 GRC) Rebuttal" xfId="1189"/>
    <cellStyle name="_DEM-WP(C) Costs not in AURORA 2006GRC_Power Costs - Comparison bx Rbtl-Staff-Jt-PC_Electric Rev Req Model (2009 GRC) Rebuttal REmoval of New  WH Solar AdjustMI" xfId="1190"/>
    <cellStyle name="_DEM-WP(C) Costs not in AURORA 2006GRC_Power Costs - Comparison bx Rbtl-Staff-Jt-PC_Electric Rev Req Model (2009 GRC) Rebuttal REmoval of New  WH Solar AdjustMI 2" xfId="1191"/>
    <cellStyle name="_DEM-WP(C) Costs not in AURORA 2006GRC_Power Costs - Comparison bx Rbtl-Staff-Jt-PC_Electric Rev Req Model (2009 GRC) Revised 01-18-2010" xfId="1192"/>
    <cellStyle name="_DEM-WP(C) Costs not in AURORA 2006GRC_Power Costs - Comparison bx Rbtl-Staff-Jt-PC_Electric Rev Req Model (2009 GRC) Revised 01-18-2010 2" xfId="1193"/>
    <cellStyle name="_DEM-WP(C) Costs not in AURORA 2006GRC_Power Costs - Comparison bx Rbtl-Staff-Jt-PC_Final Order Electric EXHIBIT A-1" xfId="1194"/>
    <cellStyle name="_DEM-WP(C) Costs not in AURORA 2006GRC_Rebuttal Power Costs" xfId="1195"/>
    <cellStyle name="_DEM-WP(C) Costs not in AURORA 2006GRC_Rebuttal Power Costs 2" xfId="1196"/>
    <cellStyle name="_DEM-WP(C) Costs not in AURORA 2006GRC_Rebuttal Power Costs_Adj Bench DR 3 for Initial Briefs (Electric)" xfId="1197"/>
    <cellStyle name="_DEM-WP(C) Costs not in AURORA 2006GRC_Rebuttal Power Costs_Adj Bench DR 3 for Initial Briefs (Electric) 2" xfId="1198"/>
    <cellStyle name="_DEM-WP(C) Costs not in AURORA 2006GRC_Rebuttal Power Costs_Electric Rev Req Model (2009 GRC) Rebuttal" xfId="1199"/>
    <cellStyle name="_DEM-WP(C) Costs not in AURORA 2006GRC_Rebuttal Power Costs_Electric Rev Req Model (2009 GRC) Rebuttal REmoval of New  WH Solar AdjustMI" xfId="1200"/>
    <cellStyle name="_DEM-WP(C) Costs not in AURORA 2006GRC_Rebuttal Power Costs_Electric Rev Req Model (2009 GRC) Rebuttal REmoval of New  WH Solar AdjustMI 2" xfId="1201"/>
    <cellStyle name="_DEM-WP(C) Costs not in AURORA 2006GRC_Rebuttal Power Costs_Electric Rev Req Model (2009 GRC) Revised 01-18-2010" xfId="1202"/>
    <cellStyle name="_DEM-WP(C) Costs not in AURORA 2006GRC_Rebuttal Power Costs_Electric Rev Req Model (2009 GRC) Revised 01-18-2010 2" xfId="1203"/>
    <cellStyle name="_DEM-WP(C) Costs not in AURORA 2006GRC_Rebuttal Power Costs_Final Order Electric EXHIBIT A-1" xfId="1204"/>
    <cellStyle name="_DEM-WP(C) Costs not in AURORA 2006GRC_Transmission Workbook for May BOD" xfId="1205"/>
    <cellStyle name="_DEM-WP(C) Costs not in AURORA 2006GRC_Transmission Workbook for May BOD 2" xfId="1206"/>
    <cellStyle name="_DEM-WP(C) Costs not in AURORA 2006GRC_Wind Integration 10GRC" xfId="1207"/>
    <cellStyle name="_DEM-WP(C) Costs not in AURORA 2006GRC_Wind Integration 10GRC 2" xfId="1208"/>
    <cellStyle name="_DEM-WP(C) Costs not in AURORA 2007GRC" xfId="1209"/>
    <cellStyle name="_DEM-WP(C) Costs not in AURORA 2007GRC 2" xfId="1210"/>
    <cellStyle name="_DEM-WP(C) Costs not in AURORA 2007GRC Update" xfId="1211"/>
    <cellStyle name="_DEM-WP(C) Costs not in AURORA 2007GRC Update 2" xfId="1212"/>
    <cellStyle name="_DEM-WP(C) Costs not in AURORA 2007GRC Update_NIM Summary" xfId="1213"/>
    <cellStyle name="_DEM-WP(C) Costs not in AURORA 2007GRC Update_NIM Summary 2" xfId="1214"/>
    <cellStyle name="_DEM-WP(C) Costs not in AURORA 2007GRC_16.37E Wild Horse Expansion DeferralRevwrkingfile SF" xfId="1215"/>
    <cellStyle name="_DEM-WP(C) Costs not in AURORA 2007GRC_16.37E Wild Horse Expansion DeferralRevwrkingfile SF 2" xfId="1216"/>
    <cellStyle name="_DEM-WP(C) Costs not in AURORA 2007GRC_2009 GRC Compl Filing - Exhibit D" xfId="1217"/>
    <cellStyle name="_DEM-WP(C) Costs not in AURORA 2007GRC_2009 GRC Compl Filing - Exhibit D 2" xfId="1218"/>
    <cellStyle name="_DEM-WP(C) Costs not in AURORA 2007GRC_Adj Bench DR 3 for Initial Briefs (Electric)" xfId="1219"/>
    <cellStyle name="_DEM-WP(C) Costs not in AURORA 2007GRC_Adj Bench DR 3 for Initial Briefs (Electric) 2" xfId="1220"/>
    <cellStyle name="_DEM-WP(C) Costs not in AURORA 2007GRC_Book2" xfId="1221"/>
    <cellStyle name="_DEM-WP(C) Costs not in AURORA 2007GRC_Book2 2" xfId="1222"/>
    <cellStyle name="_DEM-WP(C) Costs not in AURORA 2007GRC_Book4" xfId="1223"/>
    <cellStyle name="_DEM-WP(C) Costs not in AURORA 2007GRC_Book4 2" xfId="1224"/>
    <cellStyle name="_DEM-WP(C) Costs not in AURORA 2007GRC_Electric Rev Req Model (2009 GRC) " xfId="1225"/>
    <cellStyle name="_DEM-WP(C) Costs not in AURORA 2007GRC_Electric Rev Req Model (2009 GRC)  2" xfId="1226"/>
    <cellStyle name="_DEM-WP(C) Costs not in AURORA 2007GRC_Electric Rev Req Model (2009 GRC) Rebuttal" xfId="1227"/>
    <cellStyle name="_DEM-WP(C) Costs not in AURORA 2007GRC_Electric Rev Req Model (2009 GRC) Rebuttal REmoval of New  WH Solar AdjustMI" xfId="1228"/>
    <cellStyle name="_DEM-WP(C) Costs not in AURORA 2007GRC_Electric Rev Req Model (2009 GRC) Rebuttal REmoval of New  WH Solar AdjustMI 2" xfId="1229"/>
    <cellStyle name="_DEM-WP(C) Costs not in AURORA 2007GRC_Electric Rev Req Model (2009 GRC) Revised 01-18-2010" xfId="1230"/>
    <cellStyle name="_DEM-WP(C) Costs not in AURORA 2007GRC_Electric Rev Req Model (2009 GRC) Revised 01-18-2010 2" xfId="1231"/>
    <cellStyle name="_DEM-WP(C) Costs not in AURORA 2007GRC_Final Order Electric EXHIBIT A-1" xfId="1232"/>
    <cellStyle name="_DEM-WP(C) Costs not in AURORA 2007GRC_NIM Summary" xfId="1233"/>
    <cellStyle name="_DEM-WP(C) Costs not in AURORA 2007GRC_NIM Summary 2" xfId="1234"/>
    <cellStyle name="_DEM-WP(C) Costs not in AURORA 2007GRC_Power Costs - Comparison bx Rbtl-Staff-Jt-PC" xfId="1235"/>
    <cellStyle name="_DEM-WP(C) Costs not in AURORA 2007GRC_Power Costs - Comparison bx Rbtl-Staff-Jt-PC 2" xfId="1236"/>
    <cellStyle name="_DEM-WP(C) Costs not in AURORA 2007GRC_Rebuttal Power Costs" xfId="1237"/>
    <cellStyle name="_DEM-WP(C) Costs not in AURORA 2007GRC_Rebuttal Power Costs 2" xfId="1238"/>
    <cellStyle name="_DEM-WP(C) Costs not in AURORA 2007GRC_TENASKA REGULATORY ASSET" xfId="1239"/>
    <cellStyle name="_DEM-WP(C) Costs not in AURORA 2007PCORC" xfId="1240"/>
    <cellStyle name="_DEM-WP(C) Costs not in AURORA 2007PCORC 2" xfId="1241"/>
    <cellStyle name="_DEM-WP(C) Costs not in AURORA 2007PCORC_NIM Summary" xfId="1242"/>
    <cellStyle name="_DEM-WP(C) Costs not in AURORA 2007PCORC_NIM Summary 2" xfId="1243"/>
    <cellStyle name="_DEM-WP(C) Costs not in AURORA 2007PCORC-5.07Update" xfId="1244"/>
    <cellStyle name="_DEM-WP(C) Costs not in AURORA 2007PCORC-5.07Update 2" xfId="1245"/>
    <cellStyle name="_DEM-WP(C) Costs not in AURORA 2007PCORC-5.07Update_16.37E Wild Horse Expansion DeferralRevwrkingfile SF" xfId="1246"/>
    <cellStyle name="_DEM-WP(C) Costs not in AURORA 2007PCORC-5.07Update_16.37E Wild Horse Expansion DeferralRevwrkingfile SF 2" xfId="1247"/>
    <cellStyle name="_DEM-WP(C) Costs not in AURORA 2007PCORC-5.07Update_2009 GRC Compl Filing - Exhibit D" xfId="1248"/>
    <cellStyle name="_DEM-WP(C) Costs not in AURORA 2007PCORC-5.07Update_2009 GRC Compl Filing - Exhibit D 2" xfId="1249"/>
    <cellStyle name="_DEM-WP(C) Costs not in AURORA 2007PCORC-5.07Update_Adj Bench DR 3 for Initial Briefs (Electric)" xfId="1250"/>
    <cellStyle name="_DEM-WP(C) Costs not in AURORA 2007PCORC-5.07Update_Adj Bench DR 3 for Initial Briefs (Electric) 2" xfId="1251"/>
    <cellStyle name="_DEM-WP(C) Costs not in AURORA 2007PCORC-5.07Update_Book2" xfId="1252"/>
    <cellStyle name="_DEM-WP(C) Costs not in AURORA 2007PCORC-5.07Update_Book2 2" xfId="1253"/>
    <cellStyle name="_DEM-WP(C) Costs not in AURORA 2007PCORC-5.07Update_Book4" xfId="1254"/>
    <cellStyle name="_DEM-WP(C) Costs not in AURORA 2007PCORC-5.07Update_Book4 2" xfId="1255"/>
    <cellStyle name="_DEM-WP(C) Costs not in AURORA 2007PCORC-5.07Update_DEM-WP(C) Production O&amp;M 2009GRC Rebuttal" xfId="1256"/>
    <cellStyle name="_DEM-WP(C) Costs not in AURORA 2007PCORC-5.07Update_DEM-WP(C) Production O&amp;M 2009GRC Rebuttal 2" xfId="1257"/>
    <cellStyle name="_DEM-WP(C) Costs not in AURORA 2007PCORC-5.07Update_DEM-WP(C) Production O&amp;M 2009GRC Rebuttal_Adj Bench DR 3 for Initial Briefs (Electric)" xfId="1258"/>
    <cellStyle name="_DEM-WP(C) Costs not in AURORA 2007PCORC-5.07Update_DEM-WP(C) Production O&amp;M 2009GRC Rebuttal_Adj Bench DR 3 for Initial Briefs (Electric) 2" xfId="1259"/>
    <cellStyle name="_DEM-WP(C) Costs not in AURORA 2007PCORC-5.07Update_DEM-WP(C) Production O&amp;M 2009GRC Rebuttal_Book2" xfId="1260"/>
    <cellStyle name="_DEM-WP(C) Costs not in AURORA 2007PCORC-5.07Update_DEM-WP(C) Production O&amp;M 2009GRC Rebuttal_Book2 2" xfId="1261"/>
    <cellStyle name="_DEM-WP(C) Costs not in AURORA 2007PCORC-5.07Update_DEM-WP(C) Production O&amp;M 2009GRC Rebuttal_Book2_Adj Bench DR 3 for Initial Briefs (Electric)" xfId="1262"/>
    <cellStyle name="_DEM-WP(C) Costs not in AURORA 2007PCORC-5.07Update_DEM-WP(C) Production O&amp;M 2009GRC Rebuttal_Book2_Adj Bench DR 3 for Initial Briefs (Electric) 2" xfId="1263"/>
    <cellStyle name="_DEM-WP(C) Costs not in AURORA 2007PCORC-5.07Update_DEM-WP(C) Production O&amp;M 2009GRC Rebuttal_Book2_Electric Rev Req Model (2009 GRC) Rebuttal" xfId="1264"/>
    <cellStyle name="_DEM-WP(C) Costs not in AURORA 2007PCORC-5.07Update_DEM-WP(C) Production O&amp;M 2009GRC Rebuttal_Book2_Electric Rev Req Model (2009 GRC) Rebuttal REmoval of New  WH Solar AdjustMI" xfId="1265"/>
    <cellStyle name="_DEM-WP(C) Costs not in AURORA 2007PCORC-5.07Update_DEM-WP(C) Production O&amp;M 2009GRC Rebuttal_Book2_Electric Rev Req Model (2009 GRC) Rebuttal REmoval of New  WH Solar AdjustMI 2" xfId="1266"/>
    <cellStyle name="_DEM-WP(C) Costs not in AURORA 2007PCORC-5.07Update_DEM-WP(C) Production O&amp;M 2009GRC Rebuttal_Book2_Electric Rev Req Model (2009 GRC) Revised 01-18-2010" xfId="1267"/>
    <cellStyle name="_DEM-WP(C) Costs not in AURORA 2007PCORC-5.07Update_DEM-WP(C) Production O&amp;M 2009GRC Rebuttal_Book2_Electric Rev Req Model (2009 GRC) Revised 01-18-2010 2" xfId="1268"/>
    <cellStyle name="_DEM-WP(C) Costs not in AURORA 2007PCORC-5.07Update_DEM-WP(C) Production O&amp;M 2009GRC Rebuttal_Book2_Final Order Electric EXHIBIT A-1" xfId="1269"/>
    <cellStyle name="_DEM-WP(C) Costs not in AURORA 2007PCORC-5.07Update_DEM-WP(C) Production O&amp;M 2009GRC Rebuttal_Electric Rev Req Model (2009 GRC) Rebuttal" xfId="1270"/>
    <cellStyle name="_DEM-WP(C) Costs not in AURORA 2007PCORC-5.07Update_DEM-WP(C) Production O&amp;M 2009GRC Rebuttal_Electric Rev Req Model (2009 GRC) Rebuttal REmoval of New  WH Solar AdjustMI" xfId="1271"/>
    <cellStyle name="_DEM-WP(C) Costs not in AURORA 2007PCORC-5.07Update_DEM-WP(C) Production O&amp;M 2009GRC Rebuttal_Electric Rev Req Model (2009 GRC) Rebuttal REmoval of New  WH Solar AdjustMI 2" xfId="1272"/>
    <cellStyle name="_DEM-WP(C) Costs not in AURORA 2007PCORC-5.07Update_DEM-WP(C) Production O&amp;M 2009GRC Rebuttal_Electric Rev Req Model (2009 GRC) Revised 01-18-2010" xfId="1273"/>
    <cellStyle name="_DEM-WP(C) Costs not in AURORA 2007PCORC-5.07Update_DEM-WP(C) Production O&amp;M 2009GRC Rebuttal_Electric Rev Req Model (2009 GRC) Revised 01-18-2010 2" xfId="1274"/>
    <cellStyle name="_DEM-WP(C) Costs not in AURORA 2007PCORC-5.07Update_DEM-WP(C) Production O&amp;M 2009GRC Rebuttal_Final Order Electric EXHIBIT A-1" xfId="1275"/>
    <cellStyle name="_DEM-WP(C) Costs not in AURORA 2007PCORC-5.07Update_DEM-WP(C) Production O&amp;M 2009GRC Rebuttal_Rebuttal Power Costs" xfId="1276"/>
    <cellStyle name="_DEM-WP(C) Costs not in AURORA 2007PCORC-5.07Update_DEM-WP(C) Production O&amp;M 2009GRC Rebuttal_Rebuttal Power Costs 2" xfId="1277"/>
    <cellStyle name="_DEM-WP(C) Costs not in AURORA 2007PCORC-5.07Update_DEM-WP(C) Production O&amp;M 2009GRC Rebuttal_Rebuttal Power Costs_Adj Bench DR 3 for Initial Briefs (Electric)" xfId="1278"/>
    <cellStyle name="_DEM-WP(C) Costs not in AURORA 2007PCORC-5.07Update_DEM-WP(C) Production O&amp;M 2009GRC Rebuttal_Rebuttal Power Costs_Adj Bench DR 3 for Initial Briefs (Electric) 2" xfId="1279"/>
    <cellStyle name="_DEM-WP(C) Costs not in AURORA 2007PCORC-5.07Update_DEM-WP(C) Production O&amp;M 2009GRC Rebuttal_Rebuttal Power Costs_Electric Rev Req Model (2009 GRC) Rebuttal" xfId="1280"/>
    <cellStyle name="_DEM-WP(C) Costs not in AURORA 2007PCORC-5.07Update_DEM-WP(C) Production O&amp;M 2009GRC Rebuttal_Rebuttal Power Costs_Electric Rev Req Model (2009 GRC) Rebuttal REmoval of New  WH Solar AdjustMI" xfId="1281"/>
    <cellStyle name="_DEM-WP(C) Costs not in AURORA 2007PCORC-5.07Update_DEM-WP(C) Production O&amp;M 2009GRC Rebuttal_Rebuttal Power Costs_Electric Rev Req Model (2009 GRC) Rebuttal REmoval of New  WH Solar AdjustMI 2" xfId="1282"/>
    <cellStyle name="_DEM-WP(C) Costs not in AURORA 2007PCORC-5.07Update_DEM-WP(C) Production O&amp;M 2009GRC Rebuttal_Rebuttal Power Costs_Electric Rev Req Model (2009 GRC) Revised 01-18-2010" xfId="1283"/>
    <cellStyle name="_DEM-WP(C) Costs not in AURORA 2007PCORC-5.07Update_DEM-WP(C) Production O&amp;M 2009GRC Rebuttal_Rebuttal Power Costs_Electric Rev Req Model (2009 GRC) Revised 01-18-2010 2" xfId="1284"/>
    <cellStyle name="_DEM-WP(C) Costs not in AURORA 2007PCORC-5.07Update_DEM-WP(C) Production O&amp;M 2009GRC Rebuttal_Rebuttal Power Costs_Final Order Electric EXHIBIT A-1" xfId="1285"/>
    <cellStyle name="_DEM-WP(C) Costs not in AURORA 2007PCORC-5.07Update_Electric Rev Req Model (2009 GRC) " xfId="1286"/>
    <cellStyle name="_DEM-WP(C) Costs not in AURORA 2007PCORC-5.07Update_Electric Rev Req Model (2009 GRC)  2" xfId="1287"/>
    <cellStyle name="_DEM-WP(C) Costs not in AURORA 2007PCORC-5.07Update_Electric Rev Req Model (2009 GRC) Rebuttal" xfId="1288"/>
    <cellStyle name="_DEM-WP(C) Costs not in AURORA 2007PCORC-5.07Update_Electric Rev Req Model (2009 GRC) Rebuttal REmoval of New  WH Solar AdjustMI" xfId="1289"/>
    <cellStyle name="_DEM-WP(C) Costs not in AURORA 2007PCORC-5.07Update_Electric Rev Req Model (2009 GRC) Rebuttal REmoval of New  WH Solar AdjustMI 2" xfId="1290"/>
    <cellStyle name="_DEM-WP(C) Costs not in AURORA 2007PCORC-5.07Update_Electric Rev Req Model (2009 GRC) Revised 01-18-2010" xfId="1291"/>
    <cellStyle name="_DEM-WP(C) Costs not in AURORA 2007PCORC-5.07Update_Electric Rev Req Model (2009 GRC) Revised 01-18-2010 2" xfId="1292"/>
    <cellStyle name="_DEM-WP(C) Costs not in AURORA 2007PCORC-5.07Update_Final Order Electric EXHIBIT A-1" xfId="1293"/>
    <cellStyle name="_DEM-WP(C) Costs not in AURORA 2007PCORC-5.07Update_NIM Summary" xfId="1294"/>
    <cellStyle name="_DEM-WP(C) Costs not in AURORA 2007PCORC-5.07Update_NIM Summary 09GRC" xfId="1295"/>
    <cellStyle name="_DEM-WP(C) Costs not in AURORA 2007PCORC-5.07Update_NIM Summary 09GRC 2" xfId="1296"/>
    <cellStyle name="_DEM-WP(C) Costs not in AURORA 2007PCORC-5.07Update_NIM Summary 09GRC_NIM Summary" xfId="1297"/>
    <cellStyle name="_DEM-WP(C) Costs not in AURORA 2007PCORC-5.07Update_NIM Summary 09GRC_NIM Summary 2" xfId="1298"/>
    <cellStyle name="_DEM-WP(C) Costs not in AURORA 2007PCORC-5.07Update_NIM Summary 2" xfId="1299"/>
    <cellStyle name="_DEM-WP(C) Costs not in AURORA 2007PCORC-5.07Update_NIM Summary 3" xfId="1300"/>
    <cellStyle name="_DEM-WP(C) Costs not in AURORA 2007PCORC-5.07Update_Power Costs - Comparison bx Rbtl-Staff-Jt-PC" xfId="1301"/>
    <cellStyle name="_DEM-WP(C) Costs not in AURORA 2007PCORC-5.07Update_Power Costs - Comparison bx Rbtl-Staff-Jt-PC 2" xfId="1302"/>
    <cellStyle name="_DEM-WP(C) Costs not in AURORA 2007PCORC-5.07Update_Rebuttal Power Costs" xfId="1303"/>
    <cellStyle name="_DEM-WP(C) Costs not in AURORA 2007PCORC-5.07Update_Rebuttal Power Costs 2" xfId="1304"/>
    <cellStyle name="_DEM-WP(C) Costs not in AURORA 2007PCORC-5.07Update_TENASKA REGULATORY ASSET" xfId="1305"/>
    <cellStyle name="_DEM-WP(C) Prod O&amp;M 2007GRC" xfId="1306"/>
    <cellStyle name="_DEM-WP(C) Prod O&amp;M 2007GRC 2" xfId="1307"/>
    <cellStyle name="_DEM-WP(C) Prod O&amp;M 2007GRC_Adj Bench DR 3 for Initial Briefs (Electric)" xfId="1308"/>
    <cellStyle name="_DEM-WP(C) Prod O&amp;M 2007GRC_Adj Bench DR 3 for Initial Briefs (Electric) 2" xfId="1309"/>
    <cellStyle name="_DEM-WP(C) Prod O&amp;M 2007GRC_Book2" xfId="1310"/>
    <cellStyle name="_DEM-WP(C) Prod O&amp;M 2007GRC_Book2 2" xfId="1311"/>
    <cellStyle name="_DEM-WP(C) Prod O&amp;M 2007GRC_Book2_Adj Bench DR 3 for Initial Briefs (Electric)" xfId="1312"/>
    <cellStyle name="_DEM-WP(C) Prod O&amp;M 2007GRC_Book2_Adj Bench DR 3 for Initial Briefs (Electric) 2" xfId="1313"/>
    <cellStyle name="_DEM-WP(C) Prod O&amp;M 2007GRC_Book2_Electric Rev Req Model (2009 GRC) Rebuttal" xfId="1314"/>
    <cellStyle name="_DEM-WP(C) Prod O&amp;M 2007GRC_Book2_Electric Rev Req Model (2009 GRC) Rebuttal REmoval of New  WH Solar AdjustMI" xfId="1315"/>
    <cellStyle name="_DEM-WP(C) Prod O&amp;M 2007GRC_Book2_Electric Rev Req Model (2009 GRC) Rebuttal REmoval of New  WH Solar AdjustMI 2" xfId="1316"/>
    <cellStyle name="_DEM-WP(C) Prod O&amp;M 2007GRC_Book2_Electric Rev Req Model (2009 GRC) Revised 01-18-2010" xfId="1317"/>
    <cellStyle name="_DEM-WP(C) Prod O&amp;M 2007GRC_Book2_Electric Rev Req Model (2009 GRC) Revised 01-18-2010 2" xfId="1318"/>
    <cellStyle name="_DEM-WP(C) Prod O&amp;M 2007GRC_Book2_Final Order Electric EXHIBIT A-1" xfId="1319"/>
    <cellStyle name="_DEM-WP(C) Prod O&amp;M 2007GRC_Electric Rev Req Model (2009 GRC) Rebuttal" xfId="1320"/>
    <cellStyle name="_DEM-WP(C) Prod O&amp;M 2007GRC_Electric Rev Req Model (2009 GRC) Rebuttal REmoval of New  WH Solar AdjustMI" xfId="1321"/>
    <cellStyle name="_DEM-WP(C) Prod O&amp;M 2007GRC_Electric Rev Req Model (2009 GRC) Rebuttal REmoval of New  WH Solar AdjustMI 2" xfId="1322"/>
    <cellStyle name="_DEM-WP(C) Prod O&amp;M 2007GRC_Electric Rev Req Model (2009 GRC) Revised 01-18-2010" xfId="1323"/>
    <cellStyle name="_DEM-WP(C) Prod O&amp;M 2007GRC_Electric Rev Req Model (2009 GRC) Revised 01-18-2010 2" xfId="1324"/>
    <cellStyle name="_DEM-WP(C) Prod O&amp;M 2007GRC_Final Order Electric EXHIBIT A-1" xfId="1325"/>
    <cellStyle name="_DEM-WP(C) Prod O&amp;M 2007GRC_Rebuttal Power Costs" xfId="1326"/>
    <cellStyle name="_DEM-WP(C) Prod O&amp;M 2007GRC_Rebuttal Power Costs 2" xfId="1327"/>
    <cellStyle name="_DEM-WP(C) Prod O&amp;M 2007GRC_Rebuttal Power Costs_Adj Bench DR 3 for Initial Briefs (Electric)" xfId="1328"/>
    <cellStyle name="_DEM-WP(C) Prod O&amp;M 2007GRC_Rebuttal Power Costs_Adj Bench DR 3 for Initial Briefs (Electric) 2" xfId="1329"/>
    <cellStyle name="_DEM-WP(C) Prod O&amp;M 2007GRC_Rebuttal Power Costs_Electric Rev Req Model (2009 GRC) Rebuttal" xfId="1330"/>
    <cellStyle name="_DEM-WP(C) Prod O&amp;M 2007GRC_Rebuttal Power Costs_Electric Rev Req Model (2009 GRC) Rebuttal REmoval of New  WH Solar AdjustMI" xfId="1331"/>
    <cellStyle name="_DEM-WP(C) Prod O&amp;M 2007GRC_Rebuttal Power Costs_Electric Rev Req Model (2009 GRC) Rebuttal REmoval of New  WH Solar AdjustMI 2" xfId="1332"/>
    <cellStyle name="_DEM-WP(C) Prod O&amp;M 2007GRC_Rebuttal Power Costs_Electric Rev Req Model (2009 GRC) Revised 01-18-2010" xfId="1333"/>
    <cellStyle name="_DEM-WP(C) Prod O&amp;M 2007GRC_Rebuttal Power Costs_Electric Rev Req Model (2009 GRC) Revised 01-18-2010 2" xfId="1334"/>
    <cellStyle name="_DEM-WP(C) Prod O&amp;M 2007GRC_Rebuttal Power Costs_Final Order Electric EXHIBIT A-1" xfId="1335"/>
    <cellStyle name="_DEM-WP(C) Rate Year Sumas by Month Update Corrected" xfId="1336"/>
    <cellStyle name="_DEM-WP(C) Sumas Proforma 11.5.07" xfId="1337"/>
    <cellStyle name="_DEM-WP(C) Westside Hydro Data_051007" xfId="1338"/>
    <cellStyle name="_DEM-WP(C) Westside Hydro Data_051007 2" xfId="1339"/>
    <cellStyle name="_DEM-WP(C) Westside Hydro Data_051007_16.37E Wild Horse Expansion DeferralRevwrkingfile SF" xfId="1340"/>
    <cellStyle name="_DEM-WP(C) Westside Hydro Data_051007_16.37E Wild Horse Expansion DeferralRevwrkingfile SF 2" xfId="1341"/>
    <cellStyle name="_DEM-WP(C) Westside Hydro Data_051007_2009 GRC Compl Filing - Exhibit D" xfId="1342"/>
    <cellStyle name="_DEM-WP(C) Westside Hydro Data_051007_2009 GRC Compl Filing - Exhibit D 2" xfId="1343"/>
    <cellStyle name="_DEM-WP(C) Westside Hydro Data_051007_Adj Bench DR 3 for Initial Briefs (Electric)" xfId="1344"/>
    <cellStyle name="_DEM-WP(C) Westside Hydro Data_051007_Adj Bench DR 3 for Initial Briefs (Electric) 2" xfId="1345"/>
    <cellStyle name="_DEM-WP(C) Westside Hydro Data_051007_Book2" xfId="1346"/>
    <cellStyle name="_DEM-WP(C) Westside Hydro Data_051007_Book2 2" xfId="1347"/>
    <cellStyle name="_DEM-WP(C) Westside Hydro Data_051007_Book4" xfId="1348"/>
    <cellStyle name="_DEM-WP(C) Westside Hydro Data_051007_Book4 2" xfId="1349"/>
    <cellStyle name="_DEM-WP(C) Westside Hydro Data_051007_Electric Rev Req Model (2009 GRC) " xfId="1350"/>
    <cellStyle name="_DEM-WP(C) Westside Hydro Data_051007_Electric Rev Req Model (2009 GRC)  2" xfId="1351"/>
    <cellStyle name="_DEM-WP(C) Westside Hydro Data_051007_Electric Rev Req Model (2009 GRC) Rebuttal" xfId="1352"/>
    <cellStyle name="_DEM-WP(C) Westside Hydro Data_051007_Electric Rev Req Model (2009 GRC) Rebuttal REmoval of New  WH Solar AdjustMI" xfId="1353"/>
    <cellStyle name="_DEM-WP(C) Westside Hydro Data_051007_Electric Rev Req Model (2009 GRC) Rebuttal REmoval of New  WH Solar AdjustMI 2" xfId="1354"/>
    <cellStyle name="_DEM-WP(C) Westside Hydro Data_051007_Electric Rev Req Model (2009 GRC) Revised 01-18-2010" xfId="1355"/>
    <cellStyle name="_DEM-WP(C) Westside Hydro Data_051007_Electric Rev Req Model (2009 GRC) Revised 01-18-2010 2" xfId="1356"/>
    <cellStyle name="_DEM-WP(C) Westside Hydro Data_051007_Final Order Electric EXHIBIT A-1" xfId="1357"/>
    <cellStyle name="_DEM-WP(C) Westside Hydro Data_051007_NIM Summary" xfId="1358"/>
    <cellStyle name="_DEM-WP(C) Westside Hydro Data_051007_NIM Summary 2" xfId="1359"/>
    <cellStyle name="_DEM-WP(C) Westside Hydro Data_051007_Power Costs - Comparison bx Rbtl-Staff-Jt-PC" xfId="1360"/>
    <cellStyle name="_DEM-WP(C) Westside Hydro Data_051007_Power Costs - Comparison bx Rbtl-Staff-Jt-PC 2" xfId="1361"/>
    <cellStyle name="_DEM-WP(C) Westside Hydro Data_051007_Rebuttal Power Costs" xfId="1362"/>
    <cellStyle name="_DEM-WP(C) Westside Hydro Data_051007_Rebuttal Power Costs 2" xfId="1363"/>
    <cellStyle name="_DEM-WP(C) Westside Hydro Data_051007_TENASKA REGULATORY ASSET" xfId="1364"/>
    <cellStyle name="_Elec Peak Capacity Need_2008-2029_032709_Wind 5% Cap" xfId="1365"/>
    <cellStyle name="_Elec Peak Capacity Need_2008-2029_032709_Wind 5% Cap 2" xfId="1366"/>
    <cellStyle name="_Elec Peak Capacity Need_2008-2029_032709_Wind 5% Cap_NIM Summary" xfId="1367"/>
    <cellStyle name="_Elec Peak Capacity Need_2008-2029_032709_Wind 5% Cap_NIM Summary 2" xfId="1368"/>
    <cellStyle name="_Elec Peak Capacity Need_2008-2029_032709_Wind 5% Cap-ST-Adj-PJP1" xfId="1369"/>
    <cellStyle name="_Elec Peak Capacity Need_2008-2029_032709_Wind 5% Cap-ST-Adj-PJP1 2" xfId="1370"/>
    <cellStyle name="_Elec Peak Capacity Need_2008-2029_032709_Wind 5% Cap-ST-Adj-PJP1_NIM Summary" xfId="1371"/>
    <cellStyle name="_Elec Peak Capacity Need_2008-2029_032709_Wind 5% Cap-ST-Adj-PJP1_NIM Summary 2" xfId="1372"/>
    <cellStyle name="_Elec Peak Capacity Need_2008-2029_120908_Wind 5% Cap_Low" xfId="1373"/>
    <cellStyle name="_Elec Peak Capacity Need_2008-2029_120908_Wind 5% Cap_Low 2" xfId="1374"/>
    <cellStyle name="_Elec Peak Capacity Need_2008-2029_120908_Wind 5% Cap_Low_NIM Summary" xfId="1375"/>
    <cellStyle name="_Elec Peak Capacity Need_2008-2029_120908_Wind 5% Cap_Low_NIM Summary 2" xfId="1376"/>
    <cellStyle name="_Elec Peak Capacity Need_2008-2029_Wind 5% Cap_050809" xfId="1377"/>
    <cellStyle name="_Elec Peak Capacity Need_2008-2029_Wind 5% Cap_050809 2" xfId="1378"/>
    <cellStyle name="_Elec Peak Capacity Need_2008-2029_Wind 5% Cap_050809_NIM Summary" xfId="1379"/>
    <cellStyle name="_Elec Peak Capacity Need_2008-2029_Wind 5% Cap_050809_NIM Summary 2" xfId="1380"/>
    <cellStyle name="_x0013__Electric Rev Req Model (2009 GRC) " xfId="1381"/>
    <cellStyle name="_x0013__Electric Rev Req Model (2009 GRC)  2" xfId="1382"/>
    <cellStyle name="_x0013__Electric Rev Req Model (2009 GRC) Rebuttal" xfId="1383"/>
    <cellStyle name="_x0013__Electric Rev Req Model (2009 GRC) Rebuttal REmoval of New  WH Solar AdjustMI" xfId="1384"/>
    <cellStyle name="_x0013__Electric Rev Req Model (2009 GRC) Rebuttal REmoval of New  WH Solar AdjustMI 2" xfId="1385"/>
    <cellStyle name="_x0013__Electric Rev Req Model (2009 GRC) Revised 01-18-2010" xfId="1386"/>
    <cellStyle name="_x0013__Electric Rev Req Model (2009 GRC) Revised 01-18-2010 2" xfId="1387"/>
    <cellStyle name="_ENCOGEN_WBOOK" xfId="1388"/>
    <cellStyle name="_ENCOGEN_WBOOK 2" xfId="1389"/>
    <cellStyle name="_ENCOGEN_WBOOK_NIM Summary" xfId="1390"/>
    <cellStyle name="_ENCOGEN_WBOOK_NIM Summary 2" xfId="1391"/>
    <cellStyle name="_x0013__Final Order Electric EXHIBIT A-1" xfId="1392"/>
    <cellStyle name="_Fixed Gas Transport 1 19 09" xfId="1393"/>
    <cellStyle name="_Fixed Gas Transport 1 19 09 2" xfId="1394"/>
    <cellStyle name="_Fuel Prices 4-14" xfId="1395"/>
    <cellStyle name="_Fuel Prices 4-14 2" xfId="1396"/>
    <cellStyle name="_Fuel Prices 4-14 2 2" xfId="1397"/>
    <cellStyle name="_Fuel Prices 4-14 3" xfId="1398"/>
    <cellStyle name="_Fuel Prices 4-14 4" xfId="1399"/>
    <cellStyle name="_Fuel Prices 4-14_04 07E Wild Horse Wind Expansion (C) (2)" xfId="1400"/>
    <cellStyle name="_Fuel Prices 4-14_04 07E Wild Horse Wind Expansion (C) (2) 2" xfId="1401"/>
    <cellStyle name="_Fuel Prices 4-14_04 07E Wild Horse Wind Expansion (C) (2)_Adj Bench DR 3 for Initial Briefs (Electric)" xfId="1402"/>
    <cellStyle name="_Fuel Prices 4-14_04 07E Wild Horse Wind Expansion (C) (2)_Adj Bench DR 3 for Initial Briefs (Electric) 2" xfId="1403"/>
    <cellStyle name="_Fuel Prices 4-14_04 07E Wild Horse Wind Expansion (C) (2)_Electric Rev Req Model (2009 GRC) " xfId="1404"/>
    <cellStyle name="_Fuel Prices 4-14_04 07E Wild Horse Wind Expansion (C) (2)_Electric Rev Req Model (2009 GRC)  2" xfId="1405"/>
    <cellStyle name="_Fuel Prices 4-14_04 07E Wild Horse Wind Expansion (C) (2)_Electric Rev Req Model (2009 GRC) Rebuttal" xfId="1406"/>
    <cellStyle name="_Fuel Prices 4-14_04 07E Wild Horse Wind Expansion (C) (2)_Electric Rev Req Model (2009 GRC) Rebuttal REmoval of New  WH Solar AdjustMI" xfId="1407"/>
    <cellStyle name="_Fuel Prices 4-14_04 07E Wild Horse Wind Expansion (C) (2)_Electric Rev Req Model (2009 GRC) Rebuttal REmoval of New  WH Solar AdjustMI 2" xfId="1408"/>
    <cellStyle name="_Fuel Prices 4-14_04 07E Wild Horse Wind Expansion (C) (2)_Electric Rev Req Model (2009 GRC) Revised 01-18-2010" xfId="1409"/>
    <cellStyle name="_Fuel Prices 4-14_04 07E Wild Horse Wind Expansion (C) (2)_Electric Rev Req Model (2009 GRC) Revised 01-18-2010 2" xfId="1410"/>
    <cellStyle name="_Fuel Prices 4-14_04 07E Wild Horse Wind Expansion (C) (2)_Final Order Electric EXHIBIT A-1" xfId="1411"/>
    <cellStyle name="_Fuel Prices 4-14_04 07E Wild Horse Wind Expansion (C) (2)_TENASKA REGULATORY ASSET" xfId="1412"/>
    <cellStyle name="_Fuel Prices 4-14_16.37E Wild Horse Expansion DeferralRevwrkingfile SF" xfId="1413"/>
    <cellStyle name="_Fuel Prices 4-14_16.37E Wild Horse Expansion DeferralRevwrkingfile SF 2" xfId="1414"/>
    <cellStyle name="_Fuel Prices 4-14_2009 GRC Compl Filing - Exhibit D" xfId="1415"/>
    <cellStyle name="_Fuel Prices 4-14_2009 GRC Compl Filing - Exhibit D 2" xfId="1416"/>
    <cellStyle name="_Fuel Prices 4-14_4 31 Regulatory Assets and Liabilities  7 06- Exhibit D" xfId="1417"/>
    <cellStyle name="_Fuel Prices 4-14_4 31 Regulatory Assets and Liabilities  7 06- Exhibit D 2" xfId="1418"/>
    <cellStyle name="_Fuel Prices 4-14_4 31 Regulatory Assets and Liabilities  7 06- Exhibit D_NIM Summary" xfId="1419"/>
    <cellStyle name="_Fuel Prices 4-14_4 31 Regulatory Assets and Liabilities  7 06- Exhibit D_NIM Summary 2" xfId="1420"/>
    <cellStyle name="_Fuel Prices 4-14_4 32 Regulatory Assets and Liabilities  7 06- Exhibit D" xfId="1421"/>
    <cellStyle name="_Fuel Prices 4-14_4 32 Regulatory Assets and Liabilities  7 06- Exhibit D 2" xfId="1422"/>
    <cellStyle name="_Fuel Prices 4-14_4 32 Regulatory Assets and Liabilities  7 06- Exhibit D_NIM Summary" xfId="1423"/>
    <cellStyle name="_Fuel Prices 4-14_4 32 Regulatory Assets and Liabilities  7 06- Exhibit D_NIM Summary 2" xfId="1424"/>
    <cellStyle name="_Fuel Prices 4-14_AURORA Total New" xfId="1425"/>
    <cellStyle name="_Fuel Prices 4-14_AURORA Total New 2" xfId="1426"/>
    <cellStyle name="_Fuel Prices 4-14_Book2" xfId="1427"/>
    <cellStyle name="_Fuel Prices 4-14_Book2 2" xfId="1428"/>
    <cellStyle name="_Fuel Prices 4-14_Book2_Adj Bench DR 3 for Initial Briefs (Electric)" xfId="1429"/>
    <cellStyle name="_Fuel Prices 4-14_Book2_Adj Bench DR 3 for Initial Briefs (Electric) 2" xfId="1430"/>
    <cellStyle name="_Fuel Prices 4-14_Book2_Electric Rev Req Model (2009 GRC) Rebuttal" xfId="1431"/>
    <cellStyle name="_Fuel Prices 4-14_Book2_Electric Rev Req Model (2009 GRC) Rebuttal REmoval of New  WH Solar AdjustMI" xfId="1432"/>
    <cellStyle name="_Fuel Prices 4-14_Book2_Electric Rev Req Model (2009 GRC) Rebuttal REmoval of New  WH Solar AdjustMI 2" xfId="1433"/>
    <cellStyle name="_Fuel Prices 4-14_Book2_Electric Rev Req Model (2009 GRC) Revised 01-18-2010" xfId="1434"/>
    <cellStyle name="_Fuel Prices 4-14_Book2_Electric Rev Req Model (2009 GRC) Revised 01-18-2010 2" xfId="1435"/>
    <cellStyle name="_Fuel Prices 4-14_Book2_Final Order Electric EXHIBIT A-1" xfId="1436"/>
    <cellStyle name="_Fuel Prices 4-14_Book4" xfId="1437"/>
    <cellStyle name="_Fuel Prices 4-14_Book4 2" xfId="1438"/>
    <cellStyle name="_Fuel Prices 4-14_Book9" xfId="1439"/>
    <cellStyle name="_Fuel Prices 4-14_Book9 2" xfId="1440"/>
    <cellStyle name="_Fuel Prices 4-14_NIM Summary" xfId="1441"/>
    <cellStyle name="_Fuel Prices 4-14_NIM Summary 09GRC" xfId="1442"/>
    <cellStyle name="_Fuel Prices 4-14_NIM Summary 09GRC 2" xfId="1443"/>
    <cellStyle name="_Fuel Prices 4-14_NIM Summary 2" xfId="1444"/>
    <cellStyle name="_Fuel Prices 4-14_NIM Summary 3" xfId="1445"/>
    <cellStyle name="_Fuel Prices 4-14_PCA 9 -  Exhibit D April 2010 (3)" xfId="1446"/>
    <cellStyle name="_Fuel Prices 4-14_PCA 9 -  Exhibit D April 2010 (3) 2" xfId="1447"/>
    <cellStyle name="_Fuel Prices 4-14_Power Costs - Comparison bx Rbtl-Staff-Jt-PC" xfId="1448"/>
    <cellStyle name="_Fuel Prices 4-14_Power Costs - Comparison bx Rbtl-Staff-Jt-PC 2" xfId="1449"/>
    <cellStyle name="_Fuel Prices 4-14_Power Costs - Comparison bx Rbtl-Staff-Jt-PC_Adj Bench DR 3 for Initial Briefs (Electric)" xfId="1450"/>
    <cellStyle name="_Fuel Prices 4-14_Power Costs - Comparison bx Rbtl-Staff-Jt-PC_Adj Bench DR 3 for Initial Briefs (Electric) 2" xfId="1451"/>
    <cellStyle name="_Fuel Prices 4-14_Power Costs - Comparison bx Rbtl-Staff-Jt-PC_Electric Rev Req Model (2009 GRC) Rebuttal" xfId="1452"/>
    <cellStyle name="_Fuel Prices 4-14_Power Costs - Comparison bx Rbtl-Staff-Jt-PC_Electric Rev Req Model (2009 GRC) Rebuttal REmoval of New  WH Solar AdjustMI" xfId="1453"/>
    <cellStyle name="_Fuel Prices 4-14_Power Costs - Comparison bx Rbtl-Staff-Jt-PC_Electric Rev Req Model (2009 GRC) Rebuttal REmoval of New  WH Solar AdjustMI 2" xfId="1454"/>
    <cellStyle name="_Fuel Prices 4-14_Power Costs - Comparison bx Rbtl-Staff-Jt-PC_Electric Rev Req Model (2009 GRC) Revised 01-18-2010" xfId="1455"/>
    <cellStyle name="_Fuel Prices 4-14_Power Costs - Comparison bx Rbtl-Staff-Jt-PC_Electric Rev Req Model (2009 GRC) Revised 01-18-2010 2" xfId="1456"/>
    <cellStyle name="_Fuel Prices 4-14_Power Costs - Comparison bx Rbtl-Staff-Jt-PC_Final Order Electric EXHIBIT A-1" xfId="1457"/>
    <cellStyle name="_Fuel Prices 4-14_Rebuttal Power Costs" xfId="1458"/>
    <cellStyle name="_Fuel Prices 4-14_Rebuttal Power Costs 2" xfId="1459"/>
    <cellStyle name="_Fuel Prices 4-14_Rebuttal Power Costs_Adj Bench DR 3 for Initial Briefs (Electric)" xfId="1460"/>
    <cellStyle name="_Fuel Prices 4-14_Rebuttal Power Costs_Adj Bench DR 3 for Initial Briefs (Electric) 2" xfId="1461"/>
    <cellStyle name="_Fuel Prices 4-14_Rebuttal Power Costs_Electric Rev Req Model (2009 GRC) Rebuttal" xfId="1462"/>
    <cellStyle name="_Fuel Prices 4-14_Rebuttal Power Costs_Electric Rev Req Model (2009 GRC) Rebuttal REmoval of New  WH Solar AdjustMI" xfId="1463"/>
    <cellStyle name="_Fuel Prices 4-14_Rebuttal Power Costs_Electric Rev Req Model (2009 GRC) Rebuttal REmoval of New  WH Solar AdjustMI 2" xfId="1464"/>
    <cellStyle name="_Fuel Prices 4-14_Rebuttal Power Costs_Electric Rev Req Model (2009 GRC) Revised 01-18-2010" xfId="1465"/>
    <cellStyle name="_Fuel Prices 4-14_Rebuttal Power Costs_Electric Rev Req Model (2009 GRC) Revised 01-18-2010 2" xfId="1466"/>
    <cellStyle name="_Fuel Prices 4-14_Rebuttal Power Costs_Final Order Electric EXHIBIT A-1" xfId="1467"/>
    <cellStyle name="_Fuel Prices 4-14_Wind Integration 10GRC" xfId="1468"/>
    <cellStyle name="_Fuel Prices 4-14_Wind Integration 10GRC 2" xfId="1469"/>
    <cellStyle name="_Gas Transportation Charges_2009GRC_120308" xfId="1470"/>
    <cellStyle name="_Gas Transportation Charges_2009GRC_120308 2" xfId="1471"/>
    <cellStyle name="_Gas Transportation Charges_2009GRC_120308_DEM-WP(C) Costs Not In AURORA 2010GRC As Filed" xfId="1472"/>
    <cellStyle name="_Gas Transportation Charges_2009GRC_120308_NIM Summary" xfId="1473"/>
    <cellStyle name="_Gas Transportation Charges_2009GRC_120308_NIM Summary 09GRC" xfId="1474"/>
    <cellStyle name="_Gas Transportation Charges_2009GRC_120308_NIM Summary 09GRC 2" xfId="1475"/>
    <cellStyle name="_Gas Transportation Charges_2009GRC_120308_NIM Summary 2" xfId="1476"/>
    <cellStyle name="_Gas Transportation Charges_2009GRC_120308_NIM Summary 3" xfId="1477"/>
    <cellStyle name="_Gas Transportation Charges_2009GRC_120308_PCA 9 -  Exhibit D April 2010 (3)" xfId="1478"/>
    <cellStyle name="_Gas Transportation Charges_2009GRC_120308_PCA 9 -  Exhibit D April 2010 (3) 2" xfId="1479"/>
    <cellStyle name="_Gas Transportation Charges_2009GRC_120308_Reconciliation" xfId="1480"/>
    <cellStyle name="_Gas Transportation Charges_2009GRC_120308_Wind Integration 10GRC" xfId="1481"/>
    <cellStyle name="_Gas Transportation Charges_2009GRC_120308_Wind Integration 10GRC 2" xfId="1482"/>
    <cellStyle name="_Monthly Fixed Input" xfId="1483"/>
    <cellStyle name="_Monthly Fixed Input 2" xfId="1484"/>
    <cellStyle name="_Monthly Fixed Input_NIM Summary" xfId="1485"/>
    <cellStyle name="_Monthly Fixed Input_NIM Summary 2" xfId="1486"/>
    <cellStyle name="_NIM 06 Base Case Current Trends" xfId="1487"/>
    <cellStyle name="_NIM 06 Base Case Current Trends 2" xfId="1488"/>
    <cellStyle name="_NIM 06 Base Case Current Trends_Adj Bench DR 3 for Initial Briefs (Electric)" xfId="1489"/>
    <cellStyle name="_NIM 06 Base Case Current Trends_Adj Bench DR 3 for Initial Briefs (Electric) 2" xfId="1490"/>
    <cellStyle name="_NIM 06 Base Case Current Trends_Book2" xfId="1491"/>
    <cellStyle name="_NIM 06 Base Case Current Trends_Book2 2" xfId="1492"/>
    <cellStyle name="_NIM 06 Base Case Current Trends_Book2_Adj Bench DR 3 for Initial Briefs (Electric)" xfId="1493"/>
    <cellStyle name="_NIM 06 Base Case Current Trends_Book2_Adj Bench DR 3 for Initial Briefs (Electric) 2" xfId="1494"/>
    <cellStyle name="_NIM 06 Base Case Current Trends_Book2_Electric Rev Req Model (2009 GRC) Rebuttal" xfId="1495"/>
    <cellStyle name="_NIM 06 Base Case Current Trends_Book2_Electric Rev Req Model (2009 GRC) Rebuttal REmoval of New  WH Solar AdjustMI" xfId="1496"/>
    <cellStyle name="_NIM 06 Base Case Current Trends_Book2_Electric Rev Req Model (2009 GRC) Rebuttal REmoval of New  WH Solar AdjustMI 2" xfId="1497"/>
    <cellStyle name="_NIM 06 Base Case Current Trends_Book2_Electric Rev Req Model (2009 GRC) Revised 01-18-2010" xfId="1498"/>
    <cellStyle name="_NIM 06 Base Case Current Trends_Book2_Electric Rev Req Model (2009 GRC) Revised 01-18-2010 2" xfId="1499"/>
    <cellStyle name="_NIM 06 Base Case Current Trends_Book2_Final Order Electric EXHIBIT A-1" xfId="1500"/>
    <cellStyle name="_NIM 06 Base Case Current Trends_Electric Rev Req Model (2009 GRC) " xfId="1501"/>
    <cellStyle name="_NIM 06 Base Case Current Trends_Electric Rev Req Model (2009 GRC)  2" xfId="1502"/>
    <cellStyle name="_NIM 06 Base Case Current Trends_Electric Rev Req Model (2009 GRC) Rebuttal" xfId="1503"/>
    <cellStyle name="_NIM 06 Base Case Current Trends_Electric Rev Req Model (2009 GRC) Rebuttal REmoval of New  WH Solar AdjustMI" xfId="1504"/>
    <cellStyle name="_NIM 06 Base Case Current Trends_Electric Rev Req Model (2009 GRC) Rebuttal REmoval of New  WH Solar AdjustMI 2" xfId="1505"/>
    <cellStyle name="_NIM 06 Base Case Current Trends_Electric Rev Req Model (2009 GRC) Revised 01-18-2010" xfId="1506"/>
    <cellStyle name="_NIM 06 Base Case Current Trends_Electric Rev Req Model (2009 GRC) Revised 01-18-2010 2" xfId="1507"/>
    <cellStyle name="_NIM 06 Base Case Current Trends_Final Order Electric EXHIBIT A-1" xfId="1508"/>
    <cellStyle name="_NIM 06 Base Case Current Trends_NIM Summary" xfId="1509"/>
    <cellStyle name="_NIM 06 Base Case Current Trends_NIM Summary 2" xfId="1510"/>
    <cellStyle name="_NIM 06 Base Case Current Trends_Rebuttal Power Costs" xfId="1511"/>
    <cellStyle name="_NIM 06 Base Case Current Trends_Rebuttal Power Costs 2" xfId="1512"/>
    <cellStyle name="_NIM 06 Base Case Current Trends_Rebuttal Power Costs_Adj Bench DR 3 for Initial Briefs (Electric)" xfId="1513"/>
    <cellStyle name="_NIM 06 Base Case Current Trends_Rebuttal Power Costs_Adj Bench DR 3 for Initial Briefs (Electric) 2" xfId="1514"/>
    <cellStyle name="_NIM 06 Base Case Current Trends_Rebuttal Power Costs_Electric Rev Req Model (2009 GRC) Rebuttal" xfId="1515"/>
    <cellStyle name="_NIM 06 Base Case Current Trends_Rebuttal Power Costs_Electric Rev Req Model (2009 GRC) Rebuttal REmoval of New  WH Solar AdjustMI" xfId="1516"/>
    <cellStyle name="_NIM 06 Base Case Current Trends_Rebuttal Power Costs_Electric Rev Req Model (2009 GRC) Rebuttal REmoval of New  WH Solar AdjustMI 2" xfId="1517"/>
    <cellStyle name="_NIM 06 Base Case Current Trends_Rebuttal Power Costs_Electric Rev Req Model (2009 GRC) Revised 01-18-2010" xfId="1518"/>
    <cellStyle name="_NIM 06 Base Case Current Trends_Rebuttal Power Costs_Electric Rev Req Model (2009 GRC) Revised 01-18-2010 2" xfId="1519"/>
    <cellStyle name="_NIM 06 Base Case Current Trends_Rebuttal Power Costs_Final Order Electric EXHIBIT A-1" xfId="1520"/>
    <cellStyle name="_NIM 06 Base Case Current Trends_TENASKA REGULATORY ASSET" xfId="1521"/>
    <cellStyle name="_NIM Summary 09GRC" xfId="1522"/>
    <cellStyle name="_NIM Summary 09GRC 2" xfId="1523"/>
    <cellStyle name="_NIM Summary 09GRC_NIM Summary" xfId="1524"/>
    <cellStyle name="_NIM Summary 09GRC_NIM Summary 2" xfId="1525"/>
    <cellStyle name="_PCA 7 - Exhibit D update 9_30_2008" xfId="1526"/>
    <cellStyle name="_PCA 7 - Exhibit D update 9_30_2008_NIM Summary" xfId="1527"/>
    <cellStyle name="_PCA 7 - Exhibit D update 9_30_2008_NIM Summary 2" xfId="1528"/>
    <cellStyle name="_PCA 7 - Exhibit D update 9_30_2008_Transmission Workbook for May BOD" xfId="1529"/>
    <cellStyle name="_PCA 7 - Exhibit D update 9_30_2008_Transmission Workbook for May BOD 2" xfId="1530"/>
    <cellStyle name="_PCA 7 - Exhibit D update 9_30_2008_Wind Integration 10GRC" xfId="1531"/>
    <cellStyle name="_PCA 7 - Exhibit D update 9_30_2008_Wind Integration 10GRC 2" xfId="1532"/>
    <cellStyle name="_Portfolio SPlan Base Case.xls Chart 1" xfId="1533"/>
    <cellStyle name="_Portfolio SPlan Base Case.xls Chart 1 2" xfId="1534"/>
    <cellStyle name="_Portfolio SPlan Base Case.xls Chart 1_Adj Bench DR 3 for Initial Briefs (Electric)" xfId="1535"/>
    <cellStyle name="_Portfolio SPlan Base Case.xls Chart 1_Adj Bench DR 3 for Initial Briefs (Electric) 2" xfId="1536"/>
    <cellStyle name="_Portfolio SPlan Base Case.xls Chart 1_Book2" xfId="1537"/>
    <cellStyle name="_Portfolio SPlan Base Case.xls Chart 1_Book2 2" xfId="1538"/>
    <cellStyle name="_Portfolio SPlan Base Case.xls Chart 1_Book2_Adj Bench DR 3 for Initial Briefs (Electric)" xfId="1539"/>
    <cellStyle name="_Portfolio SPlan Base Case.xls Chart 1_Book2_Adj Bench DR 3 for Initial Briefs (Electric) 2" xfId="1540"/>
    <cellStyle name="_Portfolio SPlan Base Case.xls Chart 1_Book2_Electric Rev Req Model (2009 GRC) Rebuttal" xfId="1541"/>
    <cellStyle name="_Portfolio SPlan Base Case.xls Chart 1_Book2_Electric Rev Req Model (2009 GRC) Rebuttal REmoval of New  WH Solar AdjustMI" xfId="1542"/>
    <cellStyle name="_Portfolio SPlan Base Case.xls Chart 1_Book2_Electric Rev Req Model (2009 GRC) Rebuttal REmoval of New  WH Solar AdjustMI 2" xfId="1543"/>
    <cellStyle name="_Portfolio SPlan Base Case.xls Chart 1_Book2_Electric Rev Req Model (2009 GRC) Revised 01-18-2010" xfId="1544"/>
    <cellStyle name="_Portfolio SPlan Base Case.xls Chart 1_Book2_Electric Rev Req Model (2009 GRC) Revised 01-18-2010 2" xfId="1545"/>
    <cellStyle name="_Portfolio SPlan Base Case.xls Chart 1_Book2_Final Order Electric EXHIBIT A-1" xfId="1546"/>
    <cellStyle name="_Portfolio SPlan Base Case.xls Chart 1_Electric Rev Req Model (2009 GRC) " xfId="1547"/>
    <cellStyle name="_Portfolio SPlan Base Case.xls Chart 1_Electric Rev Req Model (2009 GRC)  2" xfId="1548"/>
    <cellStyle name="_Portfolio SPlan Base Case.xls Chart 1_Electric Rev Req Model (2009 GRC) Rebuttal" xfId="1549"/>
    <cellStyle name="_Portfolio SPlan Base Case.xls Chart 1_Electric Rev Req Model (2009 GRC) Rebuttal REmoval of New  WH Solar AdjustMI" xfId="1550"/>
    <cellStyle name="_Portfolio SPlan Base Case.xls Chart 1_Electric Rev Req Model (2009 GRC) Rebuttal REmoval of New  WH Solar AdjustMI 2" xfId="1551"/>
    <cellStyle name="_Portfolio SPlan Base Case.xls Chart 1_Electric Rev Req Model (2009 GRC) Revised 01-18-2010" xfId="1552"/>
    <cellStyle name="_Portfolio SPlan Base Case.xls Chart 1_Electric Rev Req Model (2009 GRC) Revised 01-18-2010 2" xfId="1553"/>
    <cellStyle name="_Portfolio SPlan Base Case.xls Chart 1_Final Order Electric EXHIBIT A-1" xfId="1554"/>
    <cellStyle name="_Portfolio SPlan Base Case.xls Chart 1_NIM Summary" xfId="1555"/>
    <cellStyle name="_Portfolio SPlan Base Case.xls Chart 1_NIM Summary 2" xfId="1556"/>
    <cellStyle name="_Portfolio SPlan Base Case.xls Chart 1_Rebuttal Power Costs" xfId="1557"/>
    <cellStyle name="_Portfolio SPlan Base Case.xls Chart 1_Rebuttal Power Costs 2" xfId="1558"/>
    <cellStyle name="_Portfolio SPlan Base Case.xls Chart 1_Rebuttal Power Costs_Adj Bench DR 3 for Initial Briefs (Electric)" xfId="1559"/>
    <cellStyle name="_Portfolio SPlan Base Case.xls Chart 1_Rebuttal Power Costs_Adj Bench DR 3 for Initial Briefs (Electric) 2" xfId="1560"/>
    <cellStyle name="_Portfolio SPlan Base Case.xls Chart 1_Rebuttal Power Costs_Electric Rev Req Model (2009 GRC) Rebuttal" xfId="1561"/>
    <cellStyle name="_Portfolio SPlan Base Case.xls Chart 1_Rebuttal Power Costs_Electric Rev Req Model (2009 GRC) Rebuttal REmoval of New  WH Solar AdjustMI" xfId="1562"/>
    <cellStyle name="_Portfolio SPlan Base Case.xls Chart 1_Rebuttal Power Costs_Electric Rev Req Model (2009 GRC) Rebuttal REmoval of New  WH Solar AdjustMI 2" xfId="1563"/>
    <cellStyle name="_Portfolio SPlan Base Case.xls Chart 1_Rebuttal Power Costs_Electric Rev Req Model (2009 GRC) Revised 01-18-2010" xfId="1564"/>
    <cellStyle name="_Portfolio SPlan Base Case.xls Chart 1_Rebuttal Power Costs_Electric Rev Req Model (2009 GRC) Revised 01-18-2010 2" xfId="1565"/>
    <cellStyle name="_Portfolio SPlan Base Case.xls Chart 1_Rebuttal Power Costs_Final Order Electric EXHIBIT A-1" xfId="1566"/>
    <cellStyle name="_Portfolio SPlan Base Case.xls Chart 1_TENASKA REGULATORY ASSET" xfId="1567"/>
    <cellStyle name="_Portfolio SPlan Base Case.xls Chart 2" xfId="1568"/>
    <cellStyle name="_Portfolio SPlan Base Case.xls Chart 2 2" xfId="1569"/>
    <cellStyle name="_Portfolio SPlan Base Case.xls Chart 2_Adj Bench DR 3 for Initial Briefs (Electric)" xfId="1570"/>
    <cellStyle name="_Portfolio SPlan Base Case.xls Chart 2_Adj Bench DR 3 for Initial Briefs (Electric) 2" xfId="1571"/>
    <cellStyle name="_Portfolio SPlan Base Case.xls Chart 2_Book2" xfId="1572"/>
    <cellStyle name="_Portfolio SPlan Base Case.xls Chart 2_Book2 2" xfId="1573"/>
    <cellStyle name="_Portfolio SPlan Base Case.xls Chart 2_Book2_Adj Bench DR 3 for Initial Briefs (Electric)" xfId="1574"/>
    <cellStyle name="_Portfolio SPlan Base Case.xls Chart 2_Book2_Adj Bench DR 3 for Initial Briefs (Electric) 2" xfId="1575"/>
    <cellStyle name="_Portfolio SPlan Base Case.xls Chart 2_Book2_Electric Rev Req Model (2009 GRC) Rebuttal" xfId="1576"/>
    <cellStyle name="_Portfolio SPlan Base Case.xls Chart 2_Book2_Electric Rev Req Model (2009 GRC) Rebuttal REmoval of New  WH Solar AdjustMI" xfId="1577"/>
    <cellStyle name="_Portfolio SPlan Base Case.xls Chart 2_Book2_Electric Rev Req Model (2009 GRC) Rebuttal REmoval of New  WH Solar AdjustMI 2" xfId="1578"/>
    <cellStyle name="_Portfolio SPlan Base Case.xls Chart 2_Book2_Electric Rev Req Model (2009 GRC) Revised 01-18-2010" xfId="1579"/>
    <cellStyle name="_Portfolio SPlan Base Case.xls Chart 2_Book2_Electric Rev Req Model (2009 GRC) Revised 01-18-2010 2" xfId="1580"/>
    <cellStyle name="_Portfolio SPlan Base Case.xls Chart 2_Book2_Final Order Electric EXHIBIT A-1" xfId="1581"/>
    <cellStyle name="_Portfolio SPlan Base Case.xls Chart 2_Electric Rev Req Model (2009 GRC) " xfId="1582"/>
    <cellStyle name="_Portfolio SPlan Base Case.xls Chart 2_Electric Rev Req Model (2009 GRC)  2" xfId="1583"/>
    <cellStyle name="_Portfolio SPlan Base Case.xls Chart 2_Electric Rev Req Model (2009 GRC) Rebuttal" xfId="1584"/>
    <cellStyle name="_Portfolio SPlan Base Case.xls Chart 2_Electric Rev Req Model (2009 GRC) Rebuttal REmoval of New  WH Solar AdjustMI" xfId="1585"/>
    <cellStyle name="_Portfolio SPlan Base Case.xls Chart 2_Electric Rev Req Model (2009 GRC) Rebuttal REmoval of New  WH Solar AdjustMI 2" xfId="1586"/>
    <cellStyle name="_Portfolio SPlan Base Case.xls Chart 2_Electric Rev Req Model (2009 GRC) Revised 01-18-2010" xfId="1587"/>
    <cellStyle name="_Portfolio SPlan Base Case.xls Chart 2_Electric Rev Req Model (2009 GRC) Revised 01-18-2010 2" xfId="1588"/>
    <cellStyle name="_Portfolio SPlan Base Case.xls Chart 2_Final Order Electric EXHIBIT A-1" xfId="1589"/>
    <cellStyle name="_Portfolio SPlan Base Case.xls Chart 2_NIM Summary" xfId="1590"/>
    <cellStyle name="_Portfolio SPlan Base Case.xls Chart 2_NIM Summary 2" xfId="1591"/>
    <cellStyle name="_Portfolio SPlan Base Case.xls Chart 2_Rebuttal Power Costs" xfId="1592"/>
    <cellStyle name="_Portfolio SPlan Base Case.xls Chart 2_Rebuttal Power Costs 2" xfId="1593"/>
    <cellStyle name="_Portfolio SPlan Base Case.xls Chart 2_Rebuttal Power Costs_Adj Bench DR 3 for Initial Briefs (Electric)" xfId="1594"/>
    <cellStyle name="_Portfolio SPlan Base Case.xls Chart 2_Rebuttal Power Costs_Adj Bench DR 3 for Initial Briefs (Electric) 2" xfId="1595"/>
    <cellStyle name="_Portfolio SPlan Base Case.xls Chart 2_Rebuttal Power Costs_Electric Rev Req Model (2009 GRC) Rebuttal" xfId="1596"/>
    <cellStyle name="_Portfolio SPlan Base Case.xls Chart 2_Rebuttal Power Costs_Electric Rev Req Model (2009 GRC) Rebuttal REmoval of New  WH Solar AdjustMI" xfId="1597"/>
    <cellStyle name="_Portfolio SPlan Base Case.xls Chart 2_Rebuttal Power Costs_Electric Rev Req Model (2009 GRC) Rebuttal REmoval of New  WH Solar AdjustMI 2" xfId="1598"/>
    <cellStyle name="_Portfolio SPlan Base Case.xls Chart 2_Rebuttal Power Costs_Electric Rev Req Model (2009 GRC) Revised 01-18-2010" xfId="1599"/>
    <cellStyle name="_Portfolio SPlan Base Case.xls Chart 2_Rebuttal Power Costs_Electric Rev Req Model (2009 GRC) Revised 01-18-2010 2" xfId="1600"/>
    <cellStyle name="_Portfolio SPlan Base Case.xls Chart 2_Rebuttal Power Costs_Final Order Electric EXHIBIT A-1" xfId="1601"/>
    <cellStyle name="_Portfolio SPlan Base Case.xls Chart 2_TENASKA REGULATORY ASSET" xfId="1602"/>
    <cellStyle name="_Portfolio SPlan Base Case.xls Chart 3" xfId="1603"/>
    <cellStyle name="_Portfolio SPlan Base Case.xls Chart 3 2" xfId="1604"/>
    <cellStyle name="_Portfolio SPlan Base Case.xls Chart 3_Adj Bench DR 3 for Initial Briefs (Electric)" xfId="1605"/>
    <cellStyle name="_Portfolio SPlan Base Case.xls Chart 3_Adj Bench DR 3 for Initial Briefs (Electric) 2" xfId="1606"/>
    <cellStyle name="_Portfolio SPlan Base Case.xls Chart 3_Book2" xfId="1607"/>
    <cellStyle name="_Portfolio SPlan Base Case.xls Chart 3_Book2 2" xfId="1608"/>
    <cellStyle name="_Portfolio SPlan Base Case.xls Chart 3_Book2_Adj Bench DR 3 for Initial Briefs (Electric)" xfId="1609"/>
    <cellStyle name="_Portfolio SPlan Base Case.xls Chart 3_Book2_Adj Bench DR 3 for Initial Briefs (Electric) 2" xfId="1610"/>
    <cellStyle name="_Portfolio SPlan Base Case.xls Chart 3_Book2_Electric Rev Req Model (2009 GRC) Rebuttal" xfId="1611"/>
    <cellStyle name="_Portfolio SPlan Base Case.xls Chart 3_Book2_Electric Rev Req Model (2009 GRC) Rebuttal REmoval of New  WH Solar AdjustMI" xfId="1612"/>
    <cellStyle name="_Portfolio SPlan Base Case.xls Chart 3_Book2_Electric Rev Req Model (2009 GRC) Rebuttal REmoval of New  WH Solar AdjustMI 2" xfId="1613"/>
    <cellStyle name="_Portfolio SPlan Base Case.xls Chart 3_Book2_Electric Rev Req Model (2009 GRC) Revised 01-18-2010" xfId="1614"/>
    <cellStyle name="_Portfolio SPlan Base Case.xls Chart 3_Book2_Electric Rev Req Model (2009 GRC) Revised 01-18-2010 2" xfId="1615"/>
    <cellStyle name="_Portfolio SPlan Base Case.xls Chart 3_Book2_Final Order Electric EXHIBIT A-1" xfId="1616"/>
    <cellStyle name="_Portfolio SPlan Base Case.xls Chart 3_Electric Rev Req Model (2009 GRC) " xfId="1617"/>
    <cellStyle name="_Portfolio SPlan Base Case.xls Chart 3_Electric Rev Req Model (2009 GRC)  2" xfId="1618"/>
    <cellStyle name="_Portfolio SPlan Base Case.xls Chart 3_Electric Rev Req Model (2009 GRC) Rebuttal" xfId="1619"/>
    <cellStyle name="_Portfolio SPlan Base Case.xls Chart 3_Electric Rev Req Model (2009 GRC) Rebuttal REmoval of New  WH Solar AdjustMI" xfId="1620"/>
    <cellStyle name="_Portfolio SPlan Base Case.xls Chart 3_Electric Rev Req Model (2009 GRC) Rebuttal REmoval of New  WH Solar AdjustMI 2" xfId="1621"/>
    <cellStyle name="_Portfolio SPlan Base Case.xls Chart 3_Electric Rev Req Model (2009 GRC) Revised 01-18-2010" xfId="1622"/>
    <cellStyle name="_Portfolio SPlan Base Case.xls Chart 3_Electric Rev Req Model (2009 GRC) Revised 01-18-2010 2" xfId="1623"/>
    <cellStyle name="_Portfolio SPlan Base Case.xls Chart 3_Final Order Electric EXHIBIT A-1" xfId="1624"/>
    <cellStyle name="_Portfolio SPlan Base Case.xls Chart 3_NIM Summary" xfId="1625"/>
    <cellStyle name="_Portfolio SPlan Base Case.xls Chart 3_NIM Summary 2" xfId="1626"/>
    <cellStyle name="_Portfolio SPlan Base Case.xls Chart 3_Rebuttal Power Costs" xfId="1627"/>
    <cellStyle name="_Portfolio SPlan Base Case.xls Chart 3_Rebuttal Power Costs 2" xfId="1628"/>
    <cellStyle name="_Portfolio SPlan Base Case.xls Chart 3_Rebuttal Power Costs_Adj Bench DR 3 for Initial Briefs (Electric)" xfId="1629"/>
    <cellStyle name="_Portfolio SPlan Base Case.xls Chart 3_Rebuttal Power Costs_Adj Bench DR 3 for Initial Briefs (Electric) 2" xfId="1630"/>
    <cellStyle name="_Portfolio SPlan Base Case.xls Chart 3_Rebuttal Power Costs_Electric Rev Req Model (2009 GRC) Rebuttal" xfId="1631"/>
    <cellStyle name="_Portfolio SPlan Base Case.xls Chart 3_Rebuttal Power Costs_Electric Rev Req Model (2009 GRC) Rebuttal REmoval of New  WH Solar AdjustMI" xfId="1632"/>
    <cellStyle name="_Portfolio SPlan Base Case.xls Chart 3_Rebuttal Power Costs_Electric Rev Req Model (2009 GRC) Rebuttal REmoval of New  WH Solar AdjustMI 2" xfId="1633"/>
    <cellStyle name="_Portfolio SPlan Base Case.xls Chart 3_Rebuttal Power Costs_Electric Rev Req Model (2009 GRC) Revised 01-18-2010" xfId="1634"/>
    <cellStyle name="_Portfolio SPlan Base Case.xls Chart 3_Rebuttal Power Costs_Electric Rev Req Model (2009 GRC) Revised 01-18-2010 2" xfId="1635"/>
    <cellStyle name="_Portfolio SPlan Base Case.xls Chart 3_Rebuttal Power Costs_Final Order Electric EXHIBIT A-1" xfId="1636"/>
    <cellStyle name="_Portfolio SPlan Base Case.xls Chart 3_TENASKA REGULATORY ASSET" xfId="1637"/>
    <cellStyle name="_Power Cost Value Copy 11.30.05 gas 1.09.06 AURORA at 1.10.06" xfId="1638"/>
    <cellStyle name="_Power Cost Value Copy 11.30.05 gas 1.09.06 AURORA at 1.10.06 2" xfId="1639"/>
    <cellStyle name="_Power Cost Value Copy 11.30.05 gas 1.09.06 AURORA at 1.10.06 2 2" xfId="1640"/>
    <cellStyle name="_Power Cost Value Copy 11.30.05 gas 1.09.06 AURORA at 1.10.06 3" xfId="1641"/>
    <cellStyle name="_Power Cost Value Copy 11.30.05 gas 1.09.06 AURORA at 1.10.06 4" xfId="1642"/>
    <cellStyle name="_Power Cost Value Copy 11.30.05 gas 1.09.06 AURORA at 1.10.06_04 07E Wild Horse Wind Expansion (C) (2)" xfId="1643"/>
    <cellStyle name="_Power Cost Value Copy 11.30.05 gas 1.09.06 AURORA at 1.10.06_04 07E Wild Horse Wind Expansion (C) (2) 2" xfId="1644"/>
    <cellStyle name="_Power Cost Value Copy 11.30.05 gas 1.09.06 AURORA at 1.10.06_04 07E Wild Horse Wind Expansion (C) (2)_Adj Bench DR 3 for Initial Briefs (Electric)" xfId="1645"/>
    <cellStyle name="_Power Cost Value Copy 11.30.05 gas 1.09.06 AURORA at 1.10.06_04 07E Wild Horse Wind Expansion (C) (2)_Adj Bench DR 3 for Initial Briefs (Electric) 2" xfId="1646"/>
    <cellStyle name="_Power Cost Value Copy 11.30.05 gas 1.09.06 AURORA at 1.10.06_04 07E Wild Horse Wind Expansion (C) (2)_Electric Rev Req Model (2009 GRC) " xfId="1647"/>
    <cellStyle name="_Power Cost Value Copy 11.30.05 gas 1.09.06 AURORA at 1.10.06_04 07E Wild Horse Wind Expansion (C) (2)_Electric Rev Req Model (2009 GRC)  2" xfId="1648"/>
    <cellStyle name="_Power Cost Value Copy 11.30.05 gas 1.09.06 AURORA at 1.10.06_04 07E Wild Horse Wind Expansion (C) (2)_Electric Rev Req Model (2009 GRC) Rebuttal" xfId="1649"/>
    <cellStyle name="_Power Cost Value Copy 11.30.05 gas 1.09.06 AURORA at 1.10.06_04 07E Wild Horse Wind Expansion (C) (2)_Electric Rev Req Model (2009 GRC) Rebuttal REmoval of New  WH Solar AdjustMI" xfId="1650"/>
    <cellStyle name="_Power Cost Value Copy 11.30.05 gas 1.09.06 AURORA at 1.10.06_04 07E Wild Horse Wind Expansion (C) (2)_Electric Rev Req Model (2009 GRC) Rebuttal REmoval of New  WH Solar AdjustMI 2" xfId="1651"/>
    <cellStyle name="_Power Cost Value Copy 11.30.05 gas 1.09.06 AURORA at 1.10.06_04 07E Wild Horse Wind Expansion (C) (2)_Electric Rev Req Model (2009 GRC) Revised 01-18-2010" xfId="1652"/>
    <cellStyle name="_Power Cost Value Copy 11.30.05 gas 1.09.06 AURORA at 1.10.06_04 07E Wild Horse Wind Expansion (C) (2)_Electric Rev Req Model (2009 GRC) Revised 01-18-2010 2" xfId="1653"/>
    <cellStyle name="_Power Cost Value Copy 11.30.05 gas 1.09.06 AURORA at 1.10.06_04 07E Wild Horse Wind Expansion (C) (2)_Final Order Electric EXHIBIT A-1" xfId="1654"/>
    <cellStyle name="_Power Cost Value Copy 11.30.05 gas 1.09.06 AURORA at 1.10.06_04 07E Wild Horse Wind Expansion (C) (2)_TENASKA REGULATORY ASSET" xfId="1655"/>
    <cellStyle name="_Power Cost Value Copy 11.30.05 gas 1.09.06 AURORA at 1.10.06_16.37E Wild Horse Expansion DeferralRevwrkingfile SF" xfId="1656"/>
    <cellStyle name="_Power Cost Value Copy 11.30.05 gas 1.09.06 AURORA at 1.10.06_16.37E Wild Horse Expansion DeferralRevwrkingfile SF 2" xfId="1657"/>
    <cellStyle name="_Power Cost Value Copy 11.30.05 gas 1.09.06 AURORA at 1.10.06_2009 GRC Compl Filing - Exhibit D" xfId="1658"/>
    <cellStyle name="_Power Cost Value Copy 11.30.05 gas 1.09.06 AURORA at 1.10.06_2009 GRC Compl Filing - Exhibit D 2" xfId="1659"/>
    <cellStyle name="_Power Cost Value Copy 11.30.05 gas 1.09.06 AURORA at 1.10.06_4 31 Regulatory Assets and Liabilities  7 06- Exhibit D" xfId="1660"/>
    <cellStyle name="_Power Cost Value Copy 11.30.05 gas 1.09.06 AURORA at 1.10.06_4 31 Regulatory Assets and Liabilities  7 06- Exhibit D 2" xfId="1661"/>
    <cellStyle name="_Power Cost Value Copy 11.30.05 gas 1.09.06 AURORA at 1.10.06_4 31 Regulatory Assets and Liabilities  7 06- Exhibit D_NIM Summary" xfId="1662"/>
    <cellStyle name="_Power Cost Value Copy 11.30.05 gas 1.09.06 AURORA at 1.10.06_4 31 Regulatory Assets and Liabilities  7 06- Exhibit D_NIM Summary 2" xfId="1663"/>
    <cellStyle name="_Power Cost Value Copy 11.30.05 gas 1.09.06 AURORA at 1.10.06_4 32 Regulatory Assets and Liabilities  7 06- Exhibit D" xfId="1664"/>
    <cellStyle name="_Power Cost Value Copy 11.30.05 gas 1.09.06 AURORA at 1.10.06_4 32 Regulatory Assets and Liabilities  7 06- Exhibit D 2" xfId="1665"/>
    <cellStyle name="_Power Cost Value Copy 11.30.05 gas 1.09.06 AURORA at 1.10.06_4 32 Regulatory Assets and Liabilities  7 06- Exhibit D_NIM Summary" xfId="1666"/>
    <cellStyle name="_Power Cost Value Copy 11.30.05 gas 1.09.06 AURORA at 1.10.06_4 32 Regulatory Assets and Liabilities  7 06- Exhibit D_NIM Summary 2" xfId="1667"/>
    <cellStyle name="_Power Cost Value Copy 11.30.05 gas 1.09.06 AURORA at 1.10.06_AURORA Total New" xfId="1668"/>
    <cellStyle name="_Power Cost Value Copy 11.30.05 gas 1.09.06 AURORA at 1.10.06_AURORA Total New 2" xfId="1669"/>
    <cellStyle name="_Power Cost Value Copy 11.30.05 gas 1.09.06 AURORA at 1.10.06_Book2" xfId="1670"/>
    <cellStyle name="_Power Cost Value Copy 11.30.05 gas 1.09.06 AURORA at 1.10.06_Book2 2" xfId="1671"/>
    <cellStyle name="_Power Cost Value Copy 11.30.05 gas 1.09.06 AURORA at 1.10.06_Book2_Adj Bench DR 3 for Initial Briefs (Electric)" xfId="1672"/>
    <cellStyle name="_Power Cost Value Copy 11.30.05 gas 1.09.06 AURORA at 1.10.06_Book2_Adj Bench DR 3 for Initial Briefs (Electric) 2" xfId="1673"/>
    <cellStyle name="_Power Cost Value Copy 11.30.05 gas 1.09.06 AURORA at 1.10.06_Book2_Electric Rev Req Model (2009 GRC) Rebuttal" xfId="1674"/>
    <cellStyle name="_Power Cost Value Copy 11.30.05 gas 1.09.06 AURORA at 1.10.06_Book2_Electric Rev Req Model (2009 GRC) Rebuttal REmoval of New  WH Solar AdjustMI" xfId="1675"/>
    <cellStyle name="_Power Cost Value Copy 11.30.05 gas 1.09.06 AURORA at 1.10.06_Book2_Electric Rev Req Model (2009 GRC) Rebuttal REmoval of New  WH Solar AdjustMI 2" xfId="1676"/>
    <cellStyle name="_Power Cost Value Copy 11.30.05 gas 1.09.06 AURORA at 1.10.06_Book2_Electric Rev Req Model (2009 GRC) Revised 01-18-2010" xfId="1677"/>
    <cellStyle name="_Power Cost Value Copy 11.30.05 gas 1.09.06 AURORA at 1.10.06_Book2_Electric Rev Req Model (2009 GRC) Revised 01-18-2010 2" xfId="1678"/>
    <cellStyle name="_Power Cost Value Copy 11.30.05 gas 1.09.06 AURORA at 1.10.06_Book2_Final Order Electric EXHIBIT A-1" xfId="1679"/>
    <cellStyle name="_Power Cost Value Copy 11.30.05 gas 1.09.06 AURORA at 1.10.06_Book4" xfId="1680"/>
    <cellStyle name="_Power Cost Value Copy 11.30.05 gas 1.09.06 AURORA at 1.10.06_Book4 2" xfId="1681"/>
    <cellStyle name="_Power Cost Value Copy 11.30.05 gas 1.09.06 AURORA at 1.10.06_Book9" xfId="1682"/>
    <cellStyle name="_Power Cost Value Copy 11.30.05 gas 1.09.06 AURORA at 1.10.06_Book9 2" xfId="1683"/>
    <cellStyle name="_Power Cost Value Copy 11.30.05 gas 1.09.06 AURORA at 1.10.06_Exhibit D fr R Gho 12-31-08" xfId="1684"/>
    <cellStyle name="_Power Cost Value Copy 11.30.05 gas 1.09.06 AURORA at 1.10.06_Exhibit D fr R Gho 12-31-08 2" xfId="1685"/>
    <cellStyle name="_Power Cost Value Copy 11.30.05 gas 1.09.06 AURORA at 1.10.06_Exhibit D fr R Gho 12-31-08 v2" xfId="1686"/>
    <cellStyle name="_Power Cost Value Copy 11.30.05 gas 1.09.06 AURORA at 1.10.06_Exhibit D fr R Gho 12-31-08 v2 2" xfId="1687"/>
    <cellStyle name="_Power Cost Value Copy 11.30.05 gas 1.09.06 AURORA at 1.10.06_Exhibit D fr R Gho 12-31-08 v2_NIM Summary" xfId="1688"/>
    <cellStyle name="_Power Cost Value Copy 11.30.05 gas 1.09.06 AURORA at 1.10.06_Exhibit D fr R Gho 12-31-08 v2_NIM Summary 2" xfId="1689"/>
    <cellStyle name="_Power Cost Value Copy 11.30.05 gas 1.09.06 AURORA at 1.10.06_Exhibit D fr R Gho 12-31-08_NIM Summary" xfId="1690"/>
    <cellStyle name="_Power Cost Value Copy 11.30.05 gas 1.09.06 AURORA at 1.10.06_Exhibit D fr R Gho 12-31-08_NIM Summary 2" xfId="1691"/>
    <cellStyle name="_Power Cost Value Copy 11.30.05 gas 1.09.06 AURORA at 1.10.06_Hopkins Ridge Prepaid Tran - Interest Earned RY 12ME Feb  '11" xfId="1692"/>
    <cellStyle name="_Power Cost Value Copy 11.30.05 gas 1.09.06 AURORA at 1.10.06_Hopkins Ridge Prepaid Tran - Interest Earned RY 12ME Feb  '11 2" xfId="1693"/>
    <cellStyle name="_Power Cost Value Copy 11.30.05 gas 1.09.06 AURORA at 1.10.06_Hopkins Ridge Prepaid Tran - Interest Earned RY 12ME Feb  '11_NIM Summary" xfId="1694"/>
    <cellStyle name="_Power Cost Value Copy 11.30.05 gas 1.09.06 AURORA at 1.10.06_Hopkins Ridge Prepaid Tran - Interest Earned RY 12ME Feb  '11_NIM Summary 2" xfId="1695"/>
    <cellStyle name="_Power Cost Value Copy 11.30.05 gas 1.09.06 AURORA at 1.10.06_Hopkins Ridge Prepaid Tran - Interest Earned RY 12ME Feb  '11_Transmission Workbook for May BOD" xfId="1696"/>
    <cellStyle name="_Power Cost Value Copy 11.30.05 gas 1.09.06 AURORA at 1.10.06_Hopkins Ridge Prepaid Tran - Interest Earned RY 12ME Feb  '11_Transmission Workbook for May BOD 2" xfId="1697"/>
    <cellStyle name="_Power Cost Value Copy 11.30.05 gas 1.09.06 AURORA at 1.10.06_NIM Summary" xfId="1698"/>
    <cellStyle name="_Power Cost Value Copy 11.30.05 gas 1.09.06 AURORA at 1.10.06_NIM Summary 09GRC" xfId="1699"/>
    <cellStyle name="_Power Cost Value Copy 11.30.05 gas 1.09.06 AURORA at 1.10.06_NIM Summary 09GRC 2" xfId="1700"/>
    <cellStyle name="_Power Cost Value Copy 11.30.05 gas 1.09.06 AURORA at 1.10.06_NIM Summary 2" xfId="1701"/>
    <cellStyle name="_Power Cost Value Copy 11.30.05 gas 1.09.06 AURORA at 1.10.06_NIM Summary 3" xfId="1702"/>
    <cellStyle name="_Power Cost Value Copy 11.30.05 gas 1.09.06 AURORA at 1.10.06_PCA 7 - Exhibit D update 11_30_08 (2)" xfId="1703"/>
    <cellStyle name="_Power Cost Value Copy 11.30.05 gas 1.09.06 AURORA at 1.10.06_PCA 7 - Exhibit D update 11_30_08 (2) 2" xfId="1704"/>
    <cellStyle name="_Power Cost Value Copy 11.30.05 gas 1.09.06 AURORA at 1.10.06_PCA 7 - Exhibit D update 11_30_08 (2) 2 2" xfId="1705"/>
    <cellStyle name="_Power Cost Value Copy 11.30.05 gas 1.09.06 AURORA at 1.10.06_PCA 7 - Exhibit D update 11_30_08 (2) 3" xfId="1706"/>
    <cellStyle name="_Power Cost Value Copy 11.30.05 gas 1.09.06 AURORA at 1.10.06_PCA 7 - Exhibit D update 11_30_08 (2)_NIM Summary" xfId="1707"/>
    <cellStyle name="_Power Cost Value Copy 11.30.05 gas 1.09.06 AURORA at 1.10.06_PCA 7 - Exhibit D update 11_30_08 (2)_NIM Summary 2" xfId="1708"/>
    <cellStyle name="_Power Cost Value Copy 11.30.05 gas 1.09.06 AURORA at 1.10.06_PCA 9 -  Exhibit D April 2010 (3)" xfId="1709"/>
    <cellStyle name="_Power Cost Value Copy 11.30.05 gas 1.09.06 AURORA at 1.10.06_PCA 9 -  Exhibit D April 2010 (3) 2" xfId="1710"/>
    <cellStyle name="_Power Cost Value Copy 11.30.05 gas 1.09.06 AURORA at 1.10.06_Power Costs - Comparison bx Rbtl-Staff-Jt-PC" xfId="1711"/>
    <cellStyle name="_Power Cost Value Copy 11.30.05 gas 1.09.06 AURORA at 1.10.06_Power Costs - Comparison bx Rbtl-Staff-Jt-PC 2" xfId="1712"/>
    <cellStyle name="_Power Cost Value Copy 11.30.05 gas 1.09.06 AURORA at 1.10.06_Power Costs - Comparison bx Rbtl-Staff-Jt-PC_Adj Bench DR 3 for Initial Briefs (Electric)" xfId="1713"/>
    <cellStyle name="_Power Cost Value Copy 11.30.05 gas 1.09.06 AURORA at 1.10.06_Power Costs - Comparison bx Rbtl-Staff-Jt-PC_Adj Bench DR 3 for Initial Briefs (Electric) 2" xfId="1714"/>
    <cellStyle name="_Power Cost Value Copy 11.30.05 gas 1.09.06 AURORA at 1.10.06_Power Costs - Comparison bx Rbtl-Staff-Jt-PC_Electric Rev Req Model (2009 GRC) Rebuttal" xfId="1715"/>
    <cellStyle name="_Power Cost Value Copy 11.30.05 gas 1.09.06 AURORA at 1.10.06_Power Costs - Comparison bx Rbtl-Staff-Jt-PC_Electric Rev Req Model (2009 GRC) Rebuttal REmoval of New  WH Solar AdjustMI" xfId="1716"/>
    <cellStyle name="_Power Cost Value Copy 11.30.05 gas 1.09.06 AURORA at 1.10.06_Power Costs - Comparison bx Rbtl-Staff-Jt-PC_Electric Rev Req Model (2009 GRC) Rebuttal REmoval of New  WH Solar AdjustMI 2" xfId="1717"/>
    <cellStyle name="_Power Cost Value Copy 11.30.05 gas 1.09.06 AURORA at 1.10.06_Power Costs - Comparison bx Rbtl-Staff-Jt-PC_Electric Rev Req Model (2009 GRC) Revised 01-18-2010" xfId="1718"/>
    <cellStyle name="_Power Cost Value Copy 11.30.05 gas 1.09.06 AURORA at 1.10.06_Power Costs - Comparison bx Rbtl-Staff-Jt-PC_Electric Rev Req Model (2009 GRC) Revised 01-18-2010 2" xfId="1719"/>
    <cellStyle name="_Power Cost Value Copy 11.30.05 gas 1.09.06 AURORA at 1.10.06_Power Costs - Comparison bx Rbtl-Staff-Jt-PC_Final Order Electric EXHIBIT A-1" xfId="1720"/>
    <cellStyle name="_Power Cost Value Copy 11.30.05 gas 1.09.06 AURORA at 1.10.06_Rebuttal Power Costs" xfId="1721"/>
    <cellStyle name="_Power Cost Value Copy 11.30.05 gas 1.09.06 AURORA at 1.10.06_Rebuttal Power Costs 2" xfId="1722"/>
    <cellStyle name="_Power Cost Value Copy 11.30.05 gas 1.09.06 AURORA at 1.10.06_Rebuttal Power Costs_Adj Bench DR 3 for Initial Briefs (Electric)" xfId="1723"/>
    <cellStyle name="_Power Cost Value Copy 11.30.05 gas 1.09.06 AURORA at 1.10.06_Rebuttal Power Costs_Adj Bench DR 3 for Initial Briefs (Electric) 2" xfId="1724"/>
    <cellStyle name="_Power Cost Value Copy 11.30.05 gas 1.09.06 AURORA at 1.10.06_Rebuttal Power Costs_Electric Rev Req Model (2009 GRC) Rebuttal" xfId="1725"/>
    <cellStyle name="_Power Cost Value Copy 11.30.05 gas 1.09.06 AURORA at 1.10.06_Rebuttal Power Costs_Electric Rev Req Model (2009 GRC) Rebuttal REmoval of New  WH Solar AdjustMI" xfId="1726"/>
    <cellStyle name="_Power Cost Value Copy 11.30.05 gas 1.09.06 AURORA at 1.10.06_Rebuttal Power Costs_Electric Rev Req Model (2009 GRC) Rebuttal REmoval of New  WH Solar AdjustMI 2" xfId="1727"/>
    <cellStyle name="_Power Cost Value Copy 11.30.05 gas 1.09.06 AURORA at 1.10.06_Rebuttal Power Costs_Electric Rev Req Model (2009 GRC) Revised 01-18-2010" xfId="1728"/>
    <cellStyle name="_Power Cost Value Copy 11.30.05 gas 1.09.06 AURORA at 1.10.06_Rebuttal Power Costs_Electric Rev Req Model (2009 GRC) Revised 01-18-2010 2" xfId="1729"/>
    <cellStyle name="_Power Cost Value Copy 11.30.05 gas 1.09.06 AURORA at 1.10.06_Rebuttal Power Costs_Final Order Electric EXHIBIT A-1" xfId="1730"/>
    <cellStyle name="_Power Cost Value Copy 11.30.05 gas 1.09.06 AURORA at 1.10.06_Transmission Workbook for May BOD" xfId="1731"/>
    <cellStyle name="_Power Cost Value Copy 11.30.05 gas 1.09.06 AURORA at 1.10.06_Transmission Workbook for May BOD 2" xfId="1732"/>
    <cellStyle name="_Power Cost Value Copy 11.30.05 gas 1.09.06 AURORA at 1.10.06_Wind Integration 10GRC" xfId="1733"/>
    <cellStyle name="_Power Cost Value Copy 11.30.05 gas 1.09.06 AURORA at 1.10.06_Wind Integration 10GRC 2" xfId="1734"/>
    <cellStyle name="_Price Output" xfId="1735"/>
    <cellStyle name="_Price Output_NIM Summary" xfId="1736"/>
    <cellStyle name="_Price Output_NIM Summary 2" xfId="1737"/>
    <cellStyle name="_Price Output_Wind Integration 10GRC" xfId="1738"/>
    <cellStyle name="_Price Output_Wind Integration 10GRC 2" xfId="1739"/>
    <cellStyle name="_Prices" xfId="1740"/>
    <cellStyle name="_Prices_NIM Summary" xfId="1741"/>
    <cellStyle name="_Prices_NIM Summary 2" xfId="1742"/>
    <cellStyle name="_Prices_Wind Integration 10GRC" xfId="1743"/>
    <cellStyle name="_Prices_Wind Integration 10GRC 2" xfId="1744"/>
    <cellStyle name="_Pro Forma Rev 07 GRC" xfId="1745"/>
    <cellStyle name="_x0013__Rebuttal Power Costs" xfId="1746"/>
    <cellStyle name="_x0013__Rebuttal Power Costs 2" xfId="1747"/>
    <cellStyle name="_x0013__Rebuttal Power Costs_Adj Bench DR 3 for Initial Briefs (Electric)" xfId="1748"/>
    <cellStyle name="_x0013__Rebuttal Power Costs_Adj Bench DR 3 for Initial Briefs (Electric) 2" xfId="1749"/>
    <cellStyle name="_x0013__Rebuttal Power Costs_Electric Rev Req Model (2009 GRC) Rebuttal" xfId="1750"/>
    <cellStyle name="_x0013__Rebuttal Power Costs_Electric Rev Req Model (2009 GRC) Rebuttal REmoval of New  WH Solar AdjustMI" xfId="1751"/>
    <cellStyle name="_x0013__Rebuttal Power Costs_Electric Rev Req Model (2009 GRC) Rebuttal REmoval of New  WH Solar AdjustMI 2" xfId="1752"/>
    <cellStyle name="_x0013__Rebuttal Power Costs_Electric Rev Req Model (2009 GRC) Revised 01-18-2010" xfId="1753"/>
    <cellStyle name="_x0013__Rebuttal Power Costs_Electric Rev Req Model (2009 GRC) Revised 01-18-2010 2" xfId="1754"/>
    <cellStyle name="_x0013__Rebuttal Power Costs_Final Order Electric EXHIBIT A-1" xfId="1755"/>
    <cellStyle name="_recommendation" xfId="1756"/>
    <cellStyle name="_recommendation_DEM-WP(C) Wind Integration Summary 2010GRC" xfId="1757"/>
    <cellStyle name="_recommendation_DEM-WP(C) Wind Integration Summary 2010GRC 2" xfId="1758"/>
    <cellStyle name="_recommendation_NIM Summary" xfId="1759"/>
    <cellStyle name="_recommendation_NIM Summary 2" xfId="1760"/>
    <cellStyle name="_Recon to Darrin's 5.11.05 proforma" xfId="1761"/>
    <cellStyle name="_Recon to Darrin's 5.11.05 proforma 2" xfId="1762"/>
    <cellStyle name="_Recon to Darrin's 5.11.05 proforma 2 2" xfId="1763"/>
    <cellStyle name="_Recon to Darrin's 5.11.05 proforma 3" xfId="1764"/>
    <cellStyle name="_Recon to Darrin's 5.11.05 proforma 4" xfId="1765"/>
    <cellStyle name="_Recon to Darrin's 5.11.05 proforma_(C) WHE Proforma with ITC cash grant 10 Yr Amort_for deferral_102809" xfId="1766"/>
    <cellStyle name="_Recon to Darrin's 5.11.05 proforma_(C) WHE Proforma with ITC cash grant 10 Yr Amort_for deferral_102809 2" xfId="1767"/>
    <cellStyle name="_Recon to Darrin's 5.11.05 proforma_(C) WHE Proforma with ITC cash grant 10 Yr Amort_for deferral_102809_16.07E Wild Horse Wind Expansionwrkingfile" xfId="1768"/>
    <cellStyle name="_Recon to Darrin's 5.11.05 proforma_(C) WHE Proforma with ITC cash grant 10 Yr Amort_for deferral_102809_16.07E Wild Horse Wind Expansionwrkingfile 2" xfId="1769"/>
    <cellStyle name="_Recon to Darrin's 5.11.05 proforma_(C) WHE Proforma with ITC cash grant 10 Yr Amort_for deferral_102809_16.07E Wild Horse Wind Expansionwrkingfile SF" xfId="1770"/>
    <cellStyle name="_Recon to Darrin's 5.11.05 proforma_(C) WHE Proforma with ITC cash grant 10 Yr Amort_for deferral_102809_16.07E Wild Horse Wind Expansionwrkingfile SF 2" xfId="1771"/>
    <cellStyle name="_Recon to Darrin's 5.11.05 proforma_(C) WHE Proforma with ITC cash grant 10 Yr Amort_for deferral_102809_16.37E Wild Horse Expansion DeferralRevwrkingfile SF" xfId="1772"/>
    <cellStyle name="_Recon to Darrin's 5.11.05 proforma_(C) WHE Proforma with ITC cash grant 10 Yr Amort_for deferral_102809_16.37E Wild Horse Expansion DeferralRevwrkingfile SF 2" xfId="1773"/>
    <cellStyle name="_Recon to Darrin's 5.11.05 proforma_(C) WHE Proforma with ITC cash grant 10 Yr Amort_for rebuttal_120709" xfId="1774"/>
    <cellStyle name="_Recon to Darrin's 5.11.05 proforma_(C) WHE Proforma with ITC cash grant 10 Yr Amort_for rebuttal_120709 2" xfId="1775"/>
    <cellStyle name="_Recon to Darrin's 5.11.05 proforma_04.07E Wild Horse Wind Expansion" xfId="1776"/>
    <cellStyle name="_Recon to Darrin's 5.11.05 proforma_04.07E Wild Horse Wind Expansion 2" xfId="1777"/>
    <cellStyle name="_Recon to Darrin's 5.11.05 proforma_04.07E Wild Horse Wind Expansion_16.07E Wild Horse Wind Expansionwrkingfile" xfId="1778"/>
    <cellStyle name="_Recon to Darrin's 5.11.05 proforma_04.07E Wild Horse Wind Expansion_16.07E Wild Horse Wind Expansionwrkingfile 2" xfId="1779"/>
    <cellStyle name="_Recon to Darrin's 5.11.05 proforma_04.07E Wild Horse Wind Expansion_16.07E Wild Horse Wind Expansionwrkingfile SF" xfId="1780"/>
    <cellStyle name="_Recon to Darrin's 5.11.05 proforma_04.07E Wild Horse Wind Expansion_16.07E Wild Horse Wind Expansionwrkingfile SF 2" xfId="1781"/>
    <cellStyle name="_Recon to Darrin's 5.11.05 proforma_04.07E Wild Horse Wind Expansion_16.37E Wild Horse Expansion DeferralRevwrkingfile SF" xfId="1782"/>
    <cellStyle name="_Recon to Darrin's 5.11.05 proforma_04.07E Wild Horse Wind Expansion_16.37E Wild Horse Expansion DeferralRevwrkingfile SF 2" xfId="1783"/>
    <cellStyle name="_Recon to Darrin's 5.11.05 proforma_16.07E Wild Horse Wind Expansionwrkingfile" xfId="1784"/>
    <cellStyle name="_Recon to Darrin's 5.11.05 proforma_16.07E Wild Horse Wind Expansionwrkingfile 2" xfId="1785"/>
    <cellStyle name="_Recon to Darrin's 5.11.05 proforma_16.07E Wild Horse Wind Expansionwrkingfile SF" xfId="1786"/>
    <cellStyle name="_Recon to Darrin's 5.11.05 proforma_16.07E Wild Horse Wind Expansionwrkingfile SF 2" xfId="1787"/>
    <cellStyle name="_Recon to Darrin's 5.11.05 proforma_16.37E Wild Horse Expansion DeferralRevwrkingfile SF" xfId="1788"/>
    <cellStyle name="_Recon to Darrin's 5.11.05 proforma_16.37E Wild Horse Expansion DeferralRevwrkingfile SF 2" xfId="1789"/>
    <cellStyle name="_Recon to Darrin's 5.11.05 proforma_2009 GRC Compl Filing - Exhibit D" xfId="1790"/>
    <cellStyle name="_Recon to Darrin's 5.11.05 proforma_2009 GRC Compl Filing - Exhibit D 2" xfId="1791"/>
    <cellStyle name="_Recon to Darrin's 5.11.05 proforma_4 31 Regulatory Assets and Liabilities  7 06- Exhibit D" xfId="1792"/>
    <cellStyle name="_Recon to Darrin's 5.11.05 proforma_4 31 Regulatory Assets and Liabilities  7 06- Exhibit D 2" xfId="1793"/>
    <cellStyle name="_Recon to Darrin's 5.11.05 proforma_4 31 Regulatory Assets and Liabilities  7 06- Exhibit D_NIM Summary" xfId="1794"/>
    <cellStyle name="_Recon to Darrin's 5.11.05 proforma_4 31 Regulatory Assets and Liabilities  7 06- Exhibit D_NIM Summary 2" xfId="1795"/>
    <cellStyle name="_Recon to Darrin's 5.11.05 proforma_4 32 Regulatory Assets and Liabilities  7 06- Exhibit D" xfId="1796"/>
    <cellStyle name="_Recon to Darrin's 5.11.05 proforma_4 32 Regulatory Assets and Liabilities  7 06- Exhibit D 2" xfId="1797"/>
    <cellStyle name="_Recon to Darrin's 5.11.05 proforma_4 32 Regulatory Assets and Liabilities  7 06- Exhibit D_NIM Summary" xfId="1798"/>
    <cellStyle name="_Recon to Darrin's 5.11.05 proforma_4 32 Regulatory Assets and Liabilities  7 06- Exhibit D_NIM Summary 2" xfId="1799"/>
    <cellStyle name="_Recon to Darrin's 5.11.05 proforma_AURORA Total New" xfId="1800"/>
    <cellStyle name="_Recon to Darrin's 5.11.05 proforma_AURORA Total New 2" xfId="1801"/>
    <cellStyle name="_Recon to Darrin's 5.11.05 proforma_Book2" xfId="1802"/>
    <cellStyle name="_Recon to Darrin's 5.11.05 proforma_Book2 2" xfId="1803"/>
    <cellStyle name="_Recon to Darrin's 5.11.05 proforma_Book2_Adj Bench DR 3 for Initial Briefs (Electric)" xfId="1804"/>
    <cellStyle name="_Recon to Darrin's 5.11.05 proforma_Book2_Adj Bench DR 3 for Initial Briefs (Electric) 2" xfId="1805"/>
    <cellStyle name="_Recon to Darrin's 5.11.05 proforma_Book2_Electric Rev Req Model (2009 GRC) Rebuttal" xfId="1806"/>
    <cellStyle name="_Recon to Darrin's 5.11.05 proforma_Book2_Electric Rev Req Model (2009 GRC) Rebuttal REmoval of New  WH Solar AdjustMI" xfId="1807"/>
    <cellStyle name="_Recon to Darrin's 5.11.05 proforma_Book2_Electric Rev Req Model (2009 GRC) Rebuttal REmoval of New  WH Solar AdjustMI 2" xfId="1808"/>
    <cellStyle name="_Recon to Darrin's 5.11.05 proforma_Book2_Electric Rev Req Model (2009 GRC) Revised 01-18-2010" xfId="1809"/>
    <cellStyle name="_Recon to Darrin's 5.11.05 proforma_Book2_Electric Rev Req Model (2009 GRC) Revised 01-18-2010 2" xfId="1810"/>
    <cellStyle name="_Recon to Darrin's 5.11.05 proforma_Book2_Final Order Electric EXHIBIT A-1" xfId="1811"/>
    <cellStyle name="_Recon to Darrin's 5.11.05 proforma_Book4" xfId="1812"/>
    <cellStyle name="_Recon to Darrin's 5.11.05 proforma_Book4 2" xfId="1813"/>
    <cellStyle name="_Recon to Darrin's 5.11.05 proforma_Book9" xfId="1814"/>
    <cellStyle name="_Recon to Darrin's 5.11.05 proforma_Book9 2" xfId="1815"/>
    <cellStyle name="_Recon to Darrin's 5.11.05 proforma_Exhibit D fr R Gho 12-31-08" xfId="1816"/>
    <cellStyle name="_Recon to Darrin's 5.11.05 proforma_Exhibit D fr R Gho 12-31-08 2" xfId="1817"/>
    <cellStyle name="_Recon to Darrin's 5.11.05 proforma_Exhibit D fr R Gho 12-31-08 v2" xfId="1818"/>
    <cellStyle name="_Recon to Darrin's 5.11.05 proforma_Exhibit D fr R Gho 12-31-08 v2 2" xfId="1819"/>
    <cellStyle name="_Recon to Darrin's 5.11.05 proforma_Exhibit D fr R Gho 12-31-08 v2_NIM Summary" xfId="1820"/>
    <cellStyle name="_Recon to Darrin's 5.11.05 proforma_Exhibit D fr R Gho 12-31-08 v2_NIM Summary 2" xfId="1821"/>
    <cellStyle name="_Recon to Darrin's 5.11.05 proforma_Exhibit D fr R Gho 12-31-08_NIM Summary" xfId="1822"/>
    <cellStyle name="_Recon to Darrin's 5.11.05 proforma_Exhibit D fr R Gho 12-31-08_NIM Summary 2" xfId="1823"/>
    <cellStyle name="_Recon to Darrin's 5.11.05 proforma_Hopkins Ridge Prepaid Tran - Interest Earned RY 12ME Feb  '11" xfId="1824"/>
    <cellStyle name="_Recon to Darrin's 5.11.05 proforma_Hopkins Ridge Prepaid Tran - Interest Earned RY 12ME Feb  '11 2" xfId="1825"/>
    <cellStyle name="_Recon to Darrin's 5.11.05 proforma_Hopkins Ridge Prepaid Tran - Interest Earned RY 12ME Feb  '11_NIM Summary" xfId="1826"/>
    <cellStyle name="_Recon to Darrin's 5.11.05 proforma_Hopkins Ridge Prepaid Tran - Interest Earned RY 12ME Feb  '11_NIM Summary 2" xfId="1827"/>
    <cellStyle name="_Recon to Darrin's 5.11.05 proforma_Hopkins Ridge Prepaid Tran - Interest Earned RY 12ME Feb  '11_Transmission Workbook for May BOD" xfId="1828"/>
    <cellStyle name="_Recon to Darrin's 5.11.05 proforma_Hopkins Ridge Prepaid Tran - Interest Earned RY 12ME Feb  '11_Transmission Workbook for May BOD 2" xfId="1829"/>
    <cellStyle name="_Recon to Darrin's 5.11.05 proforma_NIM Summary" xfId="1830"/>
    <cellStyle name="_Recon to Darrin's 5.11.05 proforma_NIM Summary 09GRC" xfId="1831"/>
    <cellStyle name="_Recon to Darrin's 5.11.05 proforma_NIM Summary 09GRC 2" xfId="1832"/>
    <cellStyle name="_Recon to Darrin's 5.11.05 proforma_NIM Summary 2" xfId="1833"/>
    <cellStyle name="_Recon to Darrin's 5.11.05 proforma_NIM Summary 3" xfId="1834"/>
    <cellStyle name="_Recon to Darrin's 5.11.05 proforma_PCA 7 - Exhibit D update 11_30_08 (2)" xfId="1835"/>
    <cellStyle name="_Recon to Darrin's 5.11.05 proforma_PCA 7 - Exhibit D update 11_30_08 (2) 2" xfId="1836"/>
    <cellStyle name="_Recon to Darrin's 5.11.05 proforma_PCA 7 - Exhibit D update 11_30_08 (2) 2 2" xfId="1837"/>
    <cellStyle name="_Recon to Darrin's 5.11.05 proforma_PCA 7 - Exhibit D update 11_30_08 (2) 3" xfId="1838"/>
    <cellStyle name="_Recon to Darrin's 5.11.05 proforma_PCA 7 - Exhibit D update 11_30_08 (2)_NIM Summary" xfId="1839"/>
    <cellStyle name="_Recon to Darrin's 5.11.05 proforma_PCA 7 - Exhibit D update 11_30_08 (2)_NIM Summary 2" xfId="1840"/>
    <cellStyle name="_Recon to Darrin's 5.11.05 proforma_PCA 9 -  Exhibit D April 2010 (3)" xfId="1841"/>
    <cellStyle name="_Recon to Darrin's 5.11.05 proforma_PCA 9 -  Exhibit D April 2010 (3) 2" xfId="1842"/>
    <cellStyle name="_Recon to Darrin's 5.11.05 proforma_Power Costs - Comparison bx Rbtl-Staff-Jt-PC" xfId="1843"/>
    <cellStyle name="_Recon to Darrin's 5.11.05 proforma_Power Costs - Comparison bx Rbtl-Staff-Jt-PC 2" xfId="1844"/>
    <cellStyle name="_Recon to Darrin's 5.11.05 proforma_Power Costs - Comparison bx Rbtl-Staff-Jt-PC_Adj Bench DR 3 for Initial Briefs (Electric)" xfId="1845"/>
    <cellStyle name="_Recon to Darrin's 5.11.05 proforma_Power Costs - Comparison bx Rbtl-Staff-Jt-PC_Adj Bench DR 3 for Initial Briefs (Electric) 2" xfId="1846"/>
    <cellStyle name="_Recon to Darrin's 5.11.05 proforma_Power Costs - Comparison bx Rbtl-Staff-Jt-PC_Electric Rev Req Model (2009 GRC) Rebuttal" xfId="1847"/>
    <cellStyle name="_Recon to Darrin's 5.11.05 proforma_Power Costs - Comparison bx Rbtl-Staff-Jt-PC_Electric Rev Req Model (2009 GRC) Rebuttal REmoval of New  WH Solar AdjustMI" xfId="1848"/>
    <cellStyle name="_Recon to Darrin's 5.11.05 proforma_Power Costs - Comparison bx Rbtl-Staff-Jt-PC_Electric Rev Req Model (2009 GRC) Rebuttal REmoval of New  WH Solar AdjustMI 2" xfId="1849"/>
    <cellStyle name="_Recon to Darrin's 5.11.05 proforma_Power Costs - Comparison bx Rbtl-Staff-Jt-PC_Electric Rev Req Model (2009 GRC) Revised 01-18-2010" xfId="1850"/>
    <cellStyle name="_Recon to Darrin's 5.11.05 proforma_Power Costs - Comparison bx Rbtl-Staff-Jt-PC_Electric Rev Req Model (2009 GRC) Revised 01-18-2010 2" xfId="1851"/>
    <cellStyle name="_Recon to Darrin's 5.11.05 proforma_Power Costs - Comparison bx Rbtl-Staff-Jt-PC_Final Order Electric EXHIBIT A-1" xfId="1852"/>
    <cellStyle name="_Recon to Darrin's 5.11.05 proforma_Rebuttal Power Costs" xfId="1853"/>
    <cellStyle name="_Recon to Darrin's 5.11.05 proforma_Rebuttal Power Costs 2" xfId="1854"/>
    <cellStyle name="_Recon to Darrin's 5.11.05 proforma_Rebuttal Power Costs_Adj Bench DR 3 for Initial Briefs (Electric)" xfId="1855"/>
    <cellStyle name="_Recon to Darrin's 5.11.05 proforma_Rebuttal Power Costs_Adj Bench DR 3 for Initial Briefs (Electric) 2" xfId="1856"/>
    <cellStyle name="_Recon to Darrin's 5.11.05 proforma_Rebuttal Power Costs_Electric Rev Req Model (2009 GRC) Rebuttal" xfId="1857"/>
    <cellStyle name="_Recon to Darrin's 5.11.05 proforma_Rebuttal Power Costs_Electric Rev Req Model (2009 GRC) Rebuttal REmoval of New  WH Solar AdjustMI" xfId="1858"/>
    <cellStyle name="_Recon to Darrin's 5.11.05 proforma_Rebuttal Power Costs_Electric Rev Req Model (2009 GRC) Rebuttal REmoval of New  WH Solar AdjustMI 2" xfId="1859"/>
    <cellStyle name="_Recon to Darrin's 5.11.05 proforma_Rebuttal Power Costs_Electric Rev Req Model (2009 GRC) Revised 01-18-2010" xfId="1860"/>
    <cellStyle name="_Recon to Darrin's 5.11.05 proforma_Rebuttal Power Costs_Electric Rev Req Model (2009 GRC) Revised 01-18-2010 2" xfId="1861"/>
    <cellStyle name="_Recon to Darrin's 5.11.05 proforma_Rebuttal Power Costs_Final Order Electric EXHIBIT A-1" xfId="1862"/>
    <cellStyle name="_Recon to Darrin's 5.11.05 proforma_Transmission Workbook for May BOD" xfId="1863"/>
    <cellStyle name="_Recon to Darrin's 5.11.05 proforma_Transmission Workbook for May BOD 2" xfId="1864"/>
    <cellStyle name="_Recon to Darrin's 5.11.05 proforma_Wind Integration 10GRC" xfId="1865"/>
    <cellStyle name="_Recon to Darrin's 5.11.05 proforma_Wind Integration 10GRC 2" xfId="1866"/>
    <cellStyle name="_Revenue" xfId="1867"/>
    <cellStyle name="_Revenue_Data" xfId="1868"/>
    <cellStyle name="_Revenue_Data_1" xfId="1869"/>
    <cellStyle name="_Revenue_Data_Pro Forma Rev 09 GRC" xfId="1870"/>
    <cellStyle name="_Revenue_Data_Pro Forma Rev 2010 GRC" xfId="1871"/>
    <cellStyle name="_Revenue_Data_Pro Forma Rev 2010 GRC_Preliminary" xfId="1872"/>
    <cellStyle name="_Revenue_Data_Revenue (Feb 09 - Jan 10)" xfId="1873"/>
    <cellStyle name="_Revenue_Data_Revenue (Jan 09 - Dec 09)" xfId="1874"/>
    <cellStyle name="_Revenue_Data_Revenue (Mar 09 - Feb 10)" xfId="1875"/>
    <cellStyle name="_Revenue_Data_Volume Exhibit (Jan09 - Dec09)" xfId="1876"/>
    <cellStyle name="_Revenue_Mins" xfId="1877"/>
    <cellStyle name="_Revenue_Pro Forma Rev 07 GRC" xfId="1878"/>
    <cellStyle name="_Revenue_Pro Forma Rev 08 GRC" xfId="1879"/>
    <cellStyle name="_Revenue_Pro Forma Rev 09 GRC" xfId="1880"/>
    <cellStyle name="_Revenue_Pro Forma Rev 2010 GRC" xfId="1881"/>
    <cellStyle name="_Revenue_Pro Forma Rev 2010 GRC_Preliminary" xfId="1882"/>
    <cellStyle name="_Revenue_Revenue (Feb 09 - Jan 10)" xfId="1883"/>
    <cellStyle name="_Revenue_Revenue (Jan 09 - Dec 09)" xfId="1884"/>
    <cellStyle name="_Revenue_Revenue (Mar 09 - Feb 10)" xfId="1885"/>
    <cellStyle name="_Revenue_Sheet2" xfId="1886"/>
    <cellStyle name="_Revenue_Therms Data" xfId="1887"/>
    <cellStyle name="_Revenue_Therms Data Rerun" xfId="1888"/>
    <cellStyle name="_Revenue_Volume Exhibit (Jan09 - Dec09)" xfId="1889"/>
    <cellStyle name="_Sumas Proforma - 11-09-07" xfId="1890"/>
    <cellStyle name="_Sumas Property Taxes v1" xfId="1891"/>
    <cellStyle name="_Tenaska Comparison" xfId="1892"/>
    <cellStyle name="_Tenaska Comparison 2" xfId="1893"/>
    <cellStyle name="_Tenaska Comparison 2 2" xfId="1894"/>
    <cellStyle name="_Tenaska Comparison 3" xfId="1895"/>
    <cellStyle name="_Tenaska Comparison 4" xfId="1896"/>
    <cellStyle name="_Tenaska Comparison_(C) WHE Proforma with ITC cash grant 10 Yr Amort_for deferral_102809" xfId="1897"/>
    <cellStyle name="_Tenaska Comparison_(C) WHE Proforma with ITC cash grant 10 Yr Amort_for deferral_102809 2" xfId="1898"/>
    <cellStyle name="_Tenaska Comparison_(C) WHE Proforma with ITC cash grant 10 Yr Amort_for deferral_102809_16.07E Wild Horse Wind Expansionwrkingfile" xfId="1899"/>
    <cellStyle name="_Tenaska Comparison_(C) WHE Proforma with ITC cash grant 10 Yr Amort_for deferral_102809_16.07E Wild Horse Wind Expansionwrkingfile 2" xfId="1900"/>
    <cellStyle name="_Tenaska Comparison_(C) WHE Proforma with ITC cash grant 10 Yr Amort_for deferral_102809_16.07E Wild Horse Wind Expansionwrkingfile SF" xfId="1901"/>
    <cellStyle name="_Tenaska Comparison_(C) WHE Proforma with ITC cash grant 10 Yr Amort_for deferral_102809_16.07E Wild Horse Wind Expansionwrkingfile SF 2" xfId="1902"/>
    <cellStyle name="_Tenaska Comparison_(C) WHE Proforma with ITC cash grant 10 Yr Amort_for deferral_102809_16.37E Wild Horse Expansion DeferralRevwrkingfile SF" xfId="1903"/>
    <cellStyle name="_Tenaska Comparison_(C) WHE Proforma with ITC cash grant 10 Yr Amort_for deferral_102809_16.37E Wild Horse Expansion DeferralRevwrkingfile SF 2" xfId="1904"/>
    <cellStyle name="_Tenaska Comparison_(C) WHE Proforma with ITC cash grant 10 Yr Amort_for rebuttal_120709" xfId="1905"/>
    <cellStyle name="_Tenaska Comparison_(C) WHE Proforma with ITC cash grant 10 Yr Amort_for rebuttal_120709 2" xfId="1906"/>
    <cellStyle name="_Tenaska Comparison_04.07E Wild Horse Wind Expansion" xfId="1907"/>
    <cellStyle name="_Tenaska Comparison_04.07E Wild Horse Wind Expansion 2" xfId="1908"/>
    <cellStyle name="_Tenaska Comparison_04.07E Wild Horse Wind Expansion_16.07E Wild Horse Wind Expansionwrkingfile" xfId="1909"/>
    <cellStyle name="_Tenaska Comparison_04.07E Wild Horse Wind Expansion_16.07E Wild Horse Wind Expansionwrkingfile 2" xfId="1910"/>
    <cellStyle name="_Tenaska Comparison_04.07E Wild Horse Wind Expansion_16.07E Wild Horse Wind Expansionwrkingfile SF" xfId="1911"/>
    <cellStyle name="_Tenaska Comparison_04.07E Wild Horse Wind Expansion_16.07E Wild Horse Wind Expansionwrkingfile SF 2" xfId="1912"/>
    <cellStyle name="_Tenaska Comparison_04.07E Wild Horse Wind Expansion_16.37E Wild Horse Expansion DeferralRevwrkingfile SF" xfId="1913"/>
    <cellStyle name="_Tenaska Comparison_04.07E Wild Horse Wind Expansion_16.37E Wild Horse Expansion DeferralRevwrkingfile SF 2" xfId="1914"/>
    <cellStyle name="_Tenaska Comparison_16.07E Wild Horse Wind Expansionwrkingfile" xfId="1915"/>
    <cellStyle name="_Tenaska Comparison_16.07E Wild Horse Wind Expansionwrkingfile 2" xfId="1916"/>
    <cellStyle name="_Tenaska Comparison_16.07E Wild Horse Wind Expansionwrkingfile SF" xfId="1917"/>
    <cellStyle name="_Tenaska Comparison_16.07E Wild Horse Wind Expansionwrkingfile SF 2" xfId="1918"/>
    <cellStyle name="_Tenaska Comparison_16.37E Wild Horse Expansion DeferralRevwrkingfile SF" xfId="1919"/>
    <cellStyle name="_Tenaska Comparison_16.37E Wild Horse Expansion DeferralRevwrkingfile SF 2" xfId="1920"/>
    <cellStyle name="_Tenaska Comparison_2009 GRC Compl Filing - Exhibit D" xfId="1921"/>
    <cellStyle name="_Tenaska Comparison_2009 GRC Compl Filing - Exhibit D 2" xfId="1922"/>
    <cellStyle name="_Tenaska Comparison_4 31 Regulatory Assets and Liabilities  7 06- Exhibit D" xfId="1923"/>
    <cellStyle name="_Tenaska Comparison_4 31 Regulatory Assets and Liabilities  7 06- Exhibit D 2" xfId="1924"/>
    <cellStyle name="_Tenaska Comparison_4 31 Regulatory Assets and Liabilities  7 06- Exhibit D_NIM Summary" xfId="1925"/>
    <cellStyle name="_Tenaska Comparison_4 31 Regulatory Assets and Liabilities  7 06- Exhibit D_NIM Summary 2" xfId="1926"/>
    <cellStyle name="_Tenaska Comparison_4 32 Regulatory Assets and Liabilities  7 06- Exhibit D" xfId="1927"/>
    <cellStyle name="_Tenaska Comparison_4 32 Regulatory Assets and Liabilities  7 06- Exhibit D 2" xfId="1928"/>
    <cellStyle name="_Tenaska Comparison_4 32 Regulatory Assets and Liabilities  7 06- Exhibit D_NIM Summary" xfId="1929"/>
    <cellStyle name="_Tenaska Comparison_4 32 Regulatory Assets and Liabilities  7 06- Exhibit D_NIM Summary 2" xfId="1930"/>
    <cellStyle name="_Tenaska Comparison_AURORA Total New" xfId="1931"/>
    <cellStyle name="_Tenaska Comparison_AURORA Total New 2" xfId="1932"/>
    <cellStyle name="_Tenaska Comparison_Book2" xfId="1933"/>
    <cellStyle name="_Tenaska Comparison_Book2 2" xfId="1934"/>
    <cellStyle name="_Tenaska Comparison_Book2_Adj Bench DR 3 for Initial Briefs (Electric)" xfId="1935"/>
    <cellStyle name="_Tenaska Comparison_Book2_Adj Bench DR 3 for Initial Briefs (Electric) 2" xfId="1936"/>
    <cellStyle name="_Tenaska Comparison_Book2_Electric Rev Req Model (2009 GRC) Rebuttal" xfId="1937"/>
    <cellStyle name="_Tenaska Comparison_Book2_Electric Rev Req Model (2009 GRC) Rebuttal REmoval of New  WH Solar AdjustMI" xfId="1938"/>
    <cellStyle name="_Tenaska Comparison_Book2_Electric Rev Req Model (2009 GRC) Rebuttal REmoval of New  WH Solar AdjustMI 2" xfId="1939"/>
    <cellStyle name="_Tenaska Comparison_Book2_Electric Rev Req Model (2009 GRC) Revised 01-18-2010" xfId="1940"/>
    <cellStyle name="_Tenaska Comparison_Book2_Electric Rev Req Model (2009 GRC) Revised 01-18-2010 2" xfId="1941"/>
    <cellStyle name="_Tenaska Comparison_Book2_Final Order Electric EXHIBIT A-1" xfId="1942"/>
    <cellStyle name="_Tenaska Comparison_Book4" xfId="1943"/>
    <cellStyle name="_Tenaska Comparison_Book4 2" xfId="1944"/>
    <cellStyle name="_Tenaska Comparison_Book9" xfId="1945"/>
    <cellStyle name="_Tenaska Comparison_Book9 2" xfId="1946"/>
    <cellStyle name="_Tenaska Comparison_NIM Summary" xfId="1947"/>
    <cellStyle name="_Tenaska Comparison_NIM Summary 09GRC" xfId="1948"/>
    <cellStyle name="_Tenaska Comparison_NIM Summary 09GRC 2" xfId="1949"/>
    <cellStyle name="_Tenaska Comparison_NIM Summary 2" xfId="1950"/>
    <cellStyle name="_Tenaska Comparison_NIM Summary 3" xfId="1951"/>
    <cellStyle name="_Tenaska Comparison_PCA 9 -  Exhibit D April 2010 (3)" xfId="1952"/>
    <cellStyle name="_Tenaska Comparison_PCA 9 -  Exhibit D April 2010 (3) 2" xfId="1953"/>
    <cellStyle name="_Tenaska Comparison_Power Costs - Comparison bx Rbtl-Staff-Jt-PC" xfId="1954"/>
    <cellStyle name="_Tenaska Comparison_Power Costs - Comparison bx Rbtl-Staff-Jt-PC 2" xfId="1955"/>
    <cellStyle name="_Tenaska Comparison_Power Costs - Comparison bx Rbtl-Staff-Jt-PC_Adj Bench DR 3 for Initial Briefs (Electric)" xfId="1956"/>
    <cellStyle name="_Tenaska Comparison_Power Costs - Comparison bx Rbtl-Staff-Jt-PC_Adj Bench DR 3 for Initial Briefs (Electric) 2" xfId="1957"/>
    <cellStyle name="_Tenaska Comparison_Power Costs - Comparison bx Rbtl-Staff-Jt-PC_Electric Rev Req Model (2009 GRC) Rebuttal" xfId="1958"/>
    <cellStyle name="_Tenaska Comparison_Power Costs - Comparison bx Rbtl-Staff-Jt-PC_Electric Rev Req Model (2009 GRC) Rebuttal REmoval of New  WH Solar AdjustMI" xfId="1959"/>
    <cellStyle name="_Tenaska Comparison_Power Costs - Comparison bx Rbtl-Staff-Jt-PC_Electric Rev Req Model (2009 GRC) Rebuttal REmoval of New  WH Solar AdjustMI 2" xfId="1960"/>
    <cellStyle name="_Tenaska Comparison_Power Costs - Comparison bx Rbtl-Staff-Jt-PC_Electric Rev Req Model (2009 GRC) Revised 01-18-2010" xfId="1961"/>
    <cellStyle name="_Tenaska Comparison_Power Costs - Comparison bx Rbtl-Staff-Jt-PC_Electric Rev Req Model (2009 GRC) Revised 01-18-2010 2" xfId="1962"/>
    <cellStyle name="_Tenaska Comparison_Power Costs - Comparison bx Rbtl-Staff-Jt-PC_Final Order Electric EXHIBIT A-1" xfId="1963"/>
    <cellStyle name="_Tenaska Comparison_Rebuttal Power Costs" xfId="1964"/>
    <cellStyle name="_Tenaska Comparison_Rebuttal Power Costs 2" xfId="1965"/>
    <cellStyle name="_Tenaska Comparison_Rebuttal Power Costs_Adj Bench DR 3 for Initial Briefs (Electric)" xfId="1966"/>
    <cellStyle name="_Tenaska Comparison_Rebuttal Power Costs_Adj Bench DR 3 for Initial Briefs (Electric) 2" xfId="1967"/>
    <cellStyle name="_Tenaska Comparison_Rebuttal Power Costs_Electric Rev Req Model (2009 GRC) Rebuttal" xfId="1968"/>
    <cellStyle name="_Tenaska Comparison_Rebuttal Power Costs_Electric Rev Req Model (2009 GRC) Rebuttal REmoval of New  WH Solar AdjustMI" xfId="1969"/>
    <cellStyle name="_Tenaska Comparison_Rebuttal Power Costs_Electric Rev Req Model (2009 GRC) Rebuttal REmoval of New  WH Solar AdjustMI 2" xfId="1970"/>
    <cellStyle name="_Tenaska Comparison_Rebuttal Power Costs_Electric Rev Req Model (2009 GRC) Revised 01-18-2010" xfId="1971"/>
    <cellStyle name="_Tenaska Comparison_Rebuttal Power Costs_Electric Rev Req Model (2009 GRC) Revised 01-18-2010 2" xfId="1972"/>
    <cellStyle name="_Tenaska Comparison_Rebuttal Power Costs_Final Order Electric EXHIBIT A-1" xfId="1973"/>
    <cellStyle name="_Tenaska Comparison_Transmission Workbook for May BOD" xfId="1974"/>
    <cellStyle name="_Tenaska Comparison_Transmission Workbook for May BOD 2" xfId="1975"/>
    <cellStyle name="_Tenaska Comparison_Wind Integration 10GRC" xfId="1976"/>
    <cellStyle name="_Tenaska Comparison_Wind Integration 10GRC 2" xfId="1977"/>
    <cellStyle name="_x0013__TENASKA REGULATORY ASSET" xfId="1978"/>
    <cellStyle name="_Therms Data" xfId="1979"/>
    <cellStyle name="_Therms Data_Pro Forma Rev 09 GRC" xfId="1980"/>
    <cellStyle name="_Therms Data_Pro Forma Rev 2010 GRC" xfId="1981"/>
    <cellStyle name="_Therms Data_Pro Forma Rev 2010 GRC_Preliminary" xfId="1982"/>
    <cellStyle name="_Therms Data_Revenue (Feb 09 - Jan 10)" xfId="1983"/>
    <cellStyle name="_Therms Data_Revenue (Jan 09 - Dec 09)" xfId="1984"/>
    <cellStyle name="_Therms Data_Revenue (Mar 09 - Feb 10)" xfId="1985"/>
    <cellStyle name="_Therms Data_Volume Exhibit (Jan09 - Dec09)" xfId="1986"/>
    <cellStyle name="_Value Copy 11 30 05 gas 12 09 05 AURORA at 12 14 05" xfId="1987"/>
    <cellStyle name="_Value Copy 11 30 05 gas 12 09 05 AURORA at 12 14 05 2" xfId="1988"/>
    <cellStyle name="_Value Copy 11 30 05 gas 12 09 05 AURORA at 12 14 05 2 2" xfId="1989"/>
    <cellStyle name="_Value Copy 11 30 05 gas 12 09 05 AURORA at 12 14 05 3" xfId="1990"/>
    <cellStyle name="_Value Copy 11 30 05 gas 12 09 05 AURORA at 12 14 05 4" xfId="1991"/>
    <cellStyle name="_Value Copy 11 30 05 gas 12 09 05 AURORA at 12 14 05_04 07E Wild Horse Wind Expansion (C) (2)" xfId="1992"/>
    <cellStyle name="_Value Copy 11 30 05 gas 12 09 05 AURORA at 12 14 05_04 07E Wild Horse Wind Expansion (C) (2) 2" xfId="1993"/>
    <cellStyle name="_Value Copy 11 30 05 gas 12 09 05 AURORA at 12 14 05_04 07E Wild Horse Wind Expansion (C) (2)_Adj Bench DR 3 for Initial Briefs (Electric)" xfId="1994"/>
    <cellStyle name="_Value Copy 11 30 05 gas 12 09 05 AURORA at 12 14 05_04 07E Wild Horse Wind Expansion (C) (2)_Adj Bench DR 3 for Initial Briefs (Electric) 2" xfId="1995"/>
    <cellStyle name="_Value Copy 11 30 05 gas 12 09 05 AURORA at 12 14 05_04 07E Wild Horse Wind Expansion (C) (2)_Electric Rev Req Model (2009 GRC) " xfId="1996"/>
    <cellStyle name="_Value Copy 11 30 05 gas 12 09 05 AURORA at 12 14 05_04 07E Wild Horse Wind Expansion (C) (2)_Electric Rev Req Model (2009 GRC)  2" xfId="1997"/>
    <cellStyle name="_Value Copy 11 30 05 gas 12 09 05 AURORA at 12 14 05_04 07E Wild Horse Wind Expansion (C) (2)_Electric Rev Req Model (2009 GRC) Rebuttal" xfId="1998"/>
    <cellStyle name="_Value Copy 11 30 05 gas 12 09 05 AURORA at 12 14 05_04 07E Wild Horse Wind Expansion (C) (2)_Electric Rev Req Model (2009 GRC) Rebuttal REmoval of New  WH Solar AdjustMI" xfId="1999"/>
    <cellStyle name="_Value Copy 11 30 05 gas 12 09 05 AURORA at 12 14 05_04 07E Wild Horse Wind Expansion (C) (2)_Electric Rev Req Model (2009 GRC) Rebuttal REmoval of New  WH Solar AdjustMI 2" xfId="2000"/>
    <cellStyle name="_Value Copy 11 30 05 gas 12 09 05 AURORA at 12 14 05_04 07E Wild Horse Wind Expansion (C) (2)_Electric Rev Req Model (2009 GRC) Revised 01-18-2010" xfId="2001"/>
    <cellStyle name="_Value Copy 11 30 05 gas 12 09 05 AURORA at 12 14 05_04 07E Wild Horse Wind Expansion (C) (2)_Electric Rev Req Model (2009 GRC) Revised 01-18-2010 2" xfId="2002"/>
    <cellStyle name="_Value Copy 11 30 05 gas 12 09 05 AURORA at 12 14 05_04 07E Wild Horse Wind Expansion (C) (2)_Final Order Electric EXHIBIT A-1" xfId="2003"/>
    <cellStyle name="_Value Copy 11 30 05 gas 12 09 05 AURORA at 12 14 05_04 07E Wild Horse Wind Expansion (C) (2)_TENASKA REGULATORY ASSET" xfId="2004"/>
    <cellStyle name="_Value Copy 11 30 05 gas 12 09 05 AURORA at 12 14 05_16.37E Wild Horse Expansion DeferralRevwrkingfile SF" xfId="2005"/>
    <cellStyle name="_Value Copy 11 30 05 gas 12 09 05 AURORA at 12 14 05_16.37E Wild Horse Expansion DeferralRevwrkingfile SF 2" xfId="2006"/>
    <cellStyle name="_Value Copy 11 30 05 gas 12 09 05 AURORA at 12 14 05_2009 GRC Compl Filing - Exhibit D" xfId="2007"/>
    <cellStyle name="_Value Copy 11 30 05 gas 12 09 05 AURORA at 12 14 05_2009 GRC Compl Filing - Exhibit D 2" xfId="2008"/>
    <cellStyle name="_Value Copy 11 30 05 gas 12 09 05 AURORA at 12 14 05_4 31 Regulatory Assets and Liabilities  7 06- Exhibit D" xfId="2009"/>
    <cellStyle name="_Value Copy 11 30 05 gas 12 09 05 AURORA at 12 14 05_4 31 Regulatory Assets and Liabilities  7 06- Exhibit D 2" xfId="2010"/>
    <cellStyle name="_Value Copy 11 30 05 gas 12 09 05 AURORA at 12 14 05_4 31 Regulatory Assets and Liabilities  7 06- Exhibit D_NIM Summary" xfId="2011"/>
    <cellStyle name="_Value Copy 11 30 05 gas 12 09 05 AURORA at 12 14 05_4 31 Regulatory Assets and Liabilities  7 06- Exhibit D_NIM Summary 2" xfId="2012"/>
    <cellStyle name="_Value Copy 11 30 05 gas 12 09 05 AURORA at 12 14 05_4 32 Regulatory Assets and Liabilities  7 06- Exhibit D" xfId="2013"/>
    <cellStyle name="_Value Copy 11 30 05 gas 12 09 05 AURORA at 12 14 05_4 32 Regulatory Assets and Liabilities  7 06- Exhibit D 2" xfId="2014"/>
    <cellStyle name="_Value Copy 11 30 05 gas 12 09 05 AURORA at 12 14 05_4 32 Regulatory Assets and Liabilities  7 06- Exhibit D_NIM Summary" xfId="2015"/>
    <cellStyle name="_Value Copy 11 30 05 gas 12 09 05 AURORA at 12 14 05_4 32 Regulatory Assets and Liabilities  7 06- Exhibit D_NIM Summary 2" xfId="2016"/>
    <cellStyle name="_Value Copy 11 30 05 gas 12 09 05 AURORA at 12 14 05_AURORA Total New" xfId="2017"/>
    <cellStyle name="_Value Copy 11 30 05 gas 12 09 05 AURORA at 12 14 05_AURORA Total New 2" xfId="2018"/>
    <cellStyle name="_Value Copy 11 30 05 gas 12 09 05 AURORA at 12 14 05_Book2" xfId="2019"/>
    <cellStyle name="_Value Copy 11 30 05 gas 12 09 05 AURORA at 12 14 05_Book2 2" xfId="2020"/>
    <cellStyle name="_Value Copy 11 30 05 gas 12 09 05 AURORA at 12 14 05_Book2_Adj Bench DR 3 for Initial Briefs (Electric)" xfId="2021"/>
    <cellStyle name="_Value Copy 11 30 05 gas 12 09 05 AURORA at 12 14 05_Book2_Adj Bench DR 3 for Initial Briefs (Electric) 2" xfId="2022"/>
    <cellStyle name="_Value Copy 11 30 05 gas 12 09 05 AURORA at 12 14 05_Book2_Electric Rev Req Model (2009 GRC) Rebuttal" xfId="2023"/>
    <cellStyle name="_Value Copy 11 30 05 gas 12 09 05 AURORA at 12 14 05_Book2_Electric Rev Req Model (2009 GRC) Rebuttal REmoval of New  WH Solar AdjustMI" xfId="2024"/>
    <cellStyle name="_Value Copy 11 30 05 gas 12 09 05 AURORA at 12 14 05_Book2_Electric Rev Req Model (2009 GRC) Rebuttal REmoval of New  WH Solar AdjustMI 2" xfId="2025"/>
    <cellStyle name="_Value Copy 11 30 05 gas 12 09 05 AURORA at 12 14 05_Book2_Electric Rev Req Model (2009 GRC) Revised 01-18-2010" xfId="2026"/>
    <cellStyle name="_Value Copy 11 30 05 gas 12 09 05 AURORA at 12 14 05_Book2_Electric Rev Req Model (2009 GRC) Revised 01-18-2010 2" xfId="2027"/>
    <cellStyle name="_Value Copy 11 30 05 gas 12 09 05 AURORA at 12 14 05_Book2_Final Order Electric EXHIBIT A-1" xfId="2028"/>
    <cellStyle name="_Value Copy 11 30 05 gas 12 09 05 AURORA at 12 14 05_Book4" xfId="2029"/>
    <cellStyle name="_Value Copy 11 30 05 gas 12 09 05 AURORA at 12 14 05_Book4 2" xfId="2030"/>
    <cellStyle name="_Value Copy 11 30 05 gas 12 09 05 AURORA at 12 14 05_Book9" xfId="2031"/>
    <cellStyle name="_Value Copy 11 30 05 gas 12 09 05 AURORA at 12 14 05_Book9 2" xfId="2032"/>
    <cellStyle name="_Value Copy 11 30 05 gas 12 09 05 AURORA at 12 14 05_Exhibit D fr R Gho 12-31-08" xfId="2033"/>
    <cellStyle name="_Value Copy 11 30 05 gas 12 09 05 AURORA at 12 14 05_Exhibit D fr R Gho 12-31-08 2" xfId="2034"/>
    <cellStyle name="_Value Copy 11 30 05 gas 12 09 05 AURORA at 12 14 05_Exhibit D fr R Gho 12-31-08 v2" xfId="2035"/>
    <cellStyle name="_Value Copy 11 30 05 gas 12 09 05 AURORA at 12 14 05_Exhibit D fr R Gho 12-31-08 v2 2" xfId="2036"/>
    <cellStyle name="_Value Copy 11 30 05 gas 12 09 05 AURORA at 12 14 05_Exhibit D fr R Gho 12-31-08 v2_NIM Summary" xfId="2037"/>
    <cellStyle name="_Value Copy 11 30 05 gas 12 09 05 AURORA at 12 14 05_Exhibit D fr R Gho 12-31-08 v2_NIM Summary 2" xfId="2038"/>
    <cellStyle name="_Value Copy 11 30 05 gas 12 09 05 AURORA at 12 14 05_Exhibit D fr R Gho 12-31-08_NIM Summary" xfId="2039"/>
    <cellStyle name="_Value Copy 11 30 05 gas 12 09 05 AURORA at 12 14 05_Exhibit D fr R Gho 12-31-08_NIM Summary 2" xfId="2040"/>
    <cellStyle name="_Value Copy 11 30 05 gas 12 09 05 AURORA at 12 14 05_Hopkins Ridge Prepaid Tran - Interest Earned RY 12ME Feb  '11" xfId="2041"/>
    <cellStyle name="_Value Copy 11 30 05 gas 12 09 05 AURORA at 12 14 05_Hopkins Ridge Prepaid Tran - Interest Earned RY 12ME Feb  '11 2" xfId="2042"/>
    <cellStyle name="_Value Copy 11 30 05 gas 12 09 05 AURORA at 12 14 05_Hopkins Ridge Prepaid Tran - Interest Earned RY 12ME Feb  '11_NIM Summary" xfId="2043"/>
    <cellStyle name="_Value Copy 11 30 05 gas 12 09 05 AURORA at 12 14 05_Hopkins Ridge Prepaid Tran - Interest Earned RY 12ME Feb  '11_NIM Summary 2" xfId="2044"/>
    <cellStyle name="_Value Copy 11 30 05 gas 12 09 05 AURORA at 12 14 05_Hopkins Ridge Prepaid Tran - Interest Earned RY 12ME Feb  '11_Transmission Workbook for May BOD" xfId="2045"/>
    <cellStyle name="_Value Copy 11 30 05 gas 12 09 05 AURORA at 12 14 05_Hopkins Ridge Prepaid Tran - Interest Earned RY 12ME Feb  '11_Transmission Workbook for May BOD 2" xfId="2046"/>
    <cellStyle name="_Value Copy 11 30 05 gas 12 09 05 AURORA at 12 14 05_NIM Summary" xfId="2047"/>
    <cellStyle name="_Value Copy 11 30 05 gas 12 09 05 AURORA at 12 14 05_NIM Summary 09GRC" xfId="2048"/>
    <cellStyle name="_Value Copy 11 30 05 gas 12 09 05 AURORA at 12 14 05_NIM Summary 09GRC 2" xfId="2049"/>
    <cellStyle name="_Value Copy 11 30 05 gas 12 09 05 AURORA at 12 14 05_NIM Summary 2" xfId="2050"/>
    <cellStyle name="_Value Copy 11 30 05 gas 12 09 05 AURORA at 12 14 05_NIM Summary 3" xfId="2051"/>
    <cellStyle name="_Value Copy 11 30 05 gas 12 09 05 AURORA at 12 14 05_PCA 7 - Exhibit D update 11_30_08 (2)" xfId="2052"/>
    <cellStyle name="_Value Copy 11 30 05 gas 12 09 05 AURORA at 12 14 05_PCA 7 - Exhibit D update 11_30_08 (2) 2" xfId="2053"/>
    <cellStyle name="_Value Copy 11 30 05 gas 12 09 05 AURORA at 12 14 05_PCA 7 - Exhibit D update 11_30_08 (2) 2 2" xfId="2054"/>
    <cellStyle name="_Value Copy 11 30 05 gas 12 09 05 AURORA at 12 14 05_PCA 7 - Exhibit D update 11_30_08 (2) 3" xfId="2055"/>
    <cellStyle name="_Value Copy 11 30 05 gas 12 09 05 AURORA at 12 14 05_PCA 7 - Exhibit D update 11_30_08 (2)_NIM Summary" xfId="2056"/>
    <cellStyle name="_Value Copy 11 30 05 gas 12 09 05 AURORA at 12 14 05_PCA 7 - Exhibit D update 11_30_08 (2)_NIM Summary 2" xfId="2057"/>
    <cellStyle name="_Value Copy 11 30 05 gas 12 09 05 AURORA at 12 14 05_PCA 9 -  Exhibit D April 2010 (3)" xfId="2058"/>
    <cellStyle name="_Value Copy 11 30 05 gas 12 09 05 AURORA at 12 14 05_PCA 9 -  Exhibit D April 2010 (3) 2" xfId="2059"/>
    <cellStyle name="_Value Copy 11 30 05 gas 12 09 05 AURORA at 12 14 05_Power Costs - Comparison bx Rbtl-Staff-Jt-PC" xfId="2060"/>
    <cellStyle name="_Value Copy 11 30 05 gas 12 09 05 AURORA at 12 14 05_Power Costs - Comparison bx Rbtl-Staff-Jt-PC 2" xfId="2061"/>
    <cellStyle name="_Value Copy 11 30 05 gas 12 09 05 AURORA at 12 14 05_Power Costs - Comparison bx Rbtl-Staff-Jt-PC_Adj Bench DR 3 for Initial Briefs (Electric)" xfId="2062"/>
    <cellStyle name="_Value Copy 11 30 05 gas 12 09 05 AURORA at 12 14 05_Power Costs - Comparison bx Rbtl-Staff-Jt-PC_Adj Bench DR 3 for Initial Briefs (Electric) 2" xfId="2063"/>
    <cellStyle name="_Value Copy 11 30 05 gas 12 09 05 AURORA at 12 14 05_Power Costs - Comparison bx Rbtl-Staff-Jt-PC_Electric Rev Req Model (2009 GRC) Rebuttal" xfId="2064"/>
    <cellStyle name="_Value Copy 11 30 05 gas 12 09 05 AURORA at 12 14 05_Power Costs - Comparison bx Rbtl-Staff-Jt-PC_Electric Rev Req Model (2009 GRC) Rebuttal REmoval of New  WH Solar AdjustMI" xfId="2065"/>
    <cellStyle name="_Value Copy 11 30 05 gas 12 09 05 AURORA at 12 14 05_Power Costs - Comparison bx Rbtl-Staff-Jt-PC_Electric Rev Req Model (2009 GRC) Rebuttal REmoval of New  WH Solar AdjustMI 2" xfId="2066"/>
    <cellStyle name="_Value Copy 11 30 05 gas 12 09 05 AURORA at 12 14 05_Power Costs - Comparison bx Rbtl-Staff-Jt-PC_Electric Rev Req Model (2009 GRC) Revised 01-18-2010" xfId="2067"/>
    <cellStyle name="_Value Copy 11 30 05 gas 12 09 05 AURORA at 12 14 05_Power Costs - Comparison bx Rbtl-Staff-Jt-PC_Electric Rev Req Model (2009 GRC) Revised 01-18-2010 2" xfId="2068"/>
    <cellStyle name="_Value Copy 11 30 05 gas 12 09 05 AURORA at 12 14 05_Power Costs - Comparison bx Rbtl-Staff-Jt-PC_Final Order Electric EXHIBIT A-1" xfId="2069"/>
    <cellStyle name="_Value Copy 11 30 05 gas 12 09 05 AURORA at 12 14 05_Rebuttal Power Costs" xfId="2070"/>
    <cellStyle name="_Value Copy 11 30 05 gas 12 09 05 AURORA at 12 14 05_Rebuttal Power Costs 2" xfId="2071"/>
    <cellStyle name="_Value Copy 11 30 05 gas 12 09 05 AURORA at 12 14 05_Rebuttal Power Costs_Adj Bench DR 3 for Initial Briefs (Electric)" xfId="2072"/>
    <cellStyle name="_Value Copy 11 30 05 gas 12 09 05 AURORA at 12 14 05_Rebuttal Power Costs_Adj Bench DR 3 for Initial Briefs (Electric) 2" xfId="2073"/>
    <cellStyle name="_Value Copy 11 30 05 gas 12 09 05 AURORA at 12 14 05_Rebuttal Power Costs_Electric Rev Req Model (2009 GRC) Rebuttal" xfId="2074"/>
    <cellStyle name="_Value Copy 11 30 05 gas 12 09 05 AURORA at 12 14 05_Rebuttal Power Costs_Electric Rev Req Model (2009 GRC) Rebuttal REmoval of New  WH Solar AdjustMI" xfId="2075"/>
    <cellStyle name="_Value Copy 11 30 05 gas 12 09 05 AURORA at 12 14 05_Rebuttal Power Costs_Electric Rev Req Model (2009 GRC) Rebuttal REmoval of New  WH Solar AdjustMI 2" xfId="2076"/>
    <cellStyle name="_Value Copy 11 30 05 gas 12 09 05 AURORA at 12 14 05_Rebuttal Power Costs_Electric Rev Req Model (2009 GRC) Revised 01-18-2010" xfId="2077"/>
    <cellStyle name="_Value Copy 11 30 05 gas 12 09 05 AURORA at 12 14 05_Rebuttal Power Costs_Electric Rev Req Model (2009 GRC) Revised 01-18-2010 2" xfId="2078"/>
    <cellStyle name="_Value Copy 11 30 05 gas 12 09 05 AURORA at 12 14 05_Rebuttal Power Costs_Final Order Electric EXHIBIT A-1" xfId="2079"/>
    <cellStyle name="_Value Copy 11 30 05 gas 12 09 05 AURORA at 12 14 05_Transmission Workbook for May BOD" xfId="2080"/>
    <cellStyle name="_Value Copy 11 30 05 gas 12 09 05 AURORA at 12 14 05_Transmission Workbook for May BOD 2" xfId="2081"/>
    <cellStyle name="_Value Copy 11 30 05 gas 12 09 05 AURORA at 12 14 05_Wind Integration 10GRC" xfId="2082"/>
    <cellStyle name="_Value Copy 11 30 05 gas 12 09 05 AURORA at 12 14 05_Wind Integration 10GRC 2" xfId="2083"/>
    <cellStyle name="_VC 6.15.06 update on 06GRC power costs.xls Chart 1" xfId="2084"/>
    <cellStyle name="_VC 6.15.06 update on 06GRC power costs.xls Chart 1 2" xfId="2085"/>
    <cellStyle name="_VC 6.15.06 update on 06GRC power costs.xls Chart 1 2 2" xfId="2086"/>
    <cellStyle name="_VC 6.15.06 update on 06GRC power costs.xls Chart 1 3" xfId="2087"/>
    <cellStyle name="_VC 6.15.06 update on 06GRC power costs.xls Chart 1 4" xfId="2088"/>
    <cellStyle name="_VC 6.15.06 update on 06GRC power costs.xls Chart 1_04 07E Wild Horse Wind Expansion (C) (2)" xfId="2089"/>
    <cellStyle name="_VC 6.15.06 update on 06GRC power costs.xls Chart 1_04 07E Wild Horse Wind Expansion (C) (2) 2" xfId="2090"/>
    <cellStyle name="_VC 6.15.06 update on 06GRC power costs.xls Chart 1_04 07E Wild Horse Wind Expansion (C) (2)_Adj Bench DR 3 for Initial Briefs (Electric)" xfId="2091"/>
    <cellStyle name="_VC 6.15.06 update on 06GRC power costs.xls Chart 1_04 07E Wild Horse Wind Expansion (C) (2)_Adj Bench DR 3 for Initial Briefs (Electric) 2" xfId="2092"/>
    <cellStyle name="_VC 6.15.06 update on 06GRC power costs.xls Chart 1_04 07E Wild Horse Wind Expansion (C) (2)_Electric Rev Req Model (2009 GRC) " xfId="2093"/>
    <cellStyle name="_VC 6.15.06 update on 06GRC power costs.xls Chart 1_04 07E Wild Horse Wind Expansion (C) (2)_Electric Rev Req Model (2009 GRC)  2" xfId="2094"/>
    <cellStyle name="_VC 6.15.06 update on 06GRC power costs.xls Chart 1_04 07E Wild Horse Wind Expansion (C) (2)_Electric Rev Req Model (2009 GRC) Rebuttal" xfId="2095"/>
    <cellStyle name="_VC 6.15.06 update on 06GRC power costs.xls Chart 1_04 07E Wild Horse Wind Expansion (C) (2)_Electric Rev Req Model (2009 GRC) Rebuttal REmoval of New  WH Solar AdjustMI" xfId="2096"/>
    <cellStyle name="_VC 6.15.06 update on 06GRC power costs.xls Chart 1_04 07E Wild Horse Wind Expansion (C) (2)_Electric Rev Req Model (2009 GRC) Rebuttal REmoval of New  WH Solar AdjustMI 2" xfId="2097"/>
    <cellStyle name="_VC 6.15.06 update on 06GRC power costs.xls Chart 1_04 07E Wild Horse Wind Expansion (C) (2)_Electric Rev Req Model (2009 GRC) Revised 01-18-2010" xfId="2098"/>
    <cellStyle name="_VC 6.15.06 update on 06GRC power costs.xls Chart 1_04 07E Wild Horse Wind Expansion (C) (2)_Electric Rev Req Model (2009 GRC) Revised 01-18-2010 2" xfId="2099"/>
    <cellStyle name="_VC 6.15.06 update on 06GRC power costs.xls Chart 1_04 07E Wild Horse Wind Expansion (C) (2)_Final Order Electric EXHIBIT A-1" xfId="2100"/>
    <cellStyle name="_VC 6.15.06 update on 06GRC power costs.xls Chart 1_04 07E Wild Horse Wind Expansion (C) (2)_TENASKA REGULATORY ASSET" xfId="2101"/>
    <cellStyle name="_VC 6.15.06 update on 06GRC power costs.xls Chart 1_16.37E Wild Horse Expansion DeferralRevwrkingfile SF" xfId="2102"/>
    <cellStyle name="_VC 6.15.06 update on 06GRC power costs.xls Chart 1_16.37E Wild Horse Expansion DeferralRevwrkingfile SF 2" xfId="2103"/>
    <cellStyle name="_VC 6.15.06 update on 06GRC power costs.xls Chart 1_2009 GRC Compl Filing - Exhibit D" xfId="2104"/>
    <cellStyle name="_VC 6.15.06 update on 06GRC power costs.xls Chart 1_2009 GRC Compl Filing - Exhibit D 2" xfId="2105"/>
    <cellStyle name="_VC 6.15.06 update on 06GRC power costs.xls Chart 1_4 31 Regulatory Assets and Liabilities  7 06- Exhibit D" xfId="2106"/>
    <cellStyle name="_VC 6.15.06 update on 06GRC power costs.xls Chart 1_4 31 Regulatory Assets and Liabilities  7 06- Exhibit D 2" xfId="2107"/>
    <cellStyle name="_VC 6.15.06 update on 06GRC power costs.xls Chart 1_4 31 Regulatory Assets and Liabilities  7 06- Exhibit D_NIM Summary" xfId="2108"/>
    <cellStyle name="_VC 6.15.06 update on 06GRC power costs.xls Chart 1_4 31 Regulatory Assets and Liabilities  7 06- Exhibit D_NIM Summary 2" xfId="2109"/>
    <cellStyle name="_VC 6.15.06 update on 06GRC power costs.xls Chart 1_4 32 Regulatory Assets and Liabilities  7 06- Exhibit D" xfId="2110"/>
    <cellStyle name="_VC 6.15.06 update on 06GRC power costs.xls Chart 1_4 32 Regulatory Assets and Liabilities  7 06- Exhibit D 2" xfId="2111"/>
    <cellStyle name="_VC 6.15.06 update on 06GRC power costs.xls Chart 1_4 32 Regulatory Assets and Liabilities  7 06- Exhibit D_NIM Summary" xfId="2112"/>
    <cellStyle name="_VC 6.15.06 update on 06GRC power costs.xls Chart 1_4 32 Regulatory Assets and Liabilities  7 06- Exhibit D_NIM Summary 2" xfId="2113"/>
    <cellStyle name="_VC 6.15.06 update on 06GRC power costs.xls Chart 1_AURORA Total New" xfId="2114"/>
    <cellStyle name="_VC 6.15.06 update on 06GRC power costs.xls Chart 1_AURORA Total New 2" xfId="2115"/>
    <cellStyle name="_VC 6.15.06 update on 06GRC power costs.xls Chart 1_Book2" xfId="2116"/>
    <cellStyle name="_VC 6.15.06 update on 06GRC power costs.xls Chart 1_Book2 2" xfId="2117"/>
    <cellStyle name="_VC 6.15.06 update on 06GRC power costs.xls Chart 1_Book2_Adj Bench DR 3 for Initial Briefs (Electric)" xfId="2118"/>
    <cellStyle name="_VC 6.15.06 update on 06GRC power costs.xls Chart 1_Book2_Adj Bench DR 3 for Initial Briefs (Electric) 2" xfId="2119"/>
    <cellStyle name="_VC 6.15.06 update on 06GRC power costs.xls Chart 1_Book2_Electric Rev Req Model (2009 GRC) Rebuttal" xfId="2120"/>
    <cellStyle name="_VC 6.15.06 update on 06GRC power costs.xls Chart 1_Book2_Electric Rev Req Model (2009 GRC) Rebuttal REmoval of New  WH Solar AdjustMI" xfId="2121"/>
    <cellStyle name="_VC 6.15.06 update on 06GRC power costs.xls Chart 1_Book2_Electric Rev Req Model (2009 GRC) Rebuttal REmoval of New  WH Solar AdjustMI 2" xfId="2122"/>
    <cellStyle name="_VC 6.15.06 update on 06GRC power costs.xls Chart 1_Book2_Electric Rev Req Model (2009 GRC) Revised 01-18-2010" xfId="2123"/>
    <cellStyle name="_VC 6.15.06 update on 06GRC power costs.xls Chart 1_Book2_Electric Rev Req Model (2009 GRC) Revised 01-18-2010 2" xfId="2124"/>
    <cellStyle name="_VC 6.15.06 update on 06GRC power costs.xls Chart 1_Book2_Final Order Electric EXHIBIT A-1" xfId="2125"/>
    <cellStyle name="_VC 6.15.06 update on 06GRC power costs.xls Chart 1_Book4" xfId="2126"/>
    <cellStyle name="_VC 6.15.06 update on 06GRC power costs.xls Chart 1_Book4 2" xfId="2127"/>
    <cellStyle name="_VC 6.15.06 update on 06GRC power costs.xls Chart 1_Book9" xfId="2128"/>
    <cellStyle name="_VC 6.15.06 update on 06GRC power costs.xls Chart 1_Book9 2" xfId="2129"/>
    <cellStyle name="_VC 6.15.06 update on 06GRC power costs.xls Chart 1_NIM Summary" xfId="2130"/>
    <cellStyle name="_VC 6.15.06 update on 06GRC power costs.xls Chart 1_NIM Summary 09GRC" xfId="2131"/>
    <cellStyle name="_VC 6.15.06 update on 06GRC power costs.xls Chart 1_NIM Summary 09GRC 2" xfId="2132"/>
    <cellStyle name="_VC 6.15.06 update on 06GRC power costs.xls Chart 1_NIM Summary 2" xfId="2133"/>
    <cellStyle name="_VC 6.15.06 update on 06GRC power costs.xls Chart 1_NIM Summary 3" xfId="2134"/>
    <cellStyle name="_VC 6.15.06 update on 06GRC power costs.xls Chart 1_PCA 9 -  Exhibit D April 2010 (3)" xfId="2135"/>
    <cellStyle name="_VC 6.15.06 update on 06GRC power costs.xls Chart 1_PCA 9 -  Exhibit D April 2010 (3) 2" xfId="2136"/>
    <cellStyle name="_VC 6.15.06 update on 06GRC power costs.xls Chart 1_Power Costs - Comparison bx Rbtl-Staff-Jt-PC" xfId="2137"/>
    <cellStyle name="_VC 6.15.06 update on 06GRC power costs.xls Chart 1_Power Costs - Comparison bx Rbtl-Staff-Jt-PC 2" xfId="2138"/>
    <cellStyle name="_VC 6.15.06 update on 06GRC power costs.xls Chart 1_Power Costs - Comparison bx Rbtl-Staff-Jt-PC_Adj Bench DR 3 for Initial Briefs (Electric)" xfId="2139"/>
    <cellStyle name="_VC 6.15.06 update on 06GRC power costs.xls Chart 1_Power Costs - Comparison bx Rbtl-Staff-Jt-PC_Adj Bench DR 3 for Initial Briefs (Electric) 2" xfId="2140"/>
    <cellStyle name="_VC 6.15.06 update on 06GRC power costs.xls Chart 1_Power Costs - Comparison bx Rbtl-Staff-Jt-PC_Electric Rev Req Model (2009 GRC) Rebuttal" xfId="2141"/>
    <cellStyle name="_VC 6.15.06 update on 06GRC power costs.xls Chart 1_Power Costs - Comparison bx Rbtl-Staff-Jt-PC_Electric Rev Req Model (2009 GRC) Rebuttal REmoval of New  WH Solar AdjustMI" xfId="2142"/>
    <cellStyle name="_VC 6.15.06 update on 06GRC power costs.xls Chart 1_Power Costs - Comparison bx Rbtl-Staff-Jt-PC_Electric Rev Req Model (2009 GRC) Rebuttal REmoval of New  WH Solar AdjustMI 2" xfId="2143"/>
    <cellStyle name="_VC 6.15.06 update on 06GRC power costs.xls Chart 1_Power Costs - Comparison bx Rbtl-Staff-Jt-PC_Electric Rev Req Model (2009 GRC) Revised 01-18-2010" xfId="2144"/>
    <cellStyle name="_VC 6.15.06 update on 06GRC power costs.xls Chart 1_Power Costs - Comparison bx Rbtl-Staff-Jt-PC_Electric Rev Req Model (2009 GRC) Revised 01-18-2010 2" xfId="2145"/>
    <cellStyle name="_VC 6.15.06 update on 06GRC power costs.xls Chart 1_Power Costs - Comparison bx Rbtl-Staff-Jt-PC_Final Order Electric EXHIBIT A-1" xfId="2146"/>
    <cellStyle name="_VC 6.15.06 update on 06GRC power costs.xls Chart 1_Rebuttal Power Costs" xfId="2147"/>
    <cellStyle name="_VC 6.15.06 update on 06GRC power costs.xls Chart 1_Rebuttal Power Costs 2" xfId="2148"/>
    <cellStyle name="_VC 6.15.06 update on 06GRC power costs.xls Chart 1_Rebuttal Power Costs_Adj Bench DR 3 for Initial Briefs (Electric)" xfId="2149"/>
    <cellStyle name="_VC 6.15.06 update on 06GRC power costs.xls Chart 1_Rebuttal Power Costs_Adj Bench DR 3 for Initial Briefs (Electric) 2" xfId="2150"/>
    <cellStyle name="_VC 6.15.06 update on 06GRC power costs.xls Chart 1_Rebuttal Power Costs_Electric Rev Req Model (2009 GRC) Rebuttal" xfId="2151"/>
    <cellStyle name="_VC 6.15.06 update on 06GRC power costs.xls Chart 1_Rebuttal Power Costs_Electric Rev Req Model (2009 GRC) Rebuttal REmoval of New  WH Solar AdjustMI" xfId="2152"/>
    <cellStyle name="_VC 6.15.06 update on 06GRC power costs.xls Chart 1_Rebuttal Power Costs_Electric Rev Req Model (2009 GRC) Rebuttal REmoval of New  WH Solar AdjustMI 2" xfId="2153"/>
    <cellStyle name="_VC 6.15.06 update on 06GRC power costs.xls Chart 1_Rebuttal Power Costs_Electric Rev Req Model (2009 GRC) Revised 01-18-2010" xfId="2154"/>
    <cellStyle name="_VC 6.15.06 update on 06GRC power costs.xls Chart 1_Rebuttal Power Costs_Electric Rev Req Model (2009 GRC) Revised 01-18-2010 2" xfId="2155"/>
    <cellStyle name="_VC 6.15.06 update on 06GRC power costs.xls Chart 1_Rebuttal Power Costs_Final Order Electric EXHIBIT A-1" xfId="2156"/>
    <cellStyle name="_VC 6.15.06 update on 06GRC power costs.xls Chart 1_Wind Integration 10GRC" xfId="2157"/>
    <cellStyle name="_VC 6.15.06 update on 06GRC power costs.xls Chart 1_Wind Integration 10GRC 2" xfId="2158"/>
    <cellStyle name="_VC 6.15.06 update on 06GRC power costs.xls Chart 2" xfId="2159"/>
    <cellStyle name="_VC 6.15.06 update on 06GRC power costs.xls Chart 2 2" xfId="2160"/>
    <cellStyle name="_VC 6.15.06 update on 06GRC power costs.xls Chart 2 2 2" xfId="2161"/>
    <cellStyle name="_VC 6.15.06 update on 06GRC power costs.xls Chart 2 3" xfId="2162"/>
    <cellStyle name="_VC 6.15.06 update on 06GRC power costs.xls Chart 2 4" xfId="2163"/>
    <cellStyle name="_VC 6.15.06 update on 06GRC power costs.xls Chart 2_04 07E Wild Horse Wind Expansion (C) (2)" xfId="2164"/>
    <cellStyle name="_VC 6.15.06 update on 06GRC power costs.xls Chart 2_04 07E Wild Horse Wind Expansion (C) (2) 2" xfId="2165"/>
    <cellStyle name="_VC 6.15.06 update on 06GRC power costs.xls Chart 2_04 07E Wild Horse Wind Expansion (C) (2)_Adj Bench DR 3 for Initial Briefs (Electric)" xfId="2166"/>
    <cellStyle name="_VC 6.15.06 update on 06GRC power costs.xls Chart 2_04 07E Wild Horse Wind Expansion (C) (2)_Adj Bench DR 3 for Initial Briefs (Electric) 2" xfId="2167"/>
    <cellStyle name="_VC 6.15.06 update on 06GRC power costs.xls Chart 2_04 07E Wild Horse Wind Expansion (C) (2)_Electric Rev Req Model (2009 GRC) " xfId="2168"/>
    <cellStyle name="_VC 6.15.06 update on 06GRC power costs.xls Chart 2_04 07E Wild Horse Wind Expansion (C) (2)_Electric Rev Req Model (2009 GRC)  2" xfId="2169"/>
    <cellStyle name="_VC 6.15.06 update on 06GRC power costs.xls Chart 2_04 07E Wild Horse Wind Expansion (C) (2)_Electric Rev Req Model (2009 GRC) Rebuttal" xfId="2170"/>
    <cellStyle name="_VC 6.15.06 update on 06GRC power costs.xls Chart 2_04 07E Wild Horse Wind Expansion (C) (2)_Electric Rev Req Model (2009 GRC) Rebuttal REmoval of New  WH Solar AdjustMI" xfId="2171"/>
    <cellStyle name="_VC 6.15.06 update on 06GRC power costs.xls Chart 2_04 07E Wild Horse Wind Expansion (C) (2)_Electric Rev Req Model (2009 GRC) Rebuttal REmoval of New  WH Solar AdjustMI 2" xfId="2172"/>
    <cellStyle name="_VC 6.15.06 update on 06GRC power costs.xls Chart 2_04 07E Wild Horse Wind Expansion (C) (2)_Electric Rev Req Model (2009 GRC) Revised 01-18-2010" xfId="2173"/>
    <cellStyle name="_VC 6.15.06 update on 06GRC power costs.xls Chart 2_04 07E Wild Horse Wind Expansion (C) (2)_Electric Rev Req Model (2009 GRC) Revised 01-18-2010 2" xfId="2174"/>
    <cellStyle name="_VC 6.15.06 update on 06GRC power costs.xls Chart 2_04 07E Wild Horse Wind Expansion (C) (2)_Final Order Electric EXHIBIT A-1" xfId="2175"/>
    <cellStyle name="_VC 6.15.06 update on 06GRC power costs.xls Chart 2_04 07E Wild Horse Wind Expansion (C) (2)_TENASKA REGULATORY ASSET" xfId="2176"/>
    <cellStyle name="_VC 6.15.06 update on 06GRC power costs.xls Chart 2_16.37E Wild Horse Expansion DeferralRevwrkingfile SF" xfId="2177"/>
    <cellStyle name="_VC 6.15.06 update on 06GRC power costs.xls Chart 2_16.37E Wild Horse Expansion DeferralRevwrkingfile SF 2" xfId="2178"/>
    <cellStyle name="_VC 6.15.06 update on 06GRC power costs.xls Chart 2_2009 GRC Compl Filing - Exhibit D" xfId="2179"/>
    <cellStyle name="_VC 6.15.06 update on 06GRC power costs.xls Chart 2_2009 GRC Compl Filing - Exhibit D 2" xfId="2180"/>
    <cellStyle name="_VC 6.15.06 update on 06GRC power costs.xls Chart 2_4 31 Regulatory Assets and Liabilities  7 06- Exhibit D" xfId="2181"/>
    <cellStyle name="_VC 6.15.06 update on 06GRC power costs.xls Chart 2_4 31 Regulatory Assets and Liabilities  7 06- Exhibit D 2" xfId="2182"/>
    <cellStyle name="_VC 6.15.06 update on 06GRC power costs.xls Chart 2_4 31 Regulatory Assets and Liabilities  7 06- Exhibit D_NIM Summary" xfId="2183"/>
    <cellStyle name="_VC 6.15.06 update on 06GRC power costs.xls Chart 2_4 31 Regulatory Assets and Liabilities  7 06- Exhibit D_NIM Summary 2" xfId="2184"/>
    <cellStyle name="_VC 6.15.06 update on 06GRC power costs.xls Chart 2_4 32 Regulatory Assets and Liabilities  7 06- Exhibit D" xfId="2185"/>
    <cellStyle name="_VC 6.15.06 update on 06GRC power costs.xls Chart 2_4 32 Regulatory Assets and Liabilities  7 06- Exhibit D 2" xfId="2186"/>
    <cellStyle name="_VC 6.15.06 update on 06GRC power costs.xls Chart 2_4 32 Regulatory Assets and Liabilities  7 06- Exhibit D_NIM Summary" xfId="2187"/>
    <cellStyle name="_VC 6.15.06 update on 06GRC power costs.xls Chart 2_4 32 Regulatory Assets and Liabilities  7 06- Exhibit D_NIM Summary 2" xfId="2188"/>
    <cellStyle name="_VC 6.15.06 update on 06GRC power costs.xls Chart 2_AURORA Total New" xfId="2189"/>
    <cellStyle name="_VC 6.15.06 update on 06GRC power costs.xls Chart 2_AURORA Total New 2" xfId="2190"/>
    <cellStyle name="_VC 6.15.06 update on 06GRC power costs.xls Chart 2_Book2" xfId="2191"/>
    <cellStyle name="_VC 6.15.06 update on 06GRC power costs.xls Chart 2_Book2 2" xfId="2192"/>
    <cellStyle name="_VC 6.15.06 update on 06GRC power costs.xls Chart 2_Book2_Adj Bench DR 3 for Initial Briefs (Electric)" xfId="2193"/>
    <cellStyle name="_VC 6.15.06 update on 06GRC power costs.xls Chart 2_Book2_Adj Bench DR 3 for Initial Briefs (Electric) 2" xfId="2194"/>
    <cellStyle name="_VC 6.15.06 update on 06GRC power costs.xls Chart 2_Book2_Electric Rev Req Model (2009 GRC) Rebuttal" xfId="2195"/>
    <cellStyle name="_VC 6.15.06 update on 06GRC power costs.xls Chart 2_Book2_Electric Rev Req Model (2009 GRC) Rebuttal REmoval of New  WH Solar AdjustMI" xfId="2196"/>
    <cellStyle name="_VC 6.15.06 update on 06GRC power costs.xls Chart 2_Book2_Electric Rev Req Model (2009 GRC) Rebuttal REmoval of New  WH Solar AdjustMI 2" xfId="2197"/>
    <cellStyle name="_VC 6.15.06 update on 06GRC power costs.xls Chart 2_Book2_Electric Rev Req Model (2009 GRC) Revised 01-18-2010" xfId="2198"/>
    <cellStyle name="_VC 6.15.06 update on 06GRC power costs.xls Chart 2_Book2_Electric Rev Req Model (2009 GRC) Revised 01-18-2010 2" xfId="2199"/>
    <cellStyle name="_VC 6.15.06 update on 06GRC power costs.xls Chart 2_Book2_Final Order Electric EXHIBIT A-1" xfId="2200"/>
    <cellStyle name="_VC 6.15.06 update on 06GRC power costs.xls Chart 2_Book4" xfId="2201"/>
    <cellStyle name="_VC 6.15.06 update on 06GRC power costs.xls Chart 2_Book4 2" xfId="2202"/>
    <cellStyle name="_VC 6.15.06 update on 06GRC power costs.xls Chart 2_Book9" xfId="2203"/>
    <cellStyle name="_VC 6.15.06 update on 06GRC power costs.xls Chart 2_Book9 2" xfId="2204"/>
    <cellStyle name="_VC 6.15.06 update on 06GRC power costs.xls Chart 2_NIM Summary" xfId="2205"/>
    <cellStyle name="_VC 6.15.06 update on 06GRC power costs.xls Chart 2_NIM Summary 09GRC" xfId="2206"/>
    <cellStyle name="_VC 6.15.06 update on 06GRC power costs.xls Chart 2_NIM Summary 09GRC 2" xfId="2207"/>
    <cellStyle name="_VC 6.15.06 update on 06GRC power costs.xls Chart 2_NIM Summary 2" xfId="2208"/>
    <cellStyle name="_VC 6.15.06 update on 06GRC power costs.xls Chart 2_NIM Summary 3" xfId="2209"/>
    <cellStyle name="_VC 6.15.06 update on 06GRC power costs.xls Chart 2_PCA 9 -  Exhibit D April 2010 (3)" xfId="2210"/>
    <cellStyle name="_VC 6.15.06 update on 06GRC power costs.xls Chart 2_PCA 9 -  Exhibit D April 2010 (3) 2" xfId="2211"/>
    <cellStyle name="_VC 6.15.06 update on 06GRC power costs.xls Chart 2_Power Costs - Comparison bx Rbtl-Staff-Jt-PC" xfId="2212"/>
    <cellStyle name="_VC 6.15.06 update on 06GRC power costs.xls Chart 2_Power Costs - Comparison bx Rbtl-Staff-Jt-PC 2" xfId="2213"/>
    <cellStyle name="_VC 6.15.06 update on 06GRC power costs.xls Chart 2_Power Costs - Comparison bx Rbtl-Staff-Jt-PC_Adj Bench DR 3 for Initial Briefs (Electric)" xfId="2214"/>
    <cellStyle name="_VC 6.15.06 update on 06GRC power costs.xls Chart 2_Power Costs - Comparison bx Rbtl-Staff-Jt-PC_Adj Bench DR 3 for Initial Briefs (Electric) 2" xfId="2215"/>
    <cellStyle name="_VC 6.15.06 update on 06GRC power costs.xls Chart 2_Power Costs - Comparison bx Rbtl-Staff-Jt-PC_Electric Rev Req Model (2009 GRC) Rebuttal" xfId="2216"/>
    <cellStyle name="_VC 6.15.06 update on 06GRC power costs.xls Chart 2_Power Costs - Comparison bx Rbtl-Staff-Jt-PC_Electric Rev Req Model (2009 GRC) Rebuttal REmoval of New  WH Solar AdjustMI" xfId="2217"/>
    <cellStyle name="_VC 6.15.06 update on 06GRC power costs.xls Chart 2_Power Costs - Comparison bx Rbtl-Staff-Jt-PC_Electric Rev Req Model (2009 GRC) Rebuttal REmoval of New  WH Solar AdjustMI 2" xfId="2218"/>
    <cellStyle name="_VC 6.15.06 update on 06GRC power costs.xls Chart 2_Power Costs - Comparison bx Rbtl-Staff-Jt-PC_Electric Rev Req Model (2009 GRC) Revised 01-18-2010" xfId="2219"/>
    <cellStyle name="_VC 6.15.06 update on 06GRC power costs.xls Chart 2_Power Costs - Comparison bx Rbtl-Staff-Jt-PC_Electric Rev Req Model (2009 GRC) Revised 01-18-2010 2" xfId="2220"/>
    <cellStyle name="_VC 6.15.06 update on 06GRC power costs.xls Chart 2_Power Costs - Comparison bx Rbtl-Staff-Jt-PC_Final Order Electric EXHIBIT A-1" xfId="2221"/>
    <cellStyle name="_VC 6.15.06 update on 06GRC power costs.xls Chart 2_Rebuttal Power Costs" xfId="2222"/>
    <cellStyle name="_VC 6.15.06 update on 06GRC power costs.xls Chart 2_Rebuttal Power Costs 2" xfId="2223"/>
    <cellStyle name="_VC 6.15.06 update on 06GRC power costs.xls Chart 2_Rebuttal Power Costs_Adj Bench DR 3 for Initial Briefs (Electric)" xfId="2224"/>
    <cellStyle name="_VC 6.15.06 update on 06GRC power costs.xls Chart 2_Rebuttal Power Costs_Adj Bench DR 3 for Initial Briefs (Electric) 2" xfId="2225"/>
    <cellStyle name="_VC 6.15.06 update on 06GRC power costs.xls Chart 2_Rebuttal Power Costs_Electric Rev Req Model (2009 GRC) Rebuttal" xfId="2226"/>
    <cellStyle name="_VC 6.15.06 update on 06GRC power costs.xls Chart 2_Rebuttal Power Costs_Electric Rev Req Model (2009 GRC) Rebuttal REmoval of New  WH Solar AdjustMI" xfId="2227"/>
    <cellStyle name="_VC 6.15.06 update on 06GRC power costs.xls Chart 2_Rebuttal Power Costs_Electric Rev Req Model (2009 GRC) Rebuttal REmoval of New  WH Solar AdjustMI 2" xfId="2228"/>
    <cellStyle name="_VC 6.15.06 update on 06GRC power costs.xls Chart 2_Rebuttal Power Costs_Electric Rev Req Model (2009 GRC) Revised 01-18-2010" xfId="2229"/>
    <cellStyle name="_VC 6.15.06 update on 06GRC power costs.xls Chart 2_Rebuttal Power Costs_Electric Rev Req Model (2009 GRC) Revised 01-18-2010 2" xfId="2230"/>
    <cellStyle name="_VC 6.15.06 update on 06GRC power costs.xls Chart 2_Rebuttal Power Costs_Final Order Electric EXHIBIT A-1" xfId="2231"/>
    <cellStyle name="_VC 6.15.06 update on 06GRC power costs.xls Chart 2_Wind Integration 10GRC" xfId="2232"/>
    <cellStyle name="_VC 6.15.06 update on 06GRC power costs.xls Chart 2_Wind Integration 10GRC 2" xfId="2233"/>
    <cellStyle name="_VC 6.15.06 update on 06GRC power costs.xls Chart 3" xfId="2234"/>
    <cellStyle name="_VC 6.15.06 update on 06GRC power costs.xls Chart 3 2" xfId="2235"/>
    <cellStyle name="_VC 6.15.06 update on 06GRC power costs.xls Chart 3 2 2" xfId="2236"/>
    <cellStyle name="_VC 6.15.06 update on 06GRC power costs.xls Chart 3 3" xfId="2237"/>
    <cellStyle name="_VC 6.15.06 update on 06GRC power costs.xls Chart 3 4" xfId="2238"/>
    <cellStyle name="_VC 6.15.06 update on 06GRC power costs.xls Chart 3_04 07E Wild Horse Wind Expansion (C) (2)" xfId="2239"/>
    <cellStyle name="_VC 6.15.06 update on 06GRC power costs.xls Chart 3_04 07E Wild Horse Wind Expansion (C) (2) 2" xfId="2240"/>
    <cellStyle name="_VC 6.15.06 update on 06GRC power costs.xls Chart 3_04 07E Wild Horse Wind Expansion (C) (2)_Adj Bench DR 3 for Initial Briefs (Electric)" xfId="2241"/>
    <cellStyle name="_VC 6.15.06 update on 06GRC power costs.xls Chart 3_04 07E Wild Horse Wind Expansion (C) (2)_Adj Bench DR 3 for Initial Briefs (Electric) 2" xfId="2242"/>
    <cellStyle name="_VC 6.15.06 update on 06GRC power costs.xls Chart 3_04 07E Wild Horse Wind Expansion (C) (2)_Electric Rev Req Model (2009 GRC) " xfId="2243"/>
    <cellStyle name="_VC 6.15.06 update on 06GRC power costs.xls Chart 3_04 07E Wild Horse Wind Expansion (C) (2)_Electric Rev Req Model (2009 GRC)  2" xfId="2244"/>
    <cellStyle name="_VC 6.15.06 update on 06GRC power costs.xls Chart 3_04 07E Wild Horse Wind Expansion (C) (2)_Electric Rev Req Model (2009 GRC) Rebuttal" xfId="2245"/>
    <cellStyle name="_VC 6.15.06 update on 06GRC power costs.xls Chart 3_04 07E Wild Horse Wind Expansion (C) (2)_Electric Rev Req Model (2009 GRC) Rebuttal REmoval of New  WH Solar AdjustMI" xfId="2246"/>
    <cellStyle name="_VC 6.15.06 update on 06GRC power costs.xls Chart 3_04 07E Wild Horse Wind Expansion (C) (2)_Electric Rev Req Model (2009 GRC) Rebuttal REmoval of New  WH Solar AdjustMI 2" xfId="2247"/>
    <cellStyle name="_VC 6.15.06 update on 06GRC power costs.xls Chart 3_04 07E Wild Horse Wind Expansion (C) (2)_Electric Rev Req Model (2009 GRC) Revised 01-18-2010" xfId="2248"/>
    <cellStyle name="_VC 6.15.06 update on 06GRC power costs.xls Chart 3_04 07E Wild Horse Wind Expansion (C) (2)_Electric Rev Req Model (2009 GRC) Revised 01-18-2010 2" xfId="2249"/>
    <cellStyle name="_VC 6.15.06 update on 06GRC power costs.xls Chart 3_04 07E Wild Horse Wind Expansion (C) (2)_Final Order Electric EXHIBIT A-1" xfId="2250"/>
    <cellStyle name="_VC 6.15.06 update on 06GRC power costs.xls Chart 3_04 07E Wild Horse Wind Expansion (C) (2)_TENASKA REGULATORY ASSET" xfId="2251"/>
    <cellStyle name="_VC 6.15.06 update on 06GRC power costs.xls Chart 3_16.37E Wild Horse Expansion DeferralRevwrkingfile SF" xfId="2252"/>
    <cellStyle name="_VC 6.15.06 update on 06GRC power costs.xls Chart 3_16.37E Wild Horse Expansion DeferralRevwrkingfile SF 2" xfId="2253"/>
    <cellStyle name="_VC 6.15.06 update on 06GRC power costs.xls Chart 3_2009 GRC Compl Filing - Exhibit D" xfId="2254"/>
    <cellStyle name="_VC 6.15.06 update on 06GRC power costs.xls Chart 3_2009 GRC Compl Filing - Exhibit D 2" xfId="2255"/>
    <cellStyle name="_VC 6.15.06 update on 06GRC power costs.xls Chart 3_4 31 Regulatory Assets and Liabilities  7 06- Exhibit D" xfId="2256"/>
    <cellStyle name="_VC 6.15.06 update on 06GRC power costs.xls Chart 3_4 31 Regulatory Assets and Liabilities  7 06- Exhibit D 2" xfId="2257"/>
    <cellStyle name="_VC 6.15.06 update on 06GRC power costs.xls Chart 3_4 31 Regulatory Assets and Liabilities  7 06- Exhibit D_NIM Summary" xfId="2258"/>
    <cellStyle name="_VC 6.15.06 update on 06GRC power costs.xls Chart 3_4 31 Regulatory Assets and Liabilities  7 06- Exhibit D_NIM Summary 2" xfId="2259"/>
    <cellStyle name="_VC 6.15.06 update on 06GRC power costs.xls Chart 3_4 32 Regulatory Assets and Liabilities  7 06- Exhibit D" xfId="2260"/>
    <cellStyle name="_VC 6.15.06 update on 06GRC power costs.xls Chart 3_4 32 Regulatory Assets and Liabilities  7 06- Exhibit D 2" xfId="2261"/>
    <cellStyle name="_VC 6.15.06 update on 06GRC power costs.xls Chart 3_4 32 Regulatory Assets and Liabilities  7 06- Exhibit D_NIM Summary" xfId="2262"/>
    <cellStyle name="_VC 6.15.06 update on 06GRC power costs.xls Chart 3_4 32 Regulatory Assets and Liabilities  7 06- Exhibit D_NIM Summary 2" xfId="2263"/>
    <cellStyle name="_VC 6.15.06 update on 06GRC power costs.xls Chart 3_AURORA Total New" xfId="2264"/>
    <cellStyle name="_VC 6.15.06 update on 06GRC power costs.xls Chart 3_AURORA Total New 2" xfId="2265"/>
    <cellStyle name="_VC 6.15.06 update on 06GRC power costs.xls Chart 3_Book2" xfId="2266"/>
    <cellStyle name="_VC 6.15.06 update on 06GRC power costs.xls Chart 3_Book2 2" xfId="2267"/>
    <cellStyle name="_VC 6.15.06 update on 06GRC power costs.xls Chart 3_Book2_Adj Bench DR 3 for Initial Briefs (Electric)" xfId="2268"/>
    <cellStyle name="_VC 6.15.06 update on 06GRC power costs.xls Chart 3_Book2_Adj Bench DR 3 for Initial Briefs (Electric) 2" xfId="2269"/>
    <cellStyle name="_VC 6.15.06 update on 06GRC power costs.xls Chart 3_Book2_Electric Rev Req Model (2009 GRC) Rebuttal" xfId="2270"/>
    <cellStyle name="_VC 6.15.06 update on 06GRC power costs.xls Chart 3_Book2_Electric Rev Req Model (2009 GRC) Rebuttal REmoval of New  WH Solar AdjustMI" xfId="2271"/>
    <cellStyle name="_VC 6.15.06 update on 06GRC power costs.xls Chart 3_Book2_Electric Rev Req Model (2009 GRC) Rebuttal REmoval of New  WH Solar AdjustMI 2" xfId="2272"/>
    <cellStyle name="_VC 6.15.06 update on 06GRC power costs.xls Chart 3_Book2_Electric Rev Req Model (2009 GRC) Revised 01-18-2010" xfId="2273"/>
    <cellStyle name="_VC 6.15.06 update on 06GRC power costs.xls Chart 3_Book2_Electric Rev Req Model (2009 GRC) Revised 01-18-2010 2" xfId="2274"/>
    <cellStyle name="_VC 6.15.06 update on 06GRC power costs.xls Chart 3_Book2_Final Order Electric EXHIBIT A-1" xfId="2275"/>
    <cellStyle name="_VC 6.15.06 update on 06GRC power costs.xls Chart 3_Book4" xfId="2276"/>
    <cellStyle name="_VC 6.15.06 update on 06GRC power costs.xls Chart 3_Book4 2" xfId="2277"/>
    <cellStyle name="_VC 6.15.06 update on 06GRC power costs.xls Chart 3_Book9" xfId="2278"/>
    <cellStyle name="_VC 6.15.06 update on 06GRC power costs.xls Chart 3_Book9 2" xfId="2279"/>
    <cellStyle name="_VC 6.15.06 update on 06GRC power costs.xls Chart 3_NIM Summary" xfId="2280"/>
    <cellStyle name="_VC 6.15.06 update on 06GRC power costs.xls Chart 3_NIM Summary 09GRC" xfId="2281"/>
    <cellStyle name="_VC 6.15.06 update on 06GRC power costs.xls Chart 3_NIM Summary 09GRC 2" xfId="2282"/>
    <cellStyle name="_VC 6.15.06 update on 06GRC power costs.xls Chart 3_NIM Summary 2" xfId="2283"/>
    <cellStyle name="_VC 6.15.06 update on 06GRC power costs.xls Chart 3_NIM Summary 3" xfId="2284"/>
    <cellStyle name="_VC 6.15.06 update on 06GRC power costs.xls Chart 3_PCA 9 -  Exhibit D April 2010 (3)" xfId="2285"/>
    <cellStyle name="_VC 6.15.06 update on 06GRC power costs.xls Chart 3_PCA 9 -  Exhibit D April 2010 (3) 2" xfId="2286"/>
    <cellStyle name="_VC 6.15.06 update on 06GRC power costs.xls Chart 3_Power Costs - Comparison bx Rbtl-Staff-Jt-PC" xfId="2287"/>
    <cellStyle name="_VC 6.15.06 update on 06GRC power costs.xls Chart 3_Power Costs - Comparison bx Rbtl-Staff-Jt-PC 2" xfId="2288"/>
    <cellStyle name="_VC 6.15.06 update on 06GRC power costs.xls Chart 3_Power Costs - Comparison bx Rbtl-Staff-Jt-PC_Adj Bench DR 3 for Initial Briefs (Electric)" xfId="2289"/>
    <cellStyle name="_VC 6.15.06 update on 06GRC power costs.xls Chart 3_Power Costs - Comparison bx Rbtl-Staff-Jt-PC_Adj Bench DR 3 for Initial Briefs (Electric) 2" xfId="2290"/>
    <cellStyle name="_VC 6.15.06 update on 06GRC power costs.xls Chart 3_Power Costs - Comparison bx Rbtl-Staff-Jt-PC_Electric Rev Req Model (2009 GRC) Rebuttal" xfId="2291"/>
    <cellStyle name="_VC 6.15.06 update on 06GRC power costs.xls Chart 3_Power Costs - Comparison bx Rbtl-Staff-Jt-PC_Electric Rev Req Model (2009 GRC) Rebuttal REmoval of New  WH Solar AdjustMI" xfId="2292"/>
    <cellStyle name="_VC 6.15.06 update on 06GRC power costs.xls Chart 3_Power Costs - Comparison bx Rbtl-Staff-Jt-PC_Electric Rev Req Model (2009 GRC) Rebuttal REmoval of New  WH Solar AdjustMI 2" xfId="2293"/>
    <cellStyle name="_VC 6.15.06 update on 06GRC power costs.xls Chart 3_Power Costs - Comparison bx Rbtl-Staff-Jt-PC_Electric Rev Req Model (2009 GRC) Revised 01-18-2010" xfId="2294"/>
    <cellStyle name="_VC 6.15.06 update on 06GRC power costs.xls Chart 3_Power Costs - Comparison bx Rbtl-Staff-Jt-PC_Electric Rev Req Model (2009 GRC) Revised 01-18-2010 2" xfId="2295"/>
    <cellStyle name="_VC 6.15.06 update on 06GRC power costs.xls Chart 3_Power Costs - Comparison bx Rbtl-Staff-Jt-PC_Final Order Electric EXHIBIT A-1" xfId="2296"/>
    <cellStyle name="_VC 6.15.06 update on 06GRC power costs.xls Chart 3_Rebuttal Power Costs" xfId="2297"/>
    <cellStyle name="_VC 6.15.06 update on 06GRC power costs.xls Chart 3_Rebuttal Power Costs 2" xfId="2298"/>
    <cellStyle name="_VC 6.15.06 update on 06GRC power costs.xls Chart 3_Rebuttal Power Costs_Adj Bench DR 3 for Initial Briefs (Electric)" xfId="2299"/>
    <cellStyle name="_VC 6.15.06 update on 06GRC power costs.xls Chart 3_Rebuttal Power Costs_Adj Bench DR 3 for Initial Briefs (Electric) 2" xfId="2300"/>
    <cellStyle name="_VC 6.15.06 update on 06GRC power costs.xls Chart 3_Rebuttal Power Costs_Electric Rev Req Model (2009 GRC) Rebuttal" xfId="2301"/>
    <cellStyle name="_VC 6.15.06 update on 06GRC power costs.xls Chart 3_Rebuttal Power Costs_Electric Rev Req Model (2009 GRC) Rebuttal REmoval of New  WH Solar AdjustMI" xfId="2302"/>
    <cellStyle name="_VC 6.15.06 update on 06GRC power costs.xls Chart 3_Rebuttal Power Costs_Electric Rev Req Model (2009 GRC) Rebuttal REmoval of New  WH Solar AdjustMI 2" xfId="2303"/>
    <cellStyle name="_VC 6.15.06 update on 06GRC power costs.xls Chart 3_Rebuttal Power Costs_Electric Rev Req Model (2009 GRC) Revised 01-18-2010" xfId="2304"/>
    <cellStyle name="_VC 6.15.06 update on 06GRC power costs.xls Chart 3_Rebuttal Power Costs_Electric Rev Req Model (2009 GRC) Revised 01-18-2010 2" xfId="2305"/>
    <cellStyle name="_VC 6.15.06 update on 06GRC power costs.xls Chart 3_Rebuttal Power Costs_Final Order Electric EXHIBIT A-1" xfId="2306"/>
    <cellStyle name="_VC 6.15.06 update on 06GRC power costs.xls Chart 3_Wind Integration 10GRC" xfId="2307"/>
    <cellStyle name="_VC 6.15.06 update on 06GRC power costs.xls Chart 3_Wind Integration 10GRC 2" xfId="2308"/>
    <cellStyle name="_Worksheet" xfId="2309"/>
    <cellStyle name="_Worksheet_NIM Summary" xfId="2310"/>
    <cellStyle name="_Worksheet_NIM Summary 2" xfId="2311"/>
    <cellStyle name="_Worksheet_Transmission Workbook for May BOD" xfId="2312"/>
    <cellStyle name="_Worksheet_Transmission Workbook for May BOD 2" xfId="2313"/>
    <cellStyle name="_Worksheet_Wind Integration 10GRC" xfId="2314"/>
    <cellStyle name="_Worksheet_Wind Integration 10GRC 2" xfId="2315"/>
    <cellStyle name="0,0&#13;&#10;NA&#13;&#10;" xfId="2316"/>
    <cellStyle name="20% - Accent1" xfId="2317"/>
    <cellStyle name="20% - Accent1 2" xfId="2318"/>
    <cellStyle name="20% - Accent1 2 2" xfId="2319"/>
    <cellStyle name="20% - Accent1 2 2 2" xfId="2320"/>
    <cellStyle name="20% - Accent1 2 3" xfId="2321"/>
    <cellStyle name="20% - Accent1 2_2009 GRC Compl Filing - Exhibit D" xfId="2322"/>
    <cellStyle name="20% - Accent1 3" xfId="2323"/>
    <cellStyle name="20% - Accent1 3 2" xfId="2324"/>
    <cellStyle name="20% - Accent1 4" xfId="2325"/>
    <cellStyle name="20% - Accent1 5" xfId="2326"/>
    <cellStyle name="20% - Accent2" xfId="2327"/>
    <cellStyle name="20% - Accent2 2" xfId="2328"/>
    <cellStyle name="20% - Accent2 2 2" xfId="2329"/>
    <cellStyle name="20% - Accent2 2 2 2" xfId="2330"/>
    <cellStyle name="20% - Accent2 2 3" xfId="2331"/>
    <cellStyle name="20% - Accent2 2_2009 GRC Compl Filing - Exhibit D" xfId="2332"/>
    <cellStyle name="20% - Accent2 3" xfId="2333"/>
    <cellStyle name="20% - Accent2 3 2" xfId="2334"/>
    <cellStyle name="20% - Accent2 4" xfId="2335"/>
    <cellStyle name="20% - Accent2 5" xfId="2336"/>
    <cellStyle name="20% - Accent3" xfId="2337"/>
    <cellStyle name="20% - Accent3 2" xfId="2338"/>
    <cellStyle name="20% - Accent3 2 2" xfId="2339"/>
    <cellStyle name="20% - Accent3 2 2 2" xfId="2340"/>
    <cellStyle name="20% - Accent3 2 3" xfId="2341"/>
    <cellStyle name="20% - Accent3 2_2009 GRC Compl Filing - Exhibit D" xfId="2342"/>
    <cellStyle name="20% - Accent3 3" xfId="2343"/>
    <cellStyle name="20% - Accent3 3 2" xfId="2344"/>
    <cellStyle name="20% - Accent3 4" xfId="2345"/>
    <cellStyle name="20% - Accent3 5" xfId="2346"/>
    <cellStyle name="20% - Accent4" xfId="2347"/>
    <cellStyle name="20% - Accent4 2" xfId="2348"/>
    <cellStyle name="20% - Accent4 2 2" xfId="2349"/>
    <cellStyle name="20% - Accent4 2 2 2" xfId="2350"/>
    <cellStyle name="20% - Accent4 2 3" xfId="2351"/>
    <cellStyle name="20% - Accent4 2_2009 GRC Compl Filing - Exhibit D" xfId="2352"/>
    <cellStyle name="20% - Accent4 3" xfId="2353"/>
    <cellStyle name="20% - Accent4 3 2" xfId="2354"/>
    <cellStyle name="20% - Accent4 4" xfId="2355"/>
    <cellStyle name="20% - Accent4 5" xfId="2356"/>
    <cellStyle name="20% - Accent5" xfId="2357"/>
    <cellStyle name="20% - Accent5 2" xfId="2358"/>
    <cellStyle name="20% - Accent5 2 2" xfId="2359"/>
    <cellStyle name="20% - Accent5 2 2 2" xfId="2360"/>
    <cellStyle name="20% - Accent5 2 3" xfId="2361"/>
    <cellStyle name="20% - Accent5 2_2009 GRC Compl Filing - Exhibit D" xfId="2362"/>
    <cellStyle name="20% - Accent5 3" xfId="2363"/>
    <cellStyle name="20% - Accent5 3 2" xfId="2364"/>
    <cellStyle name="20% - Accent5 4" xfId="2365"/>
    <cellStyle name="20% - Accent5 5" xfId="2366"/>
    <cellStyle name="20% - Accent6" xfId="2367"/>
    <cellStyle name="20% - Accent6 2" xfId="2368"/>
    <cellStyle name="20% - Accent6 2 2" xfId="2369"/>
    <cellStyle name="20% - Accent6 2 2 2" xfId="2370"/>
    <cellStyle name="20% - Accent6 2 3" xfId="2371"/>
    <cellStyle name="20% - Accent6 2_2009 GRC Compl Filing - Exhibit D" xfId="2372"/>
    <cellStyle name="20% - Accent6 3" xfId="2373"/>
    <cellStyle name="20% - Accent6 3 2" xfId="2374"/>
    <cellStyle name="20% - Accent6 4" xfId="2375"/>
    <cellStyle name="20% - Accent6 5" xfId="2376"/>
    <cellStyle name="40% - Accent1" xfId="2377"/>
    <cellStyle name="40% - Accent1 2" xfId="2378"/>
    <cellStyle name="40% - Accent1 2 2" xfId="2379"/>
    <cellStyle name="40% - Accent1 2 2 2" xfId="2380"/>
    <cellStyle name="40% - Accent1 2 3" xfId="2381"/>
    <cellStyle name="40% - Accent1 2_2009 GRC Compl Filing - Exhibit D" xfId="2382"/>
    <cellStyle name="40% - Accent1 3" xfId="2383"/>
    <cellStyle name="40% - Accent1 3 2" xfId="2384"/>
    <cellStyle name="40% - Accent1 4" xfId="2385"/>
    <cellStyle name="40% - Accent1 5" xfId="2386"/>
    <cellStyle name="40% - Accent2" xfId="2387"/>
    <cellStyle name="40% - Accent2 2" xfId="2388"/>
    <cellStyle name="40% - Accent2 2 2" xfId="2389"/>
    <cellStyle name="40% - Accent2 2 2 2" xfId="2390"/>
    <cellStyle name="40% - Accent2 2 3" xfId="2391"/>
    <cellStyle name="40% - Accent2 2_2009 GRC Compl Filing - Exhibit D" xfId="2392"/>
    <cellStyle name="40% - Accent2 3" xfId="2393"/>
    <cellStyle name="40% - Accent2 3 2" xfId="2394"/>
    <cellStyle name="40% - Accent2 4" xfId="2395"/>
    <cellStyle name="40% - Accent2 5" xfId="2396"/>
    <cellStyle name="40% - Accent3" xfId="2397"/>
    <cellStyle name="40% - Accent3 2" xfId="2398"/>
    <cellStyle name="40% - Accent3 2 2" xfId="2399"/>
    <cellStyle name="40% - Accent3 2 2 2" xfId="2400"/>
    <cellStyle name="40% - Accent3 2 3" xfId="2401"/>
    <cellStyle name="40% - Accent3 2_2009 GRC Compl Filing - Exhibit D" xfId="2402"/>
    <cellStyle name="40% - Accent3 3" xfId="2403"/>
    <cellStyle name="40% - Accent3 3 2" xfId="2404"/>
    <cellStyle name="40% - Accent3 4" xfId="2405"/>
    <cellStyle name="40% - Accent3 5" xfId="2406"/>
    <cellStyle name="40% - Accent4" xfId="2407"/>
    <cellStyle name="40% - Accent4 2" xfId="2408"/>
    <cellStyle name="40% - Accent4 2 2" xfId="2409"/>
    <cellStyle name="40% - Accent4 2 2 2" xfId="2410"/>
    <cellStyle name="40% - Accent4 2 3" xfId="2411"/>
    <cellStyle name="40% - Accent4 2_2009 GRC Compl Filing - Exhibit D" xfId="2412"/>
    <cellStyle name="40% - Accent4 3" xfId="2413"/>
    <cellStyle name="40% - Accent4 3 2" xfId="2414"/>
    <cellStyle name="40% - Accent4 4" xfId="2415"/>
    <cellStyle name="40% - Accent4 5" xfId="2416"/>
    <cellStyle name="40% - Accent5" xfId="2417"/>
    <cellStyle name="40% - Accent5 2" xfId="2418"/>
    <cellStyle name="40% - Accent5 2 2" xfId="2419"/>
    <cellStyle name="40% - Accent5 2 2 2" xfId="2420"/>
    <cellStyle name="40% - Accent5 2 3" xfId="2421"/>
    <cellStyle name="40% - Accent5 2_2009 GRC Compl Filing - Exhibit D" xfId="2422"/>
    <cellStyle name="40% - Accent5 3" xfId="2423"/>
    <cellStyle name="40% - Accent5 3 2" xfId="2424"/>
    <cellStyle name="40% - Accent5 4" xfId="2425"/>
    <cellStyle name="40% - Accent5 5" xfId="2426"/>
    <cellStyle name="40% - Accent6" xfId="2427"/>
    <cellStyle name="40% - Accent6 2" xfId="2428"/>
    <cellStyle name="40% - Accent6 2 2" xfId="2429"/>
    <cellStyle name="40% - Accent6 2 2 2" xfId="2430"/>
    <cellStyle name="40% - Accent6 2 3" xfId="2431"/>
    <cellStyle name="40% - Accent6 2_2009 GRC Compl Filing - Exhibit D" xfId="2432"/>
    <cellStyle name="40% - Accent6 3" xfId="2433"/>
    <cellStyle name="40% - Accent6 3 2" xfId="2434"/>
    <cellStyle name="40% - Accent6 4" xfId="2435"/>
    <cellStyle name="40% - Accent6 5" xfId="2436"/>
    <cellStyle name="60% - Accent1" xfId="2437"/>
    <cellStyle name="60% - Accent1 2" xfId="2438"/>
    <cellStyle name="60% - Accent1 2 2" xfId="2439"/>
    <cellStyle name="60% - Accent1 3" xfId="2440"/>
    <cellStyle name="60% - Accent2" xfId="2441"/>
    <cellStyle name="60% - Accent2 2" xfId="2442"/>
    <cellStyle name="60% - Accent2 2 2" xfId="2443"/>
    <cellStyle name="60% - Accent2 3" xfId="2444"/>
    <cellStyle name="60% - Accent3" xfId="2445"/>
    <cellStyle name="60% - Accent3 2" xfId="2446"/>
    <cellStyle name="60% - Accent3 2 2" xfId="2447"/>
    <cellStyle name="60% - Accent3 3" xfId="2448"/>
    <cellStyle name="60% - Accent4" xfId="2449"/>
    <cellStyle name="60% - Accent4 2" xfId="2450"/>
    <cellStyle name="60% - Accent4 2 2" xfId="2451"/>
    <cellStyle name="60% - Accent4 3" xfId="2452"/>
    <cellStyle name="60% - Accent5" xfId="2453"/>
    <cellStyle name="60% - Accent5 2" xfId="2454"/>
    <cellStyle name="60% - Accent5 2 2" xfId="2455"/>
    <cellStyle name="60% - Accent5 3" xfId="2456"/>
    <cellStyle name="60% - Accent6" xfId="2457"/>
    <cellStyle name="60% - Accent6 2" xfId="2458"/>
    <cellStyle name="60% - Accent6 2 2" xfId="2459"/>
    <cellStyle name="60% - Accent6 3" xfId="2460"/>
    <cellStyle name="Accent1" xfId="2461"/>
    <cellStyle name="Accent1 - 20%" xfId="2462"/>
    <cellStyle name="Accent1 - 40%" xfId="2463"/>
    <cellStyle name="Accent1 - 60%" xfId="2464"/>
    <cellStyle name="Accent1 2" xfId="2465"/>
    <cellStyle name="Accent1 2 2" xfId="2466"/>
    <cellStyle name="Accent1 3" xfId="2467"/>
    <cellStyle name="Accent2" xfId="2468"/>
    <cellStyle name="Accent2 - 20%" xfId="2469"/>
    <cellStyle name="Accent2 - 40%" xfId="2470"/>
    <cellStyle name="Accent2 - 60%" xfId="2471"/>
    <cellStyle name="Accent2 2" xfId="2472"/>
    <cellStyle name="Accent2 2 2" xfId="2473"/>
    <cellStyle name="Accent2 3" xfId="2474"/>
    <cellStyle name="Accent3" xfId="2475"/>
    <cellStyle name="Accent3 - 20%" xfId="2476"/>
    <cellStyle name="Accent3 - 40%" xfId="2477"/>
    <cellStyle name="Accent3 - 60%" xfId="2478"/>
    <cellStyle name="Accent3 2" xfId="2479"/>
    <cellStyle name="Accent3 2 2" xfId="2480"/>
    <cellStyle name="Accent3 3" xfId="2481"/>
    <cellStyle name="Accent4" xfId="2482"/>
    <cellStyle name="Accent4 - 20%" xfId="2483"/>
    <cellStyle name="Accent4 - 40%" xfId="2484"/>
    <cellStyle name="Accent4 - 60%" xfId="2485"/>
    <cellStyle name="Accent4 2" xfId="2486"/>
    <cellStyle name="Accent4 2 2" xfId="2487"/>
    <cellStyle name="Accent4 3" xfId="2488"/>
    <cellStyle name="Accent5" xfId="2489"/>
    <cellStyle name="Accent5 - 20%" xfId="2490"/>
    <cellStyle name="Accent5 - 40%" xfId="2491"/>
    <cellStyle name="Accent5 - 60%" xfId="2492"/>
    <cellStyle name="Accent5 2" xfId="2493"/>
    <cellStyle name="Accent5 2 2" xfId="2494"/>
    <cellStyle name="Accent5 3" xfId="2495"/>
    <cellStyle name="Accent6" xfId="2496"/>
    <cellStyle name="Accent6 - 20%" xfId="2497"/>
    <cellStyle name="Accent6 - 40%" xfId="2498"/>
    <cellStyle name="Accent6 - 60%" xfId="2499"/>
    <cellStyle name="Accent6 2" xfId="2500"/>
    <cellStyle name="Accent6 2 2" xfId="2501"/>
    <cellStyle name="Accent6 3" xfId="2502"/>
    <cellStyle name="Bad" xfId="2503"/>
    <cellStyle name="Bad 2" xfId="2504"/>
    <cellStyle name="Bad 2 2" xfId="2505"/>
    <cellStyle name="Bad 3" xfId="2506"/>
    <cellStyle name="Calc Currency (0)" xfId="2507"/>
    <cellStyle name="Calc Currency (0) 2" xfId="2508"/>
    <cellStyle name="Calc Currency (0) 3" xfId="2509"/>
    <cellStyle name="Calculation" xfId="2510"/>
    <cellStyle name="Calculation 2" xfId="2511"/>
    <cellStyle name="Calculation 2 2" xfId="2512"/>
    <cellStyle name="Calculation 2 2 2" xfId="2513"/>
    <cellStyle name="Calculation 2 3" xfId="2514"/>
    <cellStyle name="Calculation 3" xfId="2515"/>
    <cellStyle name="Calculation 4" xfId="2516"/>
    <cellStyle name="Calculation 5" xfId="2517"/>
    <cellStyle name="Check Cell" xfId="2518"/>
    <cellStyle name="Check Cell 2" xfId="2519"/>
    <cellStyle name="Check Cell 2 2" xfId="2520"/>
    <cellStyle name="Check Cell 2 2 2" xfId="2521"/>
    <cellStyle name="Check Cell 3" xfId="2522"/>
    <cellStyle name="CheckCell" xfId="2523"/>
    <cellStyle name="CheckCell 2" xfId="2524"/>
    <cellStyle name="CheckCell 2 2" xfId="2525"/>
    <cellStyle name="CheckCell 3" xfId="2526"/>
    <cellStyle name="CheckCell_Electric Rev Req Model (2009 GRC) Rebuttal" xfId="2527"/>
    <cellStyle name="Comma" xfId="2528"/>
    <cellStyle name="Comma [0]" xfId="2529"/>
    <cellStyle name="Comma 10" xfId="2530"/>
    <cellStyle name="Comma 10 2" xfId="2531"/>
    <cellStyle name="Comma 11" xfId="2532"/>
    <cellStyle name="Comma 12" xfId="2533"/>
    <cellStyle name="Comma 12 2" xfId="2534"/>
    <cellStyle name="Comma 13" xfId="2535"/>
    <cellStyle name="Comma 13 2" xfId="2536"/>
    <cellStyle name="Comma 14" xfId="2537"/>
    <cellStyle name="Comma 14 2" xfId="2538"/>
    <cellStyle name="Comma 15" xfId="2539"/>
    <cellStyle name="Comma 15 2" xfId="2540"/>
    <cellStyle name="Comma 16" xfId="2541"/>
    <cellStyle name="Comma 16 2" xfId="2542"/>
    <cellStyle name="Comma 17" xfId="2543"/>
    <cellStyle name="Comma 17 2" xfId="2544"/>
    <cellStyle name="Comma 18" xfId="2545"/>
    <cellStyle name="Comma 18 2" xfId="2546"/>
    <cellStyle name="Comma 19" xfId="2547"/>
    <cellStyle name="Comma 2" xfId="2548"/>
    <cellStyle name="Comma 2 2" xfId="2549"/>
    <cellStyle name="Comma 2 2 2" xfId="2550"/>
    <cellStyle name="Comma 2 3" xfId="2551"/>
    <cellStyle name="Comma 2 4" xfId="2552"/>
    <cellStyle name="Comma 2 5" xfId="2553"/>
    <cellStyle name="Comma 2 6" xfId="2554"/>
    <cellStyle name="Comma 2 7" xfId="2555"/>
    <cellStyle name="Comma 2 8" xfId="2556"/>
    <cellStyle name="Comma 2_DEM-WP(C) Costs Not In AURORA 2010GRC As Filed" xfId="2557"/>
    <cellStyle name="Comma 26" xfId="2558"/>
    <cellStyle name="Comma 27" xfId="2559"/>
    <cellStyle name="Comma 28" xfId="2560"/>
    <cellStyle name="Comma 3" xfId="2561"/>
    <cellStyle name="Comma 3 2" xfId="2562"/>
    <cellStyle name="Comma 4" xfId="2563"/>
    <cellStyle name="Comma 4 2" xfId="2564"/>
    <cellStyle name="Comma 4 2 2" xfId="2565"/>
    <cellStyle name="Comma 4 3" xfId="2566"/>
    <cellStyle name="Comma 5" xfId="2567"/>
    <cellStyle name="Comma 5 2" xfId="2568"/>
    <cellStyle name="Comma 6" xfId="2569"/>
    <cellStyle name="Comma 6 2" xfId="2570"/>
    <cellStyle name="Comma 7" xfId="2571"/>
    <cellStyle name="Comma 7 2" xfId="2572"/>
    <cellStyle name="Comma 8" xfId="2573"/>
    <cellStyle name="Comma 8 2" xfId="2574"/>
    <cellStyle name="Comma 9" xfId="2575"/>
    <cellStyle name="Comma 9 2" xfId="2576"/>
    <cellStyle name="Comma_2.03E Power Costs 60 w-yrs DRAFT 02.13.04" xfId="2577"/>
    <cellStyle name="Comma0" xfId="2578"/>
    <cellStyle name="Comma0 - Style2" xfId="2579"/>
    <cellStyle name="Comma0 - Style4" xfId="2580"/>
    <cellStyle name="Comma0 - Style5" xfId="2581"/>
    <cellStyle name="Comma0 - Style5 2" xfId="2582"/>
    <cellStyle name="Comma0 - Style5_Electric Rev Req Model (2009 GRC) Rebuttal" xfId="2583"/>
    <cellStyle name="Comma0 2" xfId="2584"/>
    <cellStyle name="Comma0 3" xfId="2585"/>
    <cellStyle name="Comma0 4" xfId="2586"/>
    <cellStyle name="Comma0 5" xfId="2587"/>
    <cellStyle name="Comma0_00COS Ind Allocators" xfId="2588"/>
    <cellStyle name="Comma1 - Style1" xfId="2589"/>
    <cellStyle name="Comma1 - Style1 2" xfId="2590"/>
    <cellStyle name="Comma1 - Style1_Electric Rev Req Model (2009 GRC) Rebuttal" xfId="2591"/>
    <cellStyle name="Copied" xfId="2592"/>
    <cellStyle name="Copied 2" xfId="2593"/>
    <cellStyle name="Copied 3" xfId="2594"/>
    <cellStyle name="COST1" xfId="2595"/>
    <cellStyle name="COST1 2" xfId="2596"/>
    <cellStyle name="COST1 3" xfId="2597"/>
    <cellStyle name="Curren - Style1" xfId="2598"/>
    <cellStyle name="Curren - Style2" xfId="2599"/>
    <cellStyle name="Curren - Style2 2" xfId="2600"/>
    <cellStyle name="Curren - Style2_Electric Rev Req Model (2009 GRC) Rebuttal" xfId="2601"/>
    <cellStyle name="Curren - Style5" xfId="2602"/>
    <cellStyle name="Curren - Style6" xfId="2603"/>
    <cellStyle name="Curren - Style6 2" xfId="2604"/>
    <cellStyle name="Curren - Style6_Electric Rev Req Model (2009 GRC) Rebuttal" xfId="2605"/>
    <cellStyle name="Currency" xfId="2606"/>
    <cellStyle name="Currency [0]" xfId="2607"/>
    <cellStyle name="Currency 10" xfId="2608"/>
    <cellStyle name="Currency 11" xfId="2609"/>
    <cellStyle name="Currency 11 2" xfId="2610"/>
    <cellStyle name="Currency 12" xfId="2611"/>
    <cellStyle name="Currency 12 2" xfId="2612"/>
    <cellStyle name="Currency 12 3" xfId="2613"/>
    <cellStyle name="Currency 12 4" xfId="2614"/>
    <cellStyle name="Currency 12 5" xfId="2615"/>
    <cellStyle name="Currency 13" xfId="2616"/>
    <cellStyle name="Currency 13 2" xfId="2617"/>
    <cellStyle name="Currency 2" xfId="2618"/>
    <cellStyle name="Currency 2 2" xfId="2619"/>
    <cellStyle name="Currency 2 2 2" xfId="2620"/>
    <cellStyle name="Currency 2 3" xfId="2621"/>
    <cellStyle name="Currency 2 4" xfId="2622"/>
    <cellStyle name="Currency 2 5" xfId="2623"/>
    <cellStyle name="Currency 2 6" xfId="2624"/>
    <cellStyle name="Currency 2 7" xfId="2625"/>
    <cellStyle name="Currency 2 8" xfId="2626"/>
    <cellStyle name="Currency 3" xfId="2627"/>
    <cellStyle name="Currency 3 2" xfId="2628"/>
    <cellStyle name="Currency 4" xfId="2629"/>
    <cellStyle name="Currency 4 2" xfId="2630"/>
    <cellStyle name="Currency 4 2 2" xfId="2631"/>
    <cellStyle name="Currency 5" xfId="2632"/>
    <cellStyle name="Currency 5 2" xfId="2633"/>
    <cellStyle name="Currency 6" xfId="2634"/>
    <cellStyle name="Currency 6 2" xfId="2635"/>
    <cellStyle name="Currency 7" xfId="2636"/>
    <cellStyle name="Currency 7 2" xfId="2637"/>
    <cellStyle name="Currency 8" xfId="2638"/>
    <cellStyle name="Currency 8 2" xfId="2639"/>
    <cellStyle name="Currency 9" xfId="2640"/>
    <cellStyle name="Currency 9 2" xfId="2641"/>
    <cellStyle name="Currency_2.03E Power Costs 60 w-yrs DRAFT 02.13.04" xfId="2642"/>
    <cellStyle name="Currency_2.26E Regulatory Assets &amp; Liabilities" xfId="2643"/>
    <cellStyle name="Currency0" xfId="2644"/>
    <cellStyle name="Currency0 2" xfId="2645"/>
    <cellStyle name="Currency0 2 2" xfId="2646"/>
    <cellStyle name="Currency0 3" xfId="2647"/>
    <cellStyle name="Currency0 4" xfId="2648"/>
    <cellStyle name="Date" xfId="2649"/>
    <cellStyle name="Date 2" xfId="2650"/>
    <cellStyle name="Date 3" xfId="2651"/>
    <cellStyle name="Date 4" xfId="2652"/>
    <cellStyle name="Date 5" xfId="2653"/>
    <cellStyle name="Emphasis 1" xfId="2654"/>
    <cellStyle name="Emphasis 2" xfId="2655"/>
    <cellStyle name="Emphasis 3" xfId="2656"/>
    <cellStyle name="Entered" xfId="2657"/>
    <cellStyle name="Entered 2" xfId="2658"/>
    <cellStyle name="Entered 2 2" xfId="2659"/>
    <cellStyle name="Entered 3" xfId="2660"/>
    <cellStyle name="Entered 4" xfId="2661"/>
    <cellStyle name="Entered_AURORA Total New" xfId="2662"/>
    <cellStyle name="Euro" xfId="2663"/>
    <cellStyle name="Euro 2" xfId="2664"/>
    <cellStyle name="Euro 2 2" xfId="2665"/>
    <cellStyle name="Euro 3" xfId="2666"/>
    <cellStyle name="Explanatory Text" xfId="2667"/>
    <cellStyle name="Explanatory Text 2" xfId="2668"/>
    <cellStyle name="Explanatory Text 2 2" xfId="2669"/>
    <cellStyle name="Explanatory Text 3" xfId="2670"/>
    <cellStyle name="Fixed" xfId="2671"/>
    <cellStyle name="Fixed 2" xfId="2672"/>
    <cellStyle name="Fixed 3" xfId="2673"/>
    <cellStyle name="Fixed 4" xfId="2674"/>
    <cellStyle name="Fixed3 - Style3" xfId="2675"/>
    <cellStyle name="Good" xfId="2676"/>
    <cellStyle name="Good 2" xfId="2677"/>
    <cellStyle name="Good 2 2" xfId="2678"/>
    <cellStyle name="Good 3" xfId="2679"/>
    <cellStyle name="Grey" xfId="2680"/>
    <cellStyle name="Grey 2" xfId="2681"/>
    <cellStyle name="Grey 3" xfId="2682"/>
    <cellStyle name="Grey 4" xfId="2683"/>
    <cellStyle name="Grey 5" xfId="2684"/>
    <cellStyle name="Grey_(C) WHE Proforma with ITC cash grant 10 Yr Amort_for deferral_102809" xfId="2685"/>
    <cellStyle name="Header1" xfId="2686"/>
    <cellStyle name="Header1 2" xfId="2687"/>
    <cellStyle name="Header1 3" xfId="2688"/>
    <cellStyle name="Header1_AURORA Total New" xfId="2689"/>
    <cellStyle name="Header2" xfId="2690"/>
    <cellStyle name="Header2 2" xfId="2691"/>
    <cellStyle name="Header2 3" xfId="2692"/>
    <cellStyle name="Header2 4" xfId="2693"/>
    <cellStyle name="Header2_AURORA Total New" xfId="2694"/>
    <cellStyle name="Heading 1" xfId="2695"/>
    <cellStyle name="Heading 1 2" xfId="2696"/>
    <cellStyle name="Heading 1 2 2" xfId="2697"/>
    <cellStyle name="Heading 1 3" xfId="2698"/>
    <cellStyle name="Heading 1 4" xfId="2699"/>
    <cellStyle name="Heading 2" xfId="2700"/>
    <cellStyle name="Heading 2 2" xfId="2701"/>
    <cellStyle name="Heading 2 2 2" xfId="2702"/>
    <cellStyle name="Heading 2 3" xfId="2703"/>
    <cellStyle name="Heading 2 4" xfId="2704"/>
    <cellStyle name="Heading 3" xfId="2705"/>
    <cellStyle name="Heading 3 2" xfId="2706"/>
    <cellStyle name="Heading 3 2 2" xfId="2707"/>
    <cellStyle name="Heading 3 3" xfId="2708"/>
    <cellStyle name="Heading 4" xfId="2709"/>
    <cellStyle name="Heading 4 2" xfId="2710"/>
    <cellStyle name="Heading 4 2 2" xfId="2711"/>
    <cellStyle name="Heading 4 3" xfId="2712"/>
    <cellStyle name="Heading1" xfId="2713"/>
    <cellStyle name="Heading1 2" xfId="2714"/>
    <cellStyle name="Heading1 3" xfId="2715"/>
    <cellStyle name="Heading2" xfId="2716"/>
    <cellStyle name="Heading2 2" xfId="2717"/>
    <cellStyle name="Heading2 3" xfId="2718"/>
    <cellStyle name="Hyperlink 2" xfId="2719"/>
    <cellStyle name="Input" xfId="2720"/>
    <cellStyle name="Input [yellow]" xfId="2721"/>
    <cellStyle name="Input [yellow] 2" xfId="2722"/>
    <cellStyle name="Input [yellow] 2 2" xfId="2723"/>
    <cellStyle name="Input [yellow] 3" xfId="2724"/>
    <cellStyle name="Input [yellow] 3 2" xfId="2725"/>
    <cellStyle name="Input [yellow] 4" xfId="2726"/>
    <cellStyle name="Input [yellow] 4 2" xfId="2727"/>
    <cellStyle name="Input [yellow] 5" xfId="2728"/>
    <cellStyle name="Input [yellow] 6" xfId="2729"/>
    <cellStyle name="Input [yellow]_(C) WHE Proforma with ITC cash grant 10 Yr Amort_for deferral_102809" xfId="2730"/>
    <cellStyle name="Input 10" xfId="2731"/>
    <cellStyle name="Input 11" xfId="2732"/>
    <cellStyle name="Input 12" xfId="2733"/>
    <cellStyle name="Input 13" xfId="2734"/>
    <cellStyle name="Input 14" xfId="2735"/>
    <cellStyle name="Input 15" xfId="2736"/>
    <cellStyle name="Input 16" xfId="2737"/>
    <cellStyle name="Input 17" xfId="2738"/>
    <cellStyle name="Input 2" xfId="2739"/>
    <cellStyle name="Input 2 2" xfId="2740"/>
    <cellStyle name="Input 2 2 2" xfId="2741"/>
    <cellStyle name="Input 3" xfId="2742"/>
    <cellStyle name="Input 4" xfId="2743"/>
    <cellStyle name="Input 5" xfId="2744"/>
    <cellStyle name="Input 6" xfId="2745"/>
    <cellStyle name="Input 7" xfId="2746"/>
    <cellStyle name="Input 8" xfId="2747"/>
    <cellStyle name="Input 9" xfId="2748"/>
    <cellStyle name="Input Cells" xfId="2749"/>
    <cellStyle name="Input Cells 2" xfId="2750"/>
    <cellStyle name="Input Cells Percent" xfId="2751"/>
    <cellStyle name="Input Cells Percent 2" xfId="2752"/>
    <cellStyle name="Input Cells Percent_AURORA Total New" xfId="2753"/>
    <cellStyle name="Input Cells_4.34E Mint Farm Deferral" xfId="2754"/>
    <cellStyle name="Lines" xfId="2755"/>
    <cellStyle name="Lines 2" xfId="2756"/>
    <cellStyle name="Lines_Electric Rev Req Model (2009 GRC) Rebuttal" xfId="2757"/>
    <cellStyle name="LINKED" xfId="2758"/>
    <cellStyle name="LINKED 2" xfId="2759"/>
    <cellStyle name="Linked Cell" xfId="2760"/>
    <cellStyle name="Linked Cell 2" xfId="2761"/>
    <cellStyle name="Linked Cell 2 2" xfId="2762"/>
    <cellStyle name="Linked Cell 3" xfId="2763"/>
    <cellStyle name="modified border" xfId="2764"/>
    <cellStyle name="modified border 2" xfId="2765"/>
    <cellStyle name="modified border 3" xfId="2766"/>
    <cellStyle name="modified border 4" xfId="2767"/>
    <cellStyle name="modified border 5" xfId="2768"/>
    <cellStyle name="modified border_4.34E Mint Farm Deferral" xfId="2769"/>
    <cellStyle name="modified border1" xfId="2770"/>
    <cellStyle name="modified border1 2" xfId="2771"/>
    <cellStyle name="modified border1 3" xfId="2772"/>
    <cellStyle name="modified border1 4" xfId="2773"/>
    <cellStyle name="modified border1 5" xfId="2774"/>
    <cellStyle name="modified border1_4.34E Mint Farm Deferral" xfId="2775"/>
    <cellStyle name="Neutral" xfId="2776"/>
    <cellStyle name="Neutral 2" xfId="2777"/>
    <cellStyle name="Neutral 2 2" xfId="2778"/>
    <cellStyle name="Neutral 3" xfId="2779"/>
    <cellStyle name="no dec" xfId="2780"/>
    <cellStyle name="no dec 2" xfId="2781"/>
    <cellStyle name="no dec 3" xfId="2782"/>
    <cellStyle name="Normal - Style1" xfId="2783"/>
    <cellStyle name="Normal - Style1 2" xfId="2784"/>
    <cellStyle name="Normal - Style1 2 2" xfId="2785"/>
    <cellStyle name="Normal - Style1 3" xfId="2786"/>
    <cellStyle name="Normal - Style1 3 2" xfId="2787"/>
    <cellStyle name="Normal - Style1 4" xfId="2788"/>
    <cellStyle name="Normal - Style1 4 2" xfId="2789"/>
    <cellStyle name="Normal - Style1 5" xfId="2790"/>
    <cellStyle name="Normal - Style1 5 2" xfId="2791"/>
    <cellStyle name="Normal - Style1_(C) WHE Proforma with ITC cash grant 10 Yr Amort_for deferral_102809" xfId="2792"/>
    <cellStyle name="Normal 1" xfId="2793"/>
    <cellStyle name="Normal 10" xfId="2794"/>
    <cellStyle name="Normal 10 2" xfId="2795"/>
    <cellStyle name="Normal 10 2 2" xfId="2796"/>
    <cellStyle name="Normal 10 3" xfId="2797"/>
    <cellStyle name="Normal 10 3 2" xfId="2798"/>
    <cellStyle name="Normal 10 4" xfId="2799"/>
    <cellStyle name="Normal 10_04.07E Wild Horse Wind Expansion" xfId="2800"/>
    <cellStyle name="Normal 11" xfId="2801"/>
    <cellStyle name="Normal 11 2" xfId="2802"/>
    <cellStyle name="Normal 11_16.37E Wild Horse Expansion DeferralRevwrkingfile SF" xfId="2803"/>
    <cellStyle name="Normal 12" xfId="2804"/>
    <cellStyle name="Normal 12 2" xfId="2805"/>
    <cellStyle name="Normal 13" xfId="2806"/>
    <cellStyle name="Normal 13 2" xfId="2807"/>
    <cellStyle name="Normal 14" xfId="2808"/>
    <cellStyle name="Normal 14 2" xfId="2809"/>
    <cellStyle name="Normal 15" xfId="2810"/>
    <cellStyle name="Normal 16" xfId="2811"/>
    <cellStyle name="Normal 17" xfId="2812"/>
    <cellStyle name="Normal 18" xfId="2813"/>
    <cellStyle name="Normal 19" xfId="2814"/>
    <cellStyle name="Normal 2" xfId="2815"/>
    <cellStyle name="Normal 2 10" xfId="2816"/>
    <cellStyle name="Normal 2 11" xfId="2817"/>
    <cellStyle name="Normal 2 2" xfId="2818"/>
    <cellStyle name="Normal 2 2 2" xfId="2819"/>
    <cellStyle name="Normal 2 2 2 2" xfId="2820"/>
    <cellStyle name="Normal 2 2 3" xfId="2821"/>
    <cellStyle name="Normal 2 2 3 2" xfId="2822"/>
    <cellStyle name="Normal 2 2 4" xfId="2823"/>
    <cellStyle name="Normal 2 2_NIM Summary" xfId="2824"/>
    <cellStyle name="Normal 2 3" xfId="2825"/>
    <cellStyle name="Normal 2 3 2" xfId="2826"/>
    <cellStyle name="Normal 2 4" xfId="2827"/>
    <cellStyle name="Normal 2 4 2" xfId="2828"/>
    <cellStyle name="Normal 2 5" xfId="2829"/>
    <cellStyle name="Normal 2 5 2" xfId="2830"/>
    <cellStyle name="Normal 2 6" xfId="2831"/>
    <cellStyle name="Normal 2 6 2" xfId="2832"/>
    <cellStyle name="Normal 2 7" xfId="2833"/>
    <cellStyle name="Normal 2 8" xfId="2834"/>
    <cellStyle name="Normal 2 9" xfId="2835"/>
    <cellStyle name="Normal 2_16.37E Wild Horse Expansion DeferralRevwrkingfile SF" xfId="2836"/>
    <cellStyle name="Normal 20" xfId="2837"/>
    <cellStyle name="Normal 20 2" xfId="2838"/>
    <cellStyle name="Normal 21" xfId="2839"/>
    <cellStyle name="Normal 21 2" xfId="2840"/>
    <cellStyle name="Normal 22" xfId="2841"/>
    <cellStyle name="Normal 22 2" xfId="2842"/>
    <cellStyle name="Normal 23" xfId="2843"/>
    <cellStyle name="Normal 23 2" xfId="2844"/>
    <cellStyle name="Normal 24" xfId="2845"/>
    <cellStyle name="Normal 24 2" xfId="2846"/>
    <cellStyle name="Normal 24 3" xfId="2847"/>
    <cellStyle name="Normal 25" xfId="2848"/>
    <cellStyle name="Normal 25 2" xfId="2849"/>
    <cellStyle name="Normal 26" xfId="2850"/>
    <cellStyle name="Normal 26 2" xfId="2851"/>
    <cellStyle name="Normal 27" xfId="2852"/>
    <cellStyle name="Normal 27 2" xfId="2853"/>
    <cellStyle name="Normal 28" xfId="2854"/>
    <cellStyle name="Normal 28 2" xfId="2855"/>
    <cellStyle name="Normal 29" xfId="2856"/>
    <cellStyle name="Normal 29 2" xfId="2857"/>
    <cellStyle name="Normal 3" xfId="2858"/>
    <cellStyle name="Normal 3 2" xfId="2859"/>
    <cellStyle name="Normal 3 2 2" xfId="2860"/>
    <cellStyle name="Normal 3 3" xfId="2861"/>
    <cellStyle name="Normal 3 3 2" xfId="2862"/>
    <cellStyle name="Normal 3 4" xfId="2863"/>
    <cellStyle name="Normal 3_Electric Rev Req Model (2009 GRC) Rebuttal" xfId="2864"/>
    <cellStyle name="Normal 30" xfId="2865"/>
    <cellStyle name="Normal 30 2" xfId="2866"/>
    <cellStyle name="Normal 31" xfId="2867"/>
    <cellStyle name="Normal 31 2" xfId="2868"/>
    <cellStyle name="Normal 32" xfId="2869"/>
    <cellStyle name="Normal 32 2" xfId="2870"/>
    <cellStyle name="Normal 33" xfId="2871"/>
    <cellStyle name="Normal 33 2" xfId="2872"/>
    <cellStyle name="Normal 34" xfId="2873"/>
    <cellStyle name="Normal 34 2" xfId="2874"/>
    <cellStyle name="Normal 35" xfId="2875"/>
    <cellStyle name="Normal 35 2" xfId="2876"/>
    <cellStyle name="Normal 36" xfId="2877"/>
    <cellStyle name="Normal 36 2" xfId="2878"/>
    <cellStyle name="Normal 37" xfId="2879"/>
    <cellStyle name="Normal 37 2" xfId="2880"/>
    <cellStyle name="Normal 38" xfId="2881"/>
    <cellStyle name="Normal 38 2" xfId="2882"/>
    <cellStyle name="Normal 39" xfId="2883"/>
    <cellStyle name="Normal 39 2" xfId="2884"/>
    <cellStyle name="Normal 4" xfId="2885"/>
    <cellStyle name="Normal 4 2" xfId="2886"/>
    <cellStyle name="Normal 4 2 2" xfId="2887"/>
    <cellStyle name="Normal 4 2 3" xfId="2888"/>
    <cellStyle name="Normal 4 3" xfId="2889"/>
    <cellStyle name="Normal 4_Electric Rev Req Model (2009 GRC) Rebuttal" xfId="2890"/>
    <cellStyle name="Normal 40" xfId="2891"/>
    <cellStyle name="Normal 5" xfId="2892"/>
    <cellStyle name="Normal 5 2" xfId="2893"/>
    <cellStyle name="Normal 6" xfId="2894"/>
    <cellStyle name="Normal 6 2" xfId="2895"/>
    <cellStyle name="Normal 7" xfId="2896"/>
    <cellStyle name="Normal 7 2" xfId="2897"/>
    <cellStyle name="Normal 7 3" xfId="2898"/>
    <cellStyle name="Normal 8" xfId="2899"/>
    <cellStyle name="Normal 8 2" xfId="2900"/>
    <cellStyle name="Normal 9" xfId="2901"/>
    <cellStyle name="Normal 94" xfId="2902"/>
    <cellStyle name="Normal 96" xfId="2903"/>
    <cellStyle name="Normal_2.03E Power Costs 60 w-yrs DRAFT 02.13.04" xfId="2904"/>
    <cellStyle name="Normal_Hopkins Ridge" xfId="2905"/>
    <cellStyle name="Normal_JHS Rebuttal Exhs 11-14 internal" xfId="2906"/>
    <cellStyle name="Normal_JHS-4 through JHS-7 Elec (2009 GRC) " xfId="2907"/>
    <cellStyle name="Normal_model" xfId="2908"/>
    <cellStyle name="Normal_TENASKA REGULATORY ASSET" xfId="2909"/>
    <cellStyle name="Normal_Wild Horse 2006 GRC" xfId="2910"/>
    <cellStyle name="Note" xfId="2911"/>
    <cellStyle name="Note 10" xfId="2912"/>
    <cellStyle name="Note 10 2" xfId="2913"/>
    <cellStyle name="Note 11" xfId="2914"/>
    <cellStyle name="Note 11 2" xfId="2915"/>
    <cellStyle name="Note 12" xfId="2916"/>
    <cellStyle name="Note 12 2" xfId="2917"/>
    <cellStyle name="Note 2" xfId="2918"/>
    <cellStyle name="Note 2 2" xfId="2919"/>
    <cellStyle name="Note 2 2 2" xfId="2920"/>
    <cellStyle name="Note 2 2 3" xfId="2921"/>
    <cellStyle name="Note 2 3" xfId="2922"/>
    <cellStyle name="Note 2 4" xfId="2923"/>
    <cellStyle name="Note 2_AURORA Total New" xfId="2924"/>
    <cellStyle name="Note 3" xfId="2925"/>
    <cellStyle name="Note 3 2" xfId="2926"/>
    <cellStyle name="Note 3 3" xfId="2927"/>
    <cellStyle name="Note 4" xfId="2928"/>
    <cellStyle name="Note 4 2" xfId="2929"/>
    <cellStyle name="Note 4 3" xfId="2930"/>
    <cellStyle name="Note 5" xfId="2931"/>
    <cellStyle name="Note 5 2" xfId="2932"/>
    <cellStyle name="Note 5 3" xfId="2933"/>
    <cellStyle name="Note 6" xfId="2934"/>
    <cellStyle name="Note 6 2" xfId="2935"/>
    <cellStyle name="Note 6 3" xfId="2936"/>
    <cellStyle name="Note 7" xfId="2937"/>
    <cellStyle name="Note 7 2" xfId="2938"/>
    <cellStyle name="Note 7 3" xfId="2939"/>
    <cellStyle name="Note 8" xfId="2940"/>
    <cellStyle name="Note 8 2" xfId="2941"/>
    <cellStyle name="Note 8 3" xfId="2942"/>
    <cellStyle name="Note 9" xfId="2943"/>
    <cellStyle name="Note 9 2" xfId="2944"/>
    <cellStyle name="Note 9 3" xfId="2945"/>
    <cellStyle name="Output" xfId="2946"/>
    <cellStyle name="Output 2" xfId="2947"/>
    <cellStyle name="Output 2 2" xfId="2948"/>
    <cellStyle name="Output 2 2 2" xfId="2949"/>
    <cellStyle name="Output 3" xfId="2950"/>
    <cellStyle name="Percen - Style1" xfId="2951"/>
    <cellStyle name="Percen - Style2" xfId="2952"/>
    <cellStyle name="Percen - Style3" xfId="2953"/>
    <cellStyle name="Percen - Style3 2" xfId="2954"/>
    <cellStyle name="Percen - Style3_Electric Rev Req Model (2009 GRC) Rebuttal" xfId="2955"/>
    <cellStyle name="Percent" xfId="2956"/>
    <cellStyle name="Percent [2]" xfId="2957"/>
    <cellStyle name="Percent [2] 2" xfId="2958"/>
    <cellStyle name="Percent [2] 2 2" xfId="2959"/>
    <cellStyle name="Percent [2] 3" xfId="2960"/>
    <cellStyle name="Percent [2] 4" xfId="2961"/>
    <cellStyle name="Percent 10" xfId="2962"/>
    <cellStyle name="Percent 10 2" xfId="2963"/>
    <cellStyle name="Percent 11" xfId="2964"/>
    <cellStyle name="Percent 11 2" xfId="2965"/>
    <cellStyle name="Percent 12" xfId="2966"/>
    <cellStyle name="Percent 12 2" xfId="2967"/>
    <cellStyle name="Percent 13" xfId="2968"/>
    <cellStyle name="Percent 13 2" xfId="2969"/>
    <cellStyle name="Percent 14" xfId="2970"/>
    <cellStyle name="Percent 14 2" xfId="2971"/>
    <cellStyle name="Percent 15" xfId="2972"/>
    <cellStyle name="Percent 15 2" xfId="2973"/>
    <cellStyle name="Percent 16" xfId="2974"/>
    <cellStyle name="Percent 16 2" xfId="2975"/>
    <cellStyle name="Percent 17" xfId="2976"/>
    <cellStyle name="Percent 17 2" xfId="2977"/>
    <cellStyle name="Percent 18" xfId="2978"/>
    <cellStyle name="Percent 18 2" xfId="2979"/>
    <cellStyle name="Percent 19" xfId="2980"/>
    <cellStyle name="Percent 19 2" xfId="2981"/>
    <cellStyle name="Percent 2" xfId="2982"/>
    <cellStyle name="Percent 2 2" xfId="2983"/>
    <cellStyle name="Percent 2 2 2" xfId="2984"/>
    <cellStyle name="Percent 2 3" xfId="2985"/>
    <cellStyle name="Percent 2 4" xfId="2986"/>
    <cellStyle name="Percent 20" xfId="2987"/>
    <cellStyle name="Percent 20 2" xfId="2988"/>
    <cellStyle name="Percent 21" xfId="2989"/>
    <cellStyle name="Percent 22" xfId="2990"/>
    <cellStyle name="Percent 23" xfId="2991"/>
    <cellStyle name="Percent 3" xfId="2992"/>
    <cellStyle name="Percent 3 2" xfId="2993"/>
    <cellStyle name="Percent 3 3" xfId="2994"/>
    <cellStyle name="Percent 4 2" xfId="2995"/>
    <cellStyle name="Percent 4 2 2" xfId="2996"/>
    <cellStyle name="Percent 4 3" xfId="2997"/>
    <cellStyle name="Percent 5" xfId="2998"/>
    <cellStyle name="Percent 5 2" xfId="2999"/>
    <cellStyle name="Percent 6 2" xfId="3000"/>
    <cellStyle name="Percent 7" xfId="3001"/>
    <cellStyle name="Percent 8" xfId="3002"/>
    <cellStyle name="Percent 8 2" xfId="3003"/>
    <cellStyle name="Percent 8 3" xfId="3004"/>
    <cellStyle name="Percent 9" xfId="3005"/>
    <cellStyle name="Percent 9 2" xfId="3006"/>
    <cellStyle name="Processing" xfId="3007"/>
    <cellStyle name="Processing 2" xfId="3008"/>
    <cellStyle name="Processing 2 2" xfId="3009"/>
    <cellStyle name="Processing 3" xfId="3010"/>
    <cellStyle name="Processing_AURORA Total New" xfId="3011"/>
    <cellStyle name="PSChar" xfId="3012"/>
    <cellStyle name="PSChar 2" xfId="3013"/>
    <cellStyle name="PSChar 3" xfId="3014"/>
    <cellStyle name="PSDate" xfId="3015"/>
    <cellStyle name="PSDate 2" xfId="3016"/>
    <cellStyle name="PSDate 3" xfId="3017"/>
    <cellStyle name="PSDec" xfId="3018"/>
    <cellStyle name="PSDec 2" xfId="3019"/>
    <cellStyle name="PSDec 3" xfId="3020"/>
    <cellStyle name="PSHeading" xfId="3021"/>
    <cellStyle name="PSHeading 2" xfId="3022"/>
    <cellStyle name="PSHeading 3" xfId="3023"/>
    <cellStyle name="PSInt" xfId="3024"/>
    <cellStyle name="PSInt 2" xfId="3025"/>
    <cellStyle name="PSInt 3" xfId="3026"/>
    <cellStyle name="PSSpacer" xfId="3027"/>
    <cellStyle name="PSSpacer 2" xfId="3028"/>
    <cellStyle name="PSSpacer 3" xfId="3029"/>
    <cellStyle name="purple - Style8" xfId="3030"/>
    <cellStyle name="purple - Style8 2" xfId="3031"/>
    <cellStyle name="purple - Style8_Electric Rev Req Model (2009 GRC) Rebuttal" xfId="3032"/>
    <cellStyle name="RED" xfId="3033"/>
    <cellStyle name="Red - Style7" xfId="3034"/>
    <cellStyle name="Red - Style7 2" xfId="3035"/>
    <cellStyle name="Red - Style7_Electric Rev Req Model (2009 GRC) Rebuttal" xfId="3036"/>
    <cellStyle name="RED 2" xfId="3037"/>
    <cellStyle name="RED_04 07E Wild Horse Wind Expansion (C) (2)" xfId="3038"/>
    <cellStyle name="Report" xfId="3039"/>
    <cellStyle name="Report - Style5" xfId="3040"/>
    <cellStyle name="Report - Style6" xfId="3041"/>
    <cellStyle name="Report - Style7" xfId="3042"/>
    <cellStyle name="Report - Style8" xfId="3043"/>
    <cellStyle name="Report 2" xfId="3044"/>
    <cellStyle name="Report 2 2" xfId="3045"/>
    <cellStyle name="Report 3" xfId="3046"/>
    <cellStyle name="Report 4" xfId="3047"/>
    <cellStyle name="Report Bar" xfId="3048"/>
    <cellStyle name="Report Bar 2" xfId="3049"/>
    <cellStyle name="Report Bar 2 2" xfId="3050"/>
    <cellStyle name="Report Bar 3" xfId="3051"/>
    <cellStyle name="Report Bar 4" xfId="3052"/>
    <cellStyle name="Report Bar_AURORA Total New" xfId="3053"/>
    <cellStyle name="Report Heading" xfId="3054"/>
    <cellStyle name="Report Heading 2" xfId="3055"/>
    <cellStyle name="Report Heading_Electric Rev Req Model (2009 GRC) Rebuttal" xfId="3056"/>
    <cellStyle name="Report Percent" xfId="3057"/>
    <cellStyle name="Report Percent 2" xfId="3058"/>
    <cellStyle name="Report Percent 2 2" xfId="3059"/>
    <cellStyle name="Report Percent 3" xfId="3060"/>
    <cellStyle name="Report Percent 4" xfId="3061"/>
    <cellStyle name="Report Percent_AURORA Total New" xfId="3062"/>
    <cellStyle name="Report Unit Cost" xfId="3063"/>
    <cellStyle name="Report Unit Cost 2" xfId="3064"/>
    <cellStyle name="Report Unit Cost 2 2" xfId="3065"/>
    <cellStyle name="Report Unit Cost 3" xfId="3066"/>
    <cellStyle name="Report Unit Cost 4" xfId="3067"/>
    <cellStyle name="Report Unit Cost_AURORA Total New" xfId="3068"/>
    <cellStyle name="Report_Adj Bench DR 3 for Initial Briefs (Electric)" xfId="3069"/>
    <cellStyle name="Reports" xfId="3070"/>
    <cellStyle name="Reports 2" xfId="3071"/>
    <cellStyle name="Reports Total" xfId="3072"/>
    <cellStyle name="Reports Total 2" xfId="3073"/>
    <cellStyle name="Reports Total 2 2" xfId="3074"/>
    <cellStyle name="Reports Total 3" xfId="3075"/>
    <cellStyle name="Reports Total 4" xfId="3076"/>
    <cellStyle name="Reports Total_AURORA Total New" xfId="3077"/>
    <cellStyle name="Reports Unit Cost Total" xfId="3078"/>
    <cellStyle name="Reports Unit Cost Total 2" xfId="3079"/>
    <cellStyle name="Reports_16.37E Wild Horse Expansion DeferralRevwrkingfile SF" xfId="3080"/>
    <cellStyle name="RevList" xfId="3081"/>
    <cellStyle name="round100" xfId="3082"/>
    <cellStyle name="round100 2" xfId="3083"/>
    <cellStyle name="round100 2 2" xfId="3084"/>
    <cellStyle name="round100 3" xfId="3085"/>
    <cellStyle name="round100 4" xfId="3086"/>
    <cellStyle name="SAPBEXaggData" xfId="3087"/>
    <cellStyle name="SAPBEXaggData 2" xfId="3088"/>
    <cellStyle name="SAPBEXaggDataEmph" xfId="3089"/>
    <cellStyle name="SAPBEXaggDataEmph 2" xfId="3090"/>
    <cellStyle name="SAPBEXaggItem" xfId="3091"/>
    <cellStyle name="SAPBEXaggItem 2" xfId="3092"/>
    <cellStyle name="SAPBEXaggItemX" xfId="3093"/>
    <cellStyle name="SAPBEXaggItemX 2" xfId="3094"/>
    <cellStyle name="SAPBEXchaText" xfId="3095"/>
    <cellStyle name="SAPBEXchaText 2" xfId="3096"/>
    <cellStyle name="SAPBEXexcBad7" xfId="3097"/>
    <cellStyle name="SAPBEXexcBad7 2" xfId="3098"/>
    <cellStyle name="SAPBEXexcBad8" xfId="3099"/>
    <cellStyle name="SAPBEXexcBad8 2" xfId="3100"/>
    <cellStyle name="SAPBEXexcBad9" xfId="3101"/>
    <cellStyle name="SAPBEXexcBad9 2" xfId="3102"/>
    <cellStyle name="SAPBEXexcCritical4" xfId="3103"/>
    <cellStyle name="SAPBEXexcCritical4 2" xfId="3104"/>
    <cellStyle name="SAPBEXexcCritical5" xfId="3105"/>
    <cellStyle name="SAPBEXexcCritical5 2" xfId="3106"/>
    <cellStyle name="SAPBEXexcCritical6" xfId="3107"/>
    <cellStyle name="SAPBEXexcCritical6 2" xfId="3108"/>
    <cellStyle name="SAPBEXexcGood1" xfId="3109"/>
    <cellStyle name="SAPBEXexcGood1 2" xfId="3110"/>
    <cellStyle name="SAPBEXexcGood2" xfId="3111"/>
    <cellStyle name="SAPBEXexcGood2 2" xfId="3112"/>
    <cellStyle name="SAPBEXexcGood3" xfId="3113"/>
    <cellStyle name="SAPBEXexcGood3 2" xfId="3114"/>
    <cellStyle name="SAPBEXfilterDrill" xfId="3115"/>
    <cellStyle name="SAPBEXfilterDrill 2" xfId="3116"/>
    <cellStyle name="SAPBEXfilterItem" xfId="3117"/>
    <cellStyle name="SAPBEXfilterItem 2" xfId="3118"/>
    <cellStyle name="SAPBEXfilterText" xfId="3119"/>
    <cellStyle name="SAPBEXformats" xfId="3120"/>
    <cellStyle name="SAPBEXformats 2" xfId="3121"/>
    <cellStyle name="SAPBEXheaderItem" xfId="3122"/>
    <cellStyle name="SAPBEXheaderItem 2" xfId="3123"/>
    <cellStyle name="SAPBEXheaderText" xfId="3124"/>
    <cellStyle name="SAPBEXheaderText 2" xfId="3125"/>
    <cellStyle name="SAPBEXHLevel0" xfId="3126"/>
    <cellStyle name="SAPBEXHLevel0 2" xfId="3127"/>
    <cellStyle name="SAPBEXHLevel0X" xfId="3128"/>
    <cellStyle name="SAPBEXHLevel0X 2" xfId="3129"/>
    <cellStyle name="SAPBEXHLevel1" xfId="3130"/>
    <cellStyle name="SAPBEXHLevel1 2" xfId="3131"/>
    <cellStyle name="SAPBEXHLevel1X" xfId="3132"/>
    <cellStyle name="SAPBEXHLevel1X 2" xfId="3133"/>
    <cellStyle name="SAPBEXHLevel2" xfId="3134"/>
    <cellStyle name="SAPBEXHLevel2 2" xfId="3135"/>
    <cellStyle name="SAPBEXHLevel2X" xfId="3136"/>
    <cellStyle name="SAPBEXHLevel2X 2" xfId="3137"/>
    <cellStyle name="SAPBEXHLevel3" xfId="3138"/>
    <cellStyle name="SAPBEXHLevel3 2" xfId="3139"/>
    <cellStyle name="SAPBEXHLevel3X" xfId="3140"/>
    <cellStyle name="SAPBEXHLevel3X 2" xfId="3141"/>
    <cellStyle name="SAPBEXinputData" xfId="3142"/>
    <cellStyle name="SAPBEXinputData 2" xfId="3143"/>
    <cellStyle name="SAPBEXresData" xfId="3144"/>
    <cellStyle name="SAPBEXresData 2" xfId="3145"/>
    <cellStyle name="SAPBEXresDataEmph" xfId="3146"/>
    <cellStyle name="SAPBEXresDataEmph 2" xfId="3147"/>
    <cellStyle name="SAPBEXresItem" xfId="3148"/>
    <cellStyle name="SAPBEXresItem 2" xfId="3149"/>
    <cellStyle name="SAPBEXresItemX" xfId="3150"/>
    <cellStyle name="SAPBEXresItemX 2" xfId="3151"/>
    <cellStyle name="SAPBEXstdData" xfId="3152"/>
    <cellStyle name="SAPBEXstdData 2" xfId="3153"/>
    <cellStyle name="SAPBEXstdData 3" xfId="3154"/>
    <cellStyle name="SAPBEXstdDataEmph" xfId="3155"/>
    <cellStyle name="SAPBEXstdDataEmph 2" xfId="3156"/>
    <cellStyle name="SAPBEXstdItem" xfId="3157"/>
    <cellStyle name="SAPBEXstdItem 2" xfId="3158"/>
    <cellStyle name="SAPBEXstdItemX" xfId="3159"/>
    <cellStyle name="SAPBEXstdItemX 2" xfId="3160"/>
    <cellStyle name="SAPBEXtitle" xfId="3161"/>
    <cellStyle name="SAPBEXundefined" xfId="3162"/>
    <cellStyle name="SAPBEXundefined 2" xfId="3163"/>
    <cellStyle name="shade" xfId="3164"/>
    <cellStyle name="shade 2" xfId="3165"/>
    <cellStyle name="shade 2 2" xfId="3166"/>
    <cellStyle name="shade 3" xfId="3167"/>
    <cellStyle name="shade 4" xfId="3168"/>
    <cellStyle name="shade_AURORA Total New" xfId="3169"/>
    <cellStyle name="Sheet Title" xfId="3170"/>
    <cellStyle name="StmtTtl1" xfId="3171"/>
    <cellStyle name="StmtTtl1 2" xfId="3172"/>
    <cellStyle name="StmtTtl1 3" xfId="3173"/>
    <cellStyle name="StmtTtl1 4" xfId="3174"/>
    <cellStyle name="StmtTtl1 5" xfId="3175"/>
    <cellStyle name="StmtTtl1_(C) WHE Proforma with ITC cash grant 10 Yr Amort_for deferral_102809" xfId="3176"/>
    <cellStyle name="StmtTtl2" xfId="3177"/>
    <cellStyle name="StmtTtl2 2" xfId="3178"/>
    <cellStyle name="StmtTtl2 3" xfId="3179"/>
    <cellStyle name="StmtTtl2 4" xfId="3180"/>
    <cellStyle name="STYL1 - Style1" xfId="3181"/>
    <cellStyle name="Style 1" xfId="3182"/>
    <cellStyle name="Style 1 2" xfId="3183"/>
    <cellStyle name="Style 1 2 2" xfId="3184"/>
    <cellStyle name="Style 1 3" xfId="3185"/>
    <cellStyle name="Style 1 3 2" xfId="3186"/>
    <cellStyle name="Style 1 3 3" xfId="3187"/>
    <cellStyle name="Style 1 4" xfId="3188"/>
    <cellStyle name="Style 1 4 2" xfId="3189"/>
    <cellStyle name="Style 1 5" xfId="3190"/>
    <cellStyle name="Style 1 5 2" xfId="3191"/>
    <cellStyle name="Style 1 6" xfId="3192"/>
    <cellStyle name="Style 1 6 2" xfId="3193"/>
    <cellStyle name="Style 1 6 3" xfId="3194"/>
    <cellStyle name="Style 1 6 4" xfId="3195"/>
    <cellStyle name="Style 1 6 5" xfId="3196"/>
    <cellStyle name="Style 1 7" xfId="3197"/>
    <cellStyle name="Style 1_04.07E Wild Horse Wind Expansion" xfId="3198"/>
    <cellStyle name="Subtotal" xfId="3199"/>
    <cellStyle name="Sub-total" xfId="3200"/>
    <cellStyle name="Test" xfId="3201"/>
    <cellStyle name="Title" xfId="3202"/>
    <cellStyle name="Title 2" xfId="3203"/>
    <cellStyle name="Title 2 2" xfId="3204"/>
    <cellStyle name="Title 3" xfId="3205"/>
    <cellStyle name="Title: - Style3" xfId="3206"/>
    <cellStyle name="Title: - Style4" xfId="3207"/>
    <cellStyle name="Title: Major" xfId="3208"/>
    <cellStyle name="Title: Minor" xfId="3209"/>
    <cellStyle name="Title: Minor 2" xfId="3210"/>
    <cellStyle name="Title: Minor_Electric Rev Req Model (2009 GRC) Rebuttal" xfId="3211"/>
    <cellStyle name="Title: Worksheet" xfId="3212"/>
    <cellStyle name="Total" xfId="3213"/>
    <cellStyle name="Total 2" xfId="3214"/>
    <cellStyle name="Total 2 2" xfId="3215"/>
    <cellStyle name="Total 2 2 2" xfId="3216"/>
    <cellStyle name="Total 3" xfId="3217"/>
    <cellStyle name="Total 4" xfId="3218"/>
    <cellStyle name="Total 5" xfId="3219"/>
    <cellStyle name="Total4 - Style4" xfId="3220"/>
    <cellStyle name="Total4 - Style4 2" xfId="3221"/>
    <cellStyle name="Total4 - Style4_Electric Rev Req Model (2009 GRC) Rebuttal" xfId="3222"/>
    <cellStyle name="Warning Text" xfId="3223"/>
    <cellStyle name="Warning Text 2" xfId="3224"/>
    <cellStyle name="Warning Text 2 2" xfId="3225"/>
    <cellStyle name="Warning Text 3" xfId="3226"/>
  </cellStyles>
  <dxfs count="8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Table"/>
      <sheetName val="Rlfwd"/>
      <sheetName val="Verify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</sheetNames>
    <sheetDataSet>
      <sheetData sheetId="4">
        <row r="2">
          <cell r="M2" t="str">
            <v>Docket Number UE-111048</v>
          </cell>
        </row>
        <row r="3">
          <cell r="M3" t="str">
            <v>Exhibit No. ___   (JHS-22)</v>
          </cell>
        </row>
        <row r="4">
          <cell r="M4">
            <v>22.030000000000005</v>
          </cell>
        </row>
        <row r="5">
          <cell r="I5" t="str">
            <v>PUGET SOUND ENERGY-ELECTRIC</v>
          </cell>
        </row>
        <row r="6">
          <cell r="I6" t="str">
            <v>CONVERSION FACTOR</v>
          </cell>
        </row>
        <row r="7">
          <cell r="I7" t="str">
            <v>FOR THE TWELVE MONTHS ENDED DECEMBER 31, 2010</v>
          </cell>
        </row>
        <row r="8">
          <cell r="I8" t="str">
            <v>GENERAL RATE INCREASE</v>
          </cell>
        </row>
        <row r="10">
          <cell r="I10" t="str">
            <v>LINE</v>
          </cell>
        </row>
        <row r="11">
          <cell r="I11" t="str">
            <v>NO.</v>
          </cell>
          <cell r="J11" t="str">
            <v>DESCRIPTION</v>
          </cell>
          <cell r="M11" t="str">
            <v>RATE</v>
          </cell>
        </row>
        <row r="13">
          <cell r="H13">
            <v>0.0011</v>
          </cell>
          <cell r="I13">
            <v>1</v>
          </cell>
          <cell r="J13" t="str">
            <v>BAD DEBTS</v>
          </cell>
          <cell r="M13">
            <v>0.004444</v>
          </cell>
        </row>
        <row r="14">
          <cell r="H14">
            <v>0.0299</v>
          </cell>
          <cell r="I14">
            <v>2</v>
          </cell>
          <cell r="J14" t="str">
            <v>ANNUAL FILING FEE</v>
          </cell>
          <cell r="M14">
            <v>0.002</v>
          </cell>
        </row>
        <row r="15">
          <cell r="I15">
            <v>3</v>
          </cell>
          <cell r="J15" t="str">
            <v>STATE UTILITY TAX ( 3.873% - ( LINE 1 * 3.873% )  )</v>
          </cell>
          <cell r="L15">
            <v>0.03873</v>
          </cell>
          <cell r="M15">
            <v>0.038558</v>
          </cell>
        </row>
        <row r="16">
          <cell r="I16">
            <v>4</v>
          </cell>
        </row>
        <row r="17">
          <cell r="I17">
            <v>5</v>
          </cell>
          <cell r="J17" t="str">
            <v>SUM OF TAXES OTHER</v>
          </cell>
          <cell r="M17">
            <v>0.045002</v>
          </cell>
        </row>
        <row r="18">
          <cell r="I18">
            <v>6</v>
          </cell>
        </row>
        <row r="19">
          <cell r="I19">
            <v>7</v>
          </cell>
          <cell r="J19" t="str">
            <v>CONVERSION FACTOR EXCLUDING FEDERAL INCOME TAX ( 1 - LINE 5 )</v>
          </cell>
          <cell r="M19">
            <v>0.954998</v>
          </cell>
        </row>
        <row r="20">
          <cell r="I20">
            <v>8</v>
          </cell>
          <cell r="J20" t="str">
            <v>FEDERAL INCOME TAX ( LINE 7  * 35% )</v>
          </cell>
          <cell r="L20">
            <v>0.35</v>
          </cell>
          <cell r="M20">
            <v>0.334249</v>
          </cell>
        </row>
        <row r="21">
          <cell r="I21">
            <v>9</v>
          </cell>
          <cell r="J21" t="str">
            <v>CONVERSION FACTOR INCL FEDERAL INCOME TAX ( LINE 7 - LINE 8 ) </v>
          </cell>
          <cell r="M21">
            <v>0.620749</v>
          </cell>
        </row>
        <row r="22">
          <cell r="C22">
            <v>104070816</v>
          </cell>
        </row>
        <row r="23">
          <cell r="C23">
            <v>427352</v>
          </cell>
        </row>
        <row r="24">
          <cell r="C24">
            <v>164110</v>
          </cell>
        </row>
        <row r="25">
          <cell r="C25">
            <v>103479354</v>
          </cell>
        </row>
      </sheetData>
      <sheetData sheetId="7">
        <row r="16">
          <cell r="A16">
            <v>13</v>
          </cell>
        </row>
        <row r="18">
          <cell r="A18">
            <v>15</v>
          </cell>
        </row>
        <row r="23">
          <cell r="A23">
            <v>16</v>
          </cell>
        </row>
        <row r="29">
          <cell r="A29">
            <v>22</v>
          </cell>
        </row>
        <row r="32">
          <cell r="A32">
            <v>25</v>
          </cell>
        </row>
        <row r="35">
          <cell r="A35">
            <v>28</v>
          </cell>
        </row>
      </sheetData>
      <sheetData sheetId="14">
        <row r="10">
          <cell r="P10">
            <v>89725.74888685407</v>
          </cell>
        </row>
        <row r="11">
          <cell r="P11">
            <v>184028.40960315042</v>
          </cell>
        </row>
        <row r="12">
          <cell r="P12">
            <v>477042.4030775758</v>
          </cell>
        </row>
        <row r="13">
          <cell r="P13">
            <v>8029.302949999998</v>
          </cell>
        </row>
        <row r="14">
          <cell r="P14">
            <v>92328.58955090627</v>
          </cell>
        </row>
        <row r="15">
          <cell r="P15">
            <v>-41024.83463544272</v>
          </cell>
        </row>
        <row r="17">
          <cell r="P17">
            <v>0</v>
          </cell>
        </row>
        <row r="28">
          <cell r="P28">
            <v>133613.38529825685</v>
          </cell>
        </row>
        <row r="29">
          <cell r="P29">
            <v>1419.635</v>
          </cell>
        </row>
        <row r="30">
          <cell r="P30">
            <v>945162.6397313008</v>
          </cell>
        </row>
      </sheetData>
      <sheetData sheetId="15">
        <row r="13">
          <cell r="F13">
            <v>420202.5851524854</v>
          </cell>
        </row>
      </sheetData>
      <sheetData sheetId="17">
        <row r="18">
          <cell r="F18">
            <v>7169158.687369264</v>
          </cell>
        </row>
        <row r="31">
          <cell r="F31">
            <v>7050409.623065534</v>
          </cell>
        </row>
      </sheetData>
      <sheetData sheetId="20">
        <row r="16">
          <cell r="F16">
            <v>2022345.8613809925</v>
          </cell>
        </row>
        <row r="22">
          <cell r="F22">
            <v>5009923.669879722</v>
          </cell>
        </row>
        <row r="29">
          <cell r="F29">
            <v>95731477.877932</v>
          </cell>
        </row>
        <row r="38">
          <cell r="F38">
            <v>11264042.39</v>
          </cell>
        </row>
        <row r="43">
          <cell r="G43">
            <v>820704.2085951023</v>
          </cell>
        </row>
        <row r="44">
          <cell r="G44">
            <v>80107.1490876692</v>
          </cell>
        </row>
      </sheetData>
      <sheetData sheetId="21">
        <row r="19">
          <cell r="F19">
            <v>0.97901</v>
          </cell>
        </row>
        <row r="21">
          <cell r="F21">
            <v>0.02099</v>
          </cell>
        </row>
      </sheetData>
      <sheetData sheetId="22">
        <row r="19">
          <cell r="C19">
            <v>2835322</v>
          </cell>
        </row>
      </sheetData>
      <sheetData sheetId="23">
        <row r="49">
          <cell r="C49">
            <v>2541511966.277916</v>
          </cell>
          <cell r="E49">
            <v>-1172694999</v>
          </cell>
        </row>
        <row r="61">
          <cell r="C61">
            <v>77287156</v>
          </cell>
          <cell r="E61">
            <v>-4080190</v>
          </cell>
        </row>
        <row r="76">
          <cell r="E76">
            <v>0</v>
          </cell>
        </row>
      </sheetData>
      <sheetData sheetId="24">
        <row r="49">
          <cell r="F49">
            <v>10891023</v>
          </cell>
        </row>
      </sheetData>
      <sheetData sheetId="25">
        <row r="8">
          <cell r="D8">
            <v>6849513.489999999</v>
          </cell>
        </row>
        <row r="9">
          <cell r="D9">
            <v>1369203.65</v>
          </cell>
        </row>
      </sheetData>
      <sheetData sheetId="26">
        <row r="11">
          <cell r="D11">
            <v>-8009624.75333333</v>
          </cell>
        </row>
        <row r="41">
          <cell r="C41">
            <v>-10703022.63</v>
          </cell>
          <cell r="D41">
            <v>-14018204.653333332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F160"/>
  <sheetViews>
    <sheetView zoomScale="88" zoomScaleNormal="88" zoomScalePageLayoutView="0" workbookViewId="0" topLeftCell="A1">
      <pane xSplit="2" ySplit="15" topLeftCell="C1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52" sqref="B52"/>
    </sheetView>
  </sheetViews>
  <sheetFormatPr defaultColWidth="10.66015625" defaultRowHeight="10.5"/>
  <cols>
    <col min="1" max="1" width="7.33203125" style="112" customWidth="1"/>
    <col min="2" max="2" width="55.83203125" style="7" bestFit="1" customWidth="1"/>
    <col min="3" max="3" width="17.33203125" style="7" customWidth="1"/>
    <col min="4" max="4" width="16.33203125" style="7" customWidth="1"/>
    <col min="5" max="5" width="18.16015625" style="7" customWidth="1"/>
    <col min="6" max="6" width="16.33203125" style="7" customWidth="1"/>
    <col min="7" max="7" width="19.5" style="7" customWidth="1"/>
    <col min="8" max="8" width="16.66015625" style="7" customWidth="1"/>
    <col min="9" max="9" width="22.16015625" style="7" customWidth="1"/>
    <col min="10" max="10" width="19.16015625" style="7" customWidth="1"/>
    <col min="11" max="11" width="18.5" style="7" customWidth="1"/>
    <col min="12" max="12" width="16.33203125" style="7" customWidth="1"/>
    <col min="13" max="13" width="17.33203125" style="7" customWidth="1"/>
    <col min="14" max="14" width="17.16015625" style="7" customWidth="1"/>
    <col min="15" max="15" width="19.83203125" style="7" customWidth="1"/>
    <col min="16" max="16" width="22.5" style="7" customWidth="1"/>
    <col min="17" max="17" width="21.5" style="7" customWidth="1"/>
    <col min="18" max="18" width="22.66015625" style="7" customWidth="1"/>
    <col min="19" max="19" width="19.83203125" style="7" customWidth="1"/>
    <col min="20" max="20" width="25.66015625" style="7" customWidth="1"/>
    <col min="21" max="21" width="15.16015625" style="7" customWidth="1"/>
    <col min="22" max="22" width="20" style="7" customWidth="1"/>
    <col min="23" max="23" width="14.66015625" style="7" customWidth="1"/>
    <col min="24" max="24" width="14" style="7" customWidth="1"/>
    <col min="25" max="25" width="16.33203125" style="7" customWidth="1"/>
    <col min="26" max="26" width="19.16015625" style="7" customWidth="1"/>
    <col min="27" max="27" width="18.33203125" style="7" customWidth="1"/>
    <col min="28" max="29" width="22.5" style="7" customWidth="1"/>
    <col min="30" max="30" width="16.16015625" style="7" customWidth="1"/>
    <col min="31" max="31" width="24.66015625" style="7" customWidth="1"/>
    <col min="32" max="32" width="18.83203125" style="7" customWidth="1"/>
    <col min="33" max="33" width="19.16015625" style="7" customWidth="1"/>
    <col min="34" max="34" width="15.33203125" style="7" customWidth="1"/>
    <col min="35" max="35" width="18.33203125" style="7" customWidth="1"/>
    <col min="36" max="37" width="19.16015625" style="7" customWidth="1"/>
    <col min="38" max="38" width="19" style="7" customWidth="1"/>
    <col min="39" max="39" width="20.83203125" style="7" customWidth="1"/>
    <col min="40" max="40" width="25" style="7" customWidth="1"/>
    <col min="41" max="41" width="22.5" style="7" customWidth="1"/>
    <col min="42" max="42" width="25" style="7" customWidth="1"/>
    <col min="43" max="43" width="18.16015625" style="7" bestFit="1" customWidth="1"/>
    <col min="44" max="44" width="19.66015625" style="111" customWidth="1"/>
    <col min="45" max="45" width="2.83203125" style="7" customWidth="1"/>
    <col min="46" max="46" width="13.83203125" style="0" bestFit="1" customWidth="1"/>
    <col min="47" max="16384" width="10.66015625" style="221" customWidth="1"/>
  </cols>
  <sheetData>
    <row r="1" spans="1:46" ht="12.7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</row>
    <row r="2" spans="1:44" ht="12.75">
      <c r="A2" s="16"/>
      <c r="K2" s="1" t="str">
        <f>DocketNumber</f>
        <v>Docket Number UE-111048</v>
      </c>
      <c r="T2" s="1" t="str">
        <f>DocketNumber</f>
        <v>Docket Number UE-111048</v>
      </c>
      <c r="AD2" s="1" t="str">
        <f>DocketNumber</f>
        <v>Docket Number UE-111048</v>
      </c>
      <c r="AL2" s="33"/>
      <c r="AM2" s="1" t="str">
        <f>DocketNumber</f>
        <v>Docket Number UE-111048</v>
      </c>
      <c r="AR2" s="1" t="s">
        <v>308</v>
      </c>
    </row>
    <row r="3" spans="1:44" ht="13.5" thickBot="1">
      <c r="A3" s="16"/>
      <c r="D3" s="117"/>
      <c r="E3" s="117"/>
      <c r="J3" s="117"/>
      <c r="K3" s="1" t="str">
        <f>$AM$3</f>
        <v>Exhibit No. ___ (JHS-19)</v>
      </c>
      <c r="P3" s="117"/>
      <c r="R3" s="117"/>
      <c r="S3" s="117"/>
      <c r="T3" s="1" t="str">
        <f>$AM$3</f>
        <v>Exhibit No. ___ (JHS-19)</v>
      </c>
      <c r="U3" s="117"/>
      <c r="Y3" s="117"/>
      <c r="AA3" s="16"/>
      <c r="AB3" s="117"/>
      <c r="AD3" s="1" t="str">
        <f>$AM$3</f>
        <v>Exhibit No. ___ (JHS-19)</v>
      </c>
      <c r="AE3" s="117"/>
      <c r="AH3" s="117"/>
      <c r="AL3" s="117"/>
      <c r="AM3" s="1" t="str">
        <f>AR3</f>
        <v>Exhibit No. ___ (JHS-19)</v>
      </c>
      <c r="AR3" s="1" t="s">
        <v>684</v>
      </c>
    </row>
    <row r="4" spans="1:45" ht="13.5" thickBot="1">
      <c r="A4" s="16"/>
      <c r="B4" s="16"/>
      <c r="C4" s="16"/>
      <c r="D4" s="16"/>
      <c r="E4" s="16"/>
      <c r="H4" s="16"/>
      <c r="J4" s="16"/>
      <c r="K4" s="371" t="s">
        <v>685</v>
      </c>
      <c r="N4" s="16"/>
      <c r="P4" s="16"/>
      <c r="R4" s="16"/>
      <c r="S4" s="16"/>
      <c r="T4" s="371" t="s">
        <v>686</v>
      </c>
      <c r="U4" s="16"/>
      <c r="Y4" s="16"/>
      <c r="AA4" s="16"/>
      <c r="AB4" s="16"/>
      <c r="AD4" s="302" t="s">
        <v>687</v>
      </c>
      <c r="AE4" s="16"/>
      <c r="AH4" s="16"/>
      <c r="AI4" s="16"/>
      <c r="AM4" s="302" t="s">
        <v>688</v>
      </c>
      <c r="AN4" s="16"/>
      <c r="AO4" s="16"/>
      <c r="AP4" s="16"/>
      <c r="AQ4" s="51"/>
      <c r="AR4" s="302" t="s">
        <v>689</v>
      </c>
      <c r="AS4" s="16"/>
    </row>
    <row r="5" spans="1:45" ht="12.75">
      <c r="A5" s="84"/>
      <c r="B5" s="221"/>
      <c r="C5" s="17" t="s">
        <v>640</v>
      </c>
      <c r="D5" s="17"/>
      <c r="E5" s="34"/>
      <c r="F5" s="17"/>
      <c r="G5" s="17"/>
      <c r="H5" s="71"/>
      <c r="I5" s="71"/>
      <c r="J5" s="71"/>
      <c r="K5" s="71"/>
      <c r="L5" s="71" t="str">
        <f>C5</f>
        <v>PUGET SOUND ENERGY-ELECTRIC</v>
      </c>
      <c r="M5" s="71"/>
      <c r="N5" s="71"/>
      <c r="O5" s="71"/>
      <c r="P5" s="71"/>
      <c r="Q5" s="71"/>
      <c r="R5" s="71"/>
      <c r="S5" s="71"/>
      <c r="T5" s="71"/>
      <c r="U5" s="17" t="str">
        <f>L5</f>
        <v>PUGET SOUND ENERGY-ELECTRIC</v>
      </c>
      <c r="V5" s="17"/>
      <c r="W5" s="34"/>
      <c r="X5" s="17"/>
      <c r="Y5" s="34"/>
      <c r="Z5" s="17"/>
      <c r="AA5" s="34"/>
      <c r="AB5" s="17"/>
      <c r="AC5" s="17"/>
      <c r="AD5" s="34"/>
      <c r="AE5" s="71" t="str">
        <f>U5</f>
        <v>PUGET SOUND ENERGY-ELECTRIC</v>
      </c>
      <c r="AF5" s="17"/>
      <c r="AG5" s="34"/>
      <c r="AH5" s="34"/>
      <c r="AI5" s="71"/>
      <c r="AJ5" s="71"/>
      <c r="AK5" s="71"/>
      <c r="AL5" s="34"/>
      <c r="AM5" s="17"/>
      <c r="AN5" s="119"/>
      <c r="AO5" s="119"/>
      <c r="AP5" s="119"/>
      <c r="AQ5" s="51"/>
      <c r="AR5" s="51"/>
      <c r="AS5" s="119"/>
    </row>
    <row r="6" spans="1:45" ht="12.75">
      <c r="A6" s="84"/>
      <c r="B6" s="221"/>
      <c r="C6" s="17" t="s">
        <v>86</v>
      </c>
      <c r="D6" s="17"/>
      <c r="E6" s="34"/>
      <c r="F6" s="17"/>
      <c r="G6" s="17"/>
      <c r="H6" s="71"/>
      <c r="I6" s="17"/>
      <c r="J6" s="71"/>
      <c r="K6" s="71"/>
      <c r="L6" s="71" t="str">
        <f>$C$6</f>
        <v>STATEMENT OF OPERATING INCOME AND ADJUSTMENTS</v>
      </c>
      <c r="M6" s="71"/>
      <c r="N6" s="71"/>
      <c r="O6" s="71"/>
      <c r="P6" s="71"/>
      <c r="Q6" s="71"/>
      <c r="R6" s="71"/>
      <c r="S6" s="71"/>
      <c r="T6" s="71"/>
      <c r="U6" s="17" t="str">
        <f>$C$6</f>
        <v>STATEMENT OF OPERATING INCOME AND ADJUSTMENTS</v>
      </c>
      <c r="V6" s="17"/>
      <c r="W6" s="34"/>
      <c r="X6" s="17"/>
      <c r="Y6" s="34"/>
      <c r="Z6" s="17"/>
      <c r="AA6" s="34"/>
      <c r="AB6" s="17"/>
      <c r="AC6" s="17"/>
      <c r="AD6" s="34"/>
      <c r="AE6" s="17" t="str">
        <f>$C$6</f>
        <v>STATEMENT OF OPERATING INCOME AND ADJUSTMENTS</v>
      </c>
      <c r="AF6" s="17"/>
      <c r="AG6" s="34"/>
      <c r="AH6" s="34"/>
      <c r="AI6" s="71"/>
      <c r="AJ6" s="71"/>
      <c r="AK6" s="71"/>
      <c r="AL6" s="34"/>
      <c r="AM6" s="17"/>
      <c r="AN6" s="71" t="s">
        <v>640</v>
      </c>
      <c r="AO6" s="71"/>
      <c r="AP6" s="71"/>
      <c r="AQ6" s="71"/>
      <c r="AR6" s="71"/>
      <c r="AS6" s="119"/>
    </row>
    <row r="7" spans="1:45" ht="12.75">
      <c r="A7" s="84"/>
      <c r="B7" s="221"/>
      <c r="C7" s="17" t="str">
        <f>TESTYEAR</f>
        <v>FOR THE TWELVE MONTHS ENDED DECEMBER 31, 2010</v>
      </c>
      <c r="D7" s="17"/>
      <c r="E7" s="34"/>
      <c r="F7" s="17"/>
      <c r="G7" s="17"/>
      <c r="H7" s="71"/>
      <c r="I7" s="17"/>
      <c r="J7" s="71"/>
      <c r="K7" s="71"/>
      <c r="L7" s="71" t="str">
        <f>C7</f>
        <v>FOR THE TWELVE MONTHS ENDED DECEMBER 31, 2010</v>
      </c>
      <c r="M7" s="71"/>
      <c r="N7" s="71"/>
      <c r="O7" s="71"/>
      <c r="P7" s="71"/>
      <c r="Q7" s="71"/>
      <c r="R7" s="71"/>
      <c r="S7" s="71"/>
      <c r="T7" s="71"/>
      <c r="U7" s="17" t="str">
        <f>L7</f>
        <v>FOR THE TWELVE MONTHS ENDED DECEMBER 31, 2010</v>
      </c>
      <c r="V7" s="17"/>
      <c r="W7" s="34"/>
      <c r="X7" s="17"/>
      <c r="Y7" s="34"/>
      <c r="Z7" s="17"/>
      <c r="AA7" s="34"/>
      <c r="AB7" s="17"/>
      <c r="AC7" s="17"/>
      <c r="AD7" s="34"/>
      <c r="AE7" s="71" t="str">
        <f>U7</f>
        <v>FOR THE TWELVE MONTHS ENDED DECEMBER 31, 2010</v>
      </c>
      <c r="AF7" s="17"/>
      <c r="AG7" s="34"/>
      <c r="AH7" s="34"/>
      <c r="AI7" s="71"/>
      <c r="AJ7" s="71"/>
      <c r="AK7" s="71"/>
      <c r="AL7" s="34"/>
      <c r="AM7" s="17"/>
      <c r="AN7" s="71" t="s">
        <v>87</v>
      </c>
      <c r="AO7" s="71"/>
      <c r="AP7" s="71"/>
      <c r="AQ7" s="71"/>
      <c r="AR7" s="71"/>
      <c r="AS7" s="119"/>
    </row>
    <row r="8" spans="1:45" ht="12.75">
      <c r="A8" s="16"/>
      <c r="B8" s="179"/>
      <c r="C8" s="179" t="s">
        <v>272</v>
      </c>
      <c r="D8" s="179"/>
      <c r="E8" s="34"/>
      <c r="F8" s="179"/>
      <c r="G8" s="179"/>
      <c r="H8" s="179"/>
      <c r="I8" s="179"/>
      <c r="J8" s="179"/>
      <c r="K8" s="179"/>
      <c r="L8" s="179" t="s">
        <v>273</v>
      </c>
      <c r="M8" s="179"/>
      <c r="N8" s="179"/>
      <c r="O8" s="179"/>
      <c r="P8" s="179"/>
      <c r="Q8" s="179"/>
      <c r="R8" s="179"/>
      <c r="S8" s="179"/>
      <c r="T8" s="179"/>
      <c r="U8" s="179" t="s">
        <v>274</v>
      </c>
      <c r="V8" s="179"/>
      <c r="W8" s="34"/>
      <c r="X8" s="179"/>
      <c r="Y8" s="34"/>
      <c r="Z8" s="179"/>
      <c r="AA8" s="34"/>
      <c r="AB8" s="179"/>
      <c r="AC8" s="179"/>
      <c r="AD8" s="34"/>
      <c r="AE8" s="179" t="s">
        <v>275</v>
      </c>
      <c r="AF8" s="179"/>
      <c r="AG8" s="34"/>
      <c r="AH8" s="34"/>
      <c r="AI8" s="179"/>
      <c r="AJ8" s="179"/>
      <c r="AK8" s="179"/>
      <c r="AL8" s="34"/>
      <c r="AM8" s="179"/>
      <c r="AN8" s="296" t="s">
        <v>248</v>
      </c>
      <c r="AO8" s="296"/>
      <c r="AP8" s="296"/>
      <c r="AQ8" s="296"/>
      <c r="AR8" s="296"/>
      <c r="AS8" s="16"/>
    </row>
    <row r="9" spans="1:45" ht="13.5">
      <c r="A9" s="84"/>
      <c r="B9" s="16"/>
      <c r="C9" s="4"/>
      <c r="D9" s="543" t="s">
        <v>247</v>
      </c>
      <c r="E9" s="543" t="s">
        <v>247</v>
      </c>
      <c r="F9" s="543" t="s">
        <v>247</v>
      </c>
      <c r="G9" s="543" t="s">
        <v>247</v>
      </c>
      <c r="H9" s="543"/>
      <c r="I9" s="4"/>
      <c r="J9" s="4"/>
      <c r="K9" s="51"/>
      <c r="L9" s="51"/>
      <c r="M9" s="543" t="s">
        <v>247</v>
      </c>
      <c r="N9" s="543" t="s">
        <v>247</v>
      </c>
      <c r="O9" s="543" t="s">
        <v>247</v>
      </c>
      <c r="P9" s="4"/>
      <c r="Q9" s="543"/>
      <c r="R9" s="51"/>
      <c r="S9" s="4"/>
      <c r="T9" s="553" t="s">
        <v>247</v>
      </c>
      <c r="U9" s="553"/>
      <c r="V9" s="51"/>
      <c r="W9" s="51"/>
      <c r="X9" s="4"/>
      <c r="Y9" s="51"/>
      <c r="Z9" s="553" t="s">
        <v>247</v>
      </c>
      <c r="AA9" s="4"/>
      <c r="AB9" s="4"/>
      <c r="AC9" s="4"/>
      <c r="AD9" s="51"/>
      <c r="AE9" s="4"/>
      <c r="AF9" s="4"/>
      <c r="AG9" s="4"/>
      <c r="AH9" s="553"/>
      <c r="AI9" s="553"/>
      <c r="AJ9" s="553"/>
      <c r="AK9" s="4"/>
      <c r="AL9" s="553" t="s">
        <v>247</v>
      </c>
      <c r="AM9" s="553" t="s">
        <v>247</v>
      </c>
      <c r="AN9" s="296"/>
      <c r="AO9" s="296"/>
      <c r="AP9" s="296"/>
      <c r="AQ9" s="296"/>
      <c r="AR9" s="296"/>
      <c r="AS9" s="16"/>
    </row>
    <row r="10" spans="1:45" ht="12.75">
      <c r="A10" s="120"/>
      <c r="B10" s="32"/>
      <c r="C10" s="32"/>
      <c r="D10" s="32" t="s">
        <v>598</v>
      </c>
      <c r="E10" s="32"/>
      <c r="F10" s="32"/>
      <c r="G10" s="32"/>
      <c r="H10" s="85"/>
      <c r="I10" s="32"/>
      <c r="J10" s="32"/>
      <c r="K10" s="8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85"/>
      <c r="X10" s="32"/>
      <c r="Y10" s="32"/>
      <c r="Z10" s="32"/>
      <c r="AA10" s="32"/>
      <c r="AB10" s="32"/>
      <c r="AC10" s="32"/>
      <c r="AD10" s="85"/>
      <c r="AE10" s="32"/>
      <c r="AF10" s="32"/>
      <c r="AG10" s="32"/>
      <c r="AH10" s="32"/>
      <c r="AI10" s="32"/>
      <c r="AJ10" s="32"/>
      <c r="AK10" s="32"/>
      <c r="AL10" s="32"/>
      <c r="AM10" s="32"/>
      <c r="AN10" s="16"/>
      <c r="AO10" s="16"/>
      <c r="AP10" s="16"/>
      <c r="AQ10" s="16"/>
      <c r="AR10" s="16"/>
      <c r="AS10" s="16"/>
    </row>
    <row r="11" spans="1:46" ht="13.5">
      <c r="A11" s="120"/>
      <c r="B11" s="32"/>
      <c r="C11" s="32"/>
      <c r="D11" s="32" t="s">
        <v>711</v>
      </c>
      <c r="E11" s="340"/>
      <c r="F11" s="340"/>
      <c r="G11" s="340"/>
      <c r="I11" s="32"/>
      <c r="J11" s="32" t="s">
        <v>710</v>
      </c>
      <c r="K11" s="342"/>
      <c r="L11" s="342"/>
      <c r="M11" s="340"/>
      <c r="N11"/>
      <c r="O11"/>
      <c r="P11" s="32"/>
      <c r="Q11" s="340"/>
      <c r="R11" s="32"/>
      <c r="S11" s="340"/>
      <c r="T11" s="340"/>
      <c r="U11" s="32"/>
      <c r="V11" s="32"/>
      <c r="W11" s="342"/>
      <c r="X11" s="32"/>
      <c r="Y11" s="32"/>
      <c r="Z11" s="32"/>
      <c r="AA11" s="32"/>
      <c r="AB11" s="32"/>
      <c r="AC11" s="32"/>
      <c r="AD11" s="85"/>
      <c r="AE11" s="32"/>
      <c r="AF11" s="32"/>
      <c r="AG11" s="32"/>
      <c r="AH11" s="32"/>
      <c r="AI11" s="32"/>
      <c r="AJ11" s="32"/>
      <c r="AK11" s="342"/>
      <c r="AL11" s="340"/>
      <c r="AM11" s="340"/>
      <c r="AN11"/>
      <c r="AO11" s="543" t="s">
        <v>247</v>
      </c>
      <c r="AP11" s="543" t="s">
        <v>247</v>
      </c>
      <c r="AQ11" s="543" t="s">
        <v>247</v>
      </c>
      <c r="AR11" s="543" t="s">
        <v>247</v>
      </c>
      <c r="AS11" s="16"/>
      <c r="AT11" s="543"/>
    </row>
    <row r="12" spans="1:45" ht="12.75">
      <c r="A12" s="120"/>
      <c r="B12" s="16"/>
      <c r="C12" s="4" t="s">
        <v>619</v>
      </c>
      <c r="D12" s="4" t="s">
        <v>606</v>
      </c>
      <c r="E12" s="4" t="s">
        <v>503</v>
      </c>
      <c r="F12" s="4" t="s">
        <v>341</v>
      </c>
      <c r="G12" s="4" t="s">
        <v>342</v>
      </c>
      <c r="H12" s="4" t="s">
        <v>191</v>
      </c>
      <c r="I12" s="4" t="s">
        <v>114</v>
      </c>
      <c r="J12" s="4" t="s">
        <v>617</v>
      </c>
      <c r="K12" s="4" t="s">
        <v>343</v>
      </c>
      <c r="L12" s="4" t="s">
        <v>344</v>
      </c>
      <c r="M12" s="4" t="s">
        <v>442</v>
      </c>
      <c r="N12" s="4" t="s">
        <v>615</v>
      </c>
      <c r="O12" s="383" t="s">
        <v>682</v>
      </c>
      <c r="P12" s="4" t="s">
        <v>282</v>
      </c>
      <c r="Q12" s="4" t="s">
        <v>132</v>
      </c>
      <c r="R12" s="4" t="s">
        <v>439</v>
      </c>
      <c r="S12" s="4" t="s">
        <v>607</v>
      </c>
      <c r="T12" s="4" t="s">
        <v>674</v>
      </c>
      <c r="U12" s="4" t="s">
        <v>345</v>
      </c>
      <c r="V12" s="4" t="s">
        <v>239</v>
      </c>
      <c r="W12" s="4" t="s">
        <v>405</v>
      </c>
      <c r="X12" s="25" t="s">
        <v>608</v>
      </c>
      <c r="Y12" s="4" t="s">
        <v>75</v>
      </c>
      <c r="Z12" s="25" t="s">
        <v>609</v>
      </c>
      <c r="AA12" s="4" t="s">
        <v>409</v>
      </c>
      <c r="AB12" s="4" t="s">
        <v>337</v>
      </c>
      <c r="AC12" s="4" t="s">
        <v>610</v>
      </c>
      <c r="AD12" s="4" t="s">
        <v>618</v>
      </c>
      <c r="AE12" s="4" t="s">
        <v>466</v>
      </c>
      <c r="AF12" s="4" t="s">
        <v>653</v>
      </c>
      <c r="AG12" s="4" t="s">
        <v>659</v>
      </c>
      <c r="AH12" s="4" t="s">
        <v>658</v>
      </c>
      <c r="AI12" s="4" t="s">
        <v>614</v>
      </c>
      <c r="AJ12" s="4" t="s">
        <v>613</v>
      </c>
      <c r="AK12" s="4" t="s">
        <v>696</v>
      </c>
      <c r="AL12" s="4" t="s">
        <v>137</v>
      </c>
      <c r="AM12" s="4" t="s">
        <v>637</v>
      </c>
      <c r="AN12" s="4"/>
      <c r="AO12" s="4"/>
      <c r="AP12" s="4" t="s">
        <v>637</v>
      </c>
      <c r="AQ12" s="4" t="s">
        <v>250</v>
      </c>
      <c r="AR12" s="4" t="s">
        <v>639</v>
      </c>
      <c r="AS12" s="16"/>
    </row>
    <row r="13" spans="1:45" ht="12.75">
      <c r="A13" s="89" t="s">
        <v>599</v>
      </c>
      <c r="B13" s="16"/>
      <c r="C13" s="4" t="s">
        <v>151</v>
      </c>
      <c r="D13" s="4" t="s">
        <v>139</v>
      </c>
      <c r="E13" s="4" t="s">
        <v>504</v>
      </c>
      <c r="F13" s="4" t="s">
        <v>340</v>
      </c>
      <c r="G13" s="24" t="s">
        <v>146</v>
      </c>
      <c r="H13" s="4" t="s">
        <v>192</v>
      </c>
      <c r="I13" s="4" t="s">
        <v>111</v>
      </c>
      <c r="J13" s="4" t="s">
        <v>149</v>
      </c>
      <c r="K13" s="4" t="s">
        <v>72</v>
      </c>
      <c r="L13" s="4" t="s">
        <v>215</v>
      </c>
      <c r="M13" s="4" t="s">
        <v>400</v>
      </c>
      <c r="N13" s="4" t="s">
        <v>129</v>
      </c>
      <c r="O13" s="383" t="s">
        <v>683</v>
      </c>
      <c r="P13" s="4" t="s">
        <v>294</v>
      </c>
      <c r="Q13" s="4" t="s">
        <v>433</v>
      </c>
      <c r="R13" s="4" t="s">
        <v>440</v>
      </c>
      <c r="S13" s="24" t="s">
        <v>140</v>
      </c>
      <c r="T13" s="24" t="s">
        <v>675</v>
      </c>
      <c r="U13" s="4" t="s">
        <v>150</v>
      </c>
      <c r="V13" s="4" t="s">
        <v>678</v>
      </c>
      <c r="W13" s="4" t="s">
        <v>406</v>
      </c>
      <c r="X13" s="25" t="s">
        <v>142</v>
      </c>
      <c r="Y13" s="4" t="s">
        <v>74</v>
      </c>
      <c r="Z13" s="68" t="s">
        <v>144</v>
      </c>
      <c r="AA13" s="24" t="s">
        <v>410</v>
      </c>
      <c r="AB13" s="24" t="s">
        <v>141</v>
      </c>
      <c r="AC13" s="24" t="s">
        <v>145</v>
      </c>
      <c r="AD13" s="4" t="s">
        <v>150</v>
      </c>
      <c r="AE13" s="4" t="s">
        <v>657</v>
      </c>
      <c r="AF13" s="69" t="s">
        <v>654</v>
      </c>
      <c r="AG13" s="4" t="s">
        <v>148</v>
      </c>
      <c r="AH13" s="4" t="s">
        <v>600</v>
      </c>
      <c r="AI13" s="4" t="s">
        <v>148</v>
      </c>
      <c r="AJ13" s="4" t="s">
        <v>141</v>
      </c>
      <c r="AK13" s="4" t="s">
        <v>37</v>
      </c>
      <c r="AL13" s="51" t="s">
        <v>278</v>
      </c>
      <c r="AM13" s="4" t="s">
        <v>151</v>
      </c>
      <c r="AN13" s="4" t="s">
        <v>632</v>
      </c>
      <c r="AO13" s="4" t="s">
        <v>137</v>
      </c>
      <c r="AP13" s="4" t="s">
        <v>151</v>
      </c>
      <c r="AQ13" s="4" t="s">
        <v>638</v>
      </c>
      <c r="AR13" s="4" t="s">
        <v>153</v>
      </c>
      <c r="AS13" s="4"/>
    </row>
    <row r="14" spans="1:45" ht="12.75">
      <c r="A14" s="89" t="s">
        <v>620</v>
      </c>
      <c r="B14" s="16"/>
      <c r="C14" s="4" t="s">
        <v>3</v>
      </c>
      <c r="D14" s="14">
        <v>20.01</v>
      </c>
      <c r="E14" s="14">
        <f aca="true" t="shared" si="0" ref="E14:K14">D14+0.01</f>
        <v>20.020000000000003</v>
      </c>
      <c r="F14" s="14">
        <f t="shared" si="0"/>
        <v>20.030000000000005</v>
      </c>
      <c r="G14" s="14">
        <f t="shared" si="0"/>
        <v>20.040000000000006</v>
      </c>
      <c r="H14" s="14">
        <f t="shared" si="0"/>
        <v>20.050000000000008</v>
      </c>
      <c r="I14" s="14">
        <f t="shared" si="0"/>
        <v>20.06000000000001</v>
      </c>
      <c r="J14" s="14">
        <f t="shared" si="0"/>
        <v>20.07000000000001</v>
      </c>
      <c r="K14" s="14">
        <f t="shared" si="0"/>
        <v>20.080000000000013</v>
      </c>
      <c r="L14" s="14">
        <f>K14+0.01</f>
        <v>20.090000000000014</v>
      </c>
      <c r="M14" s="14">
        <f>L14+0.01</f>
        <v>20.100000000000016</v>
      </c>
      <c r="N14" s="14">
        <f>M14+0.01</f>
        <v>20.110000000000017</v>
      </c>
      <c r="O14" s="14">
        <f>N14+0.01</f>
        <v>20.12000000000002</v>
      </c>
      <c r="P14" s="14">
        <v>21.01</v>
      </c>
      <c r="Q14" s="14">
        <f>P14+0.01</f>
        <v>21.020000000000003</v>
      </c>
      <c r="R14" s="14">
        <f>Q14+0.01</f>
        <v>21.030000000000005</v>
      </c>
      <c r="S14" s="14">
        <f>R14+0.01</f>
        <v>21.040000000000006</v>
      </c>
      <c r="T14" s="14">
        <f>S14+0.01</f>
        <v>21.050000000000008</v>
      </c>
      <c r="U14" s="14">
        <f>T14+0.01</f>
        <v>21.06000000000001</v>
      </c>
      <c r="V14" s="14">
        <f aca="true" t="shared" si="1" ref="V14:AI14">U14+0.01</f>
        <v>21.07000000000001</v>
      </c>
      <c r="W14" s="14">
        <f t="shared" si="1"/>
        <v>21.080000000000013</v>
      </c>
      <c r="X14" s="14">
        <f t="shared" si="1"/>
        <v>21.090000000000014</v>
      </c>
      <c r="Y14" s="14">
        <f t="shared" si="1"/>
        <v>21.100000000000016</v>
      </c>
      <c r="Z14" s="14">
        <f t="shared" si="1"/>
        <v>21.110000000000017</v>
      </c>
      <c r="AA14" s="14">
        <f t="shared" si="1"/>
        <v>21.12000000000002</v>
      </c>
      <c r="AB14" s="14">
        <f t="shared" si="1"/>
        <v>21.13000000000002</v>
      </c>
      <c r="AC14" s="14">
        <f t="shared" si="1"/>
        <v>21.140000000000022</v>
      </c>
      <c r="AD14" s="14">
        <f t="shared" si="1"/>
        <v>21.150000000000023</v>
      </c>
      <c r="AE14" s="14">
        <f t="shared" si="1"/>
        <v>21.160000000000025</v>
      </c>
      <c r="AF14" s="14">
        <f t="shared" si="1"/>
        <v>21.170000000000027</v>
      </c>
      <c r="AG14" s="14">
        <f t="shared" si="1"/>
        <v>21.180000000000028</v>
      </c>
      <c r="AH14" s="14">
        <f t="shared" si="1"/>
        <v>21.19000000000003</v>
      </c>
      <c r="AI14" s="14">
        <f t="shared" si="1"/>
        <v>21.20000000000003</v>
      </c>
      <c r="AJ14" s="14">
        <f>AI14+0.01</f>
        <v>21.210000000000033</v>
      </c>
      <c r="AK14" s="14">
        <f>AJ14+0.01</f>
        <v>21.220000000000034</v>
      </c>
      <c r="AL14" s="51"/>
      <c r="AM14" s="51" t="s">
        <v>152</v>
      </c>
      <c r="AN14" s="51" t="s">
        <v>633</v>
      </c>
      <c r="AO14" s="51" t="s">
        <v>278</v>
      </c>
      <c r="AP14" s="51" t="s">
        <v>152</v>
      </c>
      <c r="AQ14" s="51" t="str">
        <f>IF(AQ21&lt;0,"SURPLUS","DEFICIENCY")</f>
        <v>DEFICIENCY</v>
      </c>
      <c r="AR14" s="51" t="str">
        <f>IF(AQ21&lt;0,"DECREASE","INCREASE")</f>
        <v>INCREASE</v>
      </c>
      <c r="AS14" s="4"/>
    </row>
    <row r="15" spans="1:45" ht="13.5" thickBot="1">
      <c r="A15" s="93" t="s">
        <v>155</v>
      </c>
      <c r="B15" s="13"/>
      <c r="C15" s="9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51"/>
    </row>
    <row r="16" spans="1:46" ht="12.75">
      <c r="A16" s="8">
        <v>1</v>
      </c>
      <c r="B16" s="9" t="s">
        <v>163</v>
      </c>
      <c r="C16" s="54"/>
      <c r="D16" s="109"/>
      <c r="E16" s="109"/>
      <c r="F16" s="109"/>
      <c r="I16" s="9"/>
      <c r="J16" s="109"/>
      <c r="L16" s="109"/>
      <c r="M16" s="109"/>
      <c r="N16" s="8"/>
      <c r="O16" s="573"/>
      <c r="P16" s="109"/>
      <c r="Q16" s="109"/>
      <c r="R16" s="109"/>
      <c r="S16" s="109"/>
      <c r="T16" s="109"/>
      <c r="V16" s="109"/>
      <c r="X16" s="124"/>
      <c r="Y16" s="109"/>
      <c r="AA16" s="109"/>
      <c r="AB16" s="109"/>
      <c r="AC16" s="109"/>
      <c r="AE16" s="109"/>
      <c r="AH16" s="109"/>
      <c r="AM16" s="109"/>
      <c r="AR16" s="7"/>
      <c r="AT16" s="295" t="s">
        <v>296</v>
      </c>
    </row>
    <row r="17" spans="1:58" ht="14.25" thickBot="1">
      <c r="A17" s="8">
        <f aca="true" t="shared" si="2" ref="A17:A62">A16+1</f>
        <v>2</v>
      </c>
      <c r="B17" s="9" t="s">
        <v>524</v>
      </c>
      <c r="C17" s="57">
        <v>2042334319.11999</v>
      </c>
      <c r="D17" s="57">
        <v>0</v>
      </c>
      <c r="E17" s="57"/>
      <c r="F17" s="57"/>
      <c r="G17" s="57">
        <v>0</v>
      </c>
      <c r="H17" s="57"/>
      <c r="I17" s="57">
        <v>0</v>
      </c>
      <c r="J17" s="57">
        <v>0</v>
      </c>
      <c r="K17" s="57"/>
      <c r="L17" s="57"/>
      <c r="M17" s="57">
        <v>0</v>
      </c>
      <c r="N17" s="57">
        <v>0</v>
      </c>
      <c r="O17" s="367"/>
      <c r="P17" s="57">
        <f>+'JHS-21'!G41-P18</f>
        <v>20893333.04182149</v>
      </c>
      <c r="Q17" s="57">
        <f>'JHS-21'!L29</f>
        <v>-7338699.607613451</v>
      </c>
      <c r="R17" s="57">
        <f>-('JHS-21'!Q23-'JHS-21'!Q19-'JHS-21'!Q21-'JHS-21'!Q22)</f>
        <v>-78775415.69463938</v>
      </c>
      <c r="S17" s="57">
        <v>0</v>
      </c>
      <c r="T17" s="57">
        <v>0</v>
      </c>
      <c r="U17" s="57">
        <v>0</v>
      </c>
      <c r="V17" s="57">
        <v>0</v>
      </c>
      <c r="W17" s="57"/>
      <c r="X17" s="57">
        <v>0</v>
      </c>
      <c r="Y17" s="57"/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/>
      <c r="AL17" s="57">
        <f>SUM(D17:AK17)</f>
        <v>-65220782.26043135</v>
      </c>
      <c r="AM17" s="57">
        <f>AL17+C17</f>
        <v>1977113536.8595588</v>
      </c>
      <c r="AN17" s="57">
        <f>C17</f>
        <v>2042334319.11999</v>
      </c>
      <c r="AO17" s="57">
        <f>+AL17</f>
        <v>-65220782.26043135</v>
      </c>
      <c r="AP17" s="57">
        <f>SUM(AN17:AO17)</f>
        <v>1977113536.8595588</v>
      </c>
      <c r="AQ17" s="538">
        <f>'[1]JHS-22'!C25</f>
        <v>103479354</v>
      </c>
      <c r="AR17" s="538">
        <f>SUM(AP17:AQ17)</f>
        <v>2080592890.8595588</v>
      </c>
      <c r="AT17" s="574">
        <f>AQ17/AP17</f>
        <v>0.05233859971661835</v>
      </c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ht="12.75">
      <c r="A18" s="8">
        <f t="shared" si="2"/>
        <v>3</v>
      </c>
      <c r="B18" s="9" t="s">
        <v>84</v>
      </c>
      <c r="C18" s="55">
        <v>350182.38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67"/>
      <c r="P18" s="55">
        <f>'JHS-21'!F40</f>
        <v>3093</v>
      </c>
      <c r="Q18" s="55">
        <f>'JHS-21'!L35</f>
        <v>864472.1399999999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>
        <f>SUM(D18:AK18)</f>
        <v>867565.1399999999</v>
      </c>
      <c r="AM18" s="55">
        <f>AL18+C18</f>
        <v>1217747.52</v>
      </c>
      <c r="AN18" s="155">
        <f>C18</f>
        <v>350182.38</v>
      </c>
      <c r="AO18" s="55">
        <f>+AL18</f>
        <v>867565.1399999999</v>
      </c>
      <c r="AP18" s="55">
        <f>SUM(AN18:AO18)</f>
        <v>1217747.52</v>
      </c>
      <c r="AQ18" s="155">
        <f>'[1]JHS-22'!C24+'[1]JHS-22'!C23</f>
        <v>591462</v>
      </c>
      <c r="AR18" s="155">
        <f>SUM(AP18:AQ18)</f>
        <v>1809209.52</v>
      </c>
      <c r="AT18" s="573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ht="13.5">
      <c r="A19" s="8">
        <f t="shared" si="2"/>
        <v>4</v>
      </c>
      <c r="B19" s="9" t="s">
        <v>525</v>
      </c>
      <c r="C19" s="55">
        <v>201262557</v>
      </c>
      <c r="D19" s="522">
        <f>'JHS-20'!E13</f>
        <v>-161098833.64355522</v>
      </c>
      <c r="E19" s="55"/>
      <c r="F19" s="55"/>
      <c r="G19" s="55"/>
      <c r="H19" s="55"/>
      <c r="I19" s="55"/>
      <c r="J19" s="55"/>
      <c r="K19" s="55"/>
      <c r="L19" s="55"/>
      <c r="M19" s="55"/>
      <c r="N19" s="55">
        <f>-'JHS-20'!BC40</f>
        <v>0</v>
      </c>
      <c r="O19" s="367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22">
        <f>SUM(D19:AK19)</f>
        <v>-161098833.64355522</v>
      </c>
      <c r="AM19" s="522">
        <f>AL19+C19</f>
        <v>40163723.356444776</v>
      </c>
      <c r="AN19" s="155">
        <f>C19</f>
        <v>201262557</v>
      </c>
      <c r="AO19" s="522">
        <f>+AL19</f>
        <v>-161098833.64355522</v>
      </c>
      <c r="AP19" s="522">
        <f>SUM(AN19:AO19)</f>
        <v>40163723.356444776</v>
      </c>
      <c r="AQ19" s="155"/>
      <c r="AR19" s="549">
        <f>SUM(AP19:AQ19)</f>
        <v>40163723.356444776</v>
      </c>
      <c r="AS19" s="55"/>
      <c r="AT19" s="573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</row>
    <row r="20" spans="1:58" ht="13.5">
      <c r="A20" s="8">
        <f t="shared" si="2"/>
        <v>5</v>
      </c>
      <c r="B20" s="9" t="s">
        <v>526</v>
      </c>
      <c r="C20" s="5">
        <v>30706332.7599999</v>
      </c>
      <c r="D20" s="523">
        <f>'JHS-20'!E15+'JHS-20'!E16</f>
        <v>39769401.32765987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368"/>
      <c r="P20" s="5"/>
      <c r="Q20" s="5">
        <f>'JHS-21'!L42</f>
        <v>1036143.3800000006</v>
      </c>
      <c r="R20" s="5">
        <f>-'JHS-21'!Q19-'JHS-21'!Q21-'JHS-21'!Q22</f>
        <v>-32491669.85</v>
      </c>
      <c r="S20" s="5"/>
      <c r="T20" s="5" t="s">
        <v>485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23">
        <f>SUM(D20:AK20)</f>
        <v>8313874.857659869</v>
      </c>
      <c r="AM20" s="523">
        <f>AL20+C20</f>
        <v>39020207.61765977</v>
      </c>
      <c r="AN20" s="213">
        <f>C20</f>
        <v>30706332.7599999</v>
      </c>
      <c r="AO20" s="523">
        <f>+AL20</f>
        <v>8313874.857659869</v>
      </c>
      <c r="AP20" s="523">
        <f>SUM(AN20:AO20)</f>
        <v>39020207.61765977</v>
      </c>
      <c r="AQ20" s="213"/>
      <c r="AR20" s="577">
        <f>SUM(AP20:AQ20)</f>
        <v>39020207.61765977</v>
      </c>
      <c r="AS20" s="55"/>
      <c r="AT20" s="573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58" ht="13.5">
      <c r="A21" s="8">
        <f t="shared" si="2"/>
        <v>6</v>
      </c>
      <c r="B21" s="9" t="s">
        <v>527</v>
      </c>
      <c r="C21" s="128">
        <f>SUM(C17:C20)</f>
        <v>2274653391.25999</v>
      </c>
      <c r="D21" s="520">
        <f>SUM(D17:D20)</f>
        <v>-121329432.31589535</v>
      </c>
      <c r="E21" s="128">
        <f>SUM(E17:E20)</f>
        <v>0</v>
      </c>
      <c r="F21" s="128">
        <f>SUM(F17:F20)</f>
        <v>0</v>
      </c>
      <c r="G21" s="128">
        <f>SUM(G17:G20)</f>
        <v>0</v>
      </c>
      <c r="H21" s="128"/>
      <c r="I21" s="128">
        <f>SUM(I17:I20)</f>
        <v>0</v>
      </c>
      <c r="J21" s="128">
        <f>SUM(J17:J20)</f>
        <v>0</v>
      </c>
      <c r="K21" s="128">
        <f>SUM(K17:K20)</f>
        <v>0</v>
      </c>
      <c r="L21" s="128">
        <f aca="true" t="shared" si="3" ref="L21:V21">SUM(L17:L20)</f>
        <v>0</v>
      </c>
      <c r="M21" s="128">
        <f t="shared" si="3"/>
        <v>0</v>
      </c>
      <c r="N21" s="128">
        <f t="shared" si="3"/>
        <v>0</v>
      </c>
      <c r="O21" s="367">
        <f>SUM(O17:O20)</f>
        <v>0</v>
      </c>
      <c r="P21" s="128">
        <f t="shared" si="3"/>
        <v>20896426.04182149</v>
      </c>
      <c r="Q21" s="128">
        <f t="shared" si="3"/>
        <v>-5438084.08761345</v>
      </c>
      <c r="R21" s="128">
        <f t="shared" si="3"/>
        <v>-111267085.54463938</v>
      </c>
      <c r="S21" s="128">
        <f t="shared" si="3"/>
        <v>0</v>
      </c>
      <c r="T21" s="128">
        <f t="shared" si="3"/>
        <v>0</v>
      </c>
      <c r="U21" s="128">
        <f t="shared" si="3"/>
        <v>0</v>
      </c>
      <c r="V21" s="128">
        <f t="shared" si="3"/>
        <v>0</v>
      </c>
      <c r="W21" s="128"/>
      <c r="X21" s="128">
        <f>SUM(X17:X20)</f>
        <v>0</v>
      </c>
      <c r="Y21" s="128">
        <f>SUM(Y17:Y20)</f>
        <v>0</v>
      </c>
      <c r="Z21" s="128">
        <f>SUM(Z17:Z20)</f>
        <v>0</v>
      </c>
      <c r="AA21" s="128">
        <f>SUM(AA17:AA20)</f>
        <v>0</v>
      </c>
      <c r="AB21" s="128">
        <f>SUM(AB17:AB20)</f>
        <v>0</v>
      </c>
      <c r="AC21" s="128">
        <f aca="true" t="shared" si="4" ref="AC21:AK21">SUM(AC17:AC20)</f>
        <v>0</v>
      </c>
      <c r="AD21" s="128">
        <f t="shared" si="4"/>
        <v>0</v>
      </c>
      <c r="AE21" s="128">
        <f t="shared" si="4"/>
        <v>0</v>
      </c>
      <c r="AF21" s="128">
        <f t="shared" si="4"/>
        <v>0</v>
      </c>
      <c r="AG21" s="128">
        <f t="shared" si="4"/>
        <v>0</v>
      </c>
      <c r="AH21" s="128">
        <f t="shared" si="4"/>
        <v>0</v>
      </c>
      <c r="AI21" s="128">
        <f t="shared" si="4"/>
        <v>0</v>
      </c>
      <c r="AJ21" s="128">
        <f t="shared" si="4"/>
        <v>0</v>
      </c>
      <c r="AK21" s="128">
        <f t="shared" si="4"/>
        <v>0</v>
      </c>
      <c r="AL21" s="520">
        <f>SUM(D21:AK21)</f>
        <v>-217138175.90632668</v>
      </c>
      <c r="AM21" s="520">
        <f>AL21+C21</f>
        <v>2057515215.3536634</v>
      </c>
      <c r="AN21" s="578">
        <f>SUM(AN17:AN20)</f>
        <v>2274653391.25999</v>
      </c>
      <c r="AO21" s="520">
        <f>SUM(AO17:AO20)</f>
        <v>-217138175.9063267</v>
      </c>
      <c r="AP21" s="520">
        <f>SUM(AP17:AP20)</f>
        <v>2057515215.3536634</v>
      </c>
      <c r="AQ21" s="579">
        <f>SUM(AQ17:AQ20)</f>
        <v>104070816</v>
      </c>
      <c r="AR21" s="579">
        <f>SUM(AR17:AR20)</f>
        <v>2161586031.3536634</v>
      </c>
      <c r="AS21" s="99"/>
      <c r="AT21" s="573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ht="12.75">
      <c r="A22" s="8">
        <f t="shared" si="2"/>
        <v>7</v>
      </c>
      <c r="C22" s="54"/>
      <c r="D22" s="54" t="s">
        <v>485</v>
      </c>
      <c r="E22" s="54"/>
      <c r="F22" s="54"/>
      <c r="G22" s="54" t="s">
        <v>485</v>
      </c>
      <c r="H22" s="54"/>
      <c r="I22" s="54"/>
      <c r="J22" s="54"/>
      <c r="K22" s="54"/>
      <c r="L22" s="54"/>
      <c r="M22" s="54"/>
      <c r="N22" s="54" t="s">
        <v>485</v>
      </c>
      <c r="O22" s="367"/>
      <c r="P22" s="54" t="s">
        <v>485</v>
      </c>
      <c r="Q22" s="54" t="s">
        <v>485</v>
      </c>
      <c r="R22" s="54"/>
      <c r="S22" s="54" t="s">
        <v>485</v>
      </c>
      <c r="T22" s="54" t="s">
        <v>485</v>
      </c>
      <c r="U22" s="54" t="s">
        <v>485</v>
      </c>
      <c r="V22" s="54"/>
      <c r="W22" s="54"/>
      <c r="X22" s="54" t="s">
        <v>485</v>
      </c>
      <c r="Y22" s="54"/>
      <c r="Z22" s="54"/>
      <c r="AA22" s="54"/>
      <c r="AB22" s="54" t="s">
        <v>485</v>
      </c>
      <c r="AC22" s="54" t="s">
        <v>485</v>
      </c>
      <c r="AD22" s="54"/>
      <c r="AE22" s="54" t="s">
        <v>485</v>
      </c>
      <c r="AF22" s="54"/>
      <c r="AG22" s="54"/>
      <c r="AH22" s="54" t="s">
        <v>485</v>
      </c>
      <c r="AI22" s="54" t="s">
        <v>485</v>
      </c>
      <c r="AJ22" s="54" t="s">
        <v>485</v>
      </c>
      <c r="AK22" s="54"/>
      <c r="AL22" s="54"/>
      <c r="AM22" s="54"/>
      <c r="AN22" s="155"/>
      <c r="AO22" s="54"/>
      <c r="AP22" s="54"/>
      <c r="AQ22" s="155"/>
      <c r="AR22" s="155"/>
      <c r="AS22" s="99"/>
      <c r="AT22" s="573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</row>
    <row r="23" spans="1:58" ht="12.75">
      <c r="A23" s="8">
        <f t="shared" si="2"/>
        <v>8</v>
      </c>
      <c r="B23" s="9" t="s">
        <v>528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6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155"/>
      <c r="AO23" s="54"/>
      <c r="AP23" s="54"/>
      <c r="AQ23" s="155"/>
      <c r="AR23" s="155"/>
      <c r="AS23" s="54"/>
      <c r="AT23" s="57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</row>
    <row r="24" spans="1:58" ht="12.75">
      <c r="A24" s="8">
        <f t="shared" si="2"/>
        <v>9</v>
      </c>
      <c r="O24" s="367"/>
      <c r="AN24" s="155"/>
      <c r="AQ24" s="155"/>
      <c r="AR24" s="155"/>
      <c r="AS24" s="54"/>
      <c r="AT24" s="573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2.75">
      <c r="A25" s="8">
        <f t="shared" si="2"/>
        <v>10</v>
      </c>
      <c r="B25" s="9" t="s">
        <v>529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6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155"/>
      <c r="AO25" s="54"/>
      <c r="AP25" s="54"/>
      <c r="AQ25" s="155"/>
      <c r="AR25" s="155"/>
      <c r="AT25" s="573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8" ht="13.5">
      <c r="A26" s="8">
        <f t="shared" si="2"/>
        <v>11</v>
      </c>
      <c r="B26" s="9" t="s">
        <v>530</v>
      </c>
      <c r="C26" s="57">
        <v>268147071.16</v>
      </c>
      <c r="D26" s="538">
        <f>'JHS-20'!E21</f>
        <v>-578988.9566070437</v>
      </c>
      <c r="E26" s="57"/>
      <c r="F26" s="57"/>
      <c r="G26" s="57">
        <v>0</v>
      </c>
      <c r="H26" s="57"/>
      <c r="I26" s="57">
        <v>0</v>
      </c>
      <c r="J26" s="57">
        <v>0</v>
      </c>
      <c r="K26" s="57"/>
      <c r="L26" s="57"/>
      <c r="M26" s="538">
        <f>'JHS-20'!AY43+'JHS-20'!AY44+'JHS-20'!AY47</f>
        <v>430955.0843797197</v>
      </c>
      <c r="N26" s="551">
        <f>'JHS-20'!BC53+'JHS-20'!BC37+'JHS-20'!BC54+'JHS-20'!BC57</f>
        <v>9021.415526634302</v>
      </c>
      <c r="O26" s="367"/>
      <c r="P26" s="57">
        <v>0</v>
      </c>
      <c r="Q26" s="57">
        <v>0</v>
      </c>
      <c r="R26" s="57"/>
      <c r="S26" s="57">
        <v>0</v>
      </c>
      <c r="T26" s="57">
        <v>0</v>
      </c>
      <c r="U26" s="57">
        <v>0</v>
      </c>
      <c r="V26" s="57">
        <v>0</v>
      </c>
      <c r="W26" s="57"/>
      <c r="X26" s="57">
        <v>0</v>
      </c>
      <c r="Y26" s="57"/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/>
      <c r="AL26" s="538">
        <f>SUM(D26:AK26)</f>
        <v>-139012.45670068974</v>
      </c>
      <c r="AM26" s="538">
        <f>AL26+C26</f>
        <v>268008058.7032993</v>
      </c>
      <c r="AN26" s="57">
        <f>C26</f>
        <v>268147071.16</v>
      </c>
      <c r="AO26" s="538">
        <f>+AL26</f>
        <v>-139012.45670068974</v>
      </c>
      <c r="AP26" s="538">
        <f>SUM(AN26:AO26)</f>
        <v>268008058.7032993</v>
      </c>
      <c r="AQ26" s="57">
        <v>0</v>
      </c>
      <c r="AR26" s="538">
        <f>SUM(AP26:AQ26)</f>
        <v>268008058.7032993</v>
      </c>
      <c r="AS26" s="54"/>
      <c r="AT26" s="573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</row>
    <row r="27" spans="1:58" ht="13.5">
      <c r="A27" s="8">
        <f t="shared" si="2"/>
        <v>12</v>
      </c>
      <c r="B27" s="9" t="s">
        <v>531</v>
      </c>
      <c r="C27" s="55">
        <v>832711096.74</v>
      </c>
      <c r="D27" s="522">
        <f>+'JHS-20'!E23+'JHS-20'!E24</f>
        <v>-329043258.322432</v>
      </c>
      <c r="E27" s="55">
        <f>'JHS-20'!J28</f>
        <v>776099.4992999999</v>
      </c>
      <c r="F27" s="55"/>
      <c r="G27" s="55"/>
      <c r="H27" s="55"/>
      <c r="I27" s="55"/>
      <c r="J27" s="55"/>
      <c r="K27" s="55">
        <f>'JHS-20'!AO29</f>
        <v>-37532000</v>
      </c>
      <c r="L27" s="55">
        <f>'JHS-20'!AT28</f>
        <v>7088065.589499994</v>
      </c>
      <c r="M27" s="55">
        <f>'JHS-20'!AY38+'JHS-20'!AY42</f>
        <v>1209583.3333333333</v>
      </c>
      <c r="N27" s="212">
        <f>+'JHS-20'!BC47+'JHS-20'!BC38+'JHS-20'!BC15+'JHS-20'!BC63</f>
        <v>-240765.5460535559</v>
      </c>
      <c r="O27" s="367"/>
      <c r="P27" s="55"/>
      <c r="Q27" s="55"/>
      <c r="R27" s="55"/>
      <c r="S27" s="55"/>
      <c r="T27" s="55"/>
      <c r="U27" s="55"/>
      <c r="V27" s="55"/>
      <c r="W27" s="55"/>
      <c r="X27" s="55"/>
      <c r="Y27" s="55">
        <f>'JHS-21'!BB14</f>
        <v>-32534.94904030385</v>
      </c>
      <c r="Z27" s="55"/>
      <c r="AA27" s="55"/>
      <c r="AB27" s="55"/>
      <c r="AC27" s="55"/>
      <c r="AD27" s="55"/>
      <c r="AE27" s="55"/>
      <c r="AF27" s="55"/>
      <c r="AG27" s="55"/>
      <c r="AH27" s="55">
        <f>'JHS-21'!CR14</f>
        <v>112238</v>
      </c>
      <c r="AI27" s="55"/>
      <c r="AJ27" s="55"/>
      <c r="AK27" s="55"/>
      <c r="AL27" s="522">
        <f>SUM(D27:AK27)</f>
        <v>-357662572.3953925</v>
      </c>
      <c r="AM27" s="522">
        <f>AL27+C27</f>
        <v>475048524.34460753</v>
      </c>
      <c r="AN27" s="155">
        <f>C27</f>
        <v>832711096.74</v>
      </c>
      <c r="AO27" s="522">
        <f>+AL27</f>
        <v>-357662572.3953925</v>
      </c>
      <c r="AP27" s="522">
        <f>SUM(AN27:AO27)</f>
        <v>475048524.34460753</v>
      </c>
      <c r="AQ27" s="155"/>
      <c r="AR27" s="549">
        <f>SUM(AP27:AQ27)</f>
        <v>475048524.34460753</v>
      </c>
      <c r="AS27" s="57"/>
      <c r="AT27" s="57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8" ht="13.5">
      <c r="A28" s="8">
        <f t="shared" si="2"/>
        <v>13</v>
      </c>
      <c r="B28" s="9" t="s">
        <v>532</v>
      </c>
      <c r="C28" s="55">
        <v>78564669.0399999</v>
      </c>
      <c r="D28" s="522">
        <f>'JHS-20'!E27</f>
        <v>6751065.406189948</v>
      </c>
      <c r="E28" s="522">
        <f>'JHS-20'!J29</f>
        <v>6884867.046457907</v>
      </c>
      <c r="F28" s="55">
        <f>'JHS-20'!O27</f>
        <v>420202.5851524854</v>
      </c>
      <c r="G28" s="55"/>
      <c r="H28" s="55"/>
      <c r="I28" s="55"/>
      <c r="J28" s="55"/>
      <c r="K28" s="55"/>
      <c r="L28" s="55"/>
      <c r="M28" s="55">
        <f>'JHS-20'!AY40</f>
        <v>-2076858.21</v>
      </c>
      <c r="N28" s="551">
        <f>'JHS-20'!BC39+'JHS-20'!BC50+'JHS-20'!BC52+'JHS-20'!BC61</f>
        <v>-153333.41156750213</v>
      </c>
      <c r="O28" s="369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22">
        <f>SUM(D28:AK28)</f>
        <v>11825943.41623284</v>
      </c>
      <c r="AM28" s="522">
        <f>AL28+C28</f>
        <v>90390612.45623274</v>
      </c>
      <c r="AN28" s="155">
        <f>C28</f>
        <v>78564669.0399999</v>
      </c>
      <c r="AO28" s="522">
        <f>+AL28</f>
        <v>11825943.41623284</v>
      </c>
      <c r="AP28" s="522">
        <f>SUM(AN28:AO28)</f>
        <v>90390612.45623274</v>
      </c>
      <c r="AQ28" s="155"/>
      <c r="AR28" s="549">
        <f>SUM(AP28:AQ28)</f>
        <v>90390612.45623274</v>
      </c>
      <c r="AS28" s="55"/>
      <c r="AT28" s="573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</row>
    <row r="29" spans="1:58" ht="12.75">
      <c r="A29" s="8">
        <f t="shared" si="2"/>
        <v>14</v>
      </c>
      <c r="B29" s="7" t="s">
        <v>185</v>
      </c>
      <c r="C29" s="5">
        <v>-75109150.28</v>
      </c>
      <c r="D29" s="5">
        <f>'JHS-20'!E28</f>
        <v>0</v>
      </c>
      <c r="E29" s="5"/>
      <c r="F29" s="5"/>
      <c r="G29" s="5"/>
      <c r="H29" s="5"/>
      <c r="I29" s="5"/>
      <c r="J29" s="5"/>
      <c r="K29" s="5"/>
      <c r="L29" s="5"/>
      <c r="M29" s="5"/>
      <c r="N29" s="575"/>
      <c r="O29" s="368"/>
      <c r="P29" s="5"/>
      <c r="Q29" s="5"/>
      <c r="R29" s="5">
        <f>'JHS-21'!Q35</f>
        <v>75109150.28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>
        <f>SUM(D29:AK29)</f>
        <v>75109150.28</v>
      </c>
      <c r="AM29" s="5">
        <f>AL29+C29</f>
        <v>0</v>
      </c>
      <c r="AN29" s="213">
        <f>C29</f>
        <v>-75109150.28</v>
      </c>
      <c r="AO29" s="5">
        <f>+AL29</f>
        <v>75109150.28</v>
      </c>
      <c r="AP29" s="5">
        <f>SUM(AN29:AO29)</f>
        <v>0</v>
      </c>
      <c r="AQ29" s="213"/>
      <c r="AR29" s="213">
        <f>SUM(AP29:AQ29)</f>
        <v>0</v>
      </c>
      <c r="AS29" s="55"/>
      <c r="AT29" s="573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</row>
    <row r="30" spans="1:58" ht="13.5">
      <c r="A30" s="8">
        <f t="shared" si="2"/>
        <v>15</v>
      </c>
      <c r="B30" s="9" t="s">
        <v>533</v>
      </c>
      <c r="C30" s="128">
        <f>SUM(C26:C29)</f>
        <v>1104313686.66</v>
      </c>
      <c r="D30" s="520">
        <f>SUM(D26:D29)</f>
        <v>-322871181.8728491</v>
      </c>
      <c r="E30" s="520">
        <f>SUM(E25:E29)</f>
        <v>7660966.545757907</v>
      </c>
      <c r="F30" s="128">
        <f>SUM(F25:F29)</f>
        <v>420202.5851524854</v>
      </c>
      <c r="G30" s="128">
        <f>SUM(G25:G29)</f>
        <v>0</v>
      </c>
      <c r="H30" s="128">
        <f>SUM(H25:H29)</f>
        <v>0</v>
      </c>
      <c r="I30" s="128">
        <f>SUM(I25:I29)</f>
        <v>0</v>
      </c>
      <c r="J30" s="128">
        <f>SUM(J26:J29)</f>
        <v>0</v>
      </c>
      <c r="K30" s="128">
        <f>SUM(K25:K29)</f>
        <v>-37532000</v>
      </c>
      <c r="L30" s="128">
        <f>SUM(L25:L29)</f>
        <v>7088065.589499994</v>
      </c>
      <c r="M30" s="520">
        <f>SUM(M25:M29)</f>
        <v>-436319.7922869469</v>
      </c>
      <c r="N30" s="520">
        <f>SUM(N25:N29)</f>
        <v>-385077.5420944237</v>
      </c>
      <c r="O30" s="367">
        <f>SUM(O25:O29)</f>
        <v>0</v>
      </c>
      <c r="P30" s="128">
        <f>SUM(P26:P29)</f>
        <v>0</v>
      </c>
      <c r="Q30" s="128">
        <f>SUM(Q26:Q29)</f>
        <v>0</v>
      </c>
      <c r="R30" s="128">
        <f>SUM(R25:R29)</f>
        <v>75109150.28</v>
      </c>
      <c r="S30" s="128">
        <f>SUM(S26:S29)</f>
        <v>0</v>
      </c>
      <c r="T30" s="128">
        <f>SUM(T26:T29)</f>
        <v>0</v>
      </c>
      <c r="U30" s="128">
        <f>SUM(U25:U29)</f>
        <v>0</v>
      </c>
      <c r="V30" s="128">
        <f>SUM(V26:V29)</f>
        <v>0</v>
      </c>
      <c r="W30" s="128">
        <f>SUM(W25:W29)</f>
        <v>0</v>
      </c>
      <c r="X30" s="128">
        <f>SUM(X26:X29)</f>
        <v>0</v>
      </c>
      <c r="Y30" s="128">
        <f>SUM(Y25:Y29)</f>
        <v>-32534.94904030385</v>
      </c>
      <c r="Z30" s="128">
        <f>SUM(Z25:Z29)</f>
        <v>0</v>
      </c>
      <c r="AA30" s="128">
        <f>SUM(AA25:AA29)</f>
        <v>0</v>
      </c>
      <c r="AB30" s="128">
        <f>SUM(AB25:AB29)</f>
        <v>0</v>
      </c>
      <c r="AC30" s="128">
        <f aca="true" t="shared" si="5" ref="AC30:AK30">SUM(AC25:AC29)</f>
        <v>0</v>
      </c>
      <c r="AD30" s="128">
        <f t="shared" si="5"/>
        <v>0</v>
      </c>
      <c r="AE30" s="128">
        <f t="shared" si="5"/>
        <v>0</v>
      </c>
      <c r="AF30" s="128">
        <f t="shared" si="5"/>
        <v>0</v>
      </c>
      <c r="AG30" s="128">
        <f t="shared" si="5"/>
        <v>0</v>
      </c>
      <c r="AH30" s="128">
        <f t="shared" si="5"/>
        <v>112238</v>
      </c>
      <c r="AI30" s="128">
        <f t="shared" si="5"/>
        <v>0</v>
      </c>
      <c r="AJ30" s="128">
        <f t="shared" si="5"/>
        <v>0</v>
      </c>
      <c r="AK30" s="128">
        <f t="shared" si="5"/>
        <v>0</v>
      </c>
      <c r="AL30" s="520">
        <f>SUM(D30:AK30)</f>
        <v>-270866491.1558603</v>
      </c>
      <c r="AM30" s="520">
        <f>AL30+C30</f>
        <v>833447195.5041398</v>
      </c>
      <c r="AN30" s="578">
        <f>SUM(AN26:AN29)</f>
        <v>1104313686.66</v>
      </c>
      <c r="AO30" s="520">
        <f>SUM(AO26:AO29)</f>
        <v>-270866491.1558603</v>
      </c>
      <c r="AP30" s="520">
        <f>SUM(AP26:AP29)</f>
        <v>833447195.5041397</v>
      </c>
      <c r="AQ30" s="578">
        <f>SUM(AQ26:AQ29)</f>
        <v>0</v>
      </c>
      <c r="AR30" s="579">
        <f>SUM(AR26:AR29)</f>
        <v>833447195.5041397</v>
      </c>
      <c r="AS30" s="99"/>
      <c r="AT30" s="57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</row>
    <row r="31" spans="1:58" ht="12.75">
      <c r="A31" s="8">
        <f t="shared" si="2"/>
        <v>16</v>
      </c>
      <c r="B31" s="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367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55"/>
      <c r="AO31" s="109"/>
      <c r="AP31" s="109"/>
      <c r="AQ31" s="155"/>
      <c r="AR31" s="155"/>
      <c r="AS31" s="99"/>
      <c r="AT31" s="573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</row>
    <row r="32" spans="1:58" ht="13.5">
      <c r="A32" s="8">
        <f t="shared" si="2"/>
        <v>17</v>
      </c>
      <c r="B32" s="43" t="s">
        <v>456</v>
      </c>
      <c r="C32" s="57">
        <v>102409191.68</v>
      </c>
      <c r="D32" s="538">
        <f>'JHS-20'!E30</f>
        <v>12097210.328931525</v>
      </c>
      <c r="E32" s="57">
        <f>'JHS-20'!J30</f>
        <v>10891022.50639385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38">
        <f>SUM('JHS-20'!AY50:AY54)</f>
        <v>-1062521.5199859745</v>
      </c>
      <c r="N32" s="538">
        <f>'JHS-20'!BC41+'JHS-20'!BC16+'JHS-20'!BC59</f>
        <v>-236925.98345704243</v>
      </c>
      <c r="O32" s="370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5">
        <f>'JHS-21'!AD17</f>
        <v>-77824.864</v>
      </c>
      <c r="V32" s="57">
        <v>0</v>
      </c>
      <c r="W32" s="57">
        <v>0</v>
      </c>
      <c r="X32" s="57">
        <v>0</v>
      </c>
      <c r="Y32" s="57">
        <f>'JHS-21'!BB15</f>
        <v>-151873.78184022103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f>'JHS-21'!CR15</f>
        <v>473655</v>
      </c>
      <c r="AI32" s="57">
        <v>0</v>
      </c>
      <c r="AJ32" s="57">
        <v>0</v>
      </c>
      <c r="AK32" s="57"/>
      <c r="AL32" s="538">
        <f aca="true" t="shared" si="6" ref="AL32:AL47">SUM(D32:AK32)</f>
        <v>21932741.686042137</v>
      </c>
      <c r="AM32" s="538">
        <f aca="true" t="shared" si="7" ref="AM32:AM46">AL32+C32</f>
        <v>124341933.36604214</v>
      </c>
      <c r="AN32" s="57">
        <f aca="true" t="shared" si="8" ref="AN32:AN46">C32</f>
        <v>102409191.68</v>
      </c>
      <c r="AO32" s="538">
        <f aca="true" t="shared" si="9" ref="AO32:AO46">+AL32</f>
        <v>21932741.686042137</v>
      </c>
      <c r="AP32" s="538">
        <f aca="true" t="shared" si="10" ref="AP32:AP46">SUM(AN32:AO32)</f>
        <v>124341933.36604214</v>
      </c>
      <c r="AQ32" s="57">
        <v>0</v>
      </c>
      <c r="AR32" s="538">
        <f aca="true" t="shared" si="11" ref="AR32:AR46">SUM(AP32:AQ32)</f>
        <v>124341933.36604214</v>
      </c>
      <c r="AS32" s="109"/>
      <c r="AT32" s="573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</row>
    <row r="33" spans="1:58" ht="12.75">
      <c r="A33" s="8">
        <f t="shared" si="2"/>
        <v>18</v>
      </c>
      <c r="B33" s="9" t="s">
        <v>534</v>
      </c>
      <c r="C33" s="55">
        <v>11865442.94</v>
      </c>
      <c r="D33" s="55">
        <f>'JHS-20'!E31</f>
        <v>-29797.90864999988</v>
      </c>
      <c r="E33" s="55"/>
      <c r="F33" s="55"/>
      <c r="G33" s="55"/>
      <c r="H33" s="55"/>
      <c r="I33" s="55"/>
      <c r="J33" s="131">
        <f>'JHS-20'!AH28</f>
        <v>50883.155</v>
      </c>
      <c r="K33" s="55"/>
      <c r="L33" s="55"/>
      <c r="M33" s="55"/>
      <c r="N33" s="212"/>
      <c r="O33" s="367"/>
      <c r="P33" s="55"/>
      <c r="Q33" s="55"/>
      <c r="R33" s="55"/>
      <c r="S33" s="55"/>
      <c r="T33" s="55"/>
      <c r="U33" s="55"/>
      <c r="V33" s="55"/>
      <c r="W33" s="55"/>
      <c r="X33" s="55">
        <v>0</v>
      </c>
      <c r="Y33" s="55">
        <f>'JHS-21'!BB16</f>
        <v>-25766.284519878944</v>
      </c>
      <c r="Z33" s="55"/>
      <c r="AA33" s="55"/>
      <c r="AB33" s="55"/>
      <c r="AC33" s="55"/>
      <c r="AD33" s="55"/>
      <c r="AE33" s="55"/>
      <c r="AF33" s="55"/>
      <c r="AG33" s="55"/>
      <c r="AH33" s="55">
        <f>+'JHS-21'!CR16</f>
        <v>86346</v>
      </c>
      <c r="AI33" s="55"/>
      <c r="AJ33" s="55"/>
      <c r="AK33" s="55"/>
      <c r="AL33" s="99">
        <f t="shared" si="6"/>
        <v>81664.96183012117</v>
      </c>
      <c r="AM33" s="99">
        <f t="shared" si="7"/>
        <v>11947107.90183012</v>
      </c>
      <c r="AN33" s="155">
        <f t="shared" si="8"/>
        <v>11865442.94</v>
      </c>
      <c r="AO33" s="99">
        <f t="shared" si="9"/>
        <v>81664.96183012117</v>
      </c>
      <c r="AP33" s="99">
        <f t="shared" si="10"/>
        <v>11947107.90183012</v>
      </c>
      <c r="AQ33" s="155"/>
      <c r="AR33" s="99">
        <f t="shared" si="11"/>
        <v>11947107.90183012</v>
      </c>
      <c r="AS33" s="57"/>
      <c r="AT33" s="573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</row>
    <row r="34" spans="1:58" ht="12.75">
      <c r="A34" s="8">
        <f t="shared" si="2"/>
        <v>19</v>
      </c>
      <c r="B34" s="9" t="s">
        <v>535</v>
      </c>
      <c r="C34" s="55">
        <v>82924735.1999998</v>
      </c>
      <c r="D34" s="55"/>
      <c r="E34" s="55"/>
      <c r="F34" s="55"/>
      <c r="G34" s="55"/>
      <c r="H34" s="55"/>
      <c r="I34" s="55"/>
      <c r="J34" s="55">
        <f>'JHS-20'!AI28</f>
        <v>-1606134.243333335</v>
      </c>
      <c r="K34" s="55"/>
      <c r="L34" s="55"/>
      <c r="M34" s="55"/>
      <c r="N34" s="212"/>
      <c r="O34" s="367"/>
      <c r="P34" s="55"/>
      <c r="Q34" s="55"/>
      <c r="R34" s="55"/>
      <c r="S34" s="55"/>
      <c r="T34" s="55"/>
      <c r="U34" s="55">
        <f>'JHS-21'!AD18</f>
        <v>-112533.50401471999</v>
      </c>
      <c r="V34" s="55"/>
      <c r="W34" s="55"/>
      <c r="X34" s="55">
        <v>0</v>
      </c>
      <c r="Y34" s="55">
        <f>'JHS-21'!BB17</f>
        <v>-173075.51319932425</v>
      </c>
      <c r="Z34" s="55"/>
      <c r="AA34" s="55"/>
      <c r="AB34" s="55"/>
      <c r="AC34" s="55"/>
      <c r="AD34" s="55"/>
      <c r="AE34" s="55"/>
      <c r="AF34" s="55"/>
      <c r="AG34" s="55"/>
      <c r="AH34" s="55">
        <f>+'JHS-21'!CR17</f>
        <v>523932</v>
      </c>
      <c r="AI34" s="55"/>
      <c r="AJ34" s="55"/>
      <c r="AK34" s="55"/>
      <c r="AL34" s="99">
        <f t="shared" si="6"/>
        <v>-1367811.2605473793</v>
      </c>
      <c r="AM34" s="99">
        <f t="shared" si="7"/>
        <v>81556923.93945241</v>
      </c>
      <c r="AN34" s="155">
        <f t="shared" si="8"/>
        <v>82924735.1999998</v>
      </c>
      <c r="AO34" s="99">
        <f t="shared" si="9"/>
        <v>-1367811.2605473793</v>
      </c>
      <c r="AP34" s="99">
        <f t="shared" si="10"/>
        <v>81556923.93945241</v>
      </c>
      <c r="AQ34" s="155"/>
      <c r="AR34" s="99">
        <f t="shared" si="11"/>
        <v>81556923.93945241</v>
      </c>
      <c r="AS34" s="55"/>
      <c r="AT34" s="573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ht="13.5">
      <c r="A35" s="8">
        <f t="shared" si="2"/>
        <v>20</v>
      </c>
      <c r="B35" s="9" t="s">
        <v>89</v>
      </c>
      <c r="C35" s="55">
        <v>50172085.519204006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12"/>
      <c r="O35" s="367"/>
      <c r="P35" s="55">
        <f>'JHS-21'!F43</f>
        <v>92864</v>
      </c>
      <c r="Q35" s="55">
        <f>+'JHS-21'!K49</f>
        <v>-24166.845685354172</v>
      </c>
      <c r="R35" s="55">
        <f>'JHS-21'!Q26</f>
        <v>-494470.9281603774</v>
      </c>
      <c r="S35" s="55"/>
      <c r="T35" s="55"/>
      <c r="U35" s="55"/>
      <c r="V35" s="55"/>
      <c r="W35" s="55"/>
      <c r="X35" s="55">
        <f>'JHS-21'!AW25</f>
        <v>-2520278</v>
      </c>
      <c r="Y35" s="55">
        <f>'JHS-21'!BB18</f>
        <v>-102159.13737204939</v>
      </c>
      <c r="Z35" s="55"/>
      <c r="AA35" s="55"/>
      <c r="AB35" s="55">
        <f>'JHS-21'!BT13</f>
        <v>0</v>
      </c>
      <c r="AC35" s="55">
        <f>'JHS-21'!BU13</f>
        <v>47149</v>
      </c>
      <c r="AD35" s="55"/>
      <c r="AE35" s="55"/>
      <c r="AF35" s="55"/>
      <c r="AG35" s="55"/>
      <c r="AH35" s="55">
        <f>+'JHS-21'!CR18</f>
        <v>305869</v>
      </c>
      <c r="AI35" s="55"/>
      <c r="AJ35" s="55"/>
      <c r="AK35" s="55"/>
      <c r="AL35" s="99">
        <f t="shared" si="6"/>
        <v>-2695192.9112177812</v>
      </c>
      <c r="AM35" s="99">
        <f t="shared" si="7"/>
        <v>47476892.60798623</v>
      </c>
      <c r="AN35" s="155">
        <f t="shared" si="8"/>
        <v>50172085.519204006</v>
      </c>
      <c r="AO35" s="99">
        <f t="shared" si="9"/>
        <v>-2695192.9112177812</v>
      </c>
      <c r="AP35" s="99">
        <f t="shared" si="10"/>
        <v>47476892.60798623</v>
      </c>
      <c r="AQ35" s="549">
        <f>+'[1]JHS-22'!C22*'[1]JHS-22'!M13</f>
        <v>462490.706304</v>
      </c>
      <c r="AR35" s="521">
        <f t="shared" si="11"/>
        <v>47939383.314290226</v>
      </c>
      <c r="AS35" s="55"/>
      <c r="AT35" s="573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</row>
    <row r="36" spans="1:58" ht="12.75">
      <c r="A36" s="8">
        <f t="shared" si="2"/>
        <v>21</v>
      </c>
      <c r="B36" s="9" t="s">
        <v>470</v>
      </c>
      <c r="C36" s="55">
        <v>13431631.961951999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212"/>
      <c r="O36" s="367"/>
      <c r="P36" s="55"/>
      <c r="Q36" s="55"/>
      <c r="R36" s="55">
        <f>'JHS-21'!Q34+'JHS-21'!Q36</f>
        <v>-11759102.61</v>
      </c>
      <c r="S36" s="55"/>
      <c r="T36" s="55"/>
      <c r="U36" s="55"/>
      <c r="V36" s="55"/>
      <c r="W36" s="55"/>
      <c r="X36" s="55"/>
      <c r="Y36" s="55">
        <f>'JHS-21'!BB19+'JHS-21'!BB20</f>
        <v>-10512.851308488036</v>
      </c>
      <c r="Z36" s="55"/>
      <c r="AA36" s="55"/>
      <c r="AB36" s="55"/>
      <c r="AC36" s="55"/>
      <c r="AD36" s="55"/>
      <c r="AE36" s="55"/>
      <c r="AF36" s="55"/>
      <c r="AG36" s="55"/>
      <c r="AH36" s="55">
        <f>+'JHS-21'!CR19+'JHS-21'!CR20</f>
        <v>34737</v>
      </c>
      <c r="AI36" s="55"/>
      <c r="AJ36" s="55"/>
      <c r="AK36" s="55"/>
      <c r="AL36" s="99">
        <f t="shared" si="6"/>
        <v>-11734878.461308487</v>
      </c>
      <c r="AM36" s="99">
        <f t="shared" si="7"/>
        <v>1696753.5006435122</v>
      </c>
      <c r="AN36" s="155">
        <f t="shared" si="8"/>
        <v>13431631.961951999</v>
      </c>
      <c r="AO36" s="99">
        <f t="shared" si="9"/>
        <v>-11734878.461308487</v>
      </c>
      <c r="AP36" s="99">
        <f t="shared" si="10"/>
        <v>1696753.5006435122</v>
      </c>
      <c r="AQ36" s="155"/>
      <c r="AR36" s="99">
        <f t="shared" si="11"/>
        <v>1696753.5006435122</v>
      </c>
      <c r="AS36" s="55"/>
      <c r="AT36" s="573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</row>
    <row r="37" spans="1:58" ht="12.75">
      <c r="A37" s="8">
        <f t="shared" si="2"/>
        <v>22</v>
      </c>
      <c r="B37" s="9" t="s">
        <v>476</v>
      </c>
      <c r="C37" s="55">
        <v>75336909.45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212"/>
      <c r="O37" s="367"/>
      <c r="P37" s="55"/>
      <c r="Q37" s="55"/>
      <c r="R37" s="55">
        <f>'JHS-21'!Q32</f>
        <v>-75334320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99">
        <f t="shared" si="6"/>
        <v>-75334320</v>
      </c>
      <c r="AM37" s="99">
        <f t="shared" si="7"/>
        <v>2589.4500000029802</v>
      </c>
      <c r="AN37" s="155">
        <f t="shared" si="8"/>
        <v>75336909.45</v>
      </c>
      <c r="AO37" s="99">
        <f t="shared" si="9"/>
        <v>-75334320</v>
      </c>
      <c r="AP37" s="99">
        <f t="shared" si="10"/>
        <v>2589.4500000029802</v>
      </c>
      <c r="AQ37" s="155"/>
      <c r="AR37" s="155">
        <f t="shared" si="11"/>
        <v>2589.4500000029802</v>
      </c>
      <c r="AS37" s="55"/>
      <c r="AT37" s="57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</row>
    <row r="38" spans="1:58" ht="13.5">
      <c r="A38" s="8">
        <f t="shared" si="2"/>
        <v>23</v>
      </c>
      <c r="B38" s="9" t="s">
        <v>477</v>
      </c>
      <c r="C38" s="55">
        <v>94643935.0786519</v>
      </c>
      <c r="D38" s="55"/>
      <c r="E38" s="576">
        <f>'JHS-20'!J31</f>
        <v>521840.7901655445</v>
      </c>
      <c r="F38" s="55"/>
      <c r="G38" s="55"/>
      <c r="H38" s="55"/>
      <c r="I38" s="55"/>
      <c r="J38" s="55"/>
      <c r="K38" s="55"/>
      <c r="L38" s="55"/>
      <c r="M38" s="55"/>
      <c r="N38" s="212">
        <f>'JHS-20'!BC22+'JHS-20'!BC42</f>
        <v>-175625.14479635016</v>
      </c>
      <c r="O38" s="367"/>
      <c r="P38" s="55">
        <f>'JHS-21'!F44</f>
        <v>41793</v>
      </c>
      <c r="Q38" s="55">
        <f>+'JHS-21'!K50</f>
        <v>-10876.168175226901</v>
      </c>
      <c r="R38" s="55">
        <f>'JHS-21'!Q27+'JHS-21'!Q37</f>
        <v>-275781.17108927877</v>
      </c>
      <c r="S38" s="55"/>
      <c r="T38" s="55"/>
      <c r="U38" s="138">
        <f>'JHS-21'!AD19+'JHS-21'!AD20+'JHS-21'!AD21+'JHS-21'!AD23+'JHS-21'!AD25+'JHS-21'!AD24</f>
        <v>1486933.4915363076</v>
      </c>
      <c r="V38" s="55" t="s">
        <v>485</v>
      </c>
      <c r="W38" s="55">
        <f>'JHS-21'!AN17</f>
        <v>1116335.9198201378</v>
      </c>
      <c r="X38" s="55"/>
      <c r="Y38" s="55">
        <f>'JHS-21'!BB21</f>
        <v>-189642.2948106574</v>
      </c>
      <c r="Z38" s="55"/>
      <c r="AA38" s="55">
        <f>+'JHS-21'!BL19</f>
        <v>0</v>
      </c>
      <c r="AB38" s="55">
        <f>'JHS-21'!BQ15</f>
        <v>-51667.34845238167</v>
      </c>
      <c r="AC38" s="55"/>
      <c r="AD38" s="138">
        <f>'JHS-21'!BY28</f>
        <v>-68325</v>
      </c>
      <c r="AE38" s="55"/>
      <c r="AF38" s="138">
        <f>'JHS-21'!CH15</f>
        <v>191503.83265152527</v>
      </c>
      <c r="AG38" s="138">
        <f>'JHS-21'!CM15</f>
        <v>1846129.0563486759</v>
      </c>
      <c r="AH38" s="55">
        <f>+'JHS-21'!CR21</f>
        <v>648607</v>
      </c>
      <c r="AI38" s="55">
        <f>'JHS-21'!CW37</f>
        <v>128651.67318582349</v>
      </c>
      <c r="AJ38" s="55">
        <f>'JHS-21'!DB20</f>
        <v>17347</v>
      </c>
      <c r="AK38" s="55"/>
      <c r="AL38" s="99">
        <f t="shared" si="6"/>
        <v>5227224.63638412</v>
      </c>
      <c r="AM38" s="99">
        <f t="shared" si="7"/>
        <v>99871159.71503602</v>
      </c>
      <c r="AN38" s="155">
        <f t="shared" si="8"/>
        <v>94643935.0786519</v>
      </c>
      <c r="AO38" s="99">
        <f t="shared" si="9"/>
        <v>5227224.63638412</v>
      </c>
      <c r="AP38" s="99">
        <f t="shared" si="10"/>
        <v>99871159.71503602</v>
      </c>
      <c r="AQ38" s="549">
        <f>+'[1]JHS-22'!C22*('[1]JHS-22'!M14)</f>
        <v>208141.632</v>
      </c>
      <c r="AR38" s="521">
        <f t="shared" si="11"/>
        <v>100079301.34703602</v>
      </c>
      <c r="AS38" s="55"/>
      <c r="AT38" s="573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</row>
    <row r="39" spans="1:58" ht="12.75">
      <c r="A39" s="8">
        <f t="shared" si="2"/>
        <v>24</v>
      </c>
      <c r="B39" s="9" t="s">
        <v>678</v>
      </c>
      <c r="C39" s="55">
        <v>190245449.44014102</v>
      </c>
      <c r="D39" s="55"/>
      <c r="E39" s="55">
        <f>'JHS-20'!J24</f>
        <v>32822238.537932</v>
      </c>
      <c r="F39" s="55"/>
      <c r="G39" s="55"/>
      <c r="H39" s="55">
        <f>'JHS-20'!Y21</f>
        <v>-275496.66</v>
      </c>
      <c r="I39" s="55"/>
      <c r="J39" s="55"/>
      <c r="K39" s="55"/>
      <c r="L39" s="55"/>
      <c r="M39" s="55"/>
      <c r="N39" s="212">
        <f>'JHS-20'!BC25</f>
        <v>-2009403.7206577929</v>
      </c>
      <c r="O39" s="367"/>
      <c r="P39" s="55"/>
      <c r="Q39" s="55"/>
      <c r="R39" s="55"/>
      <c r="S39" s="55"/>
      <c r="T39" s="55"/>
      <c r="U39" s="55"/>
      <c r="V39" s="55">
        <f>'JHS-21'!AI19</f>
        <v>-1059158.0399899296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99">
        <f t="shared" si="6"/>
        <v>29478180.11728428</v>
      </c>
      <c r="AM39" s="99">
        <f t="shared" si="7"/>
        <v>219723629.5574253</v>
      </c>
      <c r="AN39" s="155">
        <f t="shared" si="8"/>
        <v>190245449.44014102</v>
      </c>
      <c r="AO39" s="99">
        <f t="shared" si="9"/>
        <v>29478180.11728428</v>
      </c>
      <c r="AP39" s="99">
        <f t="shared" si="10"/>
        <v>219723629.5574253</v>
      </c>
      <c r="AQ39" s="155"/>
      <c r="AR39" s="99">
        <f t="shared" si="11"/>
        <v>219723629.5574253</v>
      </c>
      <c r="AS39" s="55"/>
      <c r="AT39" s="573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</row>
    <row r="40" spans="1:58" ht="12.75">
      <c r="A40" s="8">
        <f t="shared" si="2"/>
        <v>25</v>
      </c>
      <c r="B40" s="9" t="s">
        <v>143</v>
      </c>
      <c r="C40" s="55">
        <v>40184320.893569</v>
      </c>
      <c r="D40" s="55"/>
      <c r="E40" s="55"/>
      <c r="F40" s="55"/>
      <c r="G40" s="55"/>
      <c r="H40" s="55"/>
      <c r="I40" s="55"/>
      <c r="K40" s="55"/>
      <c r="L40" s="55"/>
      <c r="M40" s="55">
        <f>'JHS-20'!AY39</f>
        <v>-0.25999999046325684</v>
      </c>
      <c r="N40" s="212">
        <f>'JHS-20'!BC26</f>
        <v>-236432.24976610002</v>
      </c>
      <c r="O40" s="367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99">
        <f t="shared" si="6"/>
        <v>-236432.5097660905</v>
      </c>
      <c r="AM40" s="99">
        <f t="shared" si="7"/>
        <v>39947888.38380291</v>
      </c>
      <c r="AN40" s="155">
        <f t="shared" si="8"/>
        <v>40184320.893569</v>
      </c>
      <c r="AO40" s="99">
        <f t="shared" si="9"/>
        <v>-236432.5097660905</v>
      </c>
      <c r="AP40" s="99">
        <f t="shared" si="10"/>
        <v>39947888.38380291</v>
      </c>
      <c r="AQ40" s="155"/>
      <c r="AR40" s="99">
        <f t="shared" si="11"/>
        <v>39947888.38380291</v>
      </c>
      <c r="AS40" s="55"/>
      <c r="AT40" s="573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</row>
    <row r="41" spans="1:58" ht="12.75">
      <c r="A41" s="8">
        <f t="shared" si="2"/>
        <v>26</v>
      </c>
      <c r="B41" s="43" t="s">
        <v>649</v>
      </c>
      <c r="C41" s="55">
        <v>17493030.99</v>
      </c>
      <c r="D41" s="55"/>
      <c r="E41" s="55"/>
      <c r="F41" s="55"/>
      <c r="G41" s="55"/>
      <c r="H41" s="55"/>
      <c r="I41" s="55"/>
      <c r="J41" s="55">
        <f>'JHS-20'!AJ54</f>
        <v>-520924.65980769135</v>
      </c>
      <c r="K41" s="55"/>
      <c r="L41" s="55"/>
      <c r="M41" s="55"/>
      <c r="N41" s="212">
        <f>+'JHS-20'!BC48</f>
        <v>-31373.78914627083</v>
      </c>
      <c r="O41" s="367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 t="s">
        <v>485</v>
      </c>
      <c r="AF41" s="55"/>
      <c r="AG41" s="55"/>
      <c r="AH41" s="55"/>
      <c r="AI41" s="55"/>
      <c r="AJ41" s="55"/>
      <c r="AK41" s="55"/>
      <c r="AL41" s="99">
        <f t="shared" si="6"/>
        <v>-552298.4489539622</v>
      </c>
      <c r="AM41" s="99">
        <f t="shared" si="7"/>
        <v>16940732.541046035</v>
      </c>
      <c r="AN41" s="155">
        <f t="shared" si="8"/>
        <v>17493030.99</v>
      </c>
      <c r="AO41" s="99">
        <f t="shared" si="9"/>
        <v>-552298.4489539622</v>
      </c>
      <c r="AP41" s="99">
        <f t="shared" si="10"/>
        <v>16940732.541046035</v>
      </c>
      <c r="AQ41" s="155"/>
      <c r="AR41" s="99">
        <f t="shared" si="11"/>
        <v>16940732.541046035</v>
      </c>
      <c r="AS41" s="55"/>
      <c r="AT41" s="573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</row>
    <row r="42" spans="1:58" ht="13.5">
      <c r="A42" s="8">
        <f t="shared" si="2"/>
        <v>27</v>
      </c>
      <c r="B42" s="9" t="s">
        <v>478</v>
      </c>
      <c r="C42" s="55">
        <v>30169560.11</v>
      </c>
      <c r="D42" s="55"/>
      <c r="E42" s="55"/>
      <c r="F42" s="55">
        <f>+'JHS-20'!O28</f>
        <v>697744.7390124068</v>
      </c>
      <c r="G42" s="55"/>
      <c r="H42" s="55"/>
      <c r="I42" s="55"/>
      <c r="J42" s="55"/>
      <c r="K42" s="55"/>
      <c r="L42" s="55"/>
      <c r="M42" s="55">
        <f>'JHS-20'!AY41+'JHS-20'!AY45+'JHS-20'!AY46+'JHS-20'!AY48</f>
        <v>-5285875.896614986</v>
      </c>
      <c r="N42" s="551">
        <f>'JHS-20'!BC55+'JHS-20'!BC51+'JHS-20'!BC56+'JHS-20'!BC58+'JHS-20'!BC60+'JHS-20'!BC62</f>
        <v>-176644.9661150916</v>
      </c>
      <c r="O42" s="552">
        <f>'JHS-20'!BI18</f>
        <v>4580590.941704548</v>
      </c>
      <c r="P42" s="55"/>
      <c r="Q42" s="55">
        <f>'JHS-21'!L47</f>
        <v>-7273471</v>
      </c>
      <c r="R42" s="55">
        <f>'JHS-21'!Q39</f>
        <v>-21591916</v>
      </c>
      <c r="S42" s="55"/>
      <c r="T42" s="55"/>
      <c r="U42" s="55">
        <f>+'JHS-21'!AD15+'JHS-21'!AD14</f>
        <v>5360249.57</v>
      </c>
      <c r="V42" s="55"/>
      <c r="W42" s="55"/>
      <c r="X42" s="55"/>
      <c r="Y42" s="55"/>
      <c r="Z42" s="55"/>
      <c r="AA42" s="55"/>
      <c r="AB42" s="55"/>
      <c r="AC42" s="55"/>
      <c r="AD42" s="55"/>
      <c r="AE42" s="55">
        <f>'JHS-21'!CC27</f>
        <v>1582024.8166666673</v>
      </c>
      <c r="AF42" s="55"/>
      <c r="AG42" s="55"/>
      <c r="AH42" s="55"/>
      <c r="AI42" s="55"/>
      <c r="AJ42" s="55"/>
      <c r="AK42" s="55"/>
      <c r="AL42" s="521">
        <f t="shared" si="6"/>
        <v>-22107297.795346458</v>
      </c>
      <c r="AM42" s="521">
        <f t="shared" si="7"/>
        <v>8062262.314653542</v>
      </c>
      <c r="AN42" s="155">
        <f t="shared" si="8"/>
        <v>30169560.11</v>
      </c>
      <c r="AO42" s="521">
        <f t="shared" si="9"/>
        <v>-22107297.795346458</v>
      </c>
      <c r="AP42" s="521">
        <f t="shared" si="10"/>
        <v>8062262.314653542</v>
      </c>
      <c r="AQ42" s="155"/>
      <c r="AR42" s="521">
        <f t="shared" si="11"/>
        <v>8062262.314653542</v>
      </c>
      <c r="AS42" s="55"/>
      <c r="AT42" s="573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</row>
    <row r="43" spans="1:58" ht="12.75">
      <c r="A43" s="8">
        <f t="shared" si="2"/>
        <v>28</v>
      </c>
      <c r="B43" s="7" t="s">
        <v>114</v>
      </c>
      <c r="C43" s="55">
        <v>166953096.899999</v>
      </c>
      <c r="I43" s="128">
        <f>'JHS-20'!AD13</f>
        <v>-166953096.899999</v>
      </c>
      <c r="N43" s="212"/>
      <c r="O43" s="367"/>
      <c r="AL43" s="99">
        <f t="shared" si="6"/>
        <v>-166953096.899999</v>
      </c>
      <c r="AM43" s="99">
        <f t="shared" si="7"/>
        <v>0</v>
      </c>
      <c r="AN43" s="155">
        <f t="shared" si="8"/>
        <v>166953096.899999</v>
      </c>
      <c r="AO43" s="99">
        <f t="shared" si="9"/>
        <v>-166953096.899999</v>
      </c>
      <c r="AP43" s="99">
        <f t="shared" si="10"/>
        <v>0</v>
      </c>
      <c r="AQ43" s="155"/>
      <c r="AR43" s="99">
        <f t="shared" si="11"/>
        <v>0</v>
      </c>
      <c r="AS43" s="55"/>
      <c r="AT43" s="573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</row>
    <row r="44" spans="1:58" ht="13.5">
      <c r="A44" s="8">
        <f t="shared" si="2"/>
        <v>29</v>
      </c>
      <c r="B44" s="9" t="s">
        <v>515</v>
      </c>
      <c r="C44" s="55">
        <v>193255906.606986</v>
      </c>
      <c r="D44" s="522">
        <f>-'JHS-20'!E37</f>
        <v>117001.0026236666</v>
      </c>
      <c r="E44" s="549">
        <f>'JHS-20'!J32</f>
        <v>1932987</v>
      </c>
      <c r="F44" s="155"/>
      <c r="G44" s="522">
        <f>'JHS-20'!T18</f>
        <v>140892.08415000024</v>
      </c>
      <c r="H44" s="55"/>
      <c r="I44" s="55"/>
      <c r="J44" s="55"/>
      <c r="K44" s="55"/>
      <c r="L44" s="155"/>
      <c r="M44" s="155"/>
      <c r="N44" s="551">
        <f>'JHS-20'!BC34+'JHS-20'!BC43</f>
        <v>-416817.0728043956</v>
      </c>
      <c r="O44" s="367"/>
      <c r="P44" s="55">
        <f>+'JHS-21'!G48</f>
        <v>805724</v>
      </c>
      <c r="Q44" s="55">
        <f>+'JHS-21'!L54</f>
        <v>-209681.64625019944</v>
      </c>
      <c r="R44" s="155">
        <f>'JHS-21'!Q38+'JHS-21'!Q28+'JHS-21'!Q33</f>
        <v>-76449191.24443021</v>
      </c>
      <c r="S44" s="55"/>
      <c r="T44" s="55"/>
      <c r="U44" s="55">
        <f>'JHS-21'!AD22</f>
        <v>-27777.135509384763</v>
      </c>
      <c r="V44" s="55"/>
      <c r="W44" s="55"/>
      <c r="X44" s="55"/>
      <c r="Y44" s="155">
        <f>'JHS-21'!BB24</f>
        <v>-56310.824413480994</v>
      </c>
      <c r="Z44" s="522">
        <f>'JHS-21'!BH15</f>
        <v>4670973.079999998</v>
      </c>
      <c r="AA44" s="55">
        <f>'JHS-21'!BL15</f>
        <v>309198.422784999</v>
      </c>
      <c r="AB44" s="55"/>
      <c r="AC44" s="55"/>
      <c r="AD44" s="55"/>
      <c r="AE44" s="55"/>
      <c r="AF44" s="55"/>
      <c r="AG44" s="55"/>
      <c r="AH44" s="55">
        <f>+'JHS-21'!CR24</f>
        <v>142046</v>
      </c>
      <c r="AI44" s="55"/>
      <c r="AJ44" s="55"/>
      <c r="AK44" s="55"/>
      <c r="AL44" s="521">
        <f t="shared" si="6"/>
        <v>-69040956.33384901</v>
      </c>
      <c r="AM44" s="521">
        <f t="shared" si="7"/>
        <v>124214950.27313697</v>
      </c>
      <c r="AN44" s="155">
        <f t="shared" si="8"/>
        <v>193255906.606986</v>
      </c>
      <c r="AO44" s="521">
        <f t="shared" si="9"/>
        <v>-69040956.33384901</v>
      </c>
      <c r="AP44" s="521">
        <f t="shared" si="10"/>
        <v>124214950.27313697</v>
      </c>
      <c r="AQ44" s="549">
        <f>+'[1]JHS-22'!C22*'[1]JHS-22'!M15</f>
        <v>4012762.523328</v>
      </c>
      <c r="AR44" s="521">
        <f t="shared" si="11"/>
        <v>128227712.79646498</v>
      </c>
      <c r="AS44" s="55"/>
      <c r="AT44" s="573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</row>
    <row r="45" spans="1:58" ht="13.5">
      <c r="A45" s="8">
        <f t="shared" si="2"/>
        <v>30</v>
      </c>
      <c r="B45" s="9" t="s">
        <v>516</v>
      </c>
      <c r="C45" s="55">
        <v>16263334</v>
      </c>
      <c r="D45" s="522">
        <f>'JHS-20'!E39</f>
        <v>66275067.646916986</v>
      </c>
      <c r="E45" s="522">
        <f>'JHS-20'!J37</f>
        <v>-17147563</v>
      </c>
      <c r="F45" s="55">
        <f>'JHS-20'!O32</f>
        <v>-391282</v>
      </c>
      <c r="G45" s="522">
        <f>'JHS-20'!T20</f>
        <v>-49312.22945250008</v>
      </c>
      <c r="H45" s="55">
        <f>'JHS-20'!Y25</f>
        <v>96424</v>
      </c>
      <c r="I45" s="55"/>
      <c r="J45" s="55">
        <f>'JHS-20'!AJ58</f>
        <v>726661.5118493594</v>
      </c>
      <c r="K45" s="55">
        <f>'JHS-20'!AO30+'JHS-20'!AO31</f>
        <v>7247900</v>
      </c>
      <c r="L45" s="55">
        <f>'JHS-20'!AT31</f>
        <v>-2480823</v>
      </c>
      <c r="M45" s="522">
        <f>'JHS-20'!AY61</f>
        <v>2374651.1141107637</v>
      </c>
      <c r="N45" s="551">
        <f>'JHS-20'!BD68</f>
        <v>1398673.3576827715</v>
      </c>
      <c r="O45" s="552">
        <f>'JHS-20'!BI20</f>
        <v>-1603206.8295965916</v>
      </c>
      <c r="P45" s="55">
        <f>'JHS-21'!G52</f>
        <v>6984616</v>
      </c>
      <c r="Q45" s="55">
        <f>'JHS-21'!L58</f>
        <v>728039</v>
      </c>
      <c r="R45" s="55">
        <f>'JHS-21'!Q43</f>
        <v>-165008.8548358321</v>
      </c>
      <c r="S45" s="55">
        <f>'JHS-21'!U30</f>
        <v>-81996936.198215</v>
      </c>
      <c r="T45" s="522">
        <f>'JHS-21'!Y22</f>
        <v>-53107090.82665</v>
      </c>
      <c r="U45" s="55">
        <f>+'JHS-21'!AD29</f>
        <v>-2320167</v>
      </c>
      <c r="V45" s="55">
        <f>'JHS-21'!AI23</f>
        <v>370705.31399647536</v>
      </c>
      <c r="W45" s="55">
        <f>'JHS-21'!AN18</f>
        <v>-390718</v>
      </c>
      <c r="X45" s="55">
        <f>'JHS-21'!AW27</f>
        <v>882097</v>
      </c>
      <c r="Y45" s="55">
        <f>'JHS-21'!BB29</f>
        <v>259656</v>
      </c>
      <c r="Z45" s="522">
        <f>'JHS-21'!BH17</f>
        <v>-1634841</v>
      </c>
      <c r="AA45" s="55">
        <f>'JHS-21'!BL23</f>
        <v>-108219</v>
      </c>
      <c r="AB45" s="55">
        <f>'JHS-21'!BQ17</f>
        <v>18083.571958333585</v>
      </c>
      <c r="AC45" s="55"/>
      <c r="AD45" s="57">
        <f>'JHS-21'!BY30</f>
        <v>23913.75</v>
      </c>
      <c r="AE45" s="55">
        <f>'JHS-21'!CC29</f>
        <v>-553708.6858333335</v>
      </c>
      <c r="AF45" s="55">
        <f>'JHS-21'!CH19</f>
        <v>-67026.34142803385</v>
      </c>
      <c r="AG45" s="55">
        <f>'JHS-21'!CM17</f>
        <v>-646145.1697220365</v>
      </c>
      <c r="AH45" s="55">
        <f>+'JHS-21'!CR28</f>
        <v>-814600.5</v>
      </c>
      <c r="AI45" s="55">
        <f>'JHS-21'!CW39</f>
        <v>-45028</v>
      </c>
      <c r="AJ45" s="55">
        <f>'JHS-21'!DB22</f>
        <v>-6071</v>
      </c>
      <c r="AK45" s="55"/>
      <c r="AL45" s="521">
        <f t="shared" si="6"/>
        <v>-76141259.36921863</v>
      </c>
      <c r="AM45" s="521">
        <f t="shared" si="7"/>
        <v>-59877925.36921863</v>
      </c>
      <c r="AN45" s="155">
        <f t="shared" si="8"/>
        <v>16263334</v>
      </c>
      <c r="AO45" s="521">
        <f t="shared" si="9"/>
        <v>-76141259.36921863</v>
      </c>
      <c r="AP45" s="521">
        <f t="shared" si="10"/>
        <v>-59877925.36921863</v>
      </c>
      <c r="AQ45" s="549">
        <f>+'[1]JHS-22'!C22*'[1]JHS-22'!M20</f>
        <v>34785566.177184</v>
      </c>
      <c r="AR45" s="521">
        <f t="shared" si="11"/>
        <v>-25092359.192034632</v>
      </c>
      <c r="AS45" s="55"/>
      <c r="AT45" s="573"/>
      <c r="AU45" s="573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</row>
    <row r="46" spans="1:58" ht="12.75">
      <c r="A46" s="8">
        <f t="shared" si="2"/>
        <v>31</v>
      </c>
      <c r="B46" s="7" t="s">
        <v>479</v>
      </c>
      <c r="C46" s="355">
        <v>-32436237.481</v>
      </c>
      <c r="D46" s="5"/>
      <c r="E46" s="99"/>
      <c r="F46" s="99"/>
      <c r="G46" s="5"/>
      <c r="H46" s="99"/>
      <c r="I46" s="55">
        <f>'JHS-20'!AD19</f>
        <v>58433583.91499964</v>
      </c>
      <c r="J46" s="5"/>
      <c r="K46" s="99"/>
      <c r="L46" s="99"/>
      <c r="M46" s="99"/>
      <c r="N46" s="155"/>
      <c r="O46" s="368"/>
      <c r="P46" s="5"/>
      <c r="Q46" s="5"/>
      <c r="R46" s="99"/>
      <c r="S46" s="5">
        <f>'JHS-21'!U31</f>
        <v>142468486.879216</v>
      </c>
      <c r="T46" s="5"/>
      <c r="U46" s="5"/>
      <c r="V46" s="5"/>
      <c r="W46" s="99"/>
      <c r="X46" s="5"/>
      <c r="Y46" s="99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>
        <f t="shared" si="6"/>
        <v>200902070.79421562</v>
      </c>
      <c r="AM46" s="5">
        <f t="shared" si="7"/>
        <v>168465833.3132156</v>
      </c>
      <c r="AN46" s="155">
        <f t="shared" si="8"/>
        <v>-32436237.481</v>
      </c>
      <c r="AO46" s="5">
        <f t="shared" si="9"/>
        <v>200902070.79421562</v>
      </c>
      <c r="AP46" s="5">
        <f t="shared" si="10"/>
        <v>168465833.3132156</v>
      </c>
      <c r="AQ46" s="155"/>
      <c r="AR46" s="5">
        <f t="shared" si="11"/>
        <v>168465833.3132156</v>
      </c>
      <c r="AS46" s="55"/>
      <c r="AT46" s="573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</row>
    <row r="47" spans="1:58" ht="13.5">
      <c r="A47" s="8">
        <f t="shared" si="2"/>
        <v>32</v>
      </c>
      <c r="B47" s="9" t="s">
        <v>480</v>
      </c>
      <c r="C47" s="148">
        <f aca="true" t="shared" si="12" ref="C47:AB47">SUM(C30:C46)</f>
        <v>2157226079.9495025</v>
      </c>
      <c r="D47" s="580">
        <f t="shared" si="12"/>
        <v>-244411700.8030269</v>
      </c>
      <c r="E47" s="545">
        <f t="shared" si="12"/>
        <v>36681492.38024931</v>
      </c>
      <c r="F47" s="148">
        <f t="shared" si="12"/>
        <v>726665.3241648921</v>
      </c>
      <c r="G47" s="545">
        <f t="shared" si="12"/>
        <v>91579.85469750015</v>
      </c>
      <c r="H47" s="148">
        <f t="shared" si="12"/>
        <v>-179072.65999999997</v>
      </c>
      <c r="I47" s="148">
        <f t="shared" si="12"/>
        <v>-108519512.98499936</v>
      </c>
      <c r="J47" s="148">
        <f>SUM(J30:J46)</f>
        <v>-1349514.236291667</v>
      </c>
      <c r="K47" s="148">
        <f t="shared" si="12"/>
        <v>-30284100</v>
      </c>
      <c r="L47" s="148">
        <f t="shared" si="12"/>
        <v>4607242.589499994</v>
      </c>
      <c r="M47" s="545">
        <f t="shared" si="12"/>
        <v>-4410066.354777133</v>
      </c>
      <c r="N47" s="545">
        <f t="shared" si="12"/>
        <v>-2269627.1111546955</v>
      </c>
      <c r="O47" s="552">
        <f>SUM(O30:O46)</f>
        <v>2977384.1121079563</v>
      </c>
      <c r="P47" s="148">
        <f t="shared" si="12"/>
        <v>7924997</v>
      </c>
      <c r="Q47" s="148">
        <f t="shared" si="12"/>
        <v>-6790156.660110781</v>
      </c>
      <c r="R47" s="148">
        <f t="shared" si="12"/>
        <v>-110960640.52851571</v>
      </c>
      <c r="S47" s="148">
        <f t="shared" si="12"/>
        <v>60471550.68100099</v>
      </c>
      <c r="T47" s="545">
        <f t="shared" si="12"/>
        <v>-53107090.82665</v>
      </c>
      <c r="U47" s="148">
        <f t="shared" si="12"/>
        <v>4308880.558012203</v>
      </c>
      <c r="V47" s="148">
        <f t="shared" si="12"/>
        <v>-688452.7259934542</v>
      </c>
      <c r="W47" s="148">
        <f t="shared" si="12"/>
        <v>725617.9198201378</v>
      </c>
      <c r="X47" s="148">
        <f t="shared" si="12"/>
        <v>-1638181</v>
      </c>
      <c r="Y47" s="148">
        <f t="shared" si="12"/>
        <v>-482219.6365044038</v>
      </c>
      <c r="Z47" s="545">
        <f t="shared" si="12"/>
        <v>3036132.079999998</v>
      </c>
      <c r="AA47" s="148">
        <f t="shared" si="12"/>
        <v>200979.422784999</v>
      </c>
      <c r="AB47" s="148">
        <f t="shared" si="12"/>
        <v>-33583.776494048085</v>
      </c>
      <c r="AC47" s="148">
        <f aca="true" t="shared" si="13" ref="AC47:AJ47">SUM(AC30:AC46)</f>
        <v>47149</v>
      </c>
      <c r="AD47" s="148">
        <f t="shared" si="13"/>
        <v>-44411.25</v>
      </c>
      <c r="AE47" s="148">
        <f t="shared" si="13"/>
        <v>1028316.1308333338</v>
      </c>
      <c r="AF47" s="148">
        <f t="shared" si="13"/>
        <v>124477.49122349142</v>
      </c>
      <c r="AG47" s="148">
        <f t="shared" si="13"/>
        <v>1199983.8866266394</v>
      </c>
      <c r="AH47" s="148">
        <f t="shared" si="13"/>
        <v>1512829.5</v>
      </c>
      <c r="AI47" s="148">
        <f t="shared" si="13"/>
        <v>83623.67318582349</v>
      </c>
      <c r="AJ47" s="148">
        <f t="shared" si="13"/>
        <v>11276</v>
      </c>
      <c r="AK47" s="148">
        <f>SUM(AK30:AK46)</f>
        <v>0</v>
      </c>
      <c r="AL47" s="545">
        <f t="shared" si="6"/>
        <v>-439408152.9503109</v>
      </c>
      <c r="AM47" s="545">
        <f aca="true" t="shared" si="14" ref="AM47:AR47">SUM(AM30:AM46)</f>
        <v>1717817926.9991918</v>
      </c>
      <c r="AN47" s="148">
        <f t="shared" si="14"/>
        <v>2157226079.9495025</v>
      </c>
      <c r="AO47" s="545">
        <f t="shared" si="14"/>
        <v>-439408152.95031077</v>
      </c>
      <c r="AP47" s="545">
        <f t="shared" si="14"/>
        <v>1717817926.9991918</v>
      </c>
      <c r="AQ47" s="545">
        <f t="shared" si="14"/>
        <v>39468961.038816005</v>
      </c>
      <c r="AR47" s="545">
        <f t="shared" si="14"/>
        <v>1757286888.0380077</v>
      </c>
      <c r="AS47" s="133"/>
      <c r="AT47" s="573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</row>
    <row r="48" spans="1:58" ht="12.75">
      <c r="A48" s="8">
        <f t="shared" si="2"/>
        <v>33</v>
      </c>
      <c r="C48" s="128"/>
      <c r="D48" s="128" t="s">
        <v>485</v>
      </c>
      <c r="E48" s="128"/>
      <c r="F48" s="128"/>
      <c r="G48" s="128" t="s">
        <v>485</v>
      </c>
      <c r="H48" s="128"/>
      <c r="I48" s="128"/>
      <c r="J48" s="128" t="s">
        <v>485</v>
      </c>
      <c r="K48" s="128"/>
      <c r="L48" s="128"/>
      <c r="M48" s="128"/>
      <c r="N48" s="155" t="s">
        <v>485</v>
      </c>
      <c r="O48" s="367"/>
      <c r="P48" s="128" t="s">
        <v>485</v>
      </c>
      <c r="Q48" s="128" t="s">
        <v>485</v>
      </c>
      <c r="R48" s="128"/>
      <c r="S48" s="128" t="s">
        <v>485</v>
      </c>
      <c r="T48" s="128" t="s">
        <v>485</v>
      </c>
      <c r="U48" s="128" t="s">
        <v>485</v>
      </c>
      <c r="V48" s="128"/>
      <c r="W48" s="128"/>
      <c r="X48" s="128" t="s">
        <v>485</v>
      </c>
      <c r="Y48" s="128"/>
      <c r="Z48" s="128" t="s">
        <v>485</v>
      </c>
      <c r="AA48" s="128" t="s">
        <v>485</v>
      </c>
      <c r="AB48" s="128" t="s">
        <v>485</v>
      </c>
      <c r="AC48" s="128" t="s">
        <v>485</v>
      </c>
      <c r="AD48" s="128" t="s">
        <v>485</v>
      </c>
      <c r="AE48" s="128" t="s">
        <v>485</v>
      </c>
      <c r="AF48" s="128"/>
      <c r="AG48" s="128"/>
      <c r="AH48" s="128" t="s">
        <v>485</v>
      </c>
      <c r="AI48" s="128" t="s">
        <v>485</v>
      </c>
      <c r="AJ48" s="128" t="s">
        <v>485</v>
      </c>
      <c r="AK48" s="128" t="s">
        <v>485</v>
      </c>
      <c r="AL48" s="128"/>
      <c r="AM48" s="128"/>
      <c r="AN48" s="155"/>
      <c r="AO48" s="128"/>
      <c r="AP48" s="128"/>
      <c r="AQ48" s="155"/>
      <c r="AR48" s="128"/>
      <c r="AS48" s="128"/>
      <c r="AT48" s="573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</row>
    <row r="49" spans="1:58" ht="13.5">
      <c r="A49" s="8">
        <f t="shared" si="2"/>
        <v>34</v>
      </c>
      <c r="B49" s="9" t="s">
        <v>481</v>
      </c>
      <c r="C49" s="57">
        <f aca="true" t="shared" si="15" ref="C49:AB49">C21-C47</f>
        <v>117427311.31048775</v>
      </c>
      <c r="D49" s="538">
        <f t="shared" si="15"/>
        <v>123082268.48713157</v>
      </c>
      <c r="E49" s="538">
        <f t="shared" si="15"/>
        <v>-36681492.38024931</v>
      </c>
      <c r="F49" s="57">
        <f t="shared" si="15"/>
        <v>-726665.3241648921</v>
      </c>
      <c r="G49" s="538">
        <f t="shared" si="15"/>
        <v>-91579.85469750015</v>
      </c>
      <c r="H49" s="57">
        <f t="shared" si="15"/>
        <v>179072.65999999997</v>
      </c>
      <c r="I49" s="57">
        <f t="shared" si="15"/>
        <v>108519512.98499936</v>
      </c>
      <c r="J49" s="57">
        <f t="shared" si="15"/>
        <v>1349514.236291667</v>
      </c>
      <c r="K49" s="57">
        <f t="shared" si="15"/>
        <v>30284100</v>
      </c>
      <c r="L49" s="57">
        <f t="shared" si="15"/>
        <v>-4607242.589499994</v>
      </c>
      <c r="M49" s="538">
        <f t="shared" si="15"/>
        <v>4410066.354777133</v>
      </c>
      <c r="N49" s="538">
        <f>N21-N47</f>
        <v>2269627.1111546955</v>
      </c>
      <c r="O49" s="552">
        <f>O21-O47</f>
        <v>-2977384.1121079563</v>
      </c>
      <c r="P49" s="57">
        <f t="shared" si="15"/>
        <v>12971429.041821491</v>
      </c>
      <c r="Q49" s="57">
        <f t="shared" si="15"/>
        <v>1352072.5724973306</v>
      </c>
      <c r="R49" s="57">
        <f t="shared" si="15"/>
        <v>-306445.01612366736</v>
      </c>
      <c r="S49" s="57">
        <f t="shared" si="15"/>
        <v>-60471550.68100099</v>
      </c>
      <c r="T49" s="538">
        <f t="shared" si="15"/>
        <v>53107090.82665</v>
      </c>
      <c r="U49" s="57">
        <f t="shared" si="15"/>
        <v>-4308880.558012203</v>
      </c>
      <c r="V49" s="57">
        <f t="shared" si="15"/>
        <v>688452.7259934542</v>
      </c>
      <c r="W49" s="57">
        <f t="shared" si="15"/>
        <v>-725617.9198201378</v>
      </c>
      <c r="X49" s="57">
        <f t="shared" si="15"/>
        <v>1638181</v>
      </c>
      <c r="Y49" s="57">
        <f t="shared" si="15"/>
        <v>482219.6365044038</v>
      </c>
      <c r="Z49" s="538">
        <f t="shared" si="15"/>
        <v>-3036132.079999998</v>
      </c>
      <c r="AA49" s="57">
        <f t="shared" si="15"/>
        <v>-200979.422784999</v>
      </c>
      <c r="AB49" s="57">
        <f t="shared" si="15"/>
        <v>33583.776494048085</v>
      </c>
      <c r="AC49" s="57">
        <f aca="true" t="shared" si="16" ref="AC49:AJ49">AC21-AC47</f>
        <v>-47149</v>
      </c>
      <c r="AD49" s="57">
        <f t="shared" si="16"/>
        <v>44411.25</v>
      </c>
      <c r="AE49" s="57">
        <f t="shared" si="16"/>
        <v>-1028316.1308333338</v>
      </c>
      <c r="AF49" s="57">
        <f t="shared" si="16"/>
        <v>-124477.49122349142</v>
      </c>
      <c r="AG49" s="57">
        <f t="shared" si="16"/>
        <v>-1199983.8866266394</v>
      </c>
      <c r="AH49" s="57">
        <f t="shared" si="16"/>
        <v>-1512829.5</v>
      </c>
      <c r="AI49" s="57">
        <f t="shared" si="16"/>
        <v>-83623.67318582349</v>
      </c>
      <c r="AJ49" s="57">
        <f t="shared" si="16"/>
        <v>-11276</v>
      </c>
      <c r="AK49" s="57">
        <f>AK21-AK47</f>
        <v>0</v>
      </c>
      <c r="AL49" s="538">
        <f aca="true" t="shared" si="17" ref="AL49:AR49">AL21-AL47</f>
        <v>222269977.0439842</v>
      </c>
      <c r="AM49" s="538">
        <f t="shared" si="17"/>
        <v>339697288.3544717</v>
      </c>
      <c r="AN49" s="57">
        <f t="shared" si="17"/>
        <v>117427311.31048775</v>
      </c>
      <c r="AO49" s="538">
        <f t="shared" si="17"/>
        <v>222269977.04398406</v>
      </c>
      <c r="AP49" s="538">
        <f t="shared" si="17"/>
        <v>339697288.3544717</v>
      </c>
      <c r="AQ49" s="538">
        <f t="shared" si="17"/>
        <v>64601854.961183995</v>
      </c>
      <c r="AR49" s="538">
        <f t="shared" si="17"/>
        <v>404299143.3156557</v>
      </c>
      <c r="AS49" s="57"/>
      <c r="AT49" s="573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</row>
    <row r="50" spans="1:58" ht="12.75">
      <c r="A50" s="8">
        <f t="shared" si="2"/>
        <v>35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67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 t="s">
        <v>485</v>
      </c>
      <c r="AQ50" s="26"/>
      <c r="AR50" s="26" t="s">
        <v>485</v>
      </c>
      <c r="AS50" s="26"/>
      <c r="AT50" s="573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</row>
    <row r="51" spans="1:58" ht="13.5">
      <c r="A51" s="8">
        <f t="shared" si="2"/>
        <v>36</v>
      </c>
      <c r="B51" s="9" t="s">
        <v>482</v>
      </c>
      <c r="C51" s="57">
        <f>C62</f>
        <v>4100870912.6820273</v>
      </c>
      <c r="D51" s="57">
        <v>0</v>
      </c>
      <c r="E51" s="57">
        <f>'JHS-20'!J19</f>
        <v>669984170.7234986</v>
      </c>
      <c r="F51" s="57">
        <f>'JHS-20'!O24</f>
        <v>110846093.2170543</v>
      </c>
      <c r="G51" s="57">
        <v>0</v>
      </c>
      <c r="H51" s="57">
        <f>'JHS-20'!Y18</f>
        <v>-3370636</v>
      </c>
      <c r="I51" s="57">
        <v>0</v>
      </c>
      <c r="J51" s="57">
        <v>0</v>
      </c>
      <c r="K51" s="57">
        <f>'JHS-20'!AO17</f>
        <v>-56496129.25</v>
      </c>
      <c r="L51" s="57">
        <f>'JHS-20'!AT18+'JHS-20'!AT21</f>
        <v>135630302.1673249</v>
      </c>
      <c r="M51" s="538">
        <f>'JHS-20'!AY34</f>
        <v>-21539982.06180334</v>
      </c>
      <c r="N51" s="538">
        <f>'JHS-20'!BC105+'JHS-20'!BC86</f>
        <v>-49973478</v>
      </c>
      <c r="O51" s="552">
        <f>'JHS-20'!BI28</f>
        <v>10324092.422502052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f>'JHS-21'!AI16</f>
        <v>-233768.7200889875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f>'JHS-21'!BT20</f>
        <v>0</v>
      </c>
      <c r="AC51" s="57">
        <f>'JHS-21'!BU20</f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f>AK62</f>
        <v>-1378827.912193805</v>
      </c>
      <c r="AL51" s="538">
        <f>SUM(D51:AK51)</f>
        <v>793791836.5862937</v>
      </c>
      <c r="AM51" s="538">
        <f>ROUND(AL51+C51,0)</f>
        <v>4894662749</v>
      </c>
      <c r="AN51" s="57">
        <f>C51</f>
        <v>4100870912.6820273</v>
      </c>
      <c r="AO51" s="538">
        <f>AL51</f>
        <v>793791836.5862937</v>
      </c>
      <c r="AP51" s="538">
        <f>AM51</f>
        <v>4894662749</v>
      </c>
      <c r="AQ51" s="57">
        <v>0</v>
      </c>
      <c r="AR51" s="538">
        <f>SUM(AP51:AQ51)</f>
        <v>4894662749</v>
      </c>
      <c r="AS51" s="128"/>
      <c r="AT51" s="573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</row>
    <row r="52" spans="1:58" ht="12.75">
      <c r="A52" s="8">
        <f t="shared" si="2"/>
        <v>37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36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T52" s="573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</row>
    <row r="53" spans="1:58" ht="13.5">
      <c r="A53" s="8">
        <f t="shared" si="2"/>
        <v>38</v>
      </c>
      <c r="B53" s="9" t="s">
        <v>483</v>
      </c>
      <c r="C53" s="347">
        <f>C49/C51</f>
        <v>0.028634725113473185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67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0">
        <f>AM49/AM51</f>
        <v>0.06940157182920789</v>
      </c>
      <c r="AN53" s="359">
        <f>AN49/AN51</f>
        <v>0.028634725113473185</v>
      </c>
      <c r="AO53" s="55"/>
      <c r="AP53" s="550">
        <f>AP49/AP51</f>
        <v>0.06940157182920789</v>
      </c>
      <c r="AQ53" s="55"/>
      <c r="AR53" s="550">
        <f>AR49/AR51</f>
        <v>0.08260000005071967</v>
      </c>
      <c r="AS53" s="152"/>
      <c r="AT53" s="573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</row>
    <row r="54" spans="1:58" ht="12.75">
      <c r="A54" s="8">
        <f t="shared" si="2"/>
        <v>39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36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 t="s">
        <v>485</v>
      </c>
      <c r="AR54" s="57"/>
      <c r="AT54" s="573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</row>
    <row r="55" spans="1:58" ht="12.75">
      <c r="A55" s="8">
        <f t="shared" si="2"/>
        <v>40</v>
      </c>
      <c r="B55" s="7" t="s">
        <v>459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6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 t="s">
        <v>485</v>
      </c>
      <c r="AR55" s="57"/>
      <c r="AT55" s="573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</row>
    <row r="56" spans="1:58" ht="12.75">
      <c r="A56" s="8">
        <f t="shared" si="2"/>
        <v>41</v>
      </c>
      <c r="B56" s="102" t="s">
        <v>641</v>
      </c>
      <c r="C56" s="57">
        <v>7157671290.748807</v>
      </c>
      <c r="D56" s="57">
        <v>0</v>
      </c>
      <c r="E56" s="57">
        <f>'JHS-20'!J15</f>
        <v>770734625.4795266</v>
      </c>
      <c r="F56" s="57">
        <v>0</v>
      </c>
      <c r="G56" s="57">
        <v>0</v>
      </c>
      <c r="H56" s="57">
        <f>'JHS-20'!Y15</f>
        <v>-4357020</v>
      </c>
      <c r="I56" s="57">
        <v>0</v>
      </c>
      <c r="J56" s="57">
        <v>0</v>
      </c>
      <c r="K56" s="57">
        <v>0</v>
      </c>
      <c r="L56" s="57">
        <v>0</v>
      </c>
      <c r="M56" s="57"/>
      <c r="N56" s="57">
        <f>N51-N59-N58-N57</f>
        <v>-75173479</v>
      </c>
      <c r="O56" s="367"/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f>U51-U57</f>
        <v>0</v>
      </c>
      <c r="V56" s="57">
        <f>'JHS-21'!AI14</f>
        <v>-359644.18475228845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f>+AE51</f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/>
      <c r="AL56" s="57">
        <f aca="true" t="shared" si="18" ref="AL56:AL61">SUM(D56:AK56)</f>
        <v>690844482.2947743</v>
      </c>
      <c r="AM56" s="57">
        <f>ROUND(+AL56+C56,0)</f>
        <v>7848515773</v>
      </c>
      <c r="AN56" s="57">
        <f aca="true" t="shared" si="19" ref="AN56:AN61">C56</f>
        <v>7157671290.748807</v>
      </c>
      <c r="AO56" s="57">
        <f aca="true" t="shared" si="20" ref="AO56:AO61">+AL56</f>
        <v>690844482.2947743</v>
      </c>
      <c r="AP56" s="57">
        <f aca="true" t="shared" si="21" ref="AP56:AP61">+AO56+AN56</f>
        <v>7848515773.043581</v>
      </c>
      <c r="AQ56" s="57"/>
      <c r="AR56" s="57"/>
      <c r="AS56" s="128"/>
      <c r="AT56" s="573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</row>
    <row r="57" spans="1:58" ht="12.75">
      <c r="A57" s="8">
        <f t="shared" si="2"/>
        <v>42</v>
      </c>
      <c r="B57" s="102" t="s">
        <v>642</v>
      </c>
      <c r="C57" s="355">
        <v>-2758182029.4807525</v>
      </c>
      <c r="D57" s="355"/>
      <c r="E57" s="355">
        <f>'JHS-20'!J16</f>
        <v>-21987450.310814984</v>
      </c>
      <c r="F57" s="355"/>
      <c r="G57" s="355"/>
      <c r="H57" s="355">
        <f>'JHS-20'!Y16</f>
        <v>462883</v>
      </c>
      <c r="I57" s="355"/>
      <c r="J57" s="355"/>
      <c r="K57" s="355"/>
      <c r="L57" s="355"/>
      <c r="M57" s="355"/>
      <c r="N57" s="355">
        <f>'JHS-20'!BC73+'JHS-20'!BC75</f>
        <v>25152312</v>
      </c>
      <c r="O57" s="367"/>
      <c r="P57" s="355"/>
      <c r="Q57" s="355"/>
      <c r="R57" s="355"/>
      <c r="S57" s="355"/>
      <c r="T57" s="355"/>
      <c r="U57" s="355"/>
      <c r="V57" s="355">
        <f>'JHS-21'!AI15</f>
        <v>125875.46466330095</v>
      </c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>
        <f t="shared" si="18"/>
        <v>3753620.153848317</v>
      </c>
      <c r="AM57" s="355">
        <f>ROUND(+AL57+C57,0)</f>
        <v>-2754428409</v>
      </c>
      <c r="AN57" s="355">
        <f t="shared" si="19"/>
        <v>-2758182029.4807525</v>
      </c>
      <c r="AO57" s="355">
        <f t="shared" si="20"/>
        <v>3753620.153848317</v>
      </c>
      <c r="AP57" s="355">
        <f t="shared" si="21"/>
        <v>-2754428409.3269043</v>
      </c>
      <c r="AQ57" s="355"/>
      <c r="AR57" s="355"/>
      <c r="AS57" s="128"/>
      <c r="AT57" s="573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</row>
    <row r="58" spans="1:58" ht="13.5">
      <c r="A58" s="8">
        <f t="shared" si="2"/>
        <v>43</v>
      </c>
      <c r="B58" s="7" t="s">
        <v>539</v>
      </c>
      <c r="C58" s="355">
        <v>241208022.97458333</v>
      </c>
      <c r="D58" s="355"/>
      <c r="E58" s="355"/>
      <c r="F58" s="355">
        <f>'JHS-20'!O14+'JHS-20'!O19+'JHS-20'!O15+'JHS-20'!O20</f>
        <v>116822816.93421388</v>
      </c>
      <c r="G58" s="355"/>
      <c r="H58" s="355"/>
      <c r="I58" s="355"/>
      <c r="J58" s="355"/>
      <c r="K58" s="355">
        <f>'JHS-20'!AO14</f>
        <v>-59395254</v>
      </c>
      <c r="L58" s="355">
        <f>'JHS-20'!AT14+'JHS-20'!AT21+'JHS-20'!AT15</f>
        <v>153173246.20049992</v>
      </c>
      <c r="M58" s="540">
        <f>M51</f>
        <v>-21539982.06180334</v>
      </c>
      <c r="N58" s="540">
        <f>'JHS-20'!BC105+'JHS-20'!BC76+'JHS-20'!BC77</f>
        <v>-6675836</v>
      </c>
      <c r="O58" s="552">
        <f>SUM('JHS-20'!BI25:BI26)</f>
        <v>15883219.111541618</v>
      </c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540">
        <f t="shared" si="18"/>
        <v>198268210.1844521</v>
      </c>
      <c r="AM58" s="540">
        <f>ROUND(+AL58+C58,0)</f>
        <v>439476233</v>
      </c>
      <c r="AN58" s="355">
        <f t="shared" si="19"/>
        <v>241208022.97458333</v>
      </c>
      <c r="AO58" s="540">
        <f t="shared" si="20"/>
        <v>198268210.1844521</v>
      </c>
      <c r="AP58" s="540">
        <f t="shared" si="21"/>
        <v>439476233.15903544</v>
      </c>
      <c r="AQ58" s="355"/>
      <c r="AR58" s="355"/>
      <c r="AS58" s="128"/>
      <c r="AT58" s="573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</row>
    <row r="59" spans="1:58" ht="13.5">
      <c r="A59" s="8">
        <f t="shared" si="2"/>
        <v>44</v>
      </c>
      <c r="B59" s="7" t="s">
        <v>279</v>
      </c>
      <c r="C59" s="355">
        <v>-656658556.6968611</v>
      </c>
      <c r="D59" s="355"/>
      <c r="E59" s="355">
        <f>'JHS-20'!J17</f>
        <v>-78763004.44521308</v>
      </c>
      <c r="F59" s="355">
        <f>'JHS-20'!O21</f>
        <v>-5976723.717159594</v>
      </c>
      <c r="G59" s="355"/>
      <c r="H59" s="355">
        <f>'JHS-20'!Y17</f>
        <v>523501</v>
      </c>
      <c r="I59" s="355"/>
      <c r="J59" s="355"/>
      <c r="K59" s="355">
        <f>'JHS-20'!AO15</f>
        <v>2899124.75</v>
      </c>
      <c r="L59" s="355">
        <f>'JHS-20'!AT16</f>
        <v>-17542944.033175014</v>
      </c>
      <c r="M59" s="355">
        <v>0</v>
      </c>
      <c r="N59" s="355">
        <f>'JHS-20'!BC84</f>
        <v>6723525</v>
      </c>
      <c r="O59" s="552">
        <f>'JHS-20'!BI27</f>
        <v>-5559126.689039567</v>
      </c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540">
        <f t="shared" si="18"/>
        <v>-97695648.13458727</v>
      </c>
      <c r="AM59" s="540">
        <f>ROUND(+AL59+C59,0)</f>
        <v>-754354205</v>
      </c>
      <c r="AN59" s="355">
        <f t="shared" si="19"/>
        <v>-656658556.6968611</v>
      </c>
      <c r="AO59" s="540">
        <f t="shared" si="20"/>
        <v>-97695648.13458727</v>
      </c>
      <c r="AP59" s="540">
        <f t="shared" si="21"/>
        <v>-754354204.8314484</v>
      </c>
      <c r="AQ59" s="355"/>
      <c r="AR59" s="355"/>
      <c r="AS59" s="128"/>
      <c r="AT59" s="573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</row>
    <row r="60" spans="1:58" ht="12.75">
      <c r="A60" s="8">
        <f>A59+1</f>
        <v>45</v>
      </c>
      <c r="B60" s="7" t="s">
        <v>281</v>
      </c>
      <c r="C60" s="355">
        <v>204952589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67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>
        <f>'JHS-21'!BT20</f>
        <v>0</v>
      </c>
      <c r="AC60" s="355">
        <f>'JHS-21'!BU20</f>
        <v>0</v>
      </c>
      <c r="AD60" s="355"/>
      <c r="AE60" s="355"/>
      <c r="AF60" s="355"/>
      <c r="AG60" s="355"/>
      <c r="AH60" s="355"/>
      <c r="AI60" s="355"/>
      <c r="AJ60" s="355"/>
      <c r="AK60" s="355">
        <f>'JHS-21'!DG14</f>
        <v>-1378827.912193805</v>
      </c>
      <c r="AL60" s="355">
        <f t="shared" si="18"/>
        <v>-1378827.912193805</v>
      </c>
      <c r="AM60" s="355">
        <f>ROUND(+AL60+C60,0)</f>
        <v>203573761</v>
      </c>
      <c r="AN60" s="355">
        <f t="shared" si="19"/>
        <v>204952589</v>
      </c>
      <c r="AO60" s="355">
        <f t="shared" si="20"/>
        <v>-1378827.912193805</v>
      </c>
      <c r="AP60" s="355">
        <f t="shared" si="21"/>
        <v>203573761.0878062</v>
      </c>
      <c r="AQ60" s="355"/>
      <c r="AR60" s="355"/>
      <c r="AS60" s="128"/>
      <c r="AT60" s="573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</row>
    <row r="61" spans="1:58" ht="12.75">
      <c r="A61" s="8">
        <f t="shared" si="2"/>
        <v>46</v>
      </c>
      <c r="B61" s="7" t="s">
        <v>280</v>
      </c>
      <c r="C61" s="355">
        <v>-88120403.86375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67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>
        <f t="shared" si="18"/>
        <v>0</v>
      </c>
      <c r="AM61" s="355">
        <f>ROUND(+AL61+C61,0)+1</f>
        <v>-88120403</v>
      </c>
      <c r="AN61" s="355">
        <f t="shared" si="19"/>
        <v>-88120403.86375</v>
      </c>
      <c r="AO61" s="355">
        <f t="shared" si="20"/>
        <v>0</v>
      </c>
      <c r="AP61" s="355">
        <f t="shared" si="21"/>
        <v>-88120403.86375</v>
      </c>
      <c r="AQ61" s="355"/>
      <c r="AR61" s="355"/>
      <c r="AS61" s="128"/>
      <c r="AT61" s="573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</row>
    <row r="62" spans="1:58" ht="14.25" thickBot="1">
      <c r="A62" s="8">
        <f t="shared" si="2"/>
        <v>47</v>
      </c>
      <c r="B62" s="7" t="s">
        <v>636</v>
      </c>
      <c r="C62" s="581">
        <f aca="true" t="shared" si="22" ref="C62:R62">SUM(C56:C61)</f>
        <v>4100870912.6820273</v>
      </c>
      <c r="D62" s="581">
        <f t="shared" si="22"/>
        <v>0</v>
      </c>
      <c r="E62" s="581">
        <f t="shared" si="22"/>
        <v>669984170.7234986</v>
      </c>
      <c r="F62" s="581">
        <f t="shared" si="22"/>
        <v>110846093.21705428</v>
      </c>
      <c r="G62" s="581">
        <f t="shared" si="22"/>
        <v>0</v>
      </c>
      <c r="H62" s="581">
        <f t="shared" si="22"/>
        <v>-3370636</v>
      </c>
      <c r="I62" s="581">
        <f t="shared" si="22"/>
        <v>0</v>
      </c>
      <c r="J62" s="581">
        <f t="shared" si="22"/>
        <v>0</v>
      </c>
      <c r="K62" s="581">
        <f t="shared" si="22"/>
        <v>-56496129.25</v>
      </c>
      <c r="L62" s="581">
        <f t="shared" si="22"/>
        <v>135630302.1673249</v>
      </c>
      <c r="M62" s="582">
        <f t="shared" si="22"/>
        <v>-21539982.06180334</v>
      </c>
      <c r="N62" s="582">
        <f t="shared" si="22"/>
        <v>-49973478</v>
      </c>
      <c r="O62" s="583">
        <f>SUM(O56:O61)</f>
        <v>10324092.422502052</v>
      </c>
      <c r="P62" s="581">
        <f t="shared" si="22"/>
        <v>0</v>
      </c>
      <c r="Q62" s="581">
        <f t="shared" si="22"/>
        <v>0</v>
      </c>
      <c r="R62" s="581">
        <f t="shared" si="22"/>
        <v>0</v>
      </c>
      <c r="S62" s="581">
        <f aca="true" t="shared" si="23" ref="S62:AB62">SUM(S56:S61)</f>
        <v>0</v>
      </c>
      <c r="T62" s="581">
        <f t="shared" si="23"/>
        <v>0</v>
      </c>
      <c r="U62" s="581">
        <f t="shared" si="23"/>
        <v>0</v>
      </c>
      <c r="V62" s="581">
        <f t="shared" si="23"/>
        <v>-233768.7200889875</v>
      </c>
      <c r="W62" s="581">
        <f t="shared" si="23"/>
        <v>0</v>
      </c>
      <c r="X62" s="581">
        <f t="shared" si="23"/>
        <v>0</v>
      </c>
      <c r="Y62" s="581">
        <f t="shared" si="23"/>
        <v>0</v>
      </c>
      <c r="Z62" s="581">
        <f t="shared" si="23"/>
        <v>0</v>
      </c>
      <c r="AA62" s="581">
        <f t="shared" si="23"/>
        <v>0</v>
      </c>
      <c r="AB62" s="581">
        <f t="shared" si="23"/>
        <v>0</v>
      </c>
      <c r="AC62" s="581">
        <f aca="true" t="shared" si="24" ref="AC62:AK62">SUM(AC56:AC61)</f>
        <v>0</v>
      </c>
      <c r="AD62" s="581">
        <f t="shared" si="24"/>
        <v>0</v>
      </c>
      <c r="AE62" s="581">
        <f t="shared" si="24"/>
        <v>0</v>
      </c>
      <c r="AF62" s="581">
        <f t="shared" si="24"/>
        <v>0</v>
      </c>
      <c r="AG62" s="581">
        <f t="shared" si="24"/>
        <v>0</v>
      </c>
      <c r="AH62" s="581">
        <f t="shared" si="24"/>
        <v>0</v>
      </c>
      <c r="AI62" s="581">
        <f t="shared" si="24"/>
        <v>0</v>
      </c>
      <c r="AJ62" s="581">
        <f t="shared" si="24"/>
        <v>0</v>
      </c>
      <c r="AK62" s="581">
        <f t="shared" si="24"/>
        <v>-1378827.912193805</v>
      </c>
      <c r="AL62" s="582">
        <f>SUM(AL56:AL61)</f>
        <v>793791836.5862936</v>
      </c>
      <c r="AM62" s="582">
        <f>ROUND(SUM(AM56:AM61),0)</f>
        <v>4894662750</v>
      </c>
      <c r="AN62" s="581">
        <f>SUM(AN56:AN61)</f>
        <v>4100870912.6820273</v>
      </c>
      <c r="AO62" s="582">
        <f>SUM(AO56:AO61)</f>
        <v>793791836.5862936</v>
      </c>
      <c r="AP62" s="582">
        <f>SUM(AP56:AP61)</f>
        <v>4894662749.268319</v>
      </c>
      <c r="AQ62" s="6"/>
      <c r="AR62" s="6"/>
      <c r="AS62" s="128"/>
      <c r="AT62" s="573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</row>
    <row r="63" spans="1:58" ht="13.5" thickTop="1">
      <c r="A63" s="194"/>
      <c r="B63" s="194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R63" s="36"/>
      <c r="AS63" s="36"/>
      <c r="AT63" s="573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</row>
    <row r="64" spans="1:58" ht="12.75">
      <c r="A64" s="173"/>
      <c r="B64" s="111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R64" s="175"/>
      <c r="AT64" s="573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</row>
    <row r="65" spans="1:58" ht="12.75">
      <c r="A65" s="38"/>
      <c r="B65" s="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212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N65" s="57"/>
      <c r="AO65" s="212"/>
      <c r="AP65" s="212"/>
      <c r="AQ65" s="212"/>
      <c r="AR65" s="212"/>
      <c r="AS65" s="111"/>
      <c r="AT65" s="573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</row>
    <row r="66" spans="1:44" ht="12.75">
      <c r="A66" s="51"/>
      <c r="B66" s="11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57"/>
      <c r="AN66" s="132"/>
      <c r="AO66" s="132"/>
      <c r="AP66" s="132"/>
      <c r="AQ66" s="175"/>
      <c r="AR66" s="176"/>
    </row>
    <row r="67" spans="1:45" ht="12.75">
      <c r="A67" s="51"/>
      <c r="B67" s="105"/>
      <c r="C67" s="174"/>
      <c r="D67" s="133"/>
      <c r="E67" s="174"/>
      <c r="F67" s="174"/>
      <c r="G67" s="133"/>
      <c r="H67" s="133"/>
      <c r="I67" s="133"/>
      <c r="J67" s="133"/>
      <c r="K67" s="133"/>
      <c r="L67" s="174"/>
      <c r="M67" s="133"/>
      <c r="N67" s="133"/>
      <c r="O67" s="174"/>
      <c r="P67" s="174"/>
      <c r="Q67" s="133"/>
      <c r="R67" s="174"/>
      <c r="S67" s="133"/>
      <c r="T67" s="133"/>
      <c r="U67" s="174"/>
      <c r="V67" s="133"/>
      <c r="W67" s="133"/>
      <c r="X67" s="133"/>
      <c r="Y67" s="174"/>
      <c r="Z67" s="174"/>
      <c r="AA67" s="133"/>
      <c r="AB67" s="133"/>
      <c r="AC67" s="133"/>
      <c r="AD67" s="133"/>
      <c r="AE67" s="174"/>
      <c r="AF67" s="174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69"/>
    </row>
    <row r="68" spans="1:45" ht="12.75">
      <c r="A68" s="38"/>
      <c r="B68" s="294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147"/>
      <c r="AO68" s="111"/>
      <c r="AP68" s="111"/>
      <c r="AQ68" s="111"/>
      <c r="AS68" s="133"/>
    </row>
    <row r="69" spans="1:45" ht="12.75">
      <c r="A69" s="170"/>
      <c r="B69" s="111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75"/>
      <c r="AO69" s="175"/>
      <c r="AP69" s="175"/>
      <c r="AQ69" s="175"/>
      <c r="AR69" s="175"/>
      <c r="AS69" s="111"/>
    </row>
    <row r="70" spans="1:45" ht="12.75">
      <c r="A70" s="170"/>
      <c r="B70" s="111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33"/>
      <c r="AO70" s="133"/>
      <c r="AP70" s="133"/>
      <c r="AQ70" s="133"/>
      <c r="AR70" s="133"/>
      <c r="AS70" s="111"/>
    </row>
    <row r="71" spans="1:45" ht="12.75">
      <c r="A71" s="170"/>
      <c r="B71" s="105"/>
      <c r="C71" s="174"/>
      <c r="D71" s="133"/>
      <c r="E71" s="174"/>
      <c r="F71" s="174"/>
      <c r="G71" s="133"/>
      <c r="H71" s="133"/>
      <c r="I71" s="133"/>
      <c r="J71" s="133"/>
      <c r="K71" s="133"/>
      <c r="L71" s="174"/>
      <c r="M71" s="133"/>
      <c r="N71" s="133"/>
      <c r="O71" s="174"/>
      <c r="P71" s="174"/>
      <c r="Q71" s="133"/>
      <c r="R71" s="174"/>
      <c r="S71" s="133"/>
      <c r="T71" s="133"/>
      <c r="U71" s="174"/>
      <c r="V71" s="133"/>
      <c r="W71" s="133"/>
      <c r="X71" s="133"/>
      <c r="Y71" s="174"/>
      <c r="Z71" s="174"/>
      <c r="AA71" s="133"/>
      <c r="AB71" s="133"/>
      <c r="AC71" s="133"/>
      <c r="AD71" s="133"/>
      <c r="AE71" s="174"/>
      <c r="AF71" s="174"/>
      <c r="AG71" s="133"/>
      <c r="AH71" s="133"/>
      <c r="AI71" s="133"/>
      <c r="AJ71" s="133"/>
      <c r="AK71" s="133"/>
      <c r="AL71" s="133"/>
      <c r="AM71" s="133"/>
      <c r="AN71" s="177"/>
      <c r="AO71" s="177"/>
      <c r="AP71" s="177"/>
      <c r="AQ71" s="177"/>
      <c r="AR71" s="177"/>
      <c r="AS71" s="6"/>
    </row>
    <row r="72" spans="1:45" ht="12.75">
      <c r="A72" s="173"/>
      <c r="B72" s="294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133"/>
      <c r="AO72" s="133"/>
      <c r="AP72" s="133"/>
      <c r="AQ72" s="133"/>
      <c r="AR72" s="133"/>
      <c r="AS72" s="169"/>
    </row>
    <row r="73" spans="1:45" ht="12.75">
      <c r="A73" s="173"/>
      <c r="B73" s="111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11"/>
      <c r="AO73" s="111"/>
      <c r="AP73" s="111"/>
      <c r="AQ73" s="111"/>
      <c r="AS73" s="133"/>
    </row>
    <row r="74" spans="1:45" ht="12.75">
      <c r="A74" s="174"/>
      <c r="B74" s="111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11"/>
    </row>
    <row r="75" spans="1:45" ht="12.75">
      <c r="A75" s="51"/>
      <c r="B75" s="105"/>
      <c r="C75" s="174"/>
      <c r="D75" s="133"/>
      <c r="E75" s="174"/>
      <c r="F75" s="174"/>
      <c r="G75" s="133"/>
      <c r="H75" s="133"/>
      <c r="I75" s="133"/>
      <c r="J75" s="133"/>
      <c r="K75" s="133"/>
      <c r="L75" s="174"/>
      <c r="M75" s="133"/>
      <c r="N75" s="133"/>
      <c r="O75" s="133"/>
      <c r="P75" s="174"/>
      <c r="Q75" s="133"/>
      <c r="R75" s="174"/>
      <c r="S75" s="133"/>
      <c r="T75" s="133"/>
      <c r="U75" s="174"/>
      <c r="V75" s="133"/>
      <c r="W75" s="133"/>
      <c r="X75" s="133"/>
      <c r="Y75" s="174"/>
      <c r="Z75" s="174"/>
      <c r="AA75" s="133"/>
      <c r="AB75" s="133"/>
      <c r="AC75" s="133"/>
      <c r="AD75" s="133"/>
      <c r="AE75" s="174"/>
      <c r="AF75" s="174"/>
      <c r="AG75" s="133"/>
      <c r="AH75" s="133"/>
      <c r="AI75" s="133"/>
      <c r="AJ75" s="133"/>
      <c r="AK75" s="133"/>
      <c r="AL75" s="133"/>
      <c r="AM75" s="133"/>
      <c r="AN75" s="111"/>
      <c r="AO75" s="111"/>
      <c r="AP75" s="111"/>
      <c r="AQ75" s="111"/>
      <c r="AS75" s="133"/>
    </row>
    <row r="76" spans="1:45" ht="12.75">
      <c r="A76" s="173"/>
      <c r="B76" s="78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11"/>
    </row>
    <row r="77" spans="1:45" ht="12.75">
      <c r="A77" s="173"/>
      <c r="B77" s="111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11"/>
      <c r="AO77" s="111"/>
      <c r="AP77" s="111"/>
      <c r="AQ77" s="111"/>
      <c r="AS77" s="133"/>
    </row>
    <row r="78" spans="1:45" ht="12.75">
      <c r="A78" s="173"/>
      <c r="B78" s="111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11"/>
      <c r="AO78" s="111"/>
      <c r="AP78" s="111"/>
      <c r="AQ78" s="111"/>
      <c r="AS78" s="111"/>
    </row>
    <row r="79" spans="1:45" ht="12.75">
      <c r="A79" s="170"/>
      <c r="B79" s="7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133"/>
      <c r="AN79" s="6"/>
      <c r="AO79" s="6"/>
      <c r="AP79" s="6"/>
      <c r="AQ79" s="6"/>
      <c r="AR79" s="6"/>
      <c r="AS79" s="111"/>
    </row>
    <row r="80" spans="1:45" ht="12.75">
      <c r="A80" s="174"/>
      <c r="B80" s="133"/>
      <c r="C80" s="633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R80" s="7"/>
      <c r="AS80" s="6"/>
    </row>
    <row r="81" spans="1:46" ht="12.75">
      <c r="A81" s="51"/>
      <c r="B81" s="105"/>
      <c r="C81" s="174"/>
      <c r="D81" s="133"/>
      <c r="E81" s="174"/>
      <c r="F81" s="174"/>
      <c r="G81" s="133"/>
      <c r="H81" s="133"/>
      <c r="I81" s="133"/>
      <c r="J81" s="133"/>
      <c r="K81" s="133"/>
      <c r="L81" s="174"/>
      <c r="M81" s="133"/>
      <c r="N81" s="133"/>
      <c r="O81" s="174"/>
      <c r="P81" s="174"/>
      <c r="Q81" s="133"/>
      <c r="R81" s="174"/>
      <c r="S81" s="133"/>
      <c r="T81" s="133"/>
      <c r="U81" s="174"/>
      <c r="V81" s="133"/>
      <c r="W81" s="133"/>
      <c r="X81" s="133"/>
      <c r="Y81" s="174"/>
      <c r="Z81" s="174"/>
      <c r="AA81" s="133"/>
      <c r="AB81" s="133"/>
      <c r="AC81" s="133"/>
      <c r="AD81" s="133"/>
      <c r="AE81" s="174"/>
      <c r="AF81" s="174"/>
      <c r="AG81" s="133"/>
      <c r="AH81" s="133"/>
      <c r="AI81" s="133"/>
      <c r="AJ81" s="133"/>
      <c r="AK81" s="133"/>
      <c r="AL81" s="133"/>
      <c r="AM81" s="133"/>
      <c r="AR81" s="7"/>
      <c r="AT81" s="7"/>
    </row>
    <row r="82" spans="1:46" ht="12.75">
      <c r="A82" s="173"/>
      <c r="B82" s="294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R82" s="7"/>
      <c r="AT82" s="7"/>
    </row>
    <row r="83" spans="1:46" ht="12.75">
      <c r="A83" s="173"/>
      <c r="B83" s="111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R83" s="7"/>
      <c r="AT83" s="7"/>
    </row>
    <row r="84" spans="1:46" ht="12.75">
      <c r="A84" s="51"/>
      <c r="B84" s="111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R84" s="7"/>
      <c r="AT84" s="7"/>
    </row>
    <row r="85" spans="1:46" ht="12.75">
      <c r="A85" s="173"/>
      <c r="B85" s="105"/>
      <c r="C85" s="174"/>
      <c r="D85" s="133"/>
      <c r="E85" s="174"/>
      <c r="F85" s="174"/>
      <c r="G85" s="133"/>
      <c r="H85" s="133"/>
      <c r="I85" s="133"/>
      <c r="J85" s="133"/>
      <c r="K85" s="133"/>
      <c r="L85" s="174"/>
      <c r="M85" s="133"/>
      <c r="N85" s="133"/>
      <c r="O85" s="133"/>
      <c r="P85" s="174"/>
      <c r="Q85" s="133"/>
      <c r="R85" s="174"/>
      <c r="S85" s="133"/>
      <c r="T85" s="133"/>
      <c r="U85" s="174"/>
      <c r="V85" s="133"/>
      <c r="W85" s="133"/>
      <c r="X85" s="133"/>
      <c r="Y85" s="174"/>
      <c r="Z85" s="174"/>
      <c r="AA85" s="133"/>
      <c r="AB85" s="133"/>
      <c r="AC85" s="133"/>
      <c r="AD85" s="133"/>
      <c r="AE85" s="174"/>
      <c r="AF85" s="174"/>
      <c r="AG85" s="133"/>
      <c r="AH85" s="133"/>
      <c r="AI85" s="133"/>
      <c r="AJ85" s="133"/>
      <c r="AK85" s="133"/>
      <c r="AL85" s="133"/>
      <c r="AM85" s="133"/>
      <c r="AR85" s="7"/>
      <c r="AT85" s="7"/>
    </row>
    <row r="86" spans="1:46" ht="12.75">
      <c r="A86" s="173"/>
      <c r="B86" s="294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R86" s="7"/>
      <c r="AT86" s="7"/>
    </row>
    <row r="87" spans="1:46" ht="12.75">
      <c r="A87" s="173"/>
      <c r="B87" s="111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349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R87" s="7"/>
      <c r="AT87" s="7"/>
    </row>
    <row r="88" spans="1:46" ht="12.75">
      <c r="A88" s="173"/>
      <c r="B88" s="111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349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R88" s="7"/>
      <c r="AT88" s="7"/>
    </row>
    <row r="89" spans="1:46" ht="12.75">
      <c r="A89" s="173"/>
      <c r="B89" s="105"/>
      <c r="C89" s="632"/>
      <c r="D89" s="133"/>
      <c r="E89" s="174"/>
      <c r="F89" s="174"/>
      <c r="G89" s="133"/>
      <c r="H89" s="133"/>
      <c r="I89" s="133"/>
      <c r="J89" s="133"/>
      <c r="K89" s="133"/>
      <c r="L89" s="174"/>
      <c r="M89" s="133"/>
      <c r="N89" s="133"/>
      <c r="O89" s="133"/>
      <c r="P89" s="174"/>
      <c r="Q89" s="133"/>
      <c r="R89" s="174"/>
      <c r="S89" s="133"/>
      <c r="T89" s="133"/>
      <c r="U89" s="174"/>
      <c r="V89" s="133"/>
      <c r="W89" s="133"/>
      <c r="X89" s="133"/>
      <c r="Y89" s="174"/>
      <c r="Z89" s="174"/>
      <c r="AA89" s="133"/>
      <c r="AB89" s="133"/>
      <c r="AC89" s="133"/>
      <c r="AD89" s="133"/>
      <c r="AE89" s="174"/>
      <c r="AF89" s="174"/>
      <c r="AG89" s="133"/>
      <c r="AH89" s="133"/>
      <c r="AI89" s="133"/>
      <c r="AJ89" s="133"/>
      <c r="AK89" s="133"/>
      <c r="AL89" s="133"/>
      <c r="AM89" s="133"/>
      <c r="AR89" s="7"/>
      <c r="AT89" s="7"/>
    </row>
    <row r="90" spans="1:46" ht="12.75">
      <c r="A90" s="173"/>
      <c r="B90" s="78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R90" s="7"/>
      <c r="AT90" s="7"/>
    </row>
    <row r="91" spans="1:46" ht="12.75">
      <c r="A91" s="173"/>
      <c r="B91" s="111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R91" s="7"/>
      <c r="AT91" s="7"/>
    </row>
    <row r="92" spans="1:46" ht="12.75">
      <c r="A92" s="170"/>
      <c r="B92" s="111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R92" s="7"/>
      <c r="AT92" s="7"/>
    </row>
    <row r="93" spans="1:46" ht="12.75">
      <c r="A93" s="170"/>
      <c r="B93" s="111"/>
      <c r="C93" s="634"/>
      <c r="D93" s="634"/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4"/>
      <c r="U93" s="634"/>
      <c r="V93" s="634"/>
      <c r="W93" s="634"/>
      <c r="X93" s="634"/>
      <c r="Y93" s="634"/>
      <c r="Z93" s="634"/>
      <c r="AA93" s="634"/>
      <c r="AB93" s="634"/>
      <c r="AC93" s="634"/>
      <c r="AD93" s="634"/>
      <c r="AE93" s="634"/>
      <c r="AF93" s="634"/>
      <c r="AG93" s="634"/>
      <c r="AH93" s="634"/>
      <c r="AI93" s="634"/>
      <c r="AJ93" s="634"/>
      <c r="AK93" s="634"/>
      <c r="AL93" s="634"/>
      <c r="AM93" s="634"/>
      <c r="AR93" s="7"/>
      <c r="AT93" s="7"/>
    </row>
    <row r="94" spans="1:46" ht="12.75">
      <c r="A94" s="173"/>
      <c r="B94" s="111"/>
      <c r="C94" s="633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R94" s="7"/>
      <c r="AT94" s="7"/>
    </row>
    <row r="95" spans="1:46" ht="12.75">
      <c r="A95" s="51"/>
      <c r="B95" s="105"/>
      <c r="C95" s="174"/>
      <c r="D95" s="133"/>
      <c r="E95" s="174"/>
      <c r="F95" s="174"/>
      <c r="G95" s="133"/>
      <c r="H95" s="133"/>
      <c r="I95" s="133"/>
      <c r="J95" s="133"/>
      <c r="K95" s="133"/>
      <c r="L95" s="174"/>
      <c r="M95" s="133"/>
      <c r="N95" s="133"/>
      <c r="O95" s="133"/>
      <c r="P95" s="174"/>
      <c r="Q95" s="133"/>
      <c r="R95" s="174"/>
      <c r="S95" s="133"/>
      <c r="T95" s="133"/>
      <c r="U95" s="174"/>
      <c r="V95" s="133"/>
      <c r="W95" s="133"/>
      <c r="X95" s="133"/>
      <c r="Y95" s="174"/>
      <c r="Z95" s="174"/>
      <c r="AA95" s="133"/>
      <c r="AB95" s="133"/>
      <c r="AC95" s="133"/>
      <c r="AD95" s="133"/>
      <c r="AE95" s="174"/>
      <c r="AF95" s="174"/>
      <c r="AG95" s="133"/>
      <c r="AH95" s="133"/>
      <c r="AI95" s="133"/>
      <c r="AJ95" s="133"/>
      <c r="AK95" s="133"/>
      <c r="AL95" s="133"/>
      <c r="AM95" s="133"/>
      <c r="AR95" s="7"/>
      <c r="AT95" s="7"/>
    </row>
    <row r="96" spans="1:46" ht="12.75">
      <c r="A96" s="173"/>
      <c r="B96" s="294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R96" s="7"/>
      <c r="AT96" s="7"/>
    </row>
    <row r="97" spans="1:46" ht="12.75">
      <c r="A97" s="173"/>
      <c r="B97" s="111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R97" s="7"/>
      <c r="AT97" s="7"/>
    </row>
    <row r="98" spans="1:46" ht="12.75">
      <c r="A98" s="51"/>
      <c r="B98" s="111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R98" s="7"/>
      <c r="AT98" s="7"/>
    </row>
    <row r="99" spans="1:46" ht="12.75">
      <c r="A99" s="173"/>
      <c r="B99" s="105"/>
      <c r="C99" s="174"/>
      <c r="D99" s="133"/>
      <c r="E99" s="174"/>
      <c r="F99" s="174"/>
      <c r="G99" s="133"/>
      <c r="H99" s="133"/>
      <c r="I99" s="133"/>
      <c r="J99" s="133"/>
      <c r="K99" s="133"/>
      <c r="L99" s="174"/>
      <c r="M99" s="133"/>
      <c r="N99" s="133"/>
      <c r="O99" s="133"/>
      <c r="P99" s="174"/>
      <c r="Q99" s="133"/>
      <c r="R99" s="174"/>
      <c r="S99" s="133"/>
      <c r="T99" s="133"/>
      <c r="U99" s="174"/>
      <c r="V99" s="133"/>
      <c r="W99" s="133"/>
      <c r="X99" s="133"/>
      <c r="Y99" s="174"/>
      <c r="Z99" s="174"/>
      <c r="AA99" s="133"/>
      <c r="AB99" s="133"/>
      <c r="AC99" s="133"/>
      <c r="AD99" s="133"/>
      <c r="AE99" s="174"/>
      <c r="AF99" s="174"/>
      <c r="AG99" s="133"/>
      <c r="AH99" s="133"/>
      <c r="AI99" s="133"/>
      <c r="AJ99" s="133"/>
      <c r="AK99" s="133"/>
      <c r="AL99" s="133"/>
      <c r="AM99" s="133"/>
      <c r="AR99" s="7"/>
      <c r="AT99" s="7"/>
    </row>
    <row r="100" spans="1:46" ht="12.75">
      <c r="A100" s="173"/>
      <c r="B100" s="294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R100" s="7"/>
      <c r="AT100" s="7"/>
    </row>
    <row r="101" spans="1:46" ht="12.75">
      <c r="A101" s="173"/>
      <c r="B101" s="111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R101" s="7"/>
      <c r="AT101" s="7"/>
    </row>
    <row r="102" spans="1:46" ht="12.75">
      <c r="A102" s="173"/>
      <c r="B102" s="111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R102" s="7"/>
      <c r="AT102" s="7"/>
    </row>
    <row r="103" spans="1:46" ht="12.75">
      <c r="A103" s="173"/>
      <c r="B103" s="105"/>
      <c r="C103" s="174"/>
      <c r="D103" s="133"/>
      <c r="E103" s="174"/>
      <c r="F103" s="174"/>
      <c r="G103" s="133"/>
      <c r="H103" s="133"/>
      <c r="I103" s="133"/>
      <c r="J103" s="133"/>
      <c r="K103" s="133"/>
      <c r="L103" s="174"/>
      <c r="M103" s="133"/>
      <c r="N103" s="133"/>
      <c r="O103" s="133"/>
      <c r="P103" s="174"/>
      <c r="Q103" s="133"/>
      <c r="R103" s="174"/>
      <c r="S103" s="133"/>
      <c r="T103" s="133"/>
      <c r="U103" s="174"/>
      <c r="V103" s="133"/>
      <c r="W103" s="133"/>
      <c r="X103" s="133"/>
      <c r="Y103" s="174"/>
      <c r="Z103" s="174"/>
      <c r="AA103" s="133"/>
      <c r="AB103" s="133"/>
      <c r="AC103" s="133"/>
      <c r="AD103" s="133"/>
      <c r="AE103" s="174"/>
      <c r="AF103" s="174"/>
      <c r="AG103" s="133"/>
      <c r="AH103" s="133"/>
      <c r="AI103" s="133"/>
      <c r="AJ103" s="133"/>
      <c r="AK103" s="133"/>
      <c r="AL103" s="133"/>
      <c r="AM103" s="133"/>
      <c r="AR103" s="7"/>
      <c r="AT103" s="7"/>
    </row>
    <row r="104" spans="1:46" ht="12.75">
      <c r="A104" s="173"/>
      <c r="B104" s="78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R104" s="7"/>
      <c r="AT104" s="7"/>
    </row>
    <row r="105" spans="1:46" ht="12.75">
      <c r="A105" s="173"/>
      <c r="B105" s="111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R105" s="7"/>
      <c r="AT105" s="7"/>
    </row>
    <row r="106" spans="1:46" ht="12.75">
      <c r="A106" s="170"/>
      <c r="B106" s="111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R106" s="7"/>
      <c r="AT106" s="7"/>
    </row>
    <row r="107" spans="2:46" ht="12.75">
      <c r="B107" s="111"/>
      <c r="C107" s="633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R107" s="7"/>
      <c r="AT107" s="7"/>
    </row>
    <row r="108" spans="2:46" ht="12.75">
      <c r="B108" s="111"/>
      <c r="C108" s="633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R108" s="7"/>
      <c r="AT108" s="7"/>
    </row>
    <row r="109" spans="2:46" ht="12.75">
      <c r="B109" s="111"/>
      <c r="C109" s="633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R109" s="7"/>
      <c r="AT109" s="7"/>
    </row>
    <row r="110" spans="2:46" ht="12.75">
      <c r="B110" s="294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R110" s="7"/>
      <c r="AT110" s="7"/>
    </row>
    <row r="111" spans="2:44" ht="12.75">
      <c r="B111" s="111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349"/>
      <c r="AM111" s="633"/>
      <c r="AR111" s="7"/>
    </row>
    <row r="112" spans="2:44" ht="12.75">
      <c r="B112" s="111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349"/>
      <c r="AM112" s="633"/>
      <c r="AR112" s="7"/>
    </row>
    <row r="113" spans="2:44" ht="12.75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R113" s="7"/>
    </row>
    <row r="114" spans="2:44" ht="12.75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R114" s="7"/>
    </row>
    <row r="115" spans="2:44" ht="12.75">
      <c r="B115" s="294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R115" s="7"/>
    </row>
    <row r="116" spans="2:44" ht="12.75">
      <c r="B116" s="111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633"/>
      <c r="AR116" s="7"/>
    </row>
    <row r="117" spans="2:44" ht="12.75">
      <c r="B117" s="111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349"/>
      <c r="AM117" s="633"/>
      <c r="AR117" s="7"/>
    </row>
    <row r="118" spans="2:44" ht="12.75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R118" s="7"/>
    </row>
    <row r="119" spans="2:44" ht="12.75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R119" s="7"/>
    </row>
    <row r="120" spans="2:44" ht="12.75">
      <c r="B120" s="294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R120" s="7"/>
    </row>
    <row r="121" spans="2:44" ht="12.75">
      <c r="B121" s="111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349"/>
      <c r="AM121" s="146"/>
      <c r="AR121" s="7"/>
    </row>
    <row r="122" spans="2:44" ht="12.75">
      <c r="B122" s="111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R122" s="7"/>
    </row>
    <row r="123" ht="12.75">
      <c r="AR123" s="7"/>
    </row>
    <row r="124" ht="12.75">
      <c r="AR124" s="7"/>
    </row>
    <row r="125" ht="12.75">
      <c r="AR125" s="7"/>
    </row>
    <row r="126" ht="12.75">
      <c r="AR126" s="7"/>
    </row>
    <row r="127" ht="12.75">
      <c r="AR127" s="7"/>
    </row>
    <row r="128" ht="12.75">
      <c r="AR128" s="7"/>
    </row>
    <row r="129" ht="12.75">
      <c r="AR129" s="7"/>
    </row>
    <row r="130" ht="12.75">
      <c r="AR130" s="7"/>
    </row>
    <row r="131" ht="12.75">
      <c r="AR131" s="7"/>
    </row>
    <row r="132" ht="12.75">
      <c r="AR132" s="7"/>
    </row>
    <row r="133" ht="12.75">
      <c r="AR133" s="7"/>
    </row>
    <row r="134" ht="12.75">
      <c r="AR134" s="7"/>
    </row>
    <row r="135" ht="12.75">
      <c r="AR135" s="7"/>
    </row>
    <row r="136" ht="12.75">
      <c r="AR136" s="7"/>
    </row>
    <row r="137" ht="12.75">
      <c r="AR137" s="7"/>
    </row>
    <row r="138" ht="12.75">
      <c r="AR138" s="7"/>
    </row>
    <row r="139" ht="12.75">
      <c r="AR139" s="7"/>
    </row>
    <row r="140" ht="12.75">
      <c r="AR140" s="7"/>
    </row>
    <row r="141" ht="12.75">
      <c r="AR141" s="7"/>
    </row>
    <row r="142" ht="12.75">
      <c r="AR142" s="7"/>
    </row>
    <row r="143" ht="12.75">
      <c r="AR143" s="7"/>
    </row>
    <row r="144" ht="12.75">
      <c r="AR144" s="7"/>
    </row>
    <row r="148" ht="12.75">
      <c r="AR148" s="7"/>
    </row>
    <row r="149" ht="12.75">
      <c r="AR149" s="7"/>
    </row>
    <row r="150" ht="12.75">
      <c r="AR150" s="7"/>
    </row>
    <row r="151" ht="12.75">
      <c r="AR151" s="7"/>
    </row>
    <row r="152" ht="12.75">
      <c r="AR152" s="7"/>
    </row>
    <row r="153" ht="12.75">
      <c r="AR153" s="7"/>
    </row>
    <row r="154" ht="12.75">
      <c r="AR154" s="7"/>
    </row>
    <row r="155" ht="12.75">
      <c r="AR155" s="7"/>
    </row>
    <row r="160" ht="12.75">
      <c r="AN160"/>
    </row>
  </sheetData>
  <sheetProtection/>
  <conditionalFormatting sqref="C64:AP64">
    <cfRule type="cellIs" priority="5" dxfId="6" operator="equal" stopIfTrue="1">
      <formula>"OK"</formula>
    </cfRule>
    <cfRule type="cellIs" priority="6" dxfId="2" operator="equal" stopIfTrue="1">
      <formula>"ERROR"</formula>
    </cfRule>
  </conditionalFormatting>
  <conditionalFormatting sqref="A1:AT1">
    <cfRule type="cellIs" priority="4" dxfId="7" operator="notEqual" stopIfTrue="1">
      <formula>0</formula>
    </cfRule>
  </conditionalFormatting>
  <printOptions horizontalCentered="1"/>
  <pageMargins left="0.45" right="0.46" top="0.48" bottom="0.58" header="0.24" footer="0.31"/>
  <pageSetup fitToHeight="1" fitToWidth="1" horizontalDpi="600" verticalDpi="600" orientation="landscape" scale="17" r:id="rId1"/>
  <headerFooter alignWithMargins="0">
    <oddFooter>&amp;L&amp;"Times New Roman,Bold Italic"&amp;12Amounts presented in bold italic type have changed since PSE's Rebuttal Filing as revised February 16, 2012.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M305"/>
  <sheetViews>
    <sheetView zoomScalePageLayoutView="0" workbookViewId="0" topLeftCell="A1">
      <pane xSplit="1" ySplit="11" topLeftCell="BB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I3" sqref="BI3"/>
    </sheetView>
  </sheetViews>
  <sheetFormatPr defaultColWidth="19.33203125" defaultRowHeight="10.5"/>
  <cols>
    <col min="1" max="1" width="5.83203125" style="7" customWidth="1"/>
    <col min="2" max="2" width="68.83203125" style="7" customWidth="1"/>
    <col min="3" max="3" width="19.83203125" style="7" customWidth="1"/>
    <col min="4" max="4" width="22.16015625" style="7" customWidth="1"/>
    <col min="5" max="5" width="22.5" style="7" customWidth="1"/>
    <col min="6" max="6" width="5.83203125" style="7" customWidth="1"/>
    <col min="7" max="7" width="56.83203125" style="111" customWidth="1"/>
    <col min="8" max="8" width="16.33203125" style="111" bestFit="1" customWidth="1"/>
    <col min="9" max="9" width="22.16015625" style="111" customWidth="1"/>
    <col min="10" max="10" width="18.16015625" style="7" customWidth="1"/>
    <col min="11" max="11" width="7.5" style="7" customWidth="1"/>
    <col min="12" max="12" width="71.83203125" style="7" bestFit="1" customWidth="1"/>
    <col min="13" max="13" width="13.83203125" style="7" bestFit="1" customWidth="1"/>
    <col min="14" max="14" width="15.5" style="7" bestFit="1" customWidth="1"/>
    <col min="15" max="15" width="16.5" style="7" customWidth="1"/>
    <col min="16" max="16" width="6.83203125" style="7" customWidth="1"/>
    <col min="17" max="17" width="37.33203125" style="7" customWidth="1"/>
    <col min="18" max="18" width="6.5" style="7" customWidth="1"/>
    <col min="19" max="19" width="18" style="7" customWidth="1"/>
    <col min="20" max="20" width="25.33203125" style="7" customWidth="1"/>
    <col min="21" max="21" width="6.5" style="7" bestFit="1" customWidth="1"/>
    <col min="22" max="22" width="55.5" style="7" customWidth="1"/>
    <col min="23" max="24" width="16.16015625" style="7" customWidth="1"/>
    <col min="25" max="25" width="23.16015625" style="7" customWidth="1"/>
    <col min="26" max="26" width="6.83203125" style="7" customWidth="1"/>
    <col min="27" max="27" width="45.16015625" style="7" customWidth="1"/>
    <col min="28" max="29" width="19.83203125" style="7" customWidth="1"/>
    <col min="30" max="30" width="24.33203125" style="7" customWidth="1"/>
    <col min="31" max="31" width="7.33203125" style="7" bestFit="1" customWidth="1"/>
    <col min="32" max="32" width="68.5" style="7" customWidth="1"/>
    <col min="33" max="33" width="17.83203125" style="7" customWidth="1"/>
    <col min="34" max="34" width="15.66015625" style="7" customWidth="1"/>
    <col min="35" max="35" width="17.16015625" style="7" customWidth="1"/>
    <col min="36" max="36" width="19.16015625" style="7" customWidth="1"/>
    <col min="37" max="37" width="6.5" style="7" bestFit="1" customWidth="1"/>
    <col min="38" max="38" width="61" style="7" customWidth="1"/>
    <col min="39" max="39" width="14.33203125" style="7" bestFit="1" customWidth="1"/>
    <col min="40" max="40" width="13.83203125" style="7" bestFit="1" customWidth="1"/>
    <col min="41" max="41" width="17.66015625" style="7" customWidth="1"/>
    <col min="42" max="42" width="5.83203125" style="7" customWidth="1"/>
    <col min="43" max="43" width="59.83203125" style="7" customWidth="1"/>
    <col min="44" max="45" width="17.83203125" style="7" customWidth="1"/>
    <col min="46" max="46" width="23.16015625" style="7" customWidth="1"/>
    <col min="47" max="47" width="5.83203125" style="7" customWidth="1"/>
    <col min="48" max="48" width="76.16015625" style="7" customWidth="1"/>
    <col min="49" max="49" width="16.33203125" style="7" bestFit="1" customWidth="1"/>
    <col min="50" max="50" width="18.5" style="7" bestFit="1" customWidth="1"/>
    <col min="51" max="51" width="24.33203125" style="7" customWidth="1"/>
    <col min="52" max="52" width="6.83203125" style="7" customWidth="1"/>
    <col min="53" max="53" width="74" style="7" customWidth="1"/>
    <col min="54" max="54" width="20" style="7" customWidth="1"/>
    <col min="55" max="55" width="18.16015625" style="7" customWidth="1"/>
    <col min="56" max="56" width="17.5" style="7" customWidth="1"/>
    <col min="57" max="57" width="5.16015625" style="7" customWidth="1"/>
    <col min="58" max="58" width="56.16015625" style="7" customWidth="1"/>
    <col min="59" max="59" width="18.66015625" style="7" customWidth="1"/>
    <col min="60" max="60" width="18.16015625" style="7" customWidth="1"/>
    <col min="61" max="61" width="16.83203125" style="7" customWidth="1"/>
    <col min="67" max="67" width="21.66015625" style="7" bestFit="1" customWidth="1"/>
    <col min="68" max="68" width="21.66015625" style="7" customWidth="1"/>
    <col min="69" max="69" width="18.5" style="7" bestFit="1" customWidth="1"/>
    <col min="70" max="70" width="18.83203125" style="7" bestFit="1" customWidth="1"/>
    <col min="71" max="71" width="24.16015625" style="7" customWidth="1"/>
    <col min="72" max="86" width="19.33203125" style="104" customWidth="1"/>
    <col min="87" max="87" width="5.83203125" style="7" customWidth="1"/>
    <col min="88" max="88" width="55.16015625" style="108" customWidth="1"/>
    <col min="89" max="89" width="17" style="108" customWidth="1"/>
    <col min="90" max="90" width="15.66015625" style="108" customWidth="1"/>
    <col min="91" max="91" width="22.33203125" style="108" customWidth="1"/>
    <col min="92" max="16384" width="19.33203125" style="104" customWidth="1"/>
  </cols>
  <sheetData>
    <row r="1" spans="1:61" ht="12.75">
      <c r="A1" s="199">
        <f>SUM(B1:EM1)</f>
        <v>0</v>
      </c>
      <c r="B1" s="199"/>
      <c r="C1" s="199"/>
      <c r="D1" s="199"/>
      <c r="E1" s="199">
        <f>ROUND(E40-'JHS-19'!D49,0)</f>
        <v>0</v>
      </c>
      <c r="F1" s="199"/>
      <c r="G1" s="199"/>
      <c r="H1" s="199"/>
      <c r="I1" s="229">
        <f>ROUND('JHS-19'!E62-J19,0)</f>
        <v>0</v>
      </c>
      <c r="J1" s="229">
        <f>ROUND(J38-'JHS-19'!E49,0)</f>
        <v>0</v>
      </c>
      <c r="K1" s="199"/>
      <c r="L1" s="229"/>
      <c r="M1" s="229"/>
      <c r="N1" s="229">
        <f>O24-'JHS-19'!F62</f>
        <v>0</v>
      </c>
      <c r="O1" s="229">
        <f>O33-'JHS-19'!F49</f>
        <v>0</v>
      </c>
      <c r="P1" s="199"/>
      <c r="Q1" s="199"/>
      <c r="R1" s="199"/>
      <c r="S1" s="199"/>
      <c r="T1" s="199">
        <f>ROUND(T21-'JHS-19'!G49,0)</f>
        <v>0</v>
      </c>
      <c r="U1" s="208"/>
      <c r="V1" s="208"/>
      <c r="W1" s="208"/>
      <c r="X1" s="208"/>
      <c r="Y1" s="208"/>
      <c r="Z1" s="199"/>
      <c r="AA1" s="199"/>
      <c r="AB1" s="199"/>
      <c r="AC1" s="199"/>
      <c r="AD1" s="201">
        <f>ROUND(AD21-'JHS-19'!I49,0)</f>
        <v>0</v>
      </c>
      <c r="AE1" s="199"/>
      <c r="AF1" s="199"/>
      <c r="AG1" s="199"/>
      <c r="AH1" s="199"/>
      <c r="AI1" s="199"/>
      <c r="AJ1" s="208">
        <f>ROUND(AJ60-'JHS-19'!J49,0)</f>
        <v>0</v>
      </c>
      <c r="AK1" s="208"/>
      <c r="AL1" s="208"/>
      <c r="AM1" s="208"/>
      <c r="AN1" s="208"/>
      <c r="AO1" s="208"/>
      <c r="AP1" s="199"/>
      <c r="AQ1" s="229"/>
      <c r="AR1" s="229"/>
      <c r="AS1" s="229">
        <f>AT25-'JHS-19'!L51</f>
        <v>0</v>
      </c>
      <c r="AT1" s="229">
        <f>AT32-'JHS-19'!L49</f>
        <v>0</v>
      </c>
      <c r="AU1" s="199"/>
      <c r="AV1" s="199"/>
      <c r="AW1" s="199"/>
      <c r="AX1" s="229">
        <f>ROUND(AY34-'JHS-19'!M62,0)</f>
        <v>0</v>
      </c>
      <c r="AY1" s="229">
        <f>ROUND(AY63-'JHS-19'!M49,0)</f>
        <v>0</v>
      </c>
      <c r="AZ1" s="208"/>
      <c r="BA1" s="199"/>
      <c r="BB1" s="199"/>
      <c r="BC1" s="199">
        <f>ROUND(BC107-'JHS-19'!N62,0)</f>
        <v>0</v>
      </c>
      <c r="BD1" s="208">
        <f>ROUND(BD69-'JHS-19'!N49,0)</f>
        <v>0</v>
      </c>
      <c r="BE1" s="229"/>
      <c r="BF1" s="229"/>
      <c r="BG1" s="229"/>
      <c r="BH1" s="229">
        <f>BI28-'JHS-19'!O51</f>
        <v>0</v>
      </c>
      <c r="BI1" s="229">
        <f>BI22-'JHS-19'!O49</f>
        <v>0</v>
      </c>
    </row>
    <row r="2" spans="1:61" s="7" customFormat="1" ht="12.75">
      <c r="A2" s="16"/>
      <c r="B2" s="16"/>
      <c r="C2" s="12"/>
      <c r="D2" s="12"/>
      <c r="E2" s="1" t="str">
        <f>DocketNumber</f>
        <v>Docket Number UE-111048</v>
      </c>
      <c r="F2" s="16"/>
      <c r="J2" s="1" t="str">
        <f>DocketNumber</f>
        <v>Docket Number UE-111048</v>
      </c>
      <c r="L2" s="230"/>
      <c r="M2" s="230"/>
      <c r="N2" s="230"/>
      <c r="O2" s="1" t="str">
        <f>DocketNumber</f>
        <v>Docket Number UE-111048</v>
      </c>
      <c r="P2" s="16"/>
      <c r="T2" s="1" t="str">
        <f>DocketNumber</f>
        <v>Docket Number UE-111048</v>
      </c>
      <c r="U2" s="1"/>
      <c r="V2" s="1"/>
      <c r="W2" s="1"/>
      <c r="X2" s="1"/>
      <c r="Y2" s="1" t="str">
        <f>DocketNumber</f>
        <v>Docket Number UE-111048</v>
      </c>
      <c r="Z2" s="16"/>
      <c r="AD2" s="1" t="str">
        <f>DocketNumber</f>
        <v>Docket Number UE-111048</v>
      </c>
      <c r="AE2" s="16"/>
      <c r="AF2" s="110"/>
      <c r="AG2" s="110"/>
      <c r="AH2" s="110"/>
      <c r="AI2" s="110"/>
      <c r="AJ2" s="1" t="str">
        <f>DocketNumber</f>
        <v>Docket Number UE-111048</v>
      </c>
      <c r="AK2" s="1"/>
      <c r="AL2" s="1"/>
      <c r="AM2" s="1"/>
      <c r="AN2" s="1"/>
      <c r="AO2" s="1" t="str">
        <f>DocketNumber</f>
        <v>Docket Number UE-111048</v>
      </c>
      <c r="AQ2" s="230"/>
      <c r="AR2" s="230"/>
      <c r="AS2" s="230"/>
      <c r="AT2" s="1" t="str">
        <f>DocketNumber</f>
        <v>Docket Number UE-111048</v>
      </c>
      <c r="AU2" s="16"/>
      <c r="AV2" s="1"/>
      <c r="AW2" s="1"/>
      <c r="AX2" s="1"/>
      <c r="AY2" s="1" t="str">
        <f>DocketNumber</f>
        <v>Docket Number UE-111048</v>
      </c>
      <c r="AZ2" s="16"/>
      <c r="BD2" s="1" t="str">
        <f>DocketNumber</f>
        <v>Docket Number UE-111048</v>
      </c>
      <c r="BE2" s="366"/>
      <c r="BF2" s="366"/>
      <c r="BG2" s="366"/>
      <c r="BH2" s="366"/>
      <c r="BI2" s="371" t="str">
        <f>DocketNumber</f>
        <v>Docket Number UE-111048</v>
      </c>
    </row>
    <row r="3" spans="5:61" s="1" customFormat="1" ht="13.5" thickBot="1">
      <c r="E3" s="1" t="s">
        <v>690</v>
      </c>
      <c r="J3" s="1" t="str">
        <f>$E$3</f>
        <v>Exhibit No.    (JHS-20)</v>
      </c>
      <c r="O3" s="1" t="str">
        <f>$E$3</f>
        <v>Exhibit No.    (JHS-20)</v>
      </c>
      <c r="T3" s="1" t="str">
        <f>$E$3</f>
        <v>Exhibit No.    (JHS-20)</v>
      </c>
      <c r="Y3" s="1" t="str">
        <f>$E$3</f>
        <v>Exhibit No.    (JHS-20)</v>
      </c>
      <c r="AD3" s="1" t="str">
        <f>$E$3</f>
        <v>Exhibit No.    (JHS-20)</v>
      </c>
      <c r="AJ3" s="1" t="str">
        <f>$E$3</f>
        <v>Exhibit No.    (JHS-20)</v>
      </c>
      <c r="AO3" s="1" t="str">
        <f>$E$3</f>
        <v>Exhibit No.    (JHS-20)</v>
      </c>
      <c r="AT3" s="1" t="str">
        <f>$E$3</f>
        <v>Exhibit No.    (JHS-20)</v>
      </c>
      <c r="AY3" s="1" t="str">
        <f>$E$3</f>
        <v>Exhibit No.    (JHS-20)</v>
      </c>
      <c r="BD3" s="1" t="str">
        <f>$E$3</f>
        <v>Exhibit No.    (JHS-20)</v>
      </c>
      <c r="BI3" s="1" t="str">
        <f>$E$3</f>
        <v>Exhibit No.    (JHS-20)</v>
      </c>
    </row>
    <row r="4" spans="1:61" s="7" customFormat="1" ht="13.5" thickBot="1">
      <c r="A4" s="16"/>
      <c r="B4" s="113"/>
      <c r="C4" s="80"/>
      <c r="D4" s="80"/>
      <c r="E4" s="303">
        <v>20.01</v>
      </c>
      <c r="F4" s="314"/>
      <c r="G4" s="314"/>
      <c r="H4" s="314"/>
      <c r="I4" s="314"/>
      <c r="J4" s="303">
        <f>E4+0.01</f>
        <v>20.020000000000003</v>
      </c>
      <c r="K4" s="314"/>
      <c r="L4" s="314"/>
      <c r="M4" s="314"/>
      <c r="N4" s="314"/>
      <c r="O4" s="303">
        <f>J4+0.01</f>
        <v>20.030000000000005</v>
      </c>
      <c r="P4" s="16"/>
      <c r="Q4" s="16"/>
      <c r="R4" s="16"/>
      <c r="S4" s="16"/>
      <c r="T4" s="303">
        <f>O4+0.01</f>
        <v>20.040000000000006</v>
      </c>
      <c r="U4" s="320"/>
      <c r="V4" s="320"/>
      <c r="W4" s="320"/>
      <c r="X4" s="320"/>
      <c r="Y4" s="303">
        <f>T4+0.01</f>
        <v>20.050000000000008</v>
      </c>
      <c r="Z4" s="50"/>
      <c r="AA4" s="1"/>
      <c r="AB4" s="1"/>
      <c r="AC4" s="1"/>
      <c r="AD4" s="303">
        <f>Y4+0.01</f>
        <v>20.06000000000001</v>
      </c>
      <c r="AE4" s="116"/>
      <c r="AF4" s="116"/>
      <c r="AG4" s="116"/>
      <c r="AH4" s="116"/>
      <c r="AI4" s="116"/>
      <c r="AJ4" s="303">
        <f>AD4+0.01</f>
        <v>20.07000000000001</v>
      </c>
      <c r="AK4" s="104"/>
      <c r="AL4" s="104"/>
      <c r="AM4" s="104"/>
      <c r="AN4" s="104"/>
      <c r="AO4" s="303">
        <f>AJ4+0.01</f>
        <v>20.080000000000013</v>
      </c>
      <c r="AP4" s="16"/>
      <c r="AQ4" s="230"/>
      <c r="AR4" s="230"/>
      <c r="AS4" s="222"/>
      <c r="AT4" s="303">
        <f>AO4+0.01</f>
        <v>20.090000000000014</v>
      </c>
      <c r="AU4" s="230"/>
      <c r="AV4" s="230"/>
      <c r="AW4" s="222"/>
      <c r="AX4" s="230"/>
      <c r="AY4" s="303">
        <f>AT4+0.01</f>
        <v>20.100000000000016</v>
      </c>
      <c r="AZ4" s="16"/>
      <c r="BA4" s="16"/>
      <c r="BB4" s="16"/>
      <c r="BC4" s="16"/>
      <c r="BD4" s="303">
        <f>AY4+0.01</f>
        <v>20.110000000000017</v>
      </c>
      <c r="BE4" s="366"/>
      <c r="BF4" s="371" t="s">
        <v>705</v>
      </c>
      <c r="BG4" s="366"/>
      <c r="BH4" s="366"/>
      <c r="BI4" s="303">
        <f>BD4+0.01</f>
        <v>20.12000000000002</v>
      </c>
    </row>
    <row r="5" spans="1:61" s="7" customFormat="1" ht="12.75">
      <c r="A5" s="187" t="s">
        <v>640</v>
      </c>
      <c r="B5" s="187"/>
      <c r="C5" s="188"/>
      <c r="D5" s="188"/>
      <c r="E5" s="188"/>
      <c r="F5" s="187" t="s">
        <v>640</v>
      </c>
      <c r="G5" s="187"/>
      <c r="H5" s="188"/>
      <c r="I5" s="188"/>
      <c r="J5" s="188"/>
      <c r="K5" s="187" t="s">
        <v>640</v>
      </c>
      <c r="L5" s="187"/>
      <c r="M5" s="188"/>
      <c r="N5" s="188"/>
      <c r="O5" s="188"/>
      <c r="P5" s="18" t="s">
        <v>640</v>
      </c>
      <c r="Q5" s="17"/>
      <c r="R5" s="17"/>
      <c r="S5" s="17"/>
      <c r="T5" s="17"/>
      <c r="U5" s="18" t="s">
        <v>640</v>
      </c>
      <c r="V5" s="17"/>
      <c r="W5" s="17"/>
      <c r="X5" s="17"/>
      <c r="Y5" s="17"/>
      <c r="Z5" s="18" t="s">
        <v>640</v>
      </c>
      <c r="AA5" s="17"/>
      <c r="AB5" s="17"/>
      <c r="AC5" s="17"/>
      <c r="AD5" s="17"/>
      <c r="AE5" s="18" t="s">
        <v>640</v>
      </c>
      <c r="AF5" s="17"/>
      <c r="AG5" s="17"/>
      <c r="AH5" s="17"/>
      <c r="AI5" s="17"/>
      <c r="AJ5" s="17"/>
      <c r="AK5" s="18" t="s">
        <v>640</v>
      </c>
      <c r="AL5" s="17"/>
      <c r="AM5" s="17"/>
      <c r="AN5" s="17"/>
      <c r="AO5" s="17"/>
      <c r="AP5" s="636" t="s">
        <v>640</v>
      </c>
      <c r="AQ5" s="636"/>
      <c r="AR5" s="636"/>
      <c r="AS5" s="636"/>
      <c r="AT5" s="636"/>
      <c r="AU5" s="187" t="s">
        <v>640</v>
      </c>
      <c r="AV5" s="187"/>
      <c r="AW5" s="188"/>
      <c r="AX5" s="188"/>
      <c r="AY5" s="188"/>
      <c r="AZ5" s="636" t="s">
        <v>640</v>
      </c>
      <c r="BA5" s="636"/>
      <c r="BB5" s="636"/>
      <c r="BC5" s="636"/>
      <c r="BD5" s="636"/>
      <c r="BE5" s="636" t="s">
        <v>640</v>
      </c>
      <c r="BF5" s="636"/>
      <c r="BG5" s="636"/>
      <c r="BH5" s="636"/>
      <c r="BI5" s="636"/>
    </row>
    <row r="6" spans="1:61" s="7" customFormat="1" ht="12.75">
      <c r="A6" s="188" t="s">
        <v>67</v>
      </c>
      <c r="B6" s="188"/>
      <c r="C6" s="188"/>
      <c r="D6" s="188"/>
      <c r="E6" s="19"/>
      <c r="F6" s="188" t="s">
        <v>346</v>
      </c>
      <c r="G6" s="188"/>
      <c r="H6" s="188"/>
      <c r="I6" s="188"/>
      <c r="J6" s="19"/>
      <c r="K6" s="188" t="s">
        <v>347</v>
      </c>
      <c r="L6" s="188"/>
      <c r="M6" s="188"/>
      <c r="N6" s="188"/>
      <c r="O6" s="19"/>
      <c r="P6" s="17" t="s">
        <v>489</v>
      </c>
      <c r="Q6" s="17"/>
      <c r="R6" s="17"/>
      <c r="S6" s="17"/>
      <c r="T6" s="19"/>
      <c r="U6" s="17" t="s">
        <v>348</v>
      </c>
      <c r="V6" s="17"/>
      <c r="W6" s="17"/>
      <c r="X6" s="17"/>
      <c r="Y6" s="17"/>
      <c r="Z6" s="17" t="s">
        <v>113</v>
      </c>
      <c r="AA6" s="19"/>
      <c r="AB6" s="19"/>
      <c r="AC6" s="19"/>
      <c r="AD6" s="19"/>
      <c r="AE6" s="17" t="s">
        <v>349</v>
      </c>
      <c r="AF6" s="17"/>
      <c r="AG6" s="17"/>
      <c r="AH6" s="17"/>
      <c r="AI6" s="17"/>
      <c r="AJ6" s="17"/>
      <c r="AK6" s="17" t="s">
        <v>231</v>
      </c>
      <c r="AL6" s="17"/>
      <c r="AM6" s="17"/>
      <c r="AN6" s="17"/>
      <c r="AO6" s="17"/>
      <c r="AP6" s="636" t="s">
        <v>350</v>
      </c>
      <c r="AQ6" s="636"/>
      <c r="AR6" s="636"/>
      <c r="AS6" s="636"/>
      <c r="AT6" s="636"/>
      <c r="AU6" s="188" t="s">
        <v>351</v>
      </c>
      <c r="AV6" s="188"/>
      <c r="AW6" s="188"/>
      <c r="AX6" s="188"/>
      <c r="AY6" s="19"/>
      <c r="AZ6" s="17" t="s">
        <v>66</v>
      </c>
      <c r="BA6" s="17"/>
      <c r="BB6" s="17"/>
      <c r="BC6" s="17"/>
      <c r="BD6" s="19"/>
      <c r="BE6" s="636" t="s">
        <v>216</v>
      </c>
      <c r="BF6" s="636"/>
      <c r="BG6" s="636"/>
      <c r="BH6" s="636"/>
      <c r="BI6" s="636"/>
    </row>
    <row r="7" spans="1:61" ht="12.75">
      <c r="A7" s="17" t="str">
        <f>TESTYEAR</f>
        <v>FOR THE TWELVE MONTHS ENDED DECEMBER 31, 2010</v>
      </c>
      <c r="B7" s="17"/>
      <c r="C7" s="18"/>
      <c r="D7" s="17"/>
      <c r="E7" s="17"/>
      <c r="F7" s="188" t="s">
        <v>248</v>
      </c>
      <c r="G7" s="188"/>
      <c r="H7" s="188"/>
      <c r="I7" s="188"/>
      <c r="J7" s="20"/>
      <c r="K7" s="188" t="s">
        <v>248</v>
      </c>
      <c r="L7" s="188"/>
      <c r="M7" s="188"/>
      <c r="N7" s="188"/>
      <c r="O7" s="20"/>
      <c r="P7" s="17" t="str">
        <f>TESTYEAR</f>
        <v>FOR THE TWELVE MONTHS ENDED DECEMBER 31, 2010</v>
      </c>
      <c r="Q7" s="17"/>
      <c r="R7" s="17"/>
      <c r="S7" s="17"/>
      <c r="T7" s="20"/>
      <c r="U7" s="17" t="str">
        <f>TESTYEAR</f>
        <v>FOR THE TWELVE MONTHS ENDED DECEMBER 31, 2010</v>
      </c>
      <c r="V7" s="17"/>
      <c r="W7" s="17"/>
      <c r="X7" s="17"/>
      <c r="Y7" s="17"/>
      <c r="Z7" s="17" t="str">
        <f>TESTYEAR</f>
        <v>FOR THE TWELVE MONTHS ENDED DECEMBER 31, 2010</v>
      </c>
      <c r="AA7" s="20"/>
      <c r="AB7" s="20"/>
      <c r="AC7" s="20"/>
      <c r="AD7" s="20"/>
      <c r="AE7" s="17" t="str">
        <f>TESTYEAR</f>
        <v>FOR THE TWELVE MONTHS ENDED DECEMBER 31, 2010</v>
      </c>
      <c r="AF7" s="17"/>
      <c r="AG7" s="17"/>
      <c r="AH7" s="17"/>
      <c r="AI7" s="17"/>
      <c r="AJ7" s="17"/>
      <c r="AK7" s="17" t="str">
        <f>TESTYEAR</f>
        <v>FOR THE TWELVE MONTHS ENDED DECEMBER 31, 2010</v>
      </c>
      <c r="AL7" s="17"/>
      <c r="AM7" s="17"/>
      <c r="AN7" s="17"/>
      <c r="AO7" s="17"/>
      <c r="AP7" s="636" t="str">
        <f>TESTYEAR</f>
        <v>FOR THE TWELVE MONTHS ENDED DECEMBER 31, 2010</v>
      </c>
      <c r="AQ7" s="636"/>
      <c r="AR7" s="636"/>
      <c r="AS7" s="636"/>
      <c r="AT7" s="636"/>
      <c r="AU7" s="304" t="s">
        <v>248</v>
      </c>
      <c r="AV7" s="188"/>
      <c r="AW7" s="188"/>
      <c r="AX7" s="188"/>
      <c r="AY7" s="20"/>
      <c r="AZ7" s="17" t="str">
        <f>TESTYEAR</f>
        <v>FOR THE TWELVE MONTHS ENDED DECEMBER 31, 2010</v>
      </c>
      <c r="BA7" s="17"/>
      <c r="BB7" s="17"/>
      <c r="BC7" s="17"/>
      <c r="BD7" s="20"/>
      <c r="BE7" s="636" t="str">
        <f>TESTYEAR</f>
        <v>FOR THE TWELVE MONTHS ENDED DECEMBER 31, 2010</v>
      </c>
      <c r="BF7" s="636"/>
      <c r="BG7" s="636"/>
      <c r="BH7" s="636"/>
      <c r="BI7" s="636"/>
    </row>
    <row r="8" spans="1:61" ht="12.75">
      <c r="A8" s="18" t="s">
        <v>45</v>
      </c>
      <c r="B8" s="17"/>
      <c r="C8" s="18"/>
      <c r="D8" s="18"/>
      <c r="E8" s="18"/>
      <c r="F8" s="188" t="s">
        <v>45</v>
      </c>
      <c r="G8" s="188"/>
      <c r="H8" s="188"/>
      <c r="I8" s="188"/>
      <c r="J8" s="20"/>
      <c r="K8" s="188" t="s">
        <v>45</v>
      </c>
      <c r="L8" s="188"/>
      <c r="M8" s="188"/>
      <c r="N8" s="188"/>
      <c r="O8" s="20"/>
      <c r="P8" s="179" t="s">
        <v>45</v>
      </c>
      <c r="Q8" s="179"/>
      <c r="R8" s="179"/>
      <c r="S8" s="179"/>
      <c r="T8" s="179"/>
      <c r="U8" s="17" t="s">
        <v>45</v>
      </c>
      <c r="V8" s="17"/>
      <c r="W8" s="17"/>
      <c r="X8" s="17"/>
      <c r="Y8" s="17"/>
      <c r="Z8" s="18" t="s">
        <v>45</v>
      </c>
      <c r="AA8" s="17"/>
      <c r="AB8" s="17"/>
      <c r="AC8" s="17"/>
      <c r="AD8" s="17"/>
      <c r="AE8" s="18" t="s">
        <v>45</v>
      </c>
      <c r="AF8" s="17"/>
      <c r="AG8" s="17"/>
      <c r="AH8" s="17"/>
      <c r="AI8" s="17"/>
      <c r="AJ8" s="17"/>
      <c r="AK8" s="17" t="s">
        <v>45</v>
      </c>
      <c r="AL8" s="17"/>
      <c r="AM8" s="17"/>
      <c r="AN8" s="17"/>
      <c r="AO8" s="17"/>
      <c r="AP8" s="636" t="s">
        <v>45</v>
      </c>
      <c r="AQ8" s="636"/>
      <c r="AR8" s="636"/>
      <c r="AS8" s="636"/>
      <c r="AT8" s="636"/>
      <c r="AU8" s="304" t="s">
        <v>236</v>
      </c>
      <c r="AV8" s="188"/>
      <c r="AW8" s="188"/>
      <c r="AX8" s="188"/>
      <c r="AY8" s="20"/>
      <c r="AZ8" s="17" t="s">
        <v>45</v>
      </c>
      <c r="BA8" s="17"/>
      <c r="BB8" s="17"/>
      <c r="BC8" s="17"/>
      <c r="BD8" s="20"/>
      <c r="BE8" s="636" t="s">
        <v>45</v>
      </c>
      <c r="BF8" s="636"/>
      <c r="BG8" s="636"/>
      <c r="BH8" s="636"/>
      <c r="BI8" s="636"/>
    </row>
    <row r="9" spans="1:91" s="7" customFormat="1" ht="13.5">
      <c r="A9" s="16"/>
      <c r="B9" s="16"/>
      <c r="C9" s="16"/>
      <c r="D9" s="543" t="s">
        <v>247</v>
      </c>
      <c r="E9" s="543" t="s">
        <v>247</v>
      </c>
      <c r="F9" s="561"/>
      <c r="G9" s="561"/>
      <c r="H9" s="561"/>
      <c r="I9" s="543" t="s">
        <v>247</v>
      </c>
      <c r="J9" s="543" t="s">
        <v>247</v>
      </c>
      <c r="K9" s="104"/>
      <c r="L9" s="104"/>
      <c r="M9" s="104"/>
      <c r="N9" s="543"/>
      <c r="O9" s="543"/>
      <c r="P9" s="16"/>
      <c r="Q9" s="114"/>
      <c r="R9" s="114"/>
      <c r="S9" s="543" t="s">
        <v>247</v>
      </c>
      <c r="T9" s="543" t="s">
        <v>247</v>
      </c>
      <c r="U9" s="34"/>
      <c r="V9" s="34"/>
      <c r="W9" s="34"/>
      <c r="X9" s="34"/>
      <c r="Y9" s="34"/>
      <c r="Z9" s="51"/>
      <c r="AA9" s="51"/>
      <c r="AB9" s="51"/>
      <c r="AC9" s="51"/>
      <c r="AD9" s="51"/>
      <c r="AE9" s="16"/>
      <c r="AF9" s="114"/>
      <c r="AG9" s="114"/>
      <c r="AH9" s="114"/>
      <c r="AI9" s="114"/>
      <c r="AJ9" s="16"/>
      <c r="AK9" s="348"/>
      <c r="AL9" s="17"/>
      <c r="AM9" s="17"/>
      <c r="AN9" s="17"/>
      <c r="AO9" s="17"/>
      <c r="AP9" s="16"/>
      <c r="AQ9" s="188"/>
      <c r="AR9" s="188"/>
      <c r="AS9" s="188"/>
      <c r="AT9" s="188"/>
      <c r="AU9" s="233"/>
      <c r="AV9" s="230"/>
      <c r="AW9" s="233"/>
      <c r="AX9" s="543" t="s">
        <v>247</v>
      </c>
      <c r="AY9" s="543" t="s">
        <v>247</v>
      </c>
      <c r="AZ9" s="16"/>
      <c r="BB9" s="342" t="s">
        <v>247</v>
      </c>
      <c r="BC9" s="342" t="s">
        <v>247</v>
      </c>
      <c r="BD9" s="342" t="s">
        <v>247</v>
      </c>
      <c r="BE9" s="366"/>
      <c r="BF9" s="366"/>
      <c r="BG9" s="366"/>
      <c r="BH9" s="543" t="s">
        <v>247</v>
      </c>
      <c r="BI9" s="543" t="s">
        <v>247</v>
      </c>
      <c r="BJ9"/>
      <c r="BK9"/>
      <c r="BL9"/>
      <c r="BM9"/>
      <c r="BN9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J9" s="108"/>
      <c r="CK9" s="108"/>
      <c r="CL9" s="108"/>
      <c r="CM9" s="108"/>
    </row>
    <row r="10" spans="1:61" ht="12.75">
      <c r="A10" s="4" t="s">
        <v>599</v>
      </c>
      <c r="B10" s="114"/>
      <c r="C10" s="193"/>
      <c r="D10" s="25"/>
      <c r="E10" s="25" t="s">
        <v>600</v>
      </c>
      <c r="F10" s="366" t="s">
        <v>599</v>
      </c>
      <c r="G10" s="366"/>
      <c r="H10" s="366"/>
      <c r="I10" s="366" t="s">
        <v>599</v>
      </c>
      <c r="K10" s="366" t="s">
        <v>599</v>
      </c>
      <c r="L10" s="366"/>
      <c r="M10" s="366"/>
      <c r="P10" s="25" t="s">
        <v>599</v>
      </c>
      <c r="Q10" s="16"/>
      <c r="R10" s="16"/>
      <c r="U10" s="4" t="s">
        <v>599</v>
      </c>
      <c r="V10" s="114"/>
      <c r="W10" s="115"/>
      <c r="X10" s="25"/>
      <c r="Y10" s="25"/>
      <c r="Z10" s="25" t="s">
        <v>599</v>
      </c>
      <c r="AA10" s="52"/>
      <c r="AB10" s="52"/>
      <c r="AC10" s="52"/>
      <c r="AD10" s="52"/>
      <c r="AE10" s="25" t="s">
        <v>599</v>
      </c>
      <c r="AF10" s="114"/>
      <c r="AG10" s="114"/>
      <c r="AH10" s="114"/>
      <c r="AI10" s="114"/>
      <c r="AJ10" s="4"/>
      <c r="AK10" s="4" t="s">
        <v>599</v>
      </c>
      <c r="AL10" s="114"/>
      <c r="AM10" s="115"/>
      <c r="AN10" s="25" t="s">
        <v>637</v>
      </c>
      <c r="AO10" s="25"/>
      <c r="AP10" s="4" t="s">
        <v>599</v>
      </c>
      <c r="AQ10" s="233"/>
      <c r="AR10" s="190"/>
      <c r="AS10" s="190" t="s">
        <v>637</v>
      </c>
      <c r="AT10" s="190"/>
      <c r="AU10" s="189" t="s">
        <v>599</v>
      </c>
      <c r="AV10" s="233"/>
      <c r="AW10" s="190" t="s">
        <v>670</v>
      </c>
      <c r="AX10" s="190"/>
      <c r="AY10" s="190"/>
      <c r="AZ10" s="25" t="s">
        <v>599</v>
      </c>
      <c r="BA10" s="16"/>
      <c r="BB10" s="4" t="s">
        <v>616</v>
      </c>
      <c r="BC10" s="4" t="s">
        <v>615</v>
      </c>
      <c r="BD10" s="4" t="s">
        <v>265</v>
      </c>
      <c r="BE10" s="366" t="s">
        <v>599</v>
      </c>
      <c r="BF10" s="366"/>
      <c r="BG10" s="366"/>
      <c r="BH10" s="383" t="s">
        <v>700</v>
      </c>
      <c r="BI10" s="383" t="s">
        <v>700</v>
      </c>
    </row>
    <row r="11" spans="1:61" ht="12.75">
      <c r="A11" s="11" t="s">
        <v>620</v>
      </c>
      <c r="B11" s="76" t="s">
        <v>125</v>
      </c>
      <c r="C11" s="21" t="s">
        <v>619</v>
      </c>
      <c r="D11" s="21" t="s">
        <v>711</v>
      </c>
      <c r="E11" s="21" t="s">
        <v>127</v>
      </c>
      <c r="F11" s="494" t="s">
        <v>620</v>
      </c>
      <c r="G11" s="494" t="s">
        <v>125</v>
      </c>
      <c r="H11" s="492" t="s">
        <v>130</v>
      </c>
      <c r="I11" s="492" t="s">
        <v>616</v>
      </c>
      <c r="J11" s="492" t="s">
        <v>710</v>
      </c>
      <c r="K11" s="494" t="s">
        <v>620</v>
      </c>
      <c r="L11" s="494" t="s">
        <v>125</v>
      </c>
      <c r="M11" s="492" t="s">
        <v>130</v>
      </c>
      <c r="N11" s="492" t="s">
        <v>616</v>
      </c>
      <c r="O11" s="492" t="s">
        <v>129</v>
      </c>
      <c r="P11" s="21" t="s">
        <v>620</v>
      </c>
      <c r="Q11" s="121" t="s">
        <v>125</v>
      </c>
      <c r="R11" s="11"/>
      <c r="S11" s="11"/>
      <c r="T11" s="11" t="s">
        <v>128</v>
      </c>
      <c r="U11" s="11" t="s">
        <v>620</v>
      </c>
      <c r="V11" s="76" t="s">
        <v>125</v>
      </c>
      <c r="W11" s="61" t="s">
        <v>619</v>
      </c>
      <c r="X11" s="21" t="s">
        <v>616</v>
      </c>
      <c r="Y11" s="21" t="s">
        <v>129</v>
      </c>
      <c r="Z11" s="21" t="s">
        <v>620</v>
      </c>
      <c r="AA11" s="53"/>
      <c r="AB11" s="11" t="s">
        <v>619</v>
      </c>
      <c r="AC11" s="11" t="s">
        <v>126</v>
      </c>
      <c r="AD11" s="21" t="s">
        <v>129</v>
      </c>
      <c r="AE11" s="21" t="s">
        <v>620</v>
      </c>
      <c r="AF11" s="76" t="s">
        <v>125</v>
      </c>
      <c r="AG11" s="76"/>
      <c r="AH11" s="76"/>
      <c r="AI11" s="76"/>
      <c r="AJ11" s="11" t="s">
        <v>128</v>
      </c>
      <c r="AK11" s="11" t="s">
        <v>620</v>
      </c>
      <c r="AL11" s="76" t="s">
        <v>125</v>
      </c>
      <c r="AM11" s="21" t="s">
        <v>130</v>
      </c>
      <c r="AN11" s="21" t="s">
        <v>130</v>
      </c>
      <c r="AO11" s="21" t="s">
        <v>129</v>
      </c>
      <c r="AP11" s="11" t="s">
        <v>620</v>
      </c>
      <c r="AQ11" s="235" t="s">
        <v>125</v>
      </c>
      <c r="AR11" s="191" t="s">
        <v>130</v>
      </c>
      <c r="AS11" s="191" t="s">
        <v>138</v>
      </c>
      <c r="AT11" s="191" t="s">
        <v>129</v>
      </c>
      <c r="AU11" s="191" t="s">
        <v>620</v>
      </c>
      <c r="AV11" s="235" t="s">
        <v>125</v>
      </c>
      <c r="AW11" s="191" t="s">
        <v>131</v>
      </c>
      <c r="AX11" s="191" t="s">
        <v>138</v>
      </c>
      <c r="AY11" s="191" t="s">
        <v>129</v>
      </c>
      <c r="AZ11" s="11" t="s">
        <v>620</v>
      </c>
      <c r="BA11" s="76" t="s">
        <v>125</v>
      </c>
      <c r="BB11" s="11" t="s">
        <v>303</v>
      </c>
      <c r="BC11" s="338">
        <f>'[1]Production Factor'!F21</f>
        <v>0.02099</v>
      </c>
      <c r="BD11" s="70">
        <v>0.35</v>
      </c>
      <c r="BE11" s="494" t="s">
        <v>620</v>
      </c>
      <c r="BF11" s="494" t="s">
        <v>125</v>
      </c>
      <c r="BG11" s="492" t="s">
        <v>130</v>
      </c>
      <c r="BH11" s="492" t="s">
        <v>138</v>
      </c>
      <c r="BI11" s="492" t="s">
        <v>129</v>
      </c>
    </row>
    <row r="12" spans="1:61" ht="12.75">
      <c r="A12" s="13"/>
      <c r="B12" s="90"/>
      <c r="C12" s="90"/>
      <c r="D12" s="90"/>
      <c r="E12" s="90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8"/>
      <c r="Q12" s="111"/>
      <c r="R12" s="91"/>
      <c r="S12" s="38"/>
      <c r="T12" s="38"/>
      <c r="U12" s="90"/>
      <c r="V12" s="90"/>
      <c r="W12" s="90"/>
      <c r="X12" s="90"/>
      <c r="Y12" s="90"/>
      <c r="Z12" s="8"/>
      <c r="AA12" s="54"/>
      <c r="AB12" s="55"/>
      <c r="AC12" s="55"/>
      <c r="AD12" s="55"/>
      <c r="AK12" s="476"/>
      <c r="AL12" s="476"/>
      <c r="AM12" s="476"/>
      <c r="AN12" s="476"/>
      <c r="AO12" s="476"/>
      <c r="AP12" s="8"/>
      <c r="AQ12" s="188"/>
      <c r="AR12" s="188"/>
      <c r="AS12" s="188"/>
      <c r="AT12" s="188"/>
      <c r="AU12" s="230"/>
      <c r="AV12" s="230"/>
      <c r="AW12" s="230"/>
      <c r="AX12" s="230"/>
      <c r="AY12" s="230"/>
      <c r="BC12" s="122"/>
      <c r="BE12" s="104"/>
      <c r="BF12" s="104"/>
      <c r="BG12" s="104"/>
      <c r="BH12" s="104"/>
      <c r="BI12" s="104"/>
    </row>
    <row r="13" spans="1:91" s="7" customFormat="1" ht="13.5">
      <c r="A13" s="8">
        <v>1</v>
      </c>
      <c r="B13" s="7" t="s">
        <v>25</v>
      </c>
      <c r="C13" s="133">
        <f>'JHS-19'!C19</f>
        <v>201262557</v>
      </c>
      <c r="D13" s="283">
        <f>-'JHS-20.01(A)'!N33</f>
        <v>40163723.356444776</v>
      </c>
      <c r="E13" s="283">
        <f>D13-C13</f>
        <v>-161098833.64355522</v>
      </c>
      <c r="F13" s="313">
        <v>1</v>
      </c>
      <c r="G13" s="236" t="s">
        <v>500</v>
      </c>
      <c r="H13" s="314"/>
      <c r="I13" s="314"/>
      <c r="J13" s="314"/>
      <c r="K13" s="313">
        <v>1</v>
      </c>
      <c r="L13" s="458" t="s">
        <v>213</v>
      </c>
      <c r="M13" s="314"/>
      <c r="N13" s="314"/>
      <c r="O13" s="314"/>
      <c r="P13" s="8">
        <f aca="true" t="shared" si="0" ref="P13:P21">P12+1</f>
        <v>1</v>
      </c>
      <c r="Q13" s="78" t="s">
        <v>542</v>
      </c>
      <c r="R13" s="54"/>
      <c r="S13" s="522">
        <v>4808532326.142858</v>
      </c>
      <c r="T13" s="54"/>
      <c r="U13" s="8">
        <v>1</v>
      </c>
      <c r="W13" s="242"/>
      <c r="X13" s="242"/>
      <c r="Y13" s="242"/>
      <c r="Z13" s="8">
        <v>1</v>
      </c>
      <c r="AA13" s="56" t="s">
        <v>546</v>
      </c>
      <c r="AB13" s="57">
        <f>'JHS-19'!C43</f>
        <v>166953096.899999</v>
      </c>
      <c r="AC13" s="57">
        <v>0</v>
      </c>
      <c r="AD13" s="57">
        <f>AC13-AB13</f>
        <v>-166953096.899999</v>
      </c>
      <c r="AE13" s="8">
        <v>1</v>
      </c>
      <c r="AF13" s="35" t="s">
        <v>2</v>
      </c>
      <c r="AG13" s="35"/>
      <c r="AH13" s="35" t="s">
        <v>298</v>
      </c>
      <c r="AI13" s="35" t="s">
        <v>299</v>
      </c>
      <c r="AJ13" s="35" t="s">
        <v>300</v>
      </c>
      <c r="AK13" s="137">
        <v>1</v>
      </c>
      <c r="AL13" s="477" t="s">
        <v>46</v>
      </c>
      <c r="AM13" s="476"/>
      <c r="AN13" s="476"/>
      <c r="AO13" s="476"/>
      <c r="AP13" s="313">
        <v>1</v>
      </c>
      <c r="AQ13" s="462" t="s">
        <v>389</v>
      </c>
      <c r="AU13" s="8">
        <v>1</v>
      </c>
      <c r="AV13" s="305" t="s">
        <v>271</v>
      </c>
      <c r="AW13" s="306"/>
      <c r="AX13" s="306"/>
      <c r="AY13" s="306"/>
      <c r="AZ13" s="8">
        <v>1</v>
      </c>
      <c r="BA13" s="126" t="s">
        <v>305</v>
      </c>
      <c r="BC13" s="122"/>
      <c r="BD13" s="172"/>
      <c r="BE13" s="104">
        <v>1</v>
      </c>
      <c r="BF13" s="104" t="s">
        <v>217</v>
      </c>
      <c r="BG13" s="104"/>
      <c r="BH13" s="104"/>
      <c r="BI13" s="104"/>
      <c r="BJ13"/>
      <c r="BK13"/>
      <c r="BL13"/>
      <c r="BM13"/>
      <c r="BN13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J13" s="108"/>
      <c r="CK13" s="108"/>
      <c r="CL13" s="108"/>
      <c r="CM13" s="108"/>
    </row>
    <row r="14" spans="1:91" s="7" customFormat="1" ht="13.5">
      <c r="A14" s="8">
        <f aca="true" t="shared" si="1" ref="A14:A40">A13+1</f>
        <v>2</v>
      </c>
      <c r="C14" s="584"/>
      <c r="D14" s="584"/>
      <c r="E14" s="584"/>
      <c r="F14" s="313">
        <f aca="true" t="shared" si="2" ref="F14:F22">F13+1</f>
        <v>2</v>
      </c>
      <c r="G14" s="236" t="s">
        <v>517</v>
      </c>
      <c r="H14" s="448"/>
      <c r="I14" s="449"/>
      <c r="J14" s="448"/>
      <c r="K14" s="313">
        <f aca="true" t="shared" si="3" ref="K14:K33">K13+1</f>
        <v>2</v>
      </c>
      <c r="L14" s="459" t="s">
        <v>334</v>
      </c>
      <c r="M14" s="256"/>
      <c r="N14" s="238">
        <v>99800000</v>
      </c>
      <c r="O14" s="238">
        <f>+N14-M14</f>
        <v>99800000</v>
      </c>
      <c r="P14" s="8">
        <f t="shared" si="0"/>
        <v>2</v>
      </c>
      <c r="Q14" s="9" t="s">
        <v>162</v>
      </c>
      <c r="R14" s="15"/>
      <c r="S14" s="94">
        <v>0.00035</v>
      </c>
      <c r="T14" s="54"/>
      <c r="U14" s="8">
        <f aca="true" t="shared" si="4" ref="U14:U26">U13+1</f>
        <v>2</v>
      </c>
      <c r="V14" s="305" t="s">
        <v>545</v>
      </c>
      <c r="W14" s="341"/>
      <c r="X14" s="341"/>
      <c r="Y14" s="341"/>
      <c r="Z14" s="8">
        <f aca="true" t="shared" si="5" ref="Z14:Z21">Z13+1</f>
        <v>2</v>
      </c>
      <c r="AA14" s="9"/>
      <c r="AB14" s="185"/>
      <c r="AC14" s="584"/>
      <c r="AD14" s="584"/>
      <c r="AE14" s="8">
        <f aca="true" t="shared" si="6" ref="AE14:AE45">AE13+1</f>
        <v>2</v>
      </c>
      <c r="AF14" s="585" t="s">
        <v>1</v>
      </c>
      <c r="AG14" s="75"/>
      <c r="AH14" s="75"/>
      <c r="AI14" s="75"/>
      <c r="AJ14" s="139"/>
      <c r="AK14" s="137">
        <f aca="true" t="shared" si="7" ref="AK14:AK43">AK13+1</f>
        <v>2</v>
      </c>
      <c r="AL14" s="478" t="s">
        <v>199</v>
      </c>
      <c r="AM14" s="479">
        <v>59395254</v>
      </c>
      <c r="AN14" s="479">
        <v>0</v>
      </c>
      <c r="AO14" s="479">
        <f>AN14-AM14</f>
        <v>-59395254</v>
      </c>
      <c r="AP14" s="313">
        <f aca="true" t="shared" si="8" ref="AP14:AP32">AP13+1</f>
        <v>2</v>
      </c>
      <c r="AQ14" s="463" t="s">
        <v>388</v>
      </c>
      <c r="AR14" s="479">
        <v>0</v>
      </c>
      <c r="AS14" s="479">
        <v>141761311.7899999</v>
      </c>
      <c r="AT14" s="479">
        <f>+AS14-AR14</f>
        <v>141761311.7899999</v>
      </c>
      <c r="AU14" s="8">
        <f>AU13+1</f>
        <v>2</v>
      </c>
      <c r="AV14" s="194" t="s">
        <v>432</v>
      </c>
      <c r="AW14" s="269">
        <v>16250380.34333334</v>
      </c>
      <c r="AX14" s="269">
        <v>11214773.00999999</v>
      </c>
      <c r="AY14" s="269">
        <f aca="true" t="shared" si="9" ref="AY14:AY33">+AX14-AW14</f>
        <v>-5035607.333333349</v>
      </c>
      <c r="AZ14" s="8">
        <f aca="true" t="shared" si="10" ref="AZ14:AZ52">AZ13+1</f>
        <v>2</v>
      </c>
      <c r="BA14" s="9" t="s">
        <v>570</v>
      </c>
      <c r="BB14" s="109"/>
      <c r="BC14" s="109"/>
      <c r="BD14" s="109"/>
      <c r="BE14" s="104">
        <f aca="true" t="shared" si="11" ref="BE14:BE28">BE13+1</f>
        <v>2</v>
      </c>
      <c r="BF14" s="104" t="s">
        <v>218</v>
      </c>
      <c r="BG14" s="493">
        <v>0</v>
      </c>
      <c r="BH14" s="586">
        <v>4580590.941704548</v>
      </c>
      <c r="BI14" s="586">
        <f>BH14-BG14</f>
        <v>4580590.941704548</v>
      </c>
      <c r="BJ14"/>
      <c r="BK14"/>
      <c r="BL14"/>
      <c r="BM14"/>
      <c r="BN1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J14" s="108"/>
      <c r="CK14" s="108"/>
      <c r="CL14" s="108"/>
      <c r="CM14" s="108"/>
    </row>
    <row r="15" spans="1:91" s="7" customFormat="1" ht="12.75">
      <c r="A15" s="8">
        <f t="shared" si="1"/>
        <v>3</v>
      </c>
      <c r="B15" s="7" t="s">
        <v>266</v>
      </c>
      <c r="C15" s="99">
        <v>-36748461.42</v>
      </c>
      <c r="D15" s="99">
        <f>-'JHS-20.01(A)'!N34</f>
        <v>0</v>
      </c>
      <c r="E15" s="99">
        <f>D15-C15</f>
        <v>36748461.42</v>
      </c>
      <c r="F15" s="313">
        <f t="shared" si="2"/>
        <v>3</v>
      </c>
      <c r="G15" s="237" t="s">
        <v>268</v>
      </c>
      <c r="H15" s="450">
        <v>42218.9275</v>
      </c>
      <c r="I15" s="451">
        <v>770776844.4070266</v>
      </c>
      <c r="J15" s="451">
        <f>+I15-H15</f>
        <v>770734625.4795266</v>
      </c>
      <c r="K15" s="313">
        <f t="shared" si="3"/>
        <v>3</v>
      </c>
      <c r="L15" s="460" t="s">
        <v>193</v>
      </c>
      <c r="M15" s="243"/>
      <c r="N15" s="243">
        <v>-53536.54338495433</v>
      </c>
      <c r="O15" s="243">
        <f>+N15-M15</f>
        <v>-53536.54338495433</v>
      </c>
      <c r="P15" s="8">
        <f t="shared" si="0"/>
        <v>3</v>
      </c>
      <c r="Q15" s="9"/>
      <c r="R15" s="15"/>
      <c r="S15" s="64"/>
      <c r="T15" s="54"/>
      <c r="U15" s="8">
        <f t="shared" si="4"/>
        <v>3</v>
      </c>
      <c r="V15" s="277" t="s">
        <v>268</v>
      </c>
      <c r="W15" s="450">
        <v>4357020</v>
      </c>
      <c r="X15" s="451"/>
      <c r="Y15" s="451">
        <f>+X15-W15</f>
        <v>-4357020</v>
      </c>
      <c r="Z15" s="8">
        <f t="shared" si="5"/>
        <v>3</v>
      </c>
      <c r="AA15" s="43" t="s">
        <v>14</v>
      </c>
      <c r="AB15" s="103">
        <f>SUM(AB13:AB14)</f>
        <v>166953096.899999</v>
      </c>
      <c r="AC15" s="103">
        <f>SUM(AC13:AC14)</f>
        <v>0</v>
      </c>
      <c r="AD15" s="103">
        <f>SUM(AD13:AD14)</f>
        <v>-166953096.899999</v>
      </c>
      <c r="AE15" s="8">
        <f t="shared" si="6"/>
        <v>3</v>
      </c>
      <c r="AF15" s="12" t="s">
        <v>188</v>
      </c>
      <c r="AG15" s="12"/>
      <c r="AH15" s="181">
        <v>122467.67</v>
      </c>
      <c r="AI15" s="181">
        <v>3449455.5100000002</v>
      </c>
      <c r="AJ15" s="49">
        <f aca="true" t="shared" si="12" ref="AJ15:AJ20">SUM(AH15+AI15)</f>
        <v>3571923.18</v>
      </c>
      <c r="AK15" s="137">
        <f t="shared" si="7"/>
        <v>3</v>
      </c>
      <c r="AL15" s="478" t="s">
        <v>622</v>
      </c>
      <c r="AM15" s="137">
        <v>-2899124.75</v>
      </c>
      <c r="AN15" s="137">
        <v>0</v>
      </c>
      <c r="AO15" s="137">
        <f>AN15-AM15</f>
        <v>2899124.75</v>
      </c>
      <c r="AP15" s="313">
        <f t="shared" si="8"/>
        <v>3</v>
      </c>
      <c r="AQ15" s="463" t="s">
        <v>214</v>
      </c>
      <c r="AR15" s="7">
        <v>0</v>
      </c>
      <c r="AS15" s="135">
        <v>-7088065.589499994</v>
      </c>
      <c r="AT15" s="238">
        <f>+AS15-AR15</f>
        <v>-7088065.589499994</v>
      </c>
      <c r="AU15" s="8">
        <f aca="true" t="shared" si="13" ref="AU15:AU63">+AU14+1</f>
        <v>3</v>
      </c>
      <c r="AV15" s="194" t="s">
        <v>71</v>
      </c>
      <c r="AW15" s="269">
        <v>37566967.73625</v>
      </c>
      <c r="AX15" s="307">
        <v>34565277.37337757</v>
      </c>
      <c r="AY15" s="307">
        <f t="shared" si="9"/>
        <v>-3001690.362872429</v>
      </c>
      <c r="AZ15" s="8">
        <f t="shared" si="10"/>
        <v>3</v>
      </c>
      <c r="BA15" s="9" t="s">
        <v>671</v>
      </c>
      <c r="BB15" s="128">
        <f>'JHS-21'!CR14+'JHS-21'!BB14</f>
        <v>79703.05095969615</v>
      </c>
      <c r="BC15" s="128">
        <f>+BB15*-$BC$11</f>
        <v>-1672.9670396440224</v>
      </c>
      <c r="BD15" s="128">
        <f>ROUND(+BC15*-$BD$11,0)</f>
        <v>586</v>
      </c>
      <c r="BE15" s="104">
        <f t="shared" si="11"/>
        <v>3</v>
      </c>
      <c r="BF15" s="104" t="s">
        <v>219</v>
      </c>
      <c r="BG15" s="243">
        <v>0</v>
      </c>
      <c r="BH15" s="464">
        <v>0</v>
      </c>
      <c r="BI15" s="243">
        <f>BH15-BG15</f>
        <v>0</v>
      </c>
      <c r="BJ15"/>
      <c r="BK15"/>
      <c r="BL15"/>
      <c r="BM15"/>
      <c r="BN15"/>
      <c r="BO15" s="127"/>
      <c r="BP15" s="127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J15" s="108"/>
      <c r="CK15" s="108"/>
      <c r="CL15" s="108"/>
      <c r="CM15" s="108"/>
    </row>
    <row r="16" spans="1:91" s="7" customFormat="1" ht="13.5">
      <c r="A16" s="8">
        <f t="shared" si="1"/>
        <v>4</v>
      </c>
      <c r="B16" s="7" t="s">
        <v>267</v>
      </c>
      <c r="C16" s="5">
        <f>-'[1]TransmRev'!C41-C45</f>
        <v>10703022.63</v>
      </c>
      <c r="D16" s="523">
        <f>-'JHS-20.01(A)'!N38</f>
        <v>13723962.537659867</v>
      </c>
      <c r="E16" s="523">
        <f>D16-C16</f>
        <v>3020939.907659866</v>
      </c>
      <c r="F16" s="313">
        <f t="shared" si="2"/>
        <v>4</v>
      </c>
      <c r="G16" s="237" t="s">
        <v>430</v>
      </c>
      <c r="H16" s="452">
        <v>0</v>
      </c>
      <c r="I16" s="453">
        <v>-21987450.310814984</v>
      </c>
      <c r="J16" s="453">
        <f>+I16-H16</f>
        <v>-21987450.310814984</v>
      </c>
      <c r="K16" s="313">
        <f t="shared" si="3"/>
        <v>4</v>
      </c>
      <c r="L16" s="461" t="s">
        <v>194</v>
      </c>
      <c r="M16" s="316">
        <f>SUM(M14:M15)</f>
        <v>0</v>
      </c>
      <c r="N16" s="316">
        <f>SUM(N14:N15)</f>
        <v>99746463.45661505</v>
      </c>
      <c r="O16" s="238">
        <f>+N16-M16</f>
        <v>99746463.45661505</v>
      </c>
      <c r="P16" s="8">
        <f t="shared" si="0"/>
        <v>4</v>
      </c>
      <c r="Q16" s="9" t="s">
        <v>543</v>
      </c>
      <c r="R16" s="15"/>
      <c r="S16" s="64"/>
      <c r="T16" s="522">
        <f>S13*S14</f>
        <v>1682986.3141500002</v>
      </c>
      <c r="U16" s="8">
        <f t="shared" si="4"/>
        <v>4</v>
      </c>
      <c r="V16" s="237" t="s">
        <v>430</v>
      </c>
      <c r="W16" s="452">
        <v>-462883</v>
      </c>
      <c r="X16" s="453"/>
      <c r="Y16" s="453">
        <f>+X16-W16</f>
        <v>462883</v>
      </c>
      <c r="Z16" s="8">
        <f t="shared" si="5"/>
        <v>4</v>
      </c>
      <c r="AA16" s="9"/>
      <c r="AB16" s="58"/>
      <c r="AC16" s="58"/>
      <c r="AD16" s="58"/>
      <c r="AE16" s="8">
        <f t="shared" si="6"/>
        <v>4</v>
      </c>
      <c r="AF16" s="12" t="s">
        <v>189</v>
      </c>
      <c r="AG16" s="12"/>
      <c r="AH16" s="182">
        <v>450747.92</v>
      </c>
      <c r="AI16" s="182">
        <v>10435721.23</v>
      </c>
      <c r="AJ16" s="183">
        <f t="shared" si="12"/>
        <v>10886469.15</v>
      </c>
      <c r="AK16" s="137">
        <f t="shared" si="7"/>
        <v>4</v>
      </c>
      <c r="AL16" s="137"/>
      <c r="AM16" s="587"/>
      <c r="AN16" s="587"/>
      <c r="AO16" s="587"/>
      <c r="AP16" s="313">
        <f t="shared" si="8"/>
        <v>4</v>
      </c>
      <c r="AQ16" s="463" t="s">
        <v>431</v>
      </c>
      <c r="AR16" s="243">
        <v>0</v>
      </c>
      <c r="AS16" s="464">
        <v>-17542944.033175014</v>
      </c>
      <c r="AT16" s="465">
        <f>+AS16-AR16</f>
        <v>-17542944.033175014</v>
      </c>
      <c r="AU16" s="8">
        <f t="shared" si="13"/>
        <v>4</v>
      </c>
      <c r="AV16" s="194" t="s">
        <v>270</v>
      </c>
      <c r="AW16" s="269">
        <v>24579163.585833333</v>
      </c>
      <c r="AX16" s="307">
        <v>24941806.74</v>
      </c>
      <c r="AY16" s="307">
        <f t="shared" si="9"/>
        <v>362643.1541666649</v>
      </c>
      <c r="AZ16" s="8">
        <f t="shared" si="10"/>
        <v>4</v>
      </c>
      <c r="BA16" s="9" t="s">
        <v>672</v>
      </c>
      <c r="BB16" s="127">
        <f>'JHS-21'!CR15+'JHS-21'!BB15+'JHS-21'!AD17</f>
        <v>243956.35415977897</v>
      </c>
      <c r="BC16" s="127">
        <f>+BB16*-$BC$11</f>
        <v>-5120.643873813761</v>
      </c>
      <c r="BD16" s="127">
        <f>ROUND(+BC16*-$BD$11,0)</f>
        <v>1792</v>
      </c>
      <c r="BE16" s="104">
        <f t="shared" si="11"/>
        <v>4</v>
      </c>
      <c r="BF16" s="104" t="s">
        <v>224</v>
      </c>
      <c r="BG16" s="372">
        <f>BG14+BG15</f>
        <v>0</v>
      </c>
      <c r="BH16" s="524">
        <f>BH14+BH15</f>
        <v>4580590.941704548</v>
      </c>
      <c r="BI16" s="524">
        <f>BI14+BI15</f>
        <v>4580590.941704548</v>
      </c>
      <c r="BJ16"/>
      <c r="BK16"/>
      <c r="BL16"/>
      <c r="BM16"/>
      <c r="BN16"/>
      <c r="BO16" s="127"/>
      <c r="BP16" s="127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J16" s="108"/>
      <c r="CK16" s="108"/>
      <c r="CL16" s="108"/>
      <c r="CM16" s="108"/>
    </row>
    <row r="17" spans="1:68" ht="14.25" thickBot="1">
      <c r="A17" s="8">
        <f t="shared" si="1"/>
        <v>5</v>
      </c>
      <c r="C17" s="99">
        <f>SUM(C15:C16)</f>
        <v>-26045438.79</v>
      </c>
      <c r="D17" s="521">
        <f>SUM(D15:D16)</f>
        <v>13723962.537659867</v>
      </c>
      <c r="E17" s="521">
        <f>SUM(E15:E16)</f>
        <v>39769401.32765987</v>
      </c>
      <c r="F17" s="313">
        <f t="shared" si="2"/>
        <v>5</v>
      </c>
      <c r="G17" s="237" t="s">
        <v>646</v>
      </c>
      <c r="H17" s="453">
        <v>0</v>
      </c>
      <c r="I17" s="453">
        <v>-78763004.44521308</v>
      </c>
      <c r="J17" s="453">
        <f>+I17-H17</f>
        <v>-78763004.44521308</v>
      </c>
      <c r="K17" s="313">
        <f t="shared" si="3"/>
        <v>5</v>
      </c>
      <c r="M17" s="588"/>
      <c r="N17" s="588"/>
      <c r="O17" s="588"/>
      <c r="P17" s="8">
        <f t="shared" si="0"/>
        <v>5</v>
      </c>
      <c r="Q17" s="9" t="s">
        <v>8</v>
      </c>
      <c r="R17" s="15"/>
      <c r="S17" s="95"/>
      <c r="T17" s="96">
        <v>1542094.23</v>
      </c>
      <c r="U17" s="8">
        <f t="shared" si="4"/>
        <v>5</v>
      </c>
      <c r="V17" s="237" t="s">
        <v>646</v>
      </c>
      <c r="W17" s="453">
        <v>-523501</v>
      </c>
      <c r="X17" s="453"/>
      <c r="Y17" s="453">
        <f>+X17-W17</f>
        <v>523501</v>
      </c>
      <c r="Z17" s="8">
        <f t="shared" si="5"/>
        <v>5</v>
      </c>
      <c r="AA17" s="9" t="s">
        <v>5</v>
      </c>
      <c r="AB17" s="58"/>
      <c r="AC17" s="58"/>
      <c r="AD17" s="36">
        <f>-AD15</f>
        <v>166953096.899999</v>
      </c>
      <c r="AE17" s="8">
        <f t="shared" si="6"/>
        <v>5</v>
      </c>
      <c r="AF17" s="12" t="s">
        <v>190</v>
      </c>
      <c r="AG17" s="12"/>
      <c r="AH17" s="182">
        <v>376352.92</v>
      </c>
      <c r="AI17" s="182">
        <v>8672798.45</v>
      </c>
      <c r="AJ17" s="183">
        <f t="shared" si="12"/>
        <v>9049151.37</v>
      </c>
      <c r="AK17" s="137">
        <f t="shared" si="7"/>
        <v>5</v>
      </c>
      <c r="AL17" s="137" t="s">
        <v>200</v>
      </c>
      <c r="AM17" s="480">
        <f>SUM(AM14:AM16)</f>
        <v>56496129.25</v>
      </c>
      <c r="AN17" s="480">
        <v>0</v>
      </c>
      <c r="AO17" s="480">
        <f>AN17-AM17</f>
        <v>-56496129.25</v>
      </c>
      <c r="AP17" s="313">
        <f t="shared" si="8"/>
        <v>5</v>
      </c>
      <c r="AQ17" s="459"/>
      <c r="AR17" s="242"/>
      <c r="AS17" s="317"/>
      <c r="AT17" s="238"/>
      <c r="AU17" s="8">
        <f t="shared" si="13"/>
        <v>5</v>
      </c>
      <c r="AV17" s="194" t="s">
        <v>560</v>
      </c>
      <c r="AW17" s="269">
        <v>-25951720.432499994</v>
      </c>
      <c r="AX17" s="307">
        <v>-29911730</v>
      </c>
      <c r="AY17" s="307">
        <f t="shared" si="9"/>
        <v>-3960009.5675000064</v>
      </c>
      <c r="AZ17" s="8">
        <f t="shared" si="10"/>
        <v>5</v>
      </c>
      <c r="BA17" s="7" t="s">
        <v>571</v>
      </c>
      <c r="BB17" s="149">
        <f>SUM(BB14:BB16)</f>
        <v>323659.4051194751</v>
      </c>
      <c r="BC17" s="149">
        <f>SUM(BC14:BC16)</f>
        <v>-6793.610913457784</v>
      </c>
      <c r="BD17" s="149">
        <f>SUM(BD14:BD16)</f>
        <v>2378</v>
      </c>
      <c r="BE17" s="104">
        <f t="shared" si="11"/>
        <v>5</v>
      </c>
      <c r="BF17" s="104"/>
      <c r="BG17" s="372"/>
      <c r="BH17" s="372"/>
      <c r="BI17" s="372"/>
      <c r="BP17" s="128"/>
    </row>
    <row r="18" spans="1:68" ht="15" thickBot="1" thickTop="1">
      <c r="A18" s="8">
        <f t="shared" si="1"/>
        <v>6</v>
      </c>
      <c r="C18" s="584"/>
      <c r="D18" s="584"/>
      <c r="E18" s="584"/>
      <c r="F18" s="313">
        <f t="shared" si="2"/>
        <v>6</v>
      </c>
      <c r="G18" s="237"/>
      <c r="H18" s="453"/>
      <c r="I18" s="453" t="s">
        <v>485</v>
      </c>
      <c r="J18" s="453" t="s">
        <v>485</v>
      </c>
      <c r="K18" s="313">
        <f t="shared" si="3"/>
        <v>6</v>
      </c>
      <c r="L18" s="462" t="s">
        <v>541</v>
      </c>
      <c r="P18" s="8">
        <f t="shared" si="0"/>
        <v>6</v>
      </c>
      <c r="Q18" s="9" t="s">
        <v>30</v>
      </c>
      <c r="R18" s="73"/>
      <c r="S18" s="64"/>
      <c r="T18" s="538">
        <f>T16-T17</f>
        <v>140892.08415000024</v>
      </c>
      <c r="U18" s="8">
        <f t="shared" si="4"/>
        <v>6</v>
      </c>
      <c r="V18" s="197" t="s">
        <v>544</v>
      </c>
      <c r="W18" s="589">
        <f>SUM(W15:W17)</f>
        <v>3370636</v>
      </c>
      <c r="X18" s="589">
        <f>SUM(X15:X17)</f>
        <v>0</v>
      </c>
      <c r="Y18" s="589">
        <f>SUM(Y15:Y17)</f>
        <v>-3370636</v>
      </c>
      <c r="Z18" s="8">
        <f t="shared" si="5"/>
        <v>6</v>
      </c>
      <c r="AA18" s="9"/>
      <c r="AB18" s="58"/>
      <c r="AC18" s="44"/>
      <c r="AE18" s="8">
        <f t="shared" si="6"/>
        <v>6</v>
      </c>
      <c r="AF18" s="12" t="s">
        <v>627</v>
      </c>
      <c r="AG18" s="12"/>
      <c r="AH18" s="182">
        <v>77335.22</v>
      </c>
      <c r="AI18" s="182">
        <v>9881617.66</v>
      </c>
      <c r="AJ18" s="183">
        <f t="shared" si="12"/>
        <v>9958952.88</v>
      </c>
      <c r="AK18" s="137">
        <f t="shared" si="7"/>
        <v>6</v>
      </c>
      <c r="AL18" s="137"/>
      <c r="AM18" s="137"/>
      <c r="AN18" s="137"/>
      <c r="AO18" s="137"/>
      <c r="AP18" s="313">
        <f t="shared" si="8"/>
        <v>6</v>
      </c>
      <c r="AQ18" s="466" t="s">
        <v>390</v>
      </c>
      <c r="AR18" s="316">
        <f>SUM(AR14:AR16)</f>
        <v>0</v>
      </c>
      <c r="AS18" s="316">
        <f>SUM(AS14:AS16)</f>
        <v>117130302.1673249</v>
      </c>
      <c r="AT18" s="316">
        <f>SUM(AT14:AT16)</f>
        <v>117130302.1673249</v>
      </c>
      <c r="AU18" s="8">
        <f t="shared" si="13"/>
        <v>6</v>
      </c>
      <c r="AV18" s="194" t="s">
        <v>237</v>
      </c>
      <c r="AW18" s="269">
        <v>-11889662.083333334</v>
      </c>
      <c r="AX18" s="269">
        <v>-10331527.550000008</v>
      </c>
      <c r="AY18" s="307">
        <f t="shared" si="9"/>
        <v>1558134.5333333258</v>
      </c>
      <c r="AZ18" s="8">
        <f t="shared" si="10"/>
        <v>6</v>
      </c>
      <c r="BB18" s="149"/>
      <c r="BC18" s="149"/>
      <c r="BD18" s="149"/>
      <c r="BE18" s="104">
        <f t="shared" si="11"/>
        <v>6</v>
      </c>
      <c r="BF18" s="104" t="s">
        <v>220</v>
      </c>
      <c r="BG18" s="372"/>
      <c r="BH18" s="372"/>
      <c r="BI18" s="524">
        <f>BI16</f>
        <v>4580590.941704548</v>
      </c>
      <c r="BP18" s="128"/>
    </row>
    <row r="19" spans="1:68" ht="15" thickBot="1" thickTop="1">
      <c r="A19" s="8">
        <f t="shared" si="1"/>
        <v>7</v>
      </c>
      <c r="B19" s="9" t="s">
        <v>527</v>
      </c>
      <c r="C19" s="127">
        <f>SUM(C13:C16)</f>
        <v>175217118.20999998</v>
      </c>
      <c r="D19" s="517">
        <f>SUM(D13:D16)</f>
        <v>53887685.894104645</v>
      </c>
      <c r="E19" s="517">
        <f>SUM(E13:E16)</f>
        <v>-121329432.31589535</v>
      </c>
      <c r="F19" s="313">
        <f t="shared" si="2"/>
        <v>7</v>
      </c>
      <c r="G19" s="197" t="s">
        <v>501</v>
      </c>
      <c r="H19" s="589">
        <f>SUM(H15:H18)</f>
        <v>42218.9275</v>
      </c>
      <c r="I19" s="589">
        <f>SUM(I15:I18)</f>
        <v>670026389.6509986</v>
      </c>
      <c r="J19" s="589">
        <f>SUM(J15:J18)</f>
        <v>669984170.7234986</v>
      </c>
      <c r="K19" s="313">
        <f t="shared" si="3"/>
        <v>7</v>
      </c>
      <c r="L19" s="463" t="s">
        <v>195</v>
      </c>
      <c r="N19" s="108">
        <v>17425225.847105045</v>
      </c>
      <c r="O19" s="238">
        <f>+N19-M19</f>
        <v>17425225.847105045</v>
      </c>
      <c r="P19" s="8">
        <f t="shared" si="0"/>
        <v>7</v>
      </c>
      <c r="R19" s="54"/>
      <c r="S19" s="54" t="s">
        <v>485</v>
      </c>
      <c r="T19" s="54" t="s">
        <v>485</v>
      </c>
      <c r="U19" s="8">
        <f t="shared" si="4"/>
        <v>7</v>
      </c>
      <c r="V19" s="315"/>
      <c r="W19" s="316"/>
      <c r="X19" s="316"/>
      <c r="Y19" s="316"/>
      <c r="Z19" s="8">
        <f t="shared" si="5"/>
        <v>7</v>
      </c>
      <c r="AA19" s="9" t="s">
        <v>283</v>
      </c>
      <c r="AB19" s="153">
        <v>0.35</v>
      </c>
      <c r="AC19" s="590"/>
      <c r="AD19" s="127">
        <f>AD17*AB19</f>
        <v>58433583.91499964</v>
      </c>
      <c r="AE19" s="8">
        <f t="shared" si="6"/>
        <v>7</v>
      </c>
      <c r="AF19" s="12" t="s">
        <v>242</v>
      </c>
      <c r="AG19" s="12"/>
      <c r="AH19" s="182">
        <v>41126.25</v>
      </c>
      <c r="AI19" s="182">
        <v>4617466.24</v>
      </c>
      <c r="AJ19" s="183">
        <f t="shared" si="12"/>
        <v>4658592.49</v>
      </c>
      <c r="AK19" s="137">
        <f t="shared" si="7"/>
        <v>7</v>
      </c>
      <c r="AL19" s="481" t="s">
        <v>204</v>
      </c>
      <c r="AM19" s="362"/>
      <c r="AN19" s="362"/>
      <c r="AO19" s="362"/>
      <c r="AP19" s="313">
        <f t="shared" si="8"/>
        <v>7</v>
      </c>
      <c r="AQ19" s="463"/>
      <c r="AR19" s="588"/>
      <c r="AS19" s="591"/>
      <c r="AT19" s="592"/>
      <c r="AU19" s="8">
        <f t="shared" si="13"/>
        <v>7</v>
      </c>
      <c r="AV19" s="194" t="s">
        <v>307</v>
      </c>
      <c r="AW19" s="269">
        <v>1394050.1595833332</v>
      </c>
      <c r="AX19" s="269">
        <v>0</v>
      </c>
      <c r="AY19" s="269">
        <f t="shared" si="9"/>
        <v>-1394050.1595833332</v>
      </c>
      <c r="AZ19" s="8">
        <f t="shared" si="10"/>
        <v>7</v>
      </c>
      <c r="BA19" s="7" t="s">
        <v>634</v>
      </c>
      <c r="BB19" s="147"/>
      <c r="BC19" s="147"/>
      <c r="BD19" s="147"/>
      <c r="BE19" s="104">
        <f t="shared" si="11"/>
        <v>7</v>
      </c>
      <c r="BF19" s="104"/>
      <c r="BG19" s="372"/>
      <c r="BH19" s="372"/>
      <c r="BI19" s="372"/>
      <c r="BP19" s="128"/>
    </row>
    <row r="20" spans="1:68" ht="14.25" thickTop="1">
      <c r="A20" s="8">
        <f t="shared" si="1"/>
        <v>8</v>
      </c>
      <c r="C20" s="588"/>
      <c r="D20" s="588"/>
      <c r="E20" s="588"/>
      <c r="F20" s="313">
        <f t="shared" si="2"/>
        <v>8</v>
      </c>
      <c r="G20" s="315"/>
      <c r="H20" s="316"/>
      <c r="I20" s="316"/>
      <c r="J20" s="316"/>
      <c r="K20" s="313">
        <f t="shared" si="3"/>
        <v>8</v>
      </c>
      <c r="L20" s="459" t="s">
        <v>197</v>
      </c>
      <c r="N20" s="135">
        <v>-348872.3695062034</v>
      </c>
      <c r="O20" s="238">
        <f>+N20-M20</f>
        <v>-348872.3695062034</v>
      </c>
      <c r="P20" s="8">
        <f t="shared" si="0"/>
        <v>8</v>
      </c>
      <c r="Q20" s="9" t="s">
        <v>27</v>
      </c>
      <c r="R20" s="153">
        <v>0.35</v>
      </c>
      <c r="S20" s="590"/>
      <c r="T20" s="517">
        <f>-T18*R20</f>
        <v>-49312.22945250008</v>
      </c>
      <c r="U20" s="8">
        <f t="shared" si="4"/>
        <v>8</v>
      </c>
      <c r="V20" s="236" t="s">
        <v>0</v>
      </c>
      <c r="W20" s="314"/>
      <c r="X20" s="314"/>
      <c r="Y20" s="314"/>
      <c r="Z20" s="8">
        <f t="shared" si="5"/>
        <v>8</v>
      </c>
      <c r="AE20" s="8">
        <f t="shared" si="6"/>
        <v>8</v>
      </c>
      <c r="AF20" s="12" t="s">
        <v>243</v>
      </c>
      <c r="AG20" s="12"/>
      <c r="AH20" s="136">
        <v>152546.21</v>
      </c>
      <c r="AI20" s="136">
        <v>9338772.910000002</v>
      </c>
      <c r="AJ20" s="183">
        <f t="shared" si="12"/>
        <v>9491319.120000003</v>
      </c>
      <c r="AK20" s="137">
        <f t="shared" si="7"/>
        <v>8</v>
      </c>
      <c r="AL20" s="482" t="s">
        <v>201</v>
      </c>
      <c r="AM20" s="269"/>
      <c r="AN20" s="269"/>
      <c r="AO20" s="269">
        <f>+AN20-AM20</f>
        <v>0</v>
      </c>
      <c r="AP20" s="313">
        <f t="shared" si="8"/>
        <v>8</v>
      </c>
      <c r="AQ20" s="458" t="s">
        <v>392</v>
      </c>
      <c r="AR20" s="314"/>
      <c r="AS20" s="314"/>
      <c r="AT20" s="314"/>
      <c r="AU20" s="8">
        <f t="shared" si="13"/>
        <v>8</v>
      </c>
      <c r="AV20" s="194" t="s">
        <v>628</v>
      </c>
      <c r="AW20" s="269">
        <v>3605729.3916666666</v>
      </c>
      <c r="AX20" s="269">
        <v>0</v>
      </c>
      <c r="AY20" s="269">
        <f t="shared" si="9"/>
        <v>-3605729.3916666666</v>
      </c>
      <c r="AZ20" s="8">
        <f t="shared" si="10"/>
        <v>8</v>
      </c>
      <c r="BA20" s="9" t="s">
        <v>168</v>
      </c>
      <c r="BB20" s="147">
        <f>+'[1]Production Adjustment'!F22</f>
        <v>5009923.669879722</v>
      </c>
      <c r="BC20" s="147">
        <f>+BB20*-$BC$11</f>
        <v>-105158.29783077538</v>
      </c>
      <c r="BD20" s="147">
        <f>ROUND(+BC20*-$BD$11,0)</f>
        <v>36805</v>
      </c>
      <c r="BE20" s="104">
        <f t="shared" si="11"/>
        <v>8</v>
      </c>
      <c r="BF20" s="104" t="s">
        <v>221</v>
      </c>
      <c r="BG20" s="372"/>
      <c r="BH20" s="372"/>
      <c r="BI20" s="548">
        <f>-BI18*0.35</f>
        <v>-1603206.8295965916</v>
      </c>
      <c r="BP20" s="128"/>
    </row>
    <row r="21" spans="1:61" ht="14.25" thickBot="1">
      <c r="A21" s="8">
        <f t="shared" si="1"/>
        <v>9</v>
      </c>
      <c r="B21" s="12" t="s">
        <v>159</v>
      </c>
      <c r="C21" s="564">
        <f>'JHS-19'!C26-AW43-AW44-AW47</f>
        <v>269007822.1246386</v>
      </c>
      <c r="D21" s="565">
        <f>'JHS-20.01(A)'!N20</f>
        <v>268428833.16803157</v>
      </c>
      <c r="E21" s="565">
        <f>D21-C21</f>
        <v>-578988.9566070437</v>
      </c>
      <c r="F21" s="313">
        <f t="shared" si="2"/>
        <v>9</v>
      </c>
      <c r="G21" s="236" t="s">
        <v>502</v>
      </c>
      <c r="H21" s="448"/>
      <c r="I21" s="448"/>
      <c r="J21" s="448"/>
      <c r="K21" s="313">
        <f t="shared" si="3"/>
        <v>9</v>
      </c>
      <c r="L21" s="459" t="s">
        <v>198</v>
      </c>
      <c r="M21" s="243"/>
      <c r="N21" s="464">
        <v>-5976723.717159594</v>
      </c>
      <c r="O21" s="465">
        <f>+N21-M21</f>
        <v>-5976723.717159594</v>
      </c>
      <c r="P21" s="8">
        <f t="shared" si="0"/>
        <v>9</v>
      </c>
      <c r="Q21" s="9" t="s">
        <v>171</v>
      </c>
      <c r="R21" s="151"/>
      <c r="S21" s="131"/>
      <c r="T21" s="593">
        <f>-T18-T20</f>
        <v>-91579.85469750015</v>
      </c>
      <c r="U21" s="8">
        <f t="shared" si="4"/>
        <v>9</v>
      </c>
      <c r="V21" s="247" t="s">
        <v>269</v>
      </c>
      <c r="W21" s="450">
        <v>275496.66</v>
      </c>
      <c r="X21" s="451"/>
      <c r="Y21" s="451">
        <f>+X21-W21</f>
        <v>-275496.66</v>
      </c>
      <c r="Z21" s="8">
        <f t="shared" si="5"/>
        <v>9</v>
      </c>
      <c r="AA21" s="9" t="s">
        <v>171</v>
      </c>
      <c r="AB21" s="151"/>
      <c r="AC21" s="131"/>
      <c r="AD21" s="594">
        <f>+AD17-AD19</f>
        <v>108519512.98499936</v>
      </c>
      <c r="AE21" s="8">
        <f t="shared" si="6"/>
        <v>9</v>
      </c>
      <c r="AF21" s="59" t="s">
        <v>4</v>
      </c>
      <c r="AG21" s="59"/>
      <c r="AH21" s="2">
        <f>SUM(AH15:AH20)</f>
        <v>1220576.19</v>
      </c>
      <c r="AI21" s="2">
        <f>SUM(AI15:AI20)</f>
        <v>46395832</v>
      </c>
      <c r="AJ21" s="595">
        <f>SUM(AJ15:AJ20)</f>
        <v>47616408.190000005</v>
      </c>
      <c r="AK21" s="137">
        <f t="shared" si="7"/>
        <v>9</v>
      </c>
      <c r="AL21" s="483" t="str">
        <f>"TAXABLE - SEE LINE "&amp;AK30&amp;" FOR TAX (LINE "&amp;AK30&amp;" ÷ 35%)"</f>
        <v>TAXABLE - SEE LINE 18 FOR TAX (LINE 18 ÷ 35%)</v>
      </c>
      <c r="AM21" s="269">
        <f>AO30/0.35</f>
        <v>14334285.714285715</v>
      </c>
      <c r="AN21" s="269">
        <v>0</v>
      </c>
      <c r="AO21" s="269">
        <f>AN21-AM21</f>
        <v>-14334285.714285715</v>
      </c>
      <c r="AP21" s="313">
        <f t="shared" si="8"/>
        <v>9</v>
      </c>
      <c r="AQ21" s="463" t="s">
        <v>391</v>
      </c>
      <c r="AR21" s="256">
        <v>0</v>
      </c>
      <c r="AS21" s="238">
        <v>18500000</v>
      </c>
      <c r="AT21" s="238">
        <f>+AS21-AR21</f>
        <v>18500000</v>
      </c>
      <c r="AU21" s="8">
        <f t="shared" si="13"/>
        <v>9</v>
      </c>
      <c r="AV21" s="194" t="s">
        <v>69</v>
      </c>
      <c r="AW21" s="269">
        <v>-326871.4633333333</v>
      </c>
      <c r="AX21" s="269">
        <v>0</v>
      </c>
      <c r="AY21" s="269">
        <f t="shared" si="9"/>
        <v>326871.4633333333</v>
      </c>
      <c r="AZ21" s="8">
        <f t="shared" si="10"/>
        <v>9</v>
      </c>
      <c r="BA21" s="9" t="s">
        <v>179</v>
      </c>
      <c r="BB21" s="143">
        <f>'[1]Production Plant Premiums'!C19</f>
        <v>2835322</v>
      </c>
      <c r="BC21" s="143">
        <f>+BB21*-$BC$11</f>
        <v>-59513.408780000005</v>
      </c>
      <c r="BD21" s="143">
        <f>ROUND(+BC21*-$BD$11,0)</f>
        <v>20830</v>
      </c>
      <c r="BE21" s="104">
        <f t="shared" si="11"/>
        <v>9</v>
      </c>
      <c r="BF21" s="104"/>
      <c r="BG21" s="372"/>
      <c r="BH21" s="372"/>
      <c r="BI21" s="372"/>
    </row>
    <row r="22" spans="1:91" ht="15" thickBot="1" thickTop="1">
      <c r="A22" s="8">
        <f t="shared" si="1"/>
        <v>10</v>
      </c>
      <c r="B22" s="12"/>
      <c r="C22" s="596"/>
      <c r="D22" s="596"/>
      <c r="E22" s="596"/>
      <c r="F22" s="313">
        <f t="shared" si="2"/>
        <v>10</v>
      </c>
      <c r="G22" s="247" t="s">
        <v>368</v>
      </c>
      <c r="H22" s="450">
        <v>0</v>
      </c>
      <c r="I22" s="451">
        <v>27986221.0576046</v>
      </c>
      <c r="J22" s="451">
        <f>+I22-H22</f>
        <v>27986221.0576046</v>
      </c>
      <c r="K22" s="313">
        <f t="shared" si="3"/>
        <v>10</v>
      </c>
      <c r="L22" s="466" t="s">
        <v>196</v>
      </c>
      <c r="M22" s="316">
        <f>SUM(M19:M21)</f>
        <v>0</v>
      </c>
      <c r="N22" s="316">
        <f>SUM(N19:N21)</f>
        <v>11099629.760439247</v>
      </c>
      <c r="O22" s="316">
        <f>SUM(O19:O21)</f>
        <v>11099629.760439247</v>
      </c>
      <c r="P22" s="8"/>
      <c r="R22" s="131"/>
      <c r="S22" s="131"/>
      <c r="U22" s="8">
        <f t="shared" si="4"/>
        <v>10</v>
      </c>
      <c r="V22" s="194"/>
      <c r="W22" s="317"/>
      <c r="X22" s="317"/>
      <c r="Y22" s="317"/>
      <c r="Z22" s="8"/>
      <c r="AA22" s="15"/>
      <c r="AB22" s="99"/>
      <c r="AC22" s="99"/>
      <c r="AE22" s="8">
        <f t="shared" si="6"/>
        <v>10</v>
      </c>
      <c r="AH22" s="127"/>
      <c r="AI22" s="127"/>
      <c r="AJ22" s="127"/>
      <c r="AK22" s="137">
        <f t="shared" si="7"/>
        <v>10</v>
      </c>
      <c r="AL22" s="483" t="s">
        <v>202</v>
      </c>
      <c r="AM22" s="269">
        <v>16823714.285714284</v>
      </c>
      <c r="AN22" s="269">
        <v>0</v>
      </c>
      <c r="AO22" s="269">
        <f>AN22-AM22</f>
        <v>-16823714.285714284</v>
      </c>
      <c r="AP22" s="313">
        <f t="shared" si="8"/>
        <v>10</v>
      </c>
      <c r="AQ22" s="463" t="s">
        <v>214</v>
      </c>
      <c r="AR22" s="243">
        <v>0</v>
      </c>
      <c r="AS22" s="243">
        <v>0</v>
      </c>
      <c r="AT22" s="243">
        <f>+AS22-AR22</f>
        <v>0</v>
      </c>
      <c r="AU22" s="8">
        <f t="shared" si="13"/>
        <v>10</v>
      </c>
      <c r="AV22" s="194" t="s">
        <v>235</v>
      </c>
      <c r="AW22" s="269">
        <v>-2135222.4941666666</v>
      </c>
      <c r="AX22" s="269">
        <v>-1529461.682666667</v>
      </c>
      <c r="AY22" s="269">
        <f t="shared" si="9"/>
        <v>605760.8114999996</v>
      </c>
      <c r="AZ22" s="8">
        <f t="shared" si="10"/>
        <v>10</v>
      </c>
      <c r="BA22" s="9" t="s">
        <v>304</v>
      </c>
      <c r="BB22" s="149">
        <f>SUM(BB20:BB21)</f>
        <v>7845245.669879722</v>
      </c>
      <c r="BC22" s="149">
        <f>SUM(BC20:BC21)</f>
        <v>-164671.70661077538</v>
      </c>
      <c r="BD22" s="149">
        <f>SUM(BD20:BD21)</f>
        <v>57635</v>
      </c>
      <c r="BE22" s="104">
        <f t="shared" si="11"/>
        <v>10</v>
      </c>
      <c r="BF22" s="104" t="s">
        <v>222</v>
      </c>
      <c r="BG22" s="372"/>
      <c r="BH22" s="372"/>
      <c r="BI22" s="529">
        <f>-BI20-BI18</f>
        <v>-2977384.1121079563</v>
      </c>
      <c r="CI22" s="194"/>
      <c r="CJ22" s="9"/>
      <c r="CK22" s="58"/>
      <c r="CL22" s="58"/>
      <c r="CM22" s="58"/>
    </row>
    <row r="23" spans="1:91" ht="14.25" thickTop="1">
      <c r="A23" s="8">
        <f t="shared" si="1"/>
        <v>11</v>
      </c>
      <c r="B23" s="12" t="s">
        <v>452</v>
      </c>
      <c r="C23" s="99">
        <f>'JHS-19'!C27-$AW$38-$AR$28-AM21-AM22-AM25-$AW$42</f>
        <v>792862060.0733334</v>
      </c>
      <c r="D23" s="518">
        <f>'JHS-20.01(A)'!N22+'JHS-20.01(A)'!N24</f>
        <v>462397894.3428844</v>
      </c>
      <c r="E23" s="519">
        <f>D23-C23</f>
        <v>-330464165.73044896</v>
      </c>
      <c r="F23" s="313">
        <f aca="true" t="shared" si="14" ref="F23:F32">F22+1</f>
        <v>11</v>
      </c>
      <c r="G23" s="247" t="s">
        <v>369</v>
      </c>
      <c r="H23" s="452"/>
      <c r="I23" s="453">
        <v>4836017.480327399</v>
      </c>
      <c r="J23" s="453">
        <f>+I23-H23</f>
        <v>4836017.480327399</v>
      </c>
      <c r="K23" s="313">
        <f t="shared" si="3"/>
        <v>11</v>
      </c>
      <c r="L23" s="466"/>
      <c r="M23" s="258"/>
      <c r="N23" s="597"/>
      <c r="O23" s="592"/>
      <c r="P23" s="194"/>
      <c r="T23" s="172"/>
      <c r="U23" s="8">
        <f t="shared" si="4"/>
        <v>11</v>
      </c>
      <c r="V23" s="318" t="s">
        <v>510</v>
      </c>
      <c r="W23" s="317"/>
      <c r="X23" s="317"/>
      <c r="Y23" s="317">
        <f>Y21</f>
        <v>-275496.66</v>
      </c>
      <c r="Z23" s="194"/>
      <c r="AA23" s="15"/>
      <c r="AB23" s="99"/>
      <c r="AC23" s="99"/>
      <c r="AD23" s="99"/>
      <c r="AE23" s="8">
        <f t="shared" si="6"/>
        <v>11</v>
      </c>
      <c r="AF23" s="7" t="s">
        <v>12</v>
      </c>
      <c r="AH23" s="145">
        <f>AH21/6</f>
        <v>203429.365</v>
      </c>
      <c r="AI23" s="145">
        <f>AI21/6</f>
        <v>7732638.666666667</v>
      </c>
      <c r="AJ23" s="147">
        <f>+AJ21/6</f>
        <v>7936068.031666667</v>
      </c>
      <c r="AK23" s="137">
        <f t="shared" si="7"/>
        <v>11</v>
      </c>
      <c r="AL23" s="482" t="s">
        <v>203</v>
      </c>
      <c r="AM23" s="598">
        <f>SUM(AM21:AM22)</f>
        <v>31158000</v>
      </c>
      <c r="AN23" s="598">
        <f>SUM(AN21:AN22)</f>
        <v>0</v>
      </c>
      <c r="AO23" s="598">
        <f>SUM(AO21:AO22)</f>
        <v>-31158000</v>
      </c>
      <c r="AP23" s="313">
        <f t="shared" si="8"/>
        <v>11</v>
      </c>
      <c r="AQ23" s="466" t="s">
        <v>393</v>
      </c>
      <c r="AR23" s="316">
        <f>SUM(AR21:AR22)</f>
        <v>0</v>
      </c>
      <c r="AS23" s="316">
        <f>SUM(AS21:AS22)</f>
        <v>18500000</v>
      </c>
      <c r="AT23" s="238">
        <f>+AS23-AR23</f>
        <v>18500000</v>
      </c>
      <c r="AU23" s="8">
        <f t="shared" si="13"/>
        <v>11</v>
      </c>
      <c r="AV23" s="194" t="s">
        <v>234</v>
      </c>
      <c r="AW23" s="269">
        <v>-2286406.038333334</v>
      </c>
      <c r="AX23" s="269">
        <v>-2096742.2330097083</v>
      </c>
      <c r="AY23" s="269">
        <f t="shared" si="9"/>
        <v>189663.80532362568</v>
      </c>
      <c r="AZ23" s="8">
        <f t="shared" si="10"/>
        <v>11</v>
      </c>
      <c r="BA23" s="9"/>
      <c r="BB23" s="149"/>
      <c r="BC23" s="149"/>
      <c r="BD23" s="149"/>
      <c r="BE23" s="104">
        <f t="shared" si="11"/>
        <v>11</v>
      </c>
      <c r="BF23" s="104"/>
      <c r="BG23" s="372"/>
      <c r="BH23" s="372"/>
      <c r="BI23" s="372"/>
      <c r="CI23" s="8"/>
      <c r="CJ23" s="9"/>
      <c r="CK23" s="58"/>
      <c r="CL23" s="58"/>
      <c r="CM23" s="58"/>
    </row>
    <row r="24" spans="1:91" ht="13.5" thickBot="1">
      <c r="A24" s="8">
        <f t="shared" si="1"/>
        <v>12</v>
      </c>
      <c r="B24" s="12" t="s">
        <v>465</v>
      </c>
      <c r="C24" s="99">
        <v>0</v>
      </c>
      <c r="D24" s="54">
        <f>'JHS-20.01(A)'!N25</f>
        <v>1420907.408017</v>
      </c>
      <c r="E24" s="293">
        <f>D24-C24</f>
        <v>1420907.408017</v>
      </c>
      <c r="F24" s="313">
        <f t="shared" si="14"/>
        <v>12</v>
      </c>
      <c r="G24" s="247" t="s">
        <v>276</v>
      </c>
      <c r="H24" s="599">
        <f>SUM(H22:H23)</f>
        <v>0</v>
      </c>
      <c r="I24" s="599">
        <f>SUM(I22:I23)</f>
        <v>32822238.537932</v>
      </c>
      <c r="J24" s="599">
        <f>SUM(J22:J23)</f>
        <v>32822238.537932</v>
      </c>
      <c r="K24" s="313">
        <f t="shared" si="3"/>
        <v>12</v>
      </c>
      <c r="L24" s="467" t="s">
        <v>630</v>
      </c>
      <c r="M24" s="468">
        <f>M16+M22</f>
        <v>0</v>
      </c>
      <c r="N24" s="468">
        <f>N16+N22</f>
        <v>110846093.2170543</v>
      </c>
      <c r="O24" s="468">
        <f>O16+O22</f>
        <v>110846093.2170543</v>
      </c>
      <c r="T24" s="172"/>
      <c r="U24" s="8">
        <f t="shared" si="4"/>
        <v>12</v>
      </c>
      <c r="V24" s="318"/>
      <c r="W24" s="317"/>
      <c r="X24" s="317"/>
      <c r="Y24" s="317"/>
      <c r="Z24" s="8"/>
      <c r="AA24" s="15"/>
      <c r="AB24" s="99"/>
      <c r="AC24" s="99"/>
      <c r="AD24" s="99"/>
      <c r="AE24" s="8">
        <f t="shared" si="6"/>
        <v>12</v>
      </c>
      <c r="AH24" s="127"/>
      <c r="AI24" s="127"/>
      <c r="AJ24" s="127"/>
      <c r="AK24" s="137">
        <f t="shared" si="7"/>
        <v>12</v>
      </c>
      <c r="AL24" s="482"/>
      <c r="AM24" s="269"/>
      <c r="AN24" s="269"/>
      <c r="AO24" s="269"/>
      <c r="AP24" s="313">
        <f t="shared" si="8"/>
        <v>12</v>
      </c>
      <c r="AQ24" s="466"/>
      <c r="AR24" s="258"/>
      <c r="AS24" s="597"/>
      <c r="AT24" s="592"/>
      <c r="AU24" s="8">
        <f t="shared" si="13"/>
        <v>12</v>
      </c>
      <c r="AV24" s="194" t="s">
        <v>561</v>
      </c>
      <c r="AW24" s="269">
        <v>26616504.926249996</v>
      </c>
      <c r="AX24" s="269">
        <v>23180900.644329056</v>
      </c>
      <c r="AY24" s="269">
        <f t="shared" si="9"/>
        <v>-3435604.2819209397</v>
      </c>
      <c r="AZ24" s="8">
        <f t="shared" si="10"/>
        <v>12</v>
      </c>
      <c r="BA24" s="9" t="s">
        <v>443</v>
      </c>
      <c r="BE24" s="104">
        <f t="shared" si="11"/>
        <v>12</v>
      </c>
      <c r="BF24" s="104" t="s">
        <v>167</v>
      </c>
      <c r="BG24" s="372"/>
      <c r="BH24" s="372"/>
      <c r="BI24" s="372"/>
      <c r="CI24" s="8"/>
      <c r="CJ24" s="9"/>
      <c r="CK24" s="58"/>
      <c r="CL24" s="58"/>
      <c r="CM24" s="58"/>
    </row>
    <row r="25" spans="1:91" ht="15" thickBot="1" thickTop="1">
      <c r="A25" s="8">
        <f t="shared" si="1"/>
        <v>13</v>
      </c>
      <c r="B25" s="12"/>
      <c r="C25" s="5"/>
      <c r="D25" s="373"/>
      <c r="E25" s="5"/>
      <c r="F25" s="313">
        <f t="shared" si="14"/>
        <v>13</v>
      </c>
      <c r="G25" s="247"/>
      <c r="H25" s="450"/>
      <c r="I25" s="451"/>
      <c r="J25" s="451"/>
      <c r="K25" s="313">
        <f t="shared" si="3"/>
        <v>13</v>
      </c>
      <c r="L25" s="315"/>
      <c r="M25" s="316"/>
      <c r="N25" s="316"/>
      <c r="O25" s="316"/>
      <c r="S25" s="108"/>
      <c r="U25" s="8">
        <f t="shared" si="4"/>
        <v>13</v>
      </c>
      <c r="V25" s="194" t="s">
        <v>16</v>
      </c>
      <c r="W25" s="99"/>
      <c r="X25" s="180">
        <v>0.35</v>
      </c>
      <c r="Y25" s="5">
        <f>ROUND(-Y23*$X$25,0)</f>
        <v>96424</v>
      </c>
      <c r="Z25" s="8"/>
      <c r="AA25" s="15"/>
      <c r="AB25" s="99"/>
      <c r="AC25" s="100"/>
      <c r="AD25" s="99"/>
      <c r="AE25" s="8">
        <f t="shared" si="6"/>
        <v>13</v>
      </c>
      <c r="AF25" s="194" t="s">
        <v>547</v>
      </c>
      <c r="AG25" s="194"/>
      <c r="AH25" s="127"/>
      <c r="AI25" s="127"/>
      <c r="AJ25" s="127"/>
      <c r="AK25" s="137">
        <f t="shared" si="7"/>
        <v>13</v>
      </c>
      <c r="AL25" s="482" t="s">
        <v>238</v>
      </c>
      <c r="AM25" s="269">
        <v>6374000</v>
      </c>
      <c r="AN25" s="269">
        <f>SUM(AN5:AN20)</f>
        <v>0</v>
      </c>
      <c r="AO25" s="269">
        <f>AN25-AM25</f>
        <v>-6374000</v>
      </c>
      <c r="AP25" s="313">
        <f t="shared" si="8"/>
        <v>13</v>
      </c>
      <c r="AQ25" s="467" t="s">
        <v>394</v>
      </c>
      <c r="AR25" s="468">
        <f>AR18+AR23</f>
        <v>0</v>
      </c>
      <c r="AS25" s="468">
        <f>AS18+AS23</f>
        <v>135630302.1673249</v>
      </c>
      <c r="AT25" s="468">
        <f>AT18+AT23</f>
        <v>135630302.1673249</v>
      </c>
      <c r="AU25" s="8">
        <f t="shared" si="13"/>
        <v>13</v>
      </c>
      <c r="AV25" s="194" t="s">
        <v>562</v>
      </c>
      <c r="AW25" s="269">
        <v>2331479.35875</v>
      </c>
      <c r="AX25" s="269">
        <v>0</v>
      </c>
      <c r="AY25" s="269">
        <f t="shared" si="9"/>
        <v>-2331479.35875</v>
      </c>
      <c r="AZ25" s="8">
        <f t="shared" si="10"/>
        <v>13</v>
      </c>
      <c r="BA25" s="9" t="s">
        <v>678</v>
      </c>
      <c r="BB25" s="147">
        <f>'[1]Production Adjustment'!F29</f>
        <v>95731477.877932</v>
      </c>
      <c r="BC25" s="147">
        <f>+BB25*-$BC$11</f>
        <v>-2009403.7206577929</v>
      </c>
      <c r="BD25" s="147">
        <f>'[1]Production Adjustment'!G43</f>
        <v>820704.2085951023</v>
      </c>
      <c r="BE25" s="104">
        <f t="shared" si="11"/>
        <v>13</v>
      </c>
      <c r="BF25" s="104" t="s">
        <v>226</v>
      </c>
      <c r="BG25" s="365">
        <v>0</v>
      </c>
      <c r="BH25" s="547">
        <v>18173514.582393892</v>
      </c>
      <c r="BI25" s="547">
        <f>BH25-BG25</f>
        <v>18173514.582393892</v>
      </c>
      <c r="CI25" s="8"/>
      <c r="CJ25" s="9"/>
      <c r="CK25" s="9"/>
      <c r="CL25" s="9"/>
      <c r="CM25" s="58"/>
    </row>
    <row r="26" spans="1:91" ht="15" thickBot="1" thickTop="1">
      <c r="A26" s="8">
        <f t="shared" si="1"/>
        <v>14</v>
      </c>
      <c r="B26" s="12" t="s">
        <v>681</v>
      </c>
      <c r="C26" s="127">
        <f>SUM(C23:C25)</f>
        <v>792862060.0733334</v>
      </c>
      <c r="D26" s="517">
        <f>SUM(D23:D25)</f>
        <v>463818801.7509014</v>
      </c>
      <c r="E26" s="517">
        <f>SUM(E23:E25)</f>
        <v>-329043258.322432</v>
      </c>
      <c r="F26" s="313">
        <f t="shared" si="14"/>
        <v>14</v>
      </c>
      <c r="G26" s="448"/>
      <c r="H26" s="448"/>
      <c r="I26" s="448"/>
      <c r="J26" s="448"/>
      <c r="K26" s="313">
        <f t="shared" si="3"/>
        <v>14</v>
      </c>
      <c r="L26" s="469" t="s">
        <v>0</v>
      </c>
      <c r="M26" s="449"/>
      <c r="N26" s="449"/>
      <c r="O26" s="449"/>
      <c r="S26" s="108"/>
      <c r="U26" s="8">
        <f t="shared" si="4"/>
        <v>14</v>
      </c>
      <c r="V26" s="194" t="s">
        <v>171</v>
      </c>
      <c r="W26" s="134"/>
      <c r="X26" s="134"/>
      <c r="Y26" s="600">
        <f>-Y23-Y25</f>
        <v>179072.65999999997</v>
      </c>
      <c r="Z26" s="8"/>
      <c r="AA26" s="15"/>
      <c r="AB26" s="99"/>
      <c r="AC26" s="99"/>
      <c r="AD26" s="99"/>
      <c r="AE26" s="8">
        <f t="shared" si="6"/>
        <v>14</v>
      </c>
      <c r="AF26" s="204" t="s">
        <v>180</v>
      </c>
      <c r="AG26" s="204"/>
      <c r="AH26" s="143">
        <f>AH20</f>
        <v>152546.21</v>
      </c>
      <c r="AI26" s="143">
        <f>AI20</f>
        <v>9338772.910000002</v>
      </c>
      <c r="AJ26" s="143">
        <f>AJ20</f>
        <v>9491319.120000003</v>
      </c>
      <c r="AK26" s="137">
        <f t="shared" si="7"/>
        <v>14</v>
      </c>
      <c r="AL26" s="482" t="s">
        <v>467</v>
      </c>
      <c r="AM26" s="269"/>
      <c r="AN26" s="269">
        <v>0</v>
      </c>
      <c r="AO26" s="269">
        <f>AN26-AM26</f>
        <v>0</v>
      </c>
      <c r="AP26" s="313">
        <f t="shared" si="8"/>
        <v>14</v>
      </c>
      <c r="AQ26" s="315"/>
      <c r="AR26" s="316"/>
      <c r="AS26" s="316"/>
      <c r="AT26" s="316"/>
      <c r="AU26" s="8">
        <f t="shared" si="13"/>
        <v>14</v>
      </c>
      <c r="AV26" s="194" t="s">
        <v>563</v>
      </c>
      <c r="AW26" s="269">
        <v>5000000</v>
      </c>
      <c r="AX26" s="601">
        <v>3583333.3333333335</v>
      </c>
      <c r="AY26" s="601">
        <f t="shared" si="9"/>
        <v>-1416666.6666666665</v>
      </c>
      <c r="AZ26" s="8">
        <f t="shared" si="10"/>
        <v>14</v>
      </c>
      <c r="BA26" s="9" t="s">
        <v>292</v>
      </c>
      <c r="BB26" s="127">
        <f>'[1]Production Adjustment'!F38</f>
        <v>11264042.39</v>
      </c>
      <c r="BC26" s="127">
        <f>+BB26*-$BC$11</f>
        <v>-236432.24976610002</v>
      </c>
      <c r="BD26" s="127">
        <f>'[1]Production Adjustment'!G44</f>
        <v>80107.1490876692</v>
      </c>
      <c r="BE26" s="104">
        <f t="shared" si="11"/>
        <v>14</v>
      </c>
      <c r="BF26" s="104" t="s">
        <v>225</v>
      </c>
      <c r="BG26" s="372">
        <v>0</v>
      </c>
      <c r="BH26" s="524">
        <v>-2290295.470852274</v>
      </c>
      <c r="BI26" s="524">
        <f>BH26-BG26</f>
        <v>-2290295.470852274</v>
      </c>
      <c r="CI26" s="8"/>
      <c r="CJ26" s="9"/>
      <c r="CK26" s="9"/>
      <c r="CL26" s="9"/>
      <c r="CM26" s="58"/>
    </row>
    <row r="27" spans="1:91" ht="14.25" thickTop="1">
      <c r="A27" s="8">
        <f t="shared" si="1"/>
        <v>15</v>
      </c>
      <c r="B27" s="12" t="s">
        <v>170</v>
      </c>
      <c r="C27" s="99">
        <f>'JHS-19'!C28-$AW$40</f>
        <v>76487810.82999991</v>
      </c>
      <c r="D27" s="521">
        <f>'JHS-20.01(A)'!N28</f>
        <v>83238876.23618986</v>
      </c>
      <c r="E27" s="521">
        <f>D27-C27</f>
        <v>6751065.406189948</v>
      </c>
      <c r="F27" s="313">
        <f t="shared" si="14"/>
        <v>15</v>
      </c>
      <c r="G27" s="454" t="s">
        <v>540</v>
      </c>
      <c r="H27" s="455"/>
      <c r="I27" s="456"/>
      <c r="J27" s="455"/>
      <c r="K27" s="313">
        <f t="shared" si="3"/>
        <v>15</v>
      </c>
      <c r="L27" s="463" t="s">
        <v>326</v>
      </c>
      <c r="M27" s="256">
        <v>0</v>
      </c>
      <c r="N27" s="602">
        <f>'[1]LSR Power Costs'!F13</f>
        <v>420202.5851524854</v>
      </c>
      <c r="O27" s="238">
        <f>+N27-M27</f>
        <v>420202.5851524854</v>
      </c>
      <c r="P27" s="109"/>
      <c r="S27" s="127"/>
      <c r="Z27" s="8"/>
      <c r="AB27" s="99"/>
      <c r="AC27" s="147"/>
      <c r="AD27" s="147"/>
      <c r="AE27" s="8">
        <f t="shared" si="6"/>
        <v>15</v>
      </c>
      <c r="AH27" s="127"/>
      <c r="AI27" s="127"/>
      <c r="AJ27" s="127"/>
      <c r="AK27" s="137">
        <f t="shared" si="7"/>
        <v>15</v>
      </c>
      <c r="AL27" s="482" t="s">
        <v>468</v>
      </c>
      <c r="AM27" s="598">
        <f>SUM(AM25:AM26)</f>
        <v>6374000</v>
      </c>
      <c r="AN27" s="598">
        <f>SUM(AN25:AN26)</f>
        <v>0</v>
      </c>
      <c r="AO27" s="598">
        <f>SUM(AO25:AO26)</f>
        <v>-6374000</v>
      </c>
      <c r="AP27" s="313">
        <f t="shared" si="8"/>
        <v>15</v>
      </c>
      <c r="AQ27" s="458" t="s">
        <v>0</v>
      </c>
      <c r="AR27" s="449"/>
      <c r="AS27" s="449"/>
      <c r="AT27" s="449"/>
      <c r="AU27" s="8">
        <f t="shared" si="13"/>
        <v>15</v>
      </c>
      <c r="AV27" s="194" t="s">
        <v>399</v>
      </c>
      <c r="AW27" s="269">
        <v>0</v>
      </c>
      <c r="AX27" s="269">
        <v>1193197.5</v>
      </c>
      <c r="AY27" s="269">
        <f t="shared" si="9"/>
        <v>1193197.5</v>
      </c>
      <c r="AZ27" s="8">
        <f t="shared" si="10"/>
        <v>15</v>
      </c>
      <c r="BA27" s="9" t="s">
        <v>70</v>
      </c>
      <c r="BB27" s="149">
        <f>SUM(BB25:BB26)</f>
        <v>106995520.267932</v>
      </c>
      <c r="BC27" s="149">
        <f>SUM(BC25:BC26)</f>
        <v>-2245835.970423893</v>
      </c>
      <c r="BD27" s="149">
        <f>SUM(BD25:BD26)</f>
        <v>900811.3576827715</v>
      </c>
      <c r="BE27" s="104">
        <f t="shared" si="11"/>
        <v>15</v>
      </c>
      <c r="BF27" s="104" t="s">
        <v>227</v>
      </c>
      <c r="BG27" s="372">
        <v>0</v>
      </c>
      <c r="BH27" s="524">
        <v>-5559126.689039567</v>
      </c>
      <c r="BI27" s="524">
        <f>BH27-BG27</f>
        <v>-5559126.689039567</v>
      </c>
      <c r="CI27" s="8"/>
      <c r="CJ27" s="9"/>
      <c r="CK27" s="9"/>
      <c r="CL27" s="9"/>
      <c r="CM27" s="58"/>
    </row>
    <row r="28" spans="1:91" ht="14.25" thickBot="1">
      <c r="A28" s="8">
        <f t="shared" si="1"/>
        <v>16</v>
      </c>
      <c r="C28" s="99"/>
      <c r="D28" s="99"/>
      <c r="E28" s="55">
        <f>D28-C28</f>
        <v>0</v>
      </c>
      <c r="F28" s="313">
        <f t="shared" si="14"/>
        <v>16</v>
      </c>
      <c r="G28" s="247" t="s">
        <v>671</v>
      </c>
      <c r="H28" s="455"/>
      <c r="I28" s="451">
        <v>776099.4992999999</v>
      </c>
      <c r="J28" s="451">
        <f>+I28-H28</f>
        <v>776099.4992999999</v>
      </c>
      <c r="K28" s="313">
        <f t="shared" si="3"/>
        <v>16</v>
      </c>
      <c r="L28" s="470" t="s">
        <v>327</v>
      </c>
      <c r="M28" s="317">
        <v>0</v>
      </c>
      <c r="N28" s="317">
        <v>697744.7390124068</v>
      </c>
      <c r="O28" s="238">
        <f>+N28-M28</f>
        <v>697744.7390124068</v>
      </c>
      <c r="P28" s="109"/>
      <c r="Q28" s="8"/>
      <c r="R28" s="8"/>
      <c r="S28" s="331"/>
      <c r="Z28" s="8"/>
      <c r="AA28" s="15"/>
      <c r="AB28" s="99"/>
      <c r="AC28" s="99"/>
      <c r="AD28" s="99"/>
      <c r="AE28" s="8">
        <f t="shared" si="6"/>
        <v>16</v>
      </c>
      <c r="AF28" s="46" t="s">
        <v>412</v>
      </c>
      <c r="AG28" s="46"/>
      <c r="AH28" s="181">
        <f>AH23-AH26</f>
        <v>50883.155</v>
      </c>
      <c r="AI28" s="181">
        <f>AI23-AI26</f>
        <v>-1606134.243333335</v>
      </c>
      <c r="AJ28" s="49">
        <f>AJ23-AJ26</f>
        <v>-1555251.0883333357</v>
      </c>
      <c r="AK28" s="137">
        <f t="shared" si="7"/>
        <v>16</v>
      </c>
      <c r="AL28" s="484"/>
      <c r="AM28" s="590"/>
      <c r="AN28" s="590"/>
      <c r="AO28" s="590"/>
      <c r="AP28" s="313">
        <f t="shared" si="8"/>
        <v>16</v>
      </c>
      <c r="AQ28" s="463" t="s">
        <v>328</v>
      </c>
      <c r="AR28" s="257">
        <v>0</v>
      </c>
      <c r="AS28" s="491">
        <v>7088065.589499994</v>
      </c>
      <c r="AT28" s="242">
        <f>+AS28-AR28</f>
        <v>7088065.589499994</v>
      </c>
      <c r="AU28" s="8">
        <f t="shared" si="13"/>
        <v>16</v>
      </c>
      <c r="AV28" s="194" t="s">
        <v>424</v>
      </c>
      <c r="AW28" s="269"/>
      <c r="AX28" s="269"/>
      <c r="AY28" s="269">
        <f t="shared" si="9"/>
        <v>0</v>
      </c>
      <c r="AZ28" s="8">
        <f t="shared" si="10"/>
        <v>16</v>
      </c>
      <c r="BB28" s="149"/>
      <c r="BC28" s="149"/>
      <c r="BD28" s="149"/>
      <c r="BE28" s="104">
        <f t="shared" si="11"/>
        <v>16</v>
      </c>
      <c r="BF28" s="104" t="s">
        <v>223</v>
      </c>
      <c r="BG28" s="427">
        <f>SUM(BG25:BG27)</f>
        <v>0</v>
      </c>
      <c r="BH28" s="525">
        <f>SUM(BH25:BH27)</f>
        <v>10324092.422502052</v>
      </c>
      <c r="BI28" s="525">
        <f>SUM(BI25:BI27)</f>
        <v>10324092.422502052</v>
      </c>
      <c r="CI28" s="8"/>
      <c r="CJ28" s="133"/>
      <c r="CK28" s="133"/>
      <c r="CL28" s="133"/>
      <c r="CM28" s="133"/>
    </row>
    <row r="29" spans="1:91" ht="14.25" thickTop="1">
      <c r="A29" s="8">
        <f t="shared" si="1"/>
        <v>17</v>
      </c>
      <c r="B29" s="7" t="s">
        <v>533</v>
      </c>
      <c r="C29" s="603">
        <f>C21+C26+C27+C28</f>
        <v>1138357693.027972</v>
      </c>
      <c r="D29" s="604">
        <f>D21+D26+D27+D28</f>
        <v>815486511.1551228</v>
      </c>
      <c r="E29" s="604">
        <f>E21+E26+E27+E28</f>
        <v>-322871181.8728491</v>
      </c>
      <c r="F29" s="313">
        <f t="shared" si="14"/>
        <v>17</v>
      </c>
      <c r="G29" s="247" t="s">
        <v>170</v>
      </c>
      <c r="H29" s="317"/>
      <c r="I29" s="534">
        <v>6884867.046457907</v>
      </c>
      <c r="J29" s="534">
        <f>+I29-H29</f>
        <v>6884867.046457907</v>
      </c>
      <c r="K29" s="313">
        <f t="shared" si="3"/>
        <v>17</v>
      </c>
      <c r="L29" s="605"/>
      <c r="M29" s="464"/>
      <c r="N29" s="464"/>
      <c r="O29" s="243"/>
      <c r="P29" s="109"/>
      <c r="Q29" s="8"/>
      <c r="R29" s="8"/>
      <c r="Z29" s="8"/>
      <c r="AA29" s="15"/>
      <c r="AB29" s="99"/>
      <c r="AC29" s="99"/>
      <c r="AD29" s="99"/>
      <c r="AE29" s="8">
        <f t="shared" si="6"/>
        <v>17</v>
      </c>
      <c r="AF29" s="46"/>
      <c r="AG29" s="46"/>
      <c r="AH29" s="127"/>
      <c r="AI29" s="127"/>
      <c r="AJ29" s="127"/>
      <c r="AK29" s="137">
        <f t="shared" si="7"/>
        <v>17</v>
      </c>
      <c r="AL29" s="318" t="s">
        <v>510</v>
      </c>
      <c r="AM29" s="590"/>
      <c r="AN29" s="310"/>
      <c r="AO29" s="269">
        <f>+AO27+AO23</f>
        <v>-37532000</v>
      </c>
      <c r="AP29" s="313">
        <f t="shared" si="8"/>
        <v>17</v>
      </c>
      <c r="AQ29" s="606" t="s">
        <v>30</v>
      </c>
      <c r="AR29" s="607">
        <f>SUM(AR28:AR28)</f>
        <v>0</v>
      </c>
      <c r="AS29" s="607">
        <f>SUM(AS28:AS28)</f>
        <v>7088065.589499994</v>
      </c>
      <c r="AT29" s="607">
        <f>SUM(AT28:AT28)</f>
        <v>7088065.589499994</v>
      </c>
      <c r="AU29" s="8">
        <f t="shared" si="13"/>
        <v>17</v>
      </c>
      <c r="AV29" s="194" t="s">
        <v>425</v>
      </c>
      <c r="AW29" s="269">
        <v>82650.67375</v>
      </c>
      <c r="AX29" s="601">
        <v>31788.720561594164</v>
      </c>
      <c r="AY29" s="601">
        <f t="shared" si="9"/>
        <v>-50861.95318840584</v>
      </c>
      <c r="AZ29" s="8">
        <f t="shared" si="10"/>
        <v>17</v>
      </c>
      <c r="BA29" s="9" t="s">
        <v>673</v>
      </c>
      <c r="BB29" s="147"/>
      <c r="BC29" s="147"/>
      <c r="BD29" s="147"/>
      <c r="BE29" s="104"/>
      <c r="BF29" s="104"/>
      <c r="BG29" s="372"/>
      <c r="BH29" s="372"/>
      <c r="BI29" s="372"/>
      <c r="CI29" s="8"/>
      <c r="CJ29" s="7"/>
      <c r="CK29" s="7"/>
      <c r="CL29" s="7"/>
      <c r="CM29" s="7"/>
    </row>
    <row r="30" spans="1:91" ht="13.5">
      <c r="A30" s="8">
        <f t="shared" si="1"/>
        <v>18</v>
      </c>
      <c r="B30" s="111" t="s">
        <v>302</v>
      </c>
      <c r="C30" s="55">
        <f>'JHS-19'!C32+'JHS-20.01(A)'!H30-SUM(AW50:AW54)</f>
        <v>101194084.30131838</v>
      </c>
      <c r="D30" s="522">
        <f>'JHS-20.01(A)'!N30</f>
        <v>113291294.6302499</v>
      </c>
      <c r="E30" s="522">
        <f>D30-C30</f>
        <v>12097210.328931525</v>
      </c>
      <c r="F30" s="313">
        <f t="shared" si="14"/>
        <v>18</v>
      </c>
      <c r="G30" s="247" t="s">
        <v>624</v>
      </c>
      <c r="H30" s="317">
        <v>0</v>
      </c>
      <c r="I30" s="317">
        <v>10891022.50639385</v>
      </c>
      <c r="J30" s="453">
        <f>+I30-H30</f>
        <v>10891022.50639385</v>
      </c>
      <c r="K30" s="313">
        <f t="shared" si="3"/>
        <v>18</v>
      </c>
      <c r="L30" s="606" t="s">
        <v>30</v>
      </c>
      <c r="M30" s="317">
        <f>M27+M28</f>
        <v>0</v>
      </c>
      <c r="N30" s="317">
        <f>N27+N28</f>
        <v>1117947.324164892</v>
      </c>
      <c r="O30" s="317">
        <f>O27+O28</f>
        <v>1117947.324164892</v>
      </c>
      <c r="AB30" s="127"/>
      <c r="AC30" s="127"/>
      <c r="AD30" s="127"/>
      <c r="AE30" s="8">
        <f t="shared" si="6"/>
        <v>18</v>
      </c>
      <c r="AH30" s="127"/>
      <c r="AI30" s="127"/>
      <c r="AJ30" s="127"/>
      <c r="AK30" s="137">
        <f t="shared" si="7"/>
        <v>18</v>
      </c>
      <c r="AL30" s="194" t="str">
        <f>"INCREASE (DECREASE) FIT (ON LINE "&amp;AK21&amp;")"</f>
        <v>INCREASE (DECREASE) FIT (ON LINE 9)</v>
      </c>
      <c r="AM30" s="590"/>
      <c r="AN30" s="310"/>
      <c r="AO30" s="269">
        <v>5017000</v>
      </c>
      <c r="AP30" s="313">
        <f t="shared" si="8"/>
        <v>18</v>
      </c>
      <c r="AQ30" s="315"/>
      <c r="AR30" s="317"/>
      <c r="AS30" s="317"/>
      <c r="AT30" s="317"/>
      <c r="AU30" s="8">
        <f t="shared" si="13"/>
        <v>18</v>
      </c>
      <c r="AV30" s="194" t="s">
        <v>426</v>
      </c>
      <c r="AW30" s="269">
        <v>212105.57</v>
      </c>
      <c r="AX30" s="601">
        <v>-0.3006451610708609</v>
      </c>
      <c r="AY30" s="601">
        <f t="shared" si="9"/>
        <v>-212105.87064516108</v>
      </c>
      <c r="AZ30" s="8">
        <f t="shared" si="10"/>
        <v>18</v>
      </c>
      <c r="BA30" s="9" t="s">
        <v>51</v>
      </c>
      <c r="BB30" s="517">
        <f>ROUND('[1]Restated TY'!F18,0)</f>
        <v>7169159</v>
      </c>
      <c r="BC30" s="517">
        <f>+BB30*-$BC$11</f>
        <v>-150480.64741</v>
      </c>
      <c r="BD30" s="517">
        <f>ROUND(+BC30*-$BD$11,0)</f>
        <v>52668</v>
      </c>
      <c r="BE30" s="317"/>
      <c r="BF30" s="317"/>
      <c r="BG30" s="317"/>
      <c r="BH30" s="317"/>
      <c r="BI30" s="317"/>
      <c r="CI30" s="8"/>
      <c r="CJ30" s="7"/>
      <c r="CK30" s="7"/>
      <c r="CL30" s="7"/>
      <c r="CM30" s="7"/>
    </row>
    <row r="31" spans="1:91" ht="13.5">
      <c r="A31" s="8">
        <f t="shared" si="1"/>
        <v>19</v>
      </c>
      <c r="B31" s="12" t="s">
        <v>15</v>
      </c>
      <c r="C31" s="5">
        <v>1419634.77</v>
      </c>
      <c r="D31" s="5">
        <f>'JHS-20.01(A)'!N32</f>
        <v>1389836.8613500001</v>
      </c>
      <c r="E31" s="5">
        <f>D31-C31</f>
        <v>-29797.90864999988</v>
      </c>
      <c r="F31" s="313">
        <f t="shared" si="14"/>
        <v>19</v>
      </c>
      <c r="G31" s="247" t="s">
        <v>179</v>
      </c>
      <c r="H31" s="452">
        <v>0</v>
      </c>
      <c r="I31" s="317">
        <v>521840.7901655445</v>
      </c>
      <c r="J31" s="317">
        <f>+I31-H31</f>
        <v>521840.7901655445</v>
      </c>
      <c r="K31" s="313">
        <f t="shared" si="3"/>
        <v>19</v>
      </c>
      <c r="L31" s="315"/>
      <c r="M31" s="317"/>
      <c r="N31" s="317"/>
      <c r="O31" s="317"/>
      <c r="T31" s="111"/>
      <c r="AB31" s="127"/>
      <c r="AC31" s="127"/>
      <c r="AD31" s="127"/>
      <c r="AE31" s="8">
        <f t="shared" si="6"/>
        <v>19</v>
      </c>
      <c r="AF31" s="35" t="s">
        <v>449</v>
      </c>
      <c r="AG31" s="35"/>
      <c r="AH31" s="225"/>
      <c r="AI31" s="225"/>
      <c r="AJ31" s="127"/>
      <c r="AK31" s="137">
        <f t="shared" si="7"/>
        <v>19</v>
      </c>
      <c r="AL31" s="194" t="str">
        <f>"INCREASE (DECREASE) FIT (ON LINE "&amp;AK27&amp;")"</f>
        <v>INCREASE (DECREASE) FIT (ON LINE 15)</v>
      </c>
      <c r="AM31" s="590"/>
      <c r="AN31" s="310">
        <v>0.35</v>
      </c>
      <c r="AO31" s="334">
        <f>-AO27*AN31</f>
        <v>2230900</v>
      </c>
      <c r="AP31" s="313">
        <f t="shared" si="8"/>
        <v>19</v>
      </c>
      <c r="AQ31" s="605" t="s">
        <v>27</v>
      </c>
      <c r="AR31" s="608"/>
      <c r="AS31" s="180">
        <v>0.35</v>
      </c>
      <c r="AT31" s="5">
        <f>ROUND(-AT29*AS31,0)</f>
        <v>-2480823</v>
      </c>
      <c r="AU31" s="8">
        <f t="shared" si="13"/>
        <v>19</v>
      </c>
      <c r="AV31" s="194" t="s">
        <v>427</v>
      </c>
      <c r="AW31" s="269">
        <v>590967.0900000001</v>
      </c>
      <c r="AX31" s="601">
        <v>0</v>
      </c>
      <c r="AY31" s="601">
        <f t="shared" si="9"/>
        <v>-590967.0900000001</v>
      </c>
      <c r="AZ31" s="8">
        <f t="shared" si="10"/>
        <v>19</v>
      </c>
      <c r="BA31" s="9" t="s">
        <v>52</v>
      </c>
      <c r="BB31" s="517">
        <f>ROUND('[1]Restated TY'!F31,0)</f>
        <v>7050410</v>
      </c>
      <c r="BC31" s="517">
        <f>+BB31*-$BC$11</f>
        <v>-147988.10590000002</v>
      </c>
      <c r="BD31" s="517">
        <f>ROUND(+BC31*-$BD$11,0)</f>
        <v>51796</v>
      </c>
      <c r="BE31" s="99"/>
      <c r="BF31" s="99"/>
      <c r="BG31" s="99"/>
      <c r="BH31" s="99"/>
      <c r="BI31" s="99"/>
      <c r="CI31" s="8"/>
      <c r="CJ31" s="129"/>
      <c r="CK31" s="129"/>
      <c r="CL31" s="129"/>
      <c r="CM31" s="129"/>
    </row>
    <row r="32" spans="1:87" ht="14.25" thickBot="1">
      <c r="A32" s="8">
        <f t="shared" si="1"/>
        <v>20</v>
      </c>
      <c r="E32" s="160"/>
      <c r="F32" s="313">
        <f t="shared" si="14"/>
        <v>20</v>
      </c>
      <c r="G32" s="247" t="s">
        <v>656</v>
      </c>
      <c r="H32" s="457"/>
      <c r="I32" s="535">
        <v>1932987</v>
      </c>
      <c r="J32" s="535">
        <f>+I32-H32</f>
        <v>1932987</v>
      </c>
      <c r="K32" s="313">
        <f t="shared" si="3"/>
        <v>20</v>
      </c>
      <c r="L32" s="605" t="s">
        <v>27</v>
      </c>
      <c r="M32" s="608"/>
      <c r="N32" s="180">
        <v>0.35</v>
      </c>
      <c r="O32" s="5">
        <f>ROUND(-O30*N32,0)</f>
        <v>-391282</v>
      </c>
      <c r="T32" s="133"/>
      <c r="AB32" s="127"/>
      <c r="AC32" s="127"/>
      <c r="AD32" s="127"/>
      <c r="AE32" s="8">
        <f t="shared" si="6"/>
        <v>20</v>
      </c>
      <c r="AF32" s="75" t="s">
        <v>244</v>
      </c>
      <c r="AG32" s="75"/>
      <c r="AH32" s="184"/>
      <c r="AI32" s="184"/>
      <c r="AJ32" s="127"/>
      <c r="AK32" s="137">
        <f t="shared" si="7"/>
        <v>20</v>
      </c>
      <c r="AL32" s="194" t="s">
        <v>171</v>
      </c>
      <c r="AM32" s="590"/>
      <c r="AP32" s="313">
        <f t="shared" si="8"/>
        <v>20</v>
      </c>
      <c r="AQ32" s="605" t="s">
        <v>171</v>
      </c>
      <c r="AR32" s="609"/>
      <c r="AS32" s="609"/>
      <c r="AT32" s="600">
        <f>-AT29-AT31</f>
        <v>-4607242.589499994</v>
      </c>
      <c r="AU32" s="8">
        <f t="shared" si="13"/>
        <v>20</v>
      </c>
      <c r="AV32" s="194" t="s">
        <v>428</v>
      </c>
      <c r="AW32" s="269">
        <v>62507.86666666667</v>
      </c>
      <c r="AX32" s="601">
        <v>0</v>
      </c>
      <c r="AY32" s="601">
        <f t="shared" si="9"/>
        <v>-62507.86666666667</v>
      </c>
      <c r="AZ32" s="8">
        <f t="shared" si="10"/>
        <v>20</v>
      </c>
      <c r="BA32" s="9" t="s">
        <v>53</v>
      </c>
      <c r="BB32" s="517">
        <f>+T16</f>
        <v>1682986.3141500002</v>
      </c>
      <c r="BC32" s="517">
        <f>+BB32*-$BC$11</f>
        <v>-35325.882734008504</v>
      </c>
      <c r="BD32" s="517">
        <f>ROUND(+BC32*-$BD$11,0)</f>
        <v>12364</v>
      </c>
      <c r="BE32" s="134"/>
      <c r="BF32" s="134"/>
      <c r="BG32" s="134"/>
      <c r="BH32" s="134"/>
      <c r="BI32" s="134"/>
      <c r="CI32" s="8"/>
    </row>
    <row r="33" spans="1:87" ht="15" thickBot="1" thickTop="1">
      <c r="A33" s="8">
        <f t="shared" si="1"/>
        <v>21</v>
      </c>
      <c r="B33" s="9" t="s">
        <v>490</v>
      </c>
      <c r="C33" s="127">
        <f>SUM(C29:C31)</f>
        <v>1240971412.0992904</v>
      </c>
      <c r="D33" s="517">
        <f>SUM(D29:D31)</f>
        <v>930167642.6467227</v>
      </c>
      <c r="E33" s="517">
        <f>SUM(E29:E31)</f>
        <v>-310803769.4525676</v>
      </c>
      <c r="F33" s="313">
        <f aca="true" t="shared" si="15" ref="F33:F38">F32+1</f>
        <v>21</v>
      </c>
      <c r="G33" s="194" t="s">
        <v>625</v>
      </c>
      <c r="H33" s="317">
        <f>SUM(H28:H32)</f>
        <v>0</v>
      </c>
      <c r="I33" s="534">
        <f>SUM(I28:I32)</f>
        <v>21006816.8423173</v>
      </c>
      <c r="J33" s="534">
        <f>SUM(J28:J32)</f>
        <v>21006816.8423173</v>
      </c>
      <c r="K33" s="313">
        <f t="shared" si="3"/>
        <v>21</v>
      </c>
      <c r="L33" s="605" t="s">
        <v>171</v>
      </c>
      <c r="M33" s="609"/>
      <c r="N33" s="609"/>
      <c r="O33" s="600">
        <f>-O30-O32</f>
        <v>-726665.3241648921</v>
      </c>
      <c r="T33" s="133"/>
      <c r="AB33" s="127"/>
      <c r="AC33" s="127"/>
      <c r="AD33" s="127"/>
      <c r="AE33" s="8">
        <f t="shared" si="6"/>
        <v>21</v>
      </c>
      <c r="AF33" s="7" t="s">
        <v>245</v>
      </c>
      <c r="AK33" s="137">
        <f t="shared" si="7"/>
        <v>21</v>
      </c>
      <c r="AL33" s="485" t="s">
        <v>469</v>
      </c>
      <c r="AM33" s="590"/>
      <c r="AO33" s="486">
        <f>-AO29-AO31-AO30</f>
        <v>30284100</v>
      </c>
      <c r="AQ33" s="245"/>
      <c r="AR33" s="104"/>
      <c r="AS33" s="372"/>
      <c r="AT33" s="372"/>
      <c r="AU33" s="8">
        <f t="shared" si="13"/>
        <v>21</v>
      </c>
      <c r="AV33" s="194" t="s">
        <v>429</v>
      </c>
      <c r="AW33" s="324">
        <v>678973.4266666666</v>
      </c>
      <c r="AX33" s="610">
        <v>0</v>
      </c>
      <c r="AY33" s="610">
        <f t="shared" si="9"/>
        <v>-678973.4266666666</v>
      </c>
      <c r="AZ33" s="8">
        <f t="shared" si="10"/>
        <v>21</v>
      </c>
      <c r="BA33" s="9" t="s">
        <v>301</v>
      </c>
      <c r="BB33" s="127">
        <f>'[1]Production Adjustment'!F16</f>
        <v>2022345.8613809925</v>
      </c>
      <c r="BC33" s="127">
        <f>+BB33*-$BC$11</f>
        <v>-42449.03963038704</v>
      </c>
      <c r="BD33" s="127">
        <f>ROUND(+BC33*-$BD$11,0)</f>
        <v>14857</v>
      </c>
      <c r="BE33" s="332"/>
      <c r="BF33" s="332"/>
      <c r="BG33" s="332"/>
      <c r="BH33" s="332"/>
      <c r="BI33" s="332"/>
      <c r="CI33" s="8"/>
    </row>
    <row r="34" spans="1:87" ht="14.25" thickTop="1">
      <c r="A34" s="8">
        <f t="shared" si="1"/>
        <v>22</v>
      </c>
      <c r="C34" s="588"/>
      <c r="D34" s="588"/>
      <c r="E34" s="588"/>
      <c r="F34" s="313">
        <f t="shared" si="15"/>
        <v>22</v>
      </c>
      <c r="G34" s="194"/>
      <c r="H34" s="317"/>
      <c r="I34" s="317"/>
      <c r="J34" s="317"/>
      <c r="K34" s="104"/>
      <c r="L34" s="104"/>
      <c r="M34" s="372"/>
      <c r="N34" s="372"/>
      <c r="O34" s="372"/>
      <c r="T34" s="111"/>
      <c r="AB34" s="127"/>
      <c r="AC34" s="127"/>
      <c r="AD34" s="127"/>
      <c r="AE34" s="8">
        <f t="shared" si="6"/>
        <v>22</v>
      </c>
      <c r="AF34" s="280" t="s">
        <v>434</v>
      </c>
      <c r="AG34" s="181">
        <v>283161.3599999994</v>
      </c>
      <c r="AH34" s="181"/>
      <c r="AI34" s="49"/>
      <c r="AK34" s="137">
        <f t="shared" si="7"/>
        <v>22</v>
      </c>
      <c r="AL34" s="487"/>
      <c r="AM34" s="487"/>
      <c r="AN34" s="487"/>
      <c r="AO34" s="487"/>
      <c r="AQ34" s="245"/>
      <c r="AR34" s="104"/>
      <c r="AS34" s="104"/>
      <c r="AT34" s="104"/>
      <c r="AU34" s="8">
        <f t="shared" si="13"/>
        <v>22</v>
      </c>
      <c r="AV34" s="194" t="s">
        <v>569</v>
      </c>
      <c r="AW34" s="306">
        <f>SUM(AW14:AW33)</f>
        <v>76381597.61708333</v>
      </c>
      <c r="AX34" s="611">
        <f>SUM(AX14:AX33)</f>
        <v>54841615.55528001</v>
      </c>
      <c r="AY34" s="611">
        <f>SUM(AY14:AY33)</f>
        <v>-21539982.06180334</v>
      </c>
      <c r="AZ34" s="8">
        <f t="shared" si="10"/>
        <v>22</v>
      </c>
      <c r="BA34" s="9" t="s">
        <v>453</v>
      </c>
      <c r="BB34" s="536">
        <f>SUM(BB29:BB33)</f>
        <v>17924901.175530992</v>
      </c>
      <c r="BC34" s="536">
        <f>SUM(BC29:BC33)</f>
        <v>-376243.6756743956</v>
      </c>
      <c r="BD34" s="536">
        <f>SUM(BD29:BD33)</f>
        <v>131685</v>
      </c>
      <c r="BE34" s="332"/>
      <c r="BF34" s="332"/>
      <c r="BG34" s="332"/>
      <c r="BH34" s="332"/>
      <c r="BI34" s="332"/>
      <c r="CI34" s="8"/>
    </row>
    <row r="35" spans="1:91" ht="13.5">
      <c r="A35" s="8">
        <f t="shared" si="1"/>
        <v>23</v>
      </c>
      <c r="B35" s="12" t="str">
        <f>"INCREASE (DECREASE) OPERATING INCOME (LINE "&amp;A19&amp;" - LINE "&amp;A33&amp;")"</f>
        <v>INCREASE (DECREASE) OPERATING INCOME (LINE 7 - LINE 21)</v>
      </c>
      <c r="C35" s="133">
        <f>C19-C33</f>
        <v>-1065754293.8892903</v>
      </c>
      <c r="D35" s="283">
        <f>D19-D33</f>
        <v>-876279956.7526181</v>
      </c>
      <c r="E35" s="283">
        <f>E19-E33</f>
        <v>189474337.13667223</v>
      </c>
      <c r="F35" s="313">
        <f t="shared" si="15"/>
        <v>23</v>
      </c>
      <c r="G35" s="318" t="s">
        <v>626</v>
      </c>
      <c r="H35" s="317">
        <f>H22+H33</f>
        <v>0</v>
      </c>
      <c r="I35" s="534">
        <f>I24+I33</f>
        <v>53829055.38024931</v>
      </c>
      <c r="J35" s="534">
        <f>J24+J33</f>
        <v>53829055.38024931</v>
      </c>
      <c r="K35" s="104"/>
      <c r="L35" s="104"/>
      <c r="M35" s="372"/>
      <c r="N35" s="372"/>
      <c r="O35" s="372"/>
      <c r="T35" s="111"/>
      <c r="AB35" s="127"/>
      <c r="AC35" s="127"/>
      <c r="AD35" s="127"/>
      <c r="AE35" s="8">
        <f t="shared" si="6"/>
        <v>23</v>
      </c>
      <c r="AF35" s="280" t="s">
        <v>536</v>
      </c>
      <c r="AG35" s="147">
        <v>13794354.1</v>
      </c>
      <c r="AK35" s="137">
        <f t="shared" si="7"/>
        <v>23</v>
      </c>
      <c r="AL35" s="487"/>
      <c r="AM35" s="487"/>
      <c r="AN35" s="487"/>
      <c r="AO35" s="487"/>
      <c r="AQ35" s="245"/>
      <c r="AR35" s="332"/>
      <c r="AS35" s="332"/>
      <c r="AT35" s="332"/>
      <c r="AU35" s="8">
        <f t="shared" si="13"/>
        <v>23</v>
      </c>
      <c r="AV35" s="194"/>
      <c r="AW35" s="308"/>
      <c r="AX35" s="308"/>
      <c r="AY35" s="308"/>
      <c r="AZ35" s="8">
        <f t="shared" si="10"/>
        <v>23</v>
      </c>
      <c r="BA35" s="9"/>
      <c r="BB35" s="149"/>
      <c r="BC35" s="149"/>
      <c r="BD35" s="149"/>
      <c r="BE35" s="332"/>
      <c r="BF35" s="332"/>
      <c r="BG35" s="332"/>
      <c r="BH35" s="332"/>
      <c r="BI35" s="332"/>
      <c r="CI35" s="8"/>
      <c r="CJ35" s="7"/>
      <c r="CK35" s="7"/>
      <c r="CL35" s="7"/>
      <c r="CM35" s="7"/>
    </row>
    <row r="36" spans="1:91" ht="12.75">
      <c r="A36" s="8">
        <f t="shared" si="1"/>
        <v>24</v>
      </c>
      <c r="C36" s="127"/>
      <c r="D36" s="127"/>
      <c r="F36" s="313">
        <f t="shared" si="15"/>
        <v>24</v>
      </c>
      <c r="G36" s="318"/>
      <c r="H36" s="317"/>
      <c r="I36" s="317"/>
      <c r="J36" s="317"/>
      <c r="K36" s="104"/>
      <c r="L36" s="104"/>
      <c r="M36" s="104"/>
      <c r="N36" s="104"/>
      <c r="O36" s="104"/>
      <c r="T36" s="111"/>
      <c r="AB36" s="127"/>
      <c r="AC36" s="127"/>
      <c r="AD36" s="127"/>
      <c r="AE36" s="8">
        <f t="shared" si="6"/>
        <v>24</v>
      </c>
      <c r="AF36" s="280" t="s">
        <v>441</v>
      </c>
      <c r="AG36" s="147">
        <v>1998778.99</v>
      </c>
      <c r="AK36" s="137">
        <f t="shared" si="7"/>
        <v>24</v>
      </c>
      <c r="AL36" s="487"/>
      <c r="AM36" s="487"/>
      <c r="AN36" s="487"/>
      <c r="AO36" s="487"/>
      <c r="AQ36" s="234"/>
      <c r="AR36" s="230"/>
      <c r="AS36" s="194"/>
      <c r="AT36" s="327"/>
      <c r="AU36" s="8">
        <f t="shared" si="13"/>
        <v>24</v>
      </c>
      <c r="AV36" s="309"/>
      <c r="AW36" s="260"/>
      <c r="AX36" s="260"/>
      <c r="AY36" s="260"/>
      <c r="AZ36" s="8">
        <f t="shared" si="10"/>
        <v>24</v>
      </c>
      <c r="BA36" s="63" t="s">
        <v>115</v>
      </c>
      <c r="BB36" s="147"/>
      <c r="BC36" s="147"/>
      <c r="BD36" s="147"/>
      <c r="BE36" s="327"/>
      <c r="BF36" s="327"/>
      <c r="BG36" s="327"/>
      <c r="BH36" s="327"/>
      <c r="BI36" s="327"/>
      <c r="CI36" s="8"/>
      <c r="CJ36" s="158"/>
      <c r="CK36" s="158"/>
      <c r="CL36" s="158"/>
      <c r="CM36" s="158"/>
    </row>
    <row r="37" spans="1:91" ht="13.5">
      <c r="A37" s="8">
        <f t="shared" si="1"/>
        <v>25</v>
      </c>
      <c r="B37" s="7" t="str">
        <f>"STATE UTILITY TAX SAVINGS FOR LINE "&amp;A16</f>
        <v>STATE UTILITY TAX SAVINGS FOR LINE 4</v>
      </c>
      <c r="C37" s="122">
        <f>'[1]JHS-22'!L15</f>
        <v>0.03873</v>
      </c>
      <c r="E37" s="549">
        <f>-E16*C37</f>
        <v>-117001.0026236666</v>
      </c>
      <c r="F37" s="313">
        <f t="shared" si="15"/>
        <v>25</v>
      </c>
      <c r="G37" s="194" t="s">
        <v>112</v>
      </c>
      <c r="H37" s="99"/>
      <c r="I37" s="180">
        <v>0.35</v>
      </c>
      <c r="J37" s="523">
        <f>ROUND((-J35+J23)*I37,0)</f>
        <v>-17147563</v>
      </c>
      <c r="K37" s="104"/>
      <c r="L37" s="104"/>
      <c r="M37" s="104"/>
      <c r="N37" s="104"/>
      <c r="O37" s="104"/>
      <c r="AB37" s="127"/>
      <c r="AC37" s="127"/>
      <c r="AD37" s="147"/>
      <c r="AE37" s="8">
        <f t="shared" si="6"/>
        <v>25</v>
      </c>
      <c r="AF37" s="79" t="s">
        <v>395</v>
      </c>
      <c r="AG37" s="147">
        <v>86184.68</v>
      </c>
      <c r="AK37" s="137">
        <f t="shared" si="7"/>
        <v>25</v>
      </c>
      <c r="AL37" s="487" t="s">
        <v>557</v>
      </c>
      <c r="AM37" s="487"/>
      <c r="AN37" s="487"/>
      <c r="AO37" s="487"/>
      <c r="AP37" s="8"/>
      <c r="AQ37" s="234"/>
      <c r="AR37" s="234"/>
      <c r="AS37" s="234"/>
      <c r="AT37" s="234"/>
      <c r="AU37" s="8">
        <f t="shared" si="13"/>
        <v>25</v>
      </c>
      <c r="AV37" s="309" t="s">
        <v>629</v>
      </c>
      <c r="AW37" s="269"/>
      <c r="AX37" s="269"/>
      <c r="AY37" s="269"/>
      <c r="AZ37" s="8">
        <f t="shared" si="10"/>
        <v>25</v>
      </c>
      <c r="BA37" s="9"/>
      <c r="BB37" s="147"/>
      <c r="BC37" s="127"/>
      <c r="BD37" s="127"/>
      <c r="BE37" s="234"/>
      <c r="BF37" s="234"/>
      <c r="BG37" s="234"/>
      <c r="BH37" s="234"/>
      <c r="BI37" s="234"/>
      <c r="CI37" s="8"/>
      <c r="CJ37" s="128"/>
      <c r="CK37" s="128"/>
      <c r="CL37" s="128"/>
      <c r="CM37" s="128"/>
    </row>
    <row r="38" spans="1:91" ht="14.25" thickBot="1">
      <c r="A38" s="8">
        <f t="shared" si="1"/>
        <v>26</v>
      </c>
      <c r="B38" s="9" t="s">
        <v>20</v>
      </c>
      <c r="C38" s="109"/>
      <c r="D38" s="109"/>
      <c r="E38" s="524">
        <f>E35+E37</f>
        <v>189357336.13404855</v>
      </c>
      <c r="F38" s="313">
        <f t="shared" si="15"/>
        <v>26</v>
      </c>
      <c r="G38" s="194" t="s">
        <v>171</v>
      </c>
      <c r="H38" s="134"/>
      <c r="I38" s="134"/>
      <c r="J38" s="612">
        <f>-J35-J37</f>
        <v>-36681492.38024931</v>
      </c>
      <c r="K38" s="104"/>
      <c r="L38" s="104"/>
      <c r="M38" s="104"/>
      <c r="N38" s="104"/>
      <c r="O38" s="104"/>
      <c r="Z38" s="374"/>
      <c r="AA38" s="374"/>
      <c r="AB38" s="374"/>
      <c r="AC38" s="127"/>
      <c r="AD38" s="147"/>
      <c r="AE38" s="8">
        <f t="shared" si="6"/>
        <v>26</v>
      </c>
      <c r="AF38" s="79" t="s">
        <v>396</v>
      </c>
      <c r="AG38" s="143">
        <v>13909768.96</v>
      </c>
      <c r="AK38" s="137">
        <f t="shared" si="7"/>
        <v>26</v>
      </c>
      <c r="AL38" s="488" t="s">
        <v>558</v>
      </c>
      <c r="AM38" s="487"/>
      <c r="AN38" s="487"/>
      <c r="AO38" s="487"/>
      <c r="AQ38" s="234"/>
      <c r="AR38" s="234"/>
      <c r="AS38" s="234"/>
      <c r="AT38" s="234"/>
      <c r="AU38" s="8">
        <f t="shared" si="13"/>
        <v>26</v>
      </c>
      <c r="AV38" s="194" t="s">
        <v>314</v>
      </c>
      <c r="AW38" s="269">
        <v>3526620</v>
      </c>
      <c r="AX38" s="269">
        <v>3526620</v>
      </c>
      <c r="AY38" s="269">
        <f aca="true" t="shared" si="16" ref="AY38:AY54">+AX38-AW38</f>
        <v>0</v>
      </c>
      <c r="AZ38" s="8">
        <f t="shared" si="10"/>
        <v>26</v>
      </c>
      <c r="BA38" s="9" t="s">
        <v>671</v>
      </c>
      <c r="BB38" s="147">
        <f>I28</f>
        <v>776099.4992999999</v>
      </c>
      <c r="BC38" s="127">
        <f aca="true" t="shared" si="17" ref="BC38:BC43">+BB38*-$BC$11</f>
        <v>-16290.328490307</v>
      </c>
      <c r="BD38" s="127">
        <f aca="true" t="shared" si="18" ref="BD38:BD43">ROUND(+BC38*-$BD$11,0)</f>
        <v>5702</v>
      </c>
      <c r="BE38" s="234"/>
      <c r="BF38" s="234"/>
      <c r="BG38" s="234"/>
      <c r="BH38" s="234"/>
      <c r="BI38" s="234"/>
      <c r="CJ38" s="7"/>
      <c r="CK38" s="7"/>
      <c r="CL38" s="7"/>
      <c r="CM38" s="7"/>
    </row>
    <row r="39" spans="1:91" ht="14.25" thickTop="1">
      <c r="A39" s="8">
        <f t="shared" si="1"/>
        <v>27</v>
      </c>
      <c r="B39" s="9" t="s">
        <v>16</v>
      </c>
      <c r="C39" s="151">
        <v>0.35</v>
      </c>
      <c r="D39" s="159"/>
      <c r="E39" s="521">
        <v>66275067.646916986</v>
      </c>
      <c r="J39" s="34"/>
      <c r="L39" s="150"/>
      <c r="M39" s="150"/>
      <c r="N39" s="150"/>
      <c r="O39" s="15"/>
      <c r="Z39" s="375"/>
      <c r="AA39" s="375"/>
      <c r="AB39" s="375"/>
      <c r="AC39" s="376" t="s">
        <v>484</v>
      </c>
      <c r="AD39" s="147"/>
      <c r="AE39" s="8">
        <f t="shared" si="6"/>
        <v>27</v>
      </c>
      <c r="AF39" s="186" t="s">
        <v>548</v>
      </c>
      <c r="AG39" s="149">
        <f>SUM(AG34:AG38)</f>
        <v>30072248.09</v>
      </c>
      <c r="AH39" s="147"/>
      <c r="AJ39" s="471"/>
      <c r="AK39" s="137">
        <f t="shared" si="7"/>
        <v>27</v>
      </c>
      <c r="AL39" s="487"/>
      <c r="AM39" s="487"/>
      <c r="AN39" s="487"/>
      <c r="AO39" s="487"/>
      <c r="AQ39" s="234"/>
      <c r="AR39" s="234"/>
      <c r="AS39" s="234"/>
      <c r="AT39" s="234"/>
      <c r="AU39" s="8">
        <f t="shared" si="13"/>
        <v>27</v>
      </c>
      <c r="AV39" s="194" t="s">
        <v>319</v>
      </c>
      <c r="AW39" s="269">
        <v>1494701.982071016</v>
      </c>
      <c r="AX39" s="307">
        <v>1494701.7220710255</v>
      </c>
      <c r="AY39" s="307">
        <f t="shared" si="16"/>
        <v>-0.25999999046325684</v>
      </c>
      <c r="AZ39" s="8">
        <f t="shared" si="10"/>
        <v>27</v>
      </c>
      <c r="BA39" s="9" t="s">
        <v>170</v>
      </c>
      <c r="BB39" s="282">
        <f>I29</f>
        <v>6884867.046457907</v>
      </c>
      <c r="BC39" s="517">
        <f t="shared" si="17"/>
        <v>-144513.35930515148</v>
      </c>
      <c r="BD39" s="517">
        <f t="shared" si="18"/>
        <v>50580</v>
      </c>
      <c r="BE39" s="234"/>
      <c r="BF39" s="234"/>
      <c r="BG39" s="234"/>
      <c r="BH39" s="234"/>
      <c r="BI39" s="234"/>
      <c r="CJ39" s="7"/>
      <c r="CK39" s="7"/>
      <c r="CL39" s="7"/>
      <c r="CM39" s="7"/>
    </row>
    <row r="40" spans="1:91" ht="14.25" thickBot="1">
      <c r="A40" s="8">
        <f t="shared" si="1"/>
        <v>28</v>
      </c>
      <c r="B40" s="9" t="s">
        <v>171</v>
      </c>
      <c r="C40" s="109" t="s">
        <v>485</v>
      </c>
      <c r="D40" s="178"/>
      <c r="E40" s="525">
        <f>+E38-E39</f>
        <v>123082268.48713157</v>
      </c>
      <c r="J40" s="34"/>
      <c r="L40" s="150"/>
      <c r="M40" s="150"/>
      <c r="N40" s="150"/>
      <c r="O40" s="15"/>
      <c r="Z40" s="374"/>
      <c r="AA40" s="375"/>
      <c r="AB40" s="375"/>
      <c r="AC40" s="376"/>
      <c r="AD40" s="147"/>
      <c r="AE40" s="8">
        <f t="shared" si="6"/>
        <v>28</v>
      </c>
      <c r="AF40" s="186"/>
      <c r="AG40" s="186"/>
      <c r="AH40" s="186"/>
      <c r="AJ40" s="471"/>
      <c r="AK40" s="137">
        <f t="shared" si="7"/>
        <v>28</v>
      </c>
      <c r="AL40" s="487" t="s">
        <v>559</v>
      </c>
      <c r="AM40" s="479"/>
      <c r="AN40" s="479"/>
      <c r="AO40" s="479"/>
      <c r="AQ40" s="234"/>
      <c r="AR40" s="234"/>
      <c r="AS40" s="234"/>
      <c r="AT40" s="234"/>
      <c r="AU40" s="8">
        <f t="shared" si="13"/>
        <v>28</v>
      </c>
      <c r="AV40" s="194" t="s">
        <v>320</v>
      </c>
      <c r="AW40" s="269">
        <v>2076858.21</v>
      </c>
      <c r="AX40" s="269">
        <v>0</v>
      </c>
      <c r="AY40" s="269">
        <f t="shared" si="16"/>
        <v>-2076858.21</v>
      </c>
      <c r="AZ40" s="8">
        <f t="shared" si="10"/>
        <v>28</v>
      </c>
      <c r="BA40" s="9" t="s">
        <v>25</v>
      </c>
      <c r="BB40" s="147">
        <f>-'JHS-19'!E19-'JHS-19'!F19</f>
        <v>0</v>
      </c>
      <c r="BC40" s="127">
        <f t="shared" si="17"/>
        <v>0</v>
      </c>
      <c r="BD40" s="127">
        <f t="shared" si="18"/>
        <v>0</v>
      </c>
      <c r="BE40" s="234"/>
      <c r="BF40" s="234"/>
      <c r="BG40" s="234"/>
      <c r="BH40" s="234"/>
      <c r="BI40" s="234"/>
      <c r="CI40" s="8"/>
      <c r="CJ40" s="135"/>
      <c r="CK40" s="135"/>
      <c r="CL40" s="135"/>
      <c r="CM40" s="135"/>
    </row>
    <row r="41" spans="1:87" ht="13.5" thickTop="1">
      <c r="A41" s="8"/>
      <c r="E41" s="108"/>
      <c r="J41" s="104"/>
      <c r="L41" s="150"/>
      <c r="M41" s="150"/>
      <c r="N41" s="150"/>
      <c r="O41" s="15"/>
      <c r="Z41" s="374"/>
      <c r="AA41" s="377"/>
      <c r="AB41" s="378"/>
      <c r="AC41" s="376" t="s">
        <v>484</v>
      </c>
      <c r="AD41" s="147"/>
      <c r="AE41" s="8">
        <f t="shared" si="6"/>
        <v>29</v>
      </c>
      <c r="AF41" s="75" t="s">
        <v>549</v>
      </c>
      <c r="AH41" s="127">
        <f>AG39/48*12</f>
        <v>7518062.022500001</v>
      </c>
      <c r="AK41" s="137">
        <f t="shared" si="7"/>
        <v>29</v>
      </c>
      <c r="AL41" s="488" t="s">
        <v>492</v>
      </c>
      <c r="AM41" s="487"/>
      <c r="AN41" s="487"/>
      <c r="AO41" s="487"/>
      <c r="AP41" s="34"/>
      <c r="AQ41" s="234"/>
      <c r="AR41" s="234"/>
      <c r="AS41" s="234"/>
      <c r="AT41" s="234"/>
      <c r="AU41" s="8">
        <f t="shared" si="13"/>
        <v>29</v>
      </c>
      <c r="AV41" s="194" t="s">
        <v>321</v>
      </c>
      <c r="AW41" s="269">
        <v>4162153.8237249996</v>
      </c>
      <c r="AX41" s="269">
        <v>0</v>
      </c>
      <c r="AY41" s="269">
        <f t="shared" si="16"/>
        <v>-4162153.8237249996</v>
      </c>
      <c r="AZ41" s="8">
        <f t="shared" si="10"/>
        <v>29</v>
      </c>
      <c r="BA41" s="9" t="s">
        <v>624</v>
      </c>
      <c r="BB41" s="147">
        <f>J30</f>
        <v>10891022.50639385</v>
      </c>
      <c r="BC41" s="147">
        <f t="shared" si="17"/>
        <v>-228602.56240920693</v>
      </c>
      <c r="BD41" s="147">
        <f t="shared" si="18"/>
        <v>80011</v>
      </c>
      <c r="BE41" s="234"/>
      <c r="BF41" s="234"/>
      <c r="BG41" s="234"/>
      <c r="BH41" s="234"/>
      <c r="BI41" s="234"/>
      <c r="CI41" s="8"/>
    </row>
    <row r="42" spans="1:61" ht="12.75">
      <c r="A42" s="194"/>
      <c r="E42" s="108"/>
      <c r="G42" s="7"/>
      <c r="H42" s="150"/>
      <c r="I42" s="150"/>
      <c r="J42" s="34"/>
      <c r="L42" s="150"/>
      <c r="M42" s="150"/>
      <c r="N42" s="150"/>
      <c r="O42" s="15"/>
      <c r="Z42" s="374"/>
      <c r="AA42" s="374"/>
      <c r="AB42" s="374"/>
      <c r="AC42" s="376" t="s">
        <v>484</v>
      </c>
      <c r="AD42" s="147"/>
      <c r="AE42" s="8">
        <f t="shared" si="6"/>
        <v>30</v>
      </c>
      <c r="AK42" s="137">
        <f t="shared" si="7"/>
        <v>30</v>
      </c>
      <c r="AP42" s="34"/>
      <c r="AQ42" s="104"/>
      <c r="AR42" s="316"/>
      <c r="AS42" s="316"/>
      <c r="AT42" s="316"/>
      <c r="AU42" s="8">
        <f t="shared" si="13"/>
        <v>30</v>
      </c>
      <c r="AV42" s="194" t="s">
        <v>322</v>
      </c>
      <c r="AW42" s="269">
        <v>-1209583.3333333333</v>
      </c>
      <c r="AX42" s="269">
        <v>0</v>
      </c>
      <c r="AY42" s="269">
        <f t="shared" si="16"/>
        <v>1209583.3333333333</v>
      </c>
      <c r="AZ42" s="8">
        <f t="shared" si="10"/>
        <v>30</v>
      </c>
      <c r="BA42" s="9" t="s">
        <v>179</v>
      </c>
      <c r="BB42" s="147">
        <f>I31</f>
        <v>521840.7901655445</v>
      </c>
      <c r="BC42" s="147">
        <f t="shared" si="17"/>
        <v>-10953.43818557478</v>
      </c>
      <c r="BD42" s="147">
        <f t="shared" si="18"/>
        <v>3834</v>
      </c>
      <c r="BE42" s="316"/>
      <c r="BF42" s="316"/>
      <c r="BG42" s="316"/>
      <c r="BH42" s="316"/>
      <c r="BI42" s="316"/>
    </row>
    <row r="43" spans="1:56" ht="13.5">
      <c r="A43" s="8"/>
      <c r="B43" s="9"/>
      <c r="E43" s="108"/>
      <c r="F43" s="8"/>
      <c r="G43" s="7"/>
      <c r="H43" s="150"/>
      <c r="I43" s="150"/>
      <c r="L43" s="150"/>
      <c r="M43" s="150"/>
      <c r="N43" s="150"/>
      <c r="O43" s="15"/>
      <c r="Z43" s="374"/>
      <c r="AA43" s="377"/>
      <c r="AB43" s="378"/>
      <c r="AC43" s="376" t="s">
        <v>484</v>
      </c>
      <c r="AD43" s="127"/>
      <c r="AE43" s="8">
        <f t="shared" si="6"/>
        <v>31</v>
      </c>
      <c r="AG43" s="147"/>
      <c r="AK43" s="137">
        <f t="shared" si="7"/>
        <v>31</v>
      </c>
      <c r="AL43" s="489" t="s">
        <v>315</v>
      </c>
      <c r="AM43" s="490"/>
      <c r="AN43" s="490"/>
      <c r="AO43" s="487"/>
      <c r="AP43" s="34"/>
      <c r="AU43" s="8">
        <f t="shared" si="13"/>
        <v>31</v>
      </c>
      <c r="AV43" s="194" t="s">
        <v>323</v>
      </c>
      <c r="AW43" s="269">
        <v>-457531.3044444445</v>
      </c>
      <c r="AX43" s="269">
        <v>-392169.6666666667</v>
      </c>
      <c r="AY43" s="269">
        <f t="shared" si="16"/>
        <v>65361.637777777796</v>
      </c>
      <c r="AZ43" s="8">
        <f t="shared" si="10"/>
        <v>31</v>
      </c>
      <c r="BA43" s="9" t="s">
        <v>333</v>
      </c>
      <c r="BB43" s="537">
        <f>I32</f>
        <v>1932987</v>
      </c>
      <c r="BC43" s="537">
        <f t="shared" si="17"/>
        <v>-40573.397130000005</v>
      </c>
      <c r="BD43" s="537">
        <f t="shared" si="18"/>
        <v>14201</v>
      </c>
    </row>
    <row r="44" spans="1:56" ht="13.5">
      <c r="A44" s="8"/>
      <c r="C44" s="127"/>
      <c r="E44" s="127"/>
      <c r="F44" s="8"/>
      <c r="G44" s="7"/>
      <c r="H44" s="150"/>
      <c r="I44" s="150"/>
      <c r="L44" s="150"/>
      <c r="M44" s="150"/>
      <c r="N44" s="150"/>
      <c r="O44" s="36"/>
      <c r="Z44" s="379"/>
      <c r="AA44" s="377"/>
      <c r="AB44" s="378"/>
      <c r="AC44" s="380"/>
      <c r="AD44" s="127"/>
      <c r="AE44" s="8">
        <f t="shared" si="6"/>
        <v>32</v>
      </c>
      <c r="AF44" s="186" t="s">
        <v>68</v>
      </c>
      <c r="AG44" s="147"/>
      <c r="AK44" s="104"/>
      <c r="AL44" s="104"/>
      <c r="AM44" s="104"/>
      <c r="AN44" s="104"/>
      <c r="AO44" s="104"/>
      <c r="AP44" s="34"/>
      <c r="AU44" s="8">
        <f t="shared" si="13"/>
        <v>32</v>
      </c>
      <c r="AV44" s="194" t="s">
        <v>324</v>
      </c>
      <c r="AW44" s="269">
        <v>-403219.66019417474</v>
      </c>
      <c r="AX44" s="269">
        <v>-537626.2135922329</v>
      </c>
      <c r="AY44" s="269">
        <f t="shared" si="16"/>
        <v>-134406.55339805817</v>
      </c>
      <c r="AZ44" s="8">
        <f t="shared" si="10"/>
        <v>32</v>
      </c>
      <c r="BA44" s="9" t="s">
        <v>116</v>
      </c>
      <c r="BB44" s="554">
        <f>SUM(BB37:BB43)</f>
        <v>21006816.8423173</v>
      </c>
      <c r="BC44" s="554">
        <f>SUM(BC37:BC43)</f>
        <v>-440933.0855202402</v>
      </c>
      <c r="BD44" s="554">
        <f>SUM(BD37:BD43)</f>
        <v>154328</v>
      </c>
    </row>
    <row r="45" spans="1:87" ht="12.75">
      <c r="A45" s="8"/>
      <c r="E45" s="128"/>
      <c r="G45" s="7"/>
      <c r="H45" s="7"/>
      <c r="I45" s="7"/>
      <c r="L45" s="150"/>
      <c r="M45" s="150"/>
      <c r="N45" s="150"/>
      <c r="O45" s="15"/>
      <c r="Z45" s="374"/>
      <c r="AA45" s="374"/>
      <c r="AB45" s="379"/>
      <c r="AC45" s="376" t="s">
        <v>484</v>
      </c>
      <c r="AD45" s="127"/>
      <c r="AE45" s="8">
        <f t="shared" si="6"/>
        <v>33</v>
      </c>
      <c r="AF45" s="7" t="s">
        <v>246</v>
      </c>
      <c r="AG45" s="147"/>
      <c r="AK45" s="104"/>
      <c r="AL45" s="104"/>
      <c r="AM45" s="104"/>
      <c r="AN45" s="104"/>
      <c r="AO45" s="104"/>
      <c r="AU45" s="8">
        <f t="shared" si="13"/>
        <v>33</v>
      </c>
      <c r="AV45" s="194" t="s">
        <v>564</v>
      </c>
      <c r="AW45" s="269">
        <v>2159053</v>
      </c>
      <c r="AX45" s="269">
        <v>2872181.8354855985</v>
      </c>
      <c r="AY45" s="269">
        <f t="shared" si="16"/>
        <v>713128.8354855985</v>
      </c>
      <c r="AZ45" s="8">
        <f t="shared" si="10"/>
        <v>33</v>
      </c>
      <c r="BA45" s="9"/>
      <c r="BB45" s="147"/>
      <c r="BC45" s="147"/>
      <c r="BD45" s="147"/>
      <c r="CI45" s="34"/>
    </row>
    <row r="46" spans="1:87" ht="12.75">
      <c r="A46" s="34"/>
      <c r="B46" s="104"/>
      <c r="C46" s="128"/>
      <c r="G46" s="7"/>
      <c r="H46" s="7"/>
      <c r="I46" s="7"/>
      <c r="J46" s="91"/>
      <c r="Z46" s="374"/>
      <c r="AA46" s="374"/>
      <c r="AB46" s="379"/>
      <c r="AC46" s="376"/>
      <c r="AD46" s="127"/>
      <c r="AE46" s="8">
        <f aca="true" t="shared" si="19" ref="AE46:AE60">AE45+1</f>
        <v>34</v>
      </c>
      <c r="AF46" s="46" t="s">
        <v>88</v>
      </c>
      <c r="AG46" s="143">
        <v>51735725</v>
      </c>
      <c r="AH46" s="147"/>
      <c r="AJ46" s="471"/>
      <c r="AK46" s="364"/>
      <c r="AL46" s="364"/>
      <c r="AM46" s="364"/>
      <c r="AN46" s="364"/>
      <c r="AO46" s="364"/>
      <c r="AU46" s="8">
        <f t="shared" si="13"/>
        <v>34</v>
      </c>
      <c r="AV46" s="194" t="s">
        <v>565</v>
      </c>
      <c r="AW46" s="269">
        <v>2102005.908375584</v>
      </c>
      <c r="AX46" s="269">
        <v>0</v>
      </c>
      <c r="AY46" s="269">
        <f t="shared" si="16"/>
        <v>-2102005.908375584</v>
      </c>
      <c r="AZ46" s="8">
        <f t="shared" si="10"/>
        <v>34</v>
      </c>
      <c r="BA46" s="126" t="s">
        <v>572</v>
      </c>
      <c r="BB46" s="147"/>
      <c r="BC46" s="147"/>
      <c r="BD46" s="147"/>
      <c r="CI46" s="34"/>
    </row>
    <row r="47" spans="1:87" ht="13.5" customHeight="1">
      <c r="A47" s="34"/>
      <c r="B47" s="58"/>
      <c r="C47" s="127"/>
      <c r="E47" s="127"/>
      <c r="G47" s="7"/>
      <c r="H47" s="7"/>
      <c r="I47" s="7"/>
      <c r="J47" s="91"/>
      <c r="Z47" s="380"/>
      <c r="AA47" s="376" t="s">
        <v>484</v>
      </c>
      <c r="AB47" s="380"/>
      <c r="AC47" s="376"/>
      <c r="AD47" s="127"/>
      <c r="AE47" s="8">
        <f t="shared" si="19"/>
        <v>35</v>
      </c>
      <c r="AF47" s="186" t="s">
        <v>397</v>
      </c>
      <c r="AG47" s="149">
        <f>SUM(AG46)</f>
        <v>51735725</v>
      </c>
      <c r="AH47" s="472"/>
      <c r="AI47" s="145"/>
      <c r="AK47" s="363"/>
      <c r="AL47" s="363"/>
      <c r="AM47" s="363"/>
      <c r="AN47" s="363"/>
      <c r="AO47" s="363"/>
      <c r="AU47" s="8">
        <f t="shared" si="13"/>
        <v>35</v>
      </c>
      <c r="AV47" s="194" t="s">
        <v>566</v>
      </c>
      <c r="AW47" s="269">
        <v>0</v>
      </c>
      <c r="AX47" s="601">
        <v>500000.00000000006</v>
      </c>
      <c r="AY47" s="601">
        <f t="shared" si="16"/>
        <v>500000.00000000006</v>
      </c>
      <c r="AZ47" s="8">
        <f t="shared" si="10"/>
        <v>35</v>
      </c>
      <c r="BA47" s="194" t="s">
        <v>314</v>
      </c>
      <c r="BB47" s="568">
        <f>AX38</f>
        <v>3526620</v>
      </c>
      <c r="BC47" s="569">
        <f aca="true" t="shared" si="20" ref="BC47:BC63">+BB47*-$BC$11</f>
        <v>-74023.7538</v>
      </c>
      <c r="BD47" s="127">
        <v>25908</v>
      </c>
      <c r="CI47" s="34"/>
    </row>
    <row r="48" spans="1:87" ht="12.75">
      <c r="A48" s="34"/>
      <c r="B48" s="58"/>
      <c r="C48" s="127"/>
      <c r="F48" s="34"/>
      <c r="G48" s="7"/>
      <c r="H48" s="7"/>
      <c r="I48" s="7"/>
      <c r="J48" s="91"/>
      <c r="Z48" s="380"/>
      <c r="AA48" s="376" t="s">
        <v>484</v>
      </c>
      <c r="AB48" s="380"/>
      <c r="AC48" s="376"/>
      <c r="AD48" s="127"/>
      <c r="AE48" s="8">
        <f t="shared" si="19"/>
        <v>36</v>
      </c>
      <c r="AF48" s="186" t="s">
        <v>553</v>
      </c>
      <c r="AG48" s="186"/>
      <c r="AH48" s="108"/>
      <c r="AI48" s="147"/>
      <c r="AK48" s="363"/>
      <c r="AL48" s="363"/>
      <c r="AM48" s="363"/>
      <c r="AN48" s="363"/>
      <c r="AO48" s="363"/>
      <c r="AP48" s="91"/>
      <c r="AU48" s="8">
        <f t="shared" si="13"/>
        <v>36</v>
      </c>
      <c r="AV48" s="194" t="s">
        <v>110</v>
      </c>
      <c r="AW48" s="269">
        <v>0</v>
      </c>
      <c r="AX48" s="269">
        <v>265155</v>
      </c>
      <c r="AY48" s="269">
        <f t="shared" si="16"/>
        <v>265155</v>
      </c>
      <c r="AZ48" s="8">
        <f t="shared" si="10"/>
        <v>36</v>
      </c>
      <c r="BA48" s="194" t="s">
        <v>319</v>
      </c>
      <c r="BB48" s="568">
        <f>AX39</f>
        <v>1494701.7220710255</v>
      </c>
      <c r="BC48" s="569">
        <f t="shared" si="20"/>
        <v>-31373.78914627083</v>
      </c>
      <c r="BD48" s="127">
        <v>10981</v>
      </c>
      <c r="CI48" s="34"/>
    </row>
    <row r="49" spans="1:56" ht="12.75">
      <c r="A49" s="34"/>
      <c r="B49" s="58"/>
      <c r="C49" s="127"/>
      <c r="F49" s="34"/>
      <c r="G49" s="7"/>
      <c r="H49" s="7"/>
      <c r="I49" s="7"/>
      <c r="Z49" s="376" t="s">
        <v>484</v>
      </c>
      <c r="AA49" s="376" t="s">
        <v>484</v>
      </c>
      <c r="AB49" s="376" t="s">
        <v>484</v>
      </c>
      <c r="AC49" s="376" t="s">
        <v>484</v>
      </c>
      <c r="AD49" s="127"/>
      <c r="AE49" s="8">
        <f t="shared" si="19"/>
        <v>37</v>
      </c>
      <c r="AF49" s="280" t="s">
        <v>554</v>
      </c>
      <c r="AG49" s="186"/>
      <c r="AH49" s="108"/>
      <c r="AI49" s="147"/>
      <c r="AK49" s="363"/>
      <c r="AL49" s="363"/>
      <c r="AM49" s="363"/>
      <c r="AN49" s="363"/>
      <c r="AO49" s="363"/>
      <c r="AP49" s="91"/>
      <c r="AU49" s="8">
        <f t="shared" si="13"/>
        <v>37</v>
      </c>
      <c r="AV49" s="194" t="s">
        <v>567</v>
      </c>
      <c r="AW49" s="269"/>
      <c r="AX49" s="269"/>
      <c r="AY49" s="269"/>
      <c r="AZ49" s="8">
        <f t="shared" si="10"/>
        <v>37</v>
      </c>
      <c r="BA49" s="194" t="s">
        <v>270</v>
      </c>
      <c r="BB49" s="568"/>
      <c r="BC49" s="569">
        <f t="shared" si="20"/>
        <v>0</v>
      </c>
      <c r="BD49" s="127">
        <v>0</v>
      </c>
    </row>
    <row r="50" spans="2:61" ht="13.5">
      <c r="B50" s="9"/>
      <c r="C50" s="127"/>
      <c r="F50" s="34"/>
      <c r="G50" s="7"/>
      <c r="H50" s="7"/>
      <c r="I50" s="7"/>
      <c r="Z50" s="376" t="s">
        <v>484</v>
      </c>
      <c r="AA50" s="376" t="s">
        <v>484</v>
      </c>
      <c r="AB50" s="376" t="s">
        <v>484</v>
      </c>
      <c r="AC50" s="376" t="s">
        <v>484</v>
      </c>
      <c r="AD50" s="127"/>
      <c r="AE50" s="8">
        <f t="shared" si="19"/>
        <v>38</v>
      </c>
      <c r="AF50" s="7" t="s">
        <v>550</v>
      </c>
      <c r="AG50" s="331"/>
      <c r="AH50" s="143">
        <f>AG47/78*12</f>
        <v>7959342.307692308</v>
      </c>
      <c r="AI50" s="186"/>
      <c r="AK50" s="363"/>
      <c r="AL50" s="363"/>
      <c r="AM50" s="363"/>
      <c r="AN50" s="363"/>
      <c r="AO50" s="363"/>
      <c r="AP50" s="91"/>
      <c r="AQ50" s="111"/>
      <c r="AR50" s="111"/>
      <c r="AS50" s="111"/>
      <c r="AT50" s="111"/>
      <c r="AU50" s="8">
        <f t="shared" si="13"/>
        <v>38</v>
      </c>
      <c r="AV50" s="194" t="s">
        <v>425</v>
      </c>
      <c r="AW50" s="269">
        <v>61034.34347826087</v>
      </c>
      <c r="AX50" s="601">
        <v>152585.85869565216</v>
      </c>
      <c r="AY50" s="601">
        <f t="shared" si="16"/>
        <v>91551.5152173913</v>
      </c>
      <c r="AZ50" s="8">
        <f t="shared" si="10"/>
        <v>38</v>
      </c>
      <c r="BA50" s="194" t="s">
        <v>320</v>
      </c>
      <c r="BB50" s="568">
        <f>AX42</f>
        <v>0</v>
      </c>
      <c r="BC50" s="569">
        <f t="shared" si="20"/>
        <v>0</v>
      </c>
      <c r="BD50" s="127">
        <v>0</v>
      </c>
      <c r="BE50" s="111"/>
      <c r="BF50" s="111"/>
      <c r="BG50" s="111"/>
      <c r="BH50" s="111"/>
      <c r="BI50" s="111"/>
    </row>
    <row r="51" spans="2:61" ht="13.5">
      <c r="B51" s="9"/>
      <c r="E51" s="108"/>
      <c r="F51" s="34"/>
      <c r="G51" s="7"/>
      <c r="H51" s="7"/>
      <c r="I51" s="7"/>
      <c r="Z51" s="376" t="s">
        <v>484</v>
      </c>
      <c r="AA51" s="376" t="s">
        <v>484</v>
      </c>
      <c r="AB51" s="376" t="s">
        <v>484</v>
      </c>
      <c r="AC51" s="376" t="s">
        <v>484</v>
      </c>
      <c r="AD51" s="127"/>
      <c r="AE51" s="8">
        <f t="shared" si="19"/>
        <v>39</v>
      </c>
      <c r="AF51" s="46" t="s">
        <v>551</v>
      </c>
      <c r="AG51" s="147"/>
      <c r="AH51" s="147"/>
      <c r="AI51" s="127">
        <f>AH41+AH50</f>
        <v>15477404.330192309</v>
      </c>
      <c r="AJ51" s="147"/>
      <c r="AK51" s="363"/>
      <c r="AL51" s="363"/>
      <c r="AM51" s="363"/>
      <c r="AN51" s="363"/>
      <c r="AO51" s="363"/>
      <c r="AQ51" s="111"/>
      <c r="AR51" s="111"/>
      <c r="AS51" s="111"/>
      <c r="AT51" s="111"/>
      <c r="AU51" s="8">
        <f t="shared" si="13"/>
        <v>39</v>
      </c>
      <c r="AV51" s="194" t="s">
        <v>426</v>
      </c>
      <c r="AW51" s="269">
        <v>223889.4912903225</v>
      </c>
      <c r="AX51" s="541">
        <v>0</v>
      </c>
      <c r="AY51" s="601">
        <f t="shared" si="16"/>
        <v>-223889.4912903225</v>
      </c>
      <c r="AZ51" s="8">
        <f t="shared" si="10"/>
        <v>39</v>
      </c>
      <c r="BA51" s="194" t="s">
        <v>321</v>
      </c>
      <c r="BB51" s="568">
        <f aca="true" t="shared" si="21" ref="BB51:BB58">AX41</f>
        <v>0</v>
      </c>
      <c r="BC51" s="569">
        <f t="shared" si="20"/>
        <v>0</v>
      </c>
      <c r="BD51" s="127">
        <v>0</v>
      </c>
      <c r="BE51" s="111"/>
      <c r="BF51" s="111"/>
      <c r="BG51" s="111"/>
      <c r="BH51" s="111"/>
      <c r="BI51" s="111"/>
    </row>
    <row r="52" spans="5:87" ht="13.5">
      <c r="E52" s="58"/>
      <c r="G52" s="7"/>
      <c r="H52" s="7"/>
      <c r="I52" s="7"/>
      <c r="Z52" s="376" t="s">
        <v>484</v>
      </c>
      <c r="AA52" s="381"/>
      <c r="AB52" s="376"/>
      <c r="AC52" s="376" t="s">
        <v>484</v>
      </c>
      <c r="AD52" s="127"/>
      <c r="AE52" s="8">
        <f t="shared" si="19"/>
        <v>40</v>
      </c>
      <c r="AF52" s="186" t="s">
        <v>552</v>
      </c>
      <c r="AG52" s="147"/>
      <c r="AH52" s="473"/>
      <c r="AI52" s="143">
        <v>15998328.99</v>
      </c>
      <c r="AK52" s="363"/>
      <c r="AL52" s="363"/>
      <c r="AM52" s="363"/>
      <c r="AN52" s="363"/>
      <c r="AO52" s="363"/>
      <c r="AQ52" s="111"/>
      <c r="AR52" s="111"/>
      <c r="AS52" s="111"/>
      <c r="AT52" s="111"/>
      <c r="AU52" s="8">
        <f t="shared" si="13"/>
        <v>40</v>
      </c>
      <c r="AV52" s="194" t="s">
        <v>427</v>
      </c>
      <c r="AW52" s="269">
        <v>354580.19999999995</v>
      </c>
      <c r="AX52" s="541">
        <v>0</v>
      </c>
      <c r="AY52" s="601">
        <f t="shared" si="16"/>
        <v>-354580.19999999995</v>
      </c>
      <c r="AZ52" s="8">
        <f t="shared" si="10"/>
        <v>40</v>
      </c>
      <c r="BA52" s="194" t="s">
        <v>322</v>
      </c>
      <c r="BB52" s="568">
        <f t="shared" si="21"/>
        <v>0</v>
      </c>
      <c r="BC52" s="569">
        <f t="shared" si="20"/>
        <v>0</v>
      </c>
      <c r="BD52" s="127">
        <v>0</v>
      </c>
      <c r="BE52" s="111"/>
      <c r="BF52" s="111"/>
      <c r="BG52" s="111"/>
      <c r="BH52" s="111"/>
      <c r="BI52" s="111"/>
      <c r="CI52" s="91"/>
    </row>
    <row r="53" spans="1:91" ht="13.5">
      <c r="A53" s="91" t="s">
        <v>485</v>
      </c>
      <c r="C53" s="127"/>
      <c r="E53" s="36"/>
      <c r="G53" s="7"/>
      <c r="H53" s="7"/>
      <c r="I53" s="7"/>
      <c r="Z53" s="376" t="s">
        <v>484</v>
      </c>
      <c r="AA53" s="381"/>
      <c r="AB53" s="376"/>
      <c r="AC53" s="376" t="s">
        <v>484</v>
      </c>
      <c r="AD53" s="127"/>
      <c r="AE53" s="8">
        <f t="shared" si="19"/>
        <v>41</v>
      </c>
      <c r="AF53" s="194"/>
      <c r="AG53" s="294"/>
      <c r="AH53" s="297"/>
      <c r="AI53" s="297"/>
      <c r="AJ53" s="145"/>
      <c r="AK53" s="363"/>
      <c r="AL53" s="363"/>
      <c r="AM53" s="363"/>
      <c r="AN53" s="363"/>
      <c r="AO53" s="363"/>
      <c r="AQ53" s="111"/>
      <c r="AR53" s="111"/>
      <c r="AS53" s="111"/>
      <c r="AT53" s="111"/>
      <c r="AU53" s="8">
        <f t="shared" si="13"/>
        <v>41</v>
      </c>
      <c r="AV53" s="194" t="s">
        <v>428</v>
      </c>
      <c r="AW53" s="269">
        <v>119333.19999999995</v>
      </c>
      <c r="AX53" s="541">
        <v>0</v>
      </c>
      <c r="AY53" s="601">
        <f t="shared" si="16"/>
        <v>-119333.19999999995</v>
      </c>
      <c r="AZ53" s="8">
        <f aca="true" t="shared" si="22" ref="AZ53:AZ107">AZ52+1</f>
        <v>41</v>
      </c>
      <c r="BA53" s="194" t="s">
        <v>323</v>
      </c>
      <c r="BB53" s="568">
        <f t="shared" si="21"/>
        <v>-392169.6666666667</v>
      </c>
      <c r="BC53" s="569">
        <f t="shared" si="20"/>
        <v>8231.641303333334</v>
      </c>
      <c r="BD53" s="127">
        <v>-2881</v>
      </c>
      <c r="BE53" s="111"/>
      <c r="BF53" s="111"/>
      <c r="BG53" s="111"/>
      <c r="BH53" s="111"/>
      <c r="BI53" s="111"/>
      <c r="CI53" s="91"/>
      <c r="CM53" s="36"/>
    </row>
    <row r="54" spans="1:87" ht="13.5">
      <c r="A54" s="91" t="s">
        <v>485</v>
      </c>
      <c r="G54" s="7"/>
      <c r="H54" s="7"/>
      <c r="I54" s="7"/>
      <c r="AB54" s="127"/>
      <c r="AC54" s="127"/>
      <c r="AD54" s="127"/>
      <c r="AE54" s="8">
        <f t="shared" si="19"/>
        <v>42</v>
      </c>
      <c r="AF54" s="194" t="s">
        <v>398</v>
      </c>
      <c r="AG54" s="473"/>
      <c r="AH54" s="147"/>
      <c r="AI54" s="218"/>
      <c r="AJ54" s="143">
        <f>AI51-AI52</f>
        <v>-520924.65980769135</v>
      </c>
      <c r="AK54" s="363"/>
      <c r="AL54" s="363"/>
      <c r="AM54" s="363"/>
      <c r="AN54" s="363"/>
      <c r="AO54" s="363"/>
      <c r="AQ54" s="111"/>
      <c r="AR54" s="111"/>
      <c r="AS54" s="111"/>
      <c r="AT54" s="111"/>
      <c r="AU54" s="8">
        <f t="shared" si="13"/>
        <v>42</v>
      </c>
      <c r="AV54" s="194" t="s">
        <v>429</v>
      </c>
      <c r="AW54" s="269">
        <v>456270.1439130435</v>
      </c>
      <c r="AX54" s="541">
        <v>0</v>
      </c>
      <c r="AY54" s="601">
        <f t="shared" si="16"/>
        <v>-456270.1439130435</v>
      </c>
      <c r="AZ54" s="8">
        <f t="shared" si="22"/>
        <v>42</v>
      </c>
      <c r="BA54" s="194" t="s">
        <v>324</v>
      </c>
      <c r="BB54" s="568">
        <f t="shared" si="21"/>
        <v>-537626.2135922329</v>
      </c>
      <c r="BC54" s="569">
        <f t="shared" si="20"/>
        <v>11284.77422330097</v>
      </c>
      <c r="BD54" s="127">
        <v>-3950</v>
      </c>
      <c r="BE54" s="111"/>
      <c r="BF54" s="111"/>
      <c r="BG54" s="111"/>
      <c r="BH54" s="111"/>
      <c r="BI54" s="111"/>
      <c r="CI54" s="91"/>
    </row>
    <row r="55" spans="1:61" ht="13.5">
      <c r="A55" s="91" t="s">
        <v>485</v>
      </c>
      <c r="F55" s="91"/>
      <c r="G55" s="7"/>
      <c r="H55" s="7"/>
      <c r="I55" s="7"/>
      <c r="AB55" s="127"/>
      <c r="AC55" s="127"/>
      <c r="AD55" s="127"/>
      <c r="AE55" s="8">
        <f t="shared" si="19"/>
        <v>43</v>
      </c>
      <c r="AF55" s="218"/>
      <c r="AG55" s="473"/>
      <c r="AH55" s="111"/>
      <c r="AI55" s="147"/>
      <c r="AJ55" s="147"/>
      <c r="AQ55" s="111"/>
      <c r="AR55" s="111"/>
      <c r="AS55" s="111"/>
      <c r="AT55" s="111"/>
      <c r="AU55" s="8">
        <f t="shared" si="13"/>
        <v>43</v>
      </c>
      <c r="AV55" s="7" t="s">
        <v>568</v>
      </c>
      <c r="AW55" s="559">
        <f>SUM(AW38:AW54)</f>
        <v>14666166.004881268</v>
      </c>
      <c r="AX55" s="613">
        <f>SUM(AX38:AX54)</f>
        <v>7881448.535993377</v>
      </c>
      <c r="AY55" s="613">
        <f>SUM(AY38:AY54)</f>
        <v>-6784717.468887897</v>
      </c>
      <c r="AZ55" s="8">
        <f t="shared" si="22"/>
        <v>43</v>
      </c>
      <c r="BA55" s="194" t="s">
        <v>372</v>
      </c>
      <c r="BB55" s="568">
        <f t="shared" si="21"/>
        <v>2872181.8354855985</v>
      </c>
      <c r="BC55" s="569">
        <f t="shared" si="20"/>
        <v>-60287.09672684272</v>
      </c>
      <c r="BD55" s="127">
        <f aca="true" t="shared" si="23" ref="BD55:BD60">ROUND(BC55*-FIT,0)</f>
        <v>21100</v>
      </c>
      <c r="BE55" s="111"/>
      <c r="BF55" s="111"/>
      <c r="BG55" s="111"/>
      <c r="BH55" s="111"/>
      <c r="BI55" s="111"/>
    </row>
    <row r="56" spans="3:61" ht="12.75">
      <c r="C56" s="108"/>
      <c r="D56" s="104"/>
      <c r="E56" s="104"/>
      <c r="F56" s="91"/>
      <c r="G56" s="7"/>
      <c r="H56" s="7"/>
      <c r="I56" s="7"/>
      <c r="AB56" s="127"/>
      <c r="AC56" s="127"/>
      <c r="AD56" s="127"/>
      <c r="AE56" s="8">
        <f t="shared" si="19"/>
        <v>44</v>
      </c>
      <c r="AF56" s="194" t="s">
        <v>555</v>
      </c>
      <c r="AG56" s="473"/>
      <c r="AH56" s="147"/>
      <c r="AI56" s="147"/>
      <c r="AJ56" s="147">
        <f>AJ28+AJ54</f>
        <v>-2076175.748141027</v>
      </c>
      <c r="AQ56" s="111"/>
      <c r="AR56" s="111"/>
      <c r="AS56" s="111"/>
      <c r="AT56" s="111"/>
      <c r="AU56" s="8">
        <f t="shared" si="13"/>
        <v>44</v>
      </c>
      <c r="AV56"/>
      <c r="AW56" s="573"/>
      <c r="AX56" s="573"/>
      <c r="AY56" s="573"/>
      <c r="AZ56" s="8">
        <f t="shared" si="22"/>
        <v>44</v>
      </c>
      <c r="BA56" s="194" t="s">
        <v>373</v>
      </c>
      <c r="BB56" s="242">
        <f t="shared" si="21"/>
        <v>0</v>
      </c>
      <c r="BC56" s="127">
        <f t="shared" si="20"/>
        <v>0</v>
      </c>
      <c r="BD56" s="127">
        <v>0</v>
      </c>
      <c r="BE56" s="111"/>
      <c r="BF56" s="111"/>
      <c r="BG56" s="111"/>
      <c r="BH56" s="111"/>
      <c r="BI56" s="111"/>
    </row>
    <row r="57" spans="3:61" ht="13.5">
      <c r="C57" s="108"/>
      <c r="E57" s="104"/>
      <c r="F57" s="91"/>
      <c r="G57" s="7"/>
      <c r="H57" s="7"/>
      <c r="I57" s="7"/>
      <c r="AB57" s="127"/>
      <c r="AC57" s="127"/>
      <c r="AD57" s="127"/>
      <c r="AE57" s="8">
        <f t="shared" si="19"/>
        <v>45</v>
      </c>
      <c r="AF57" s="218"/>
      <c r="AG57" s="473"/>
      <c r="AH57" s="147"/>
      <c r="AI57" s="147"/>
      <c r="AJ57" s="133"/>
      <c r="AQ57" s="111"/>
      <c r="AR57" s="111"/>
      <c r="AS57" s="111"/>
      <c r="AT57" s="111"/>
      <c r="AU57" s="8">
        <f t="shared" si="13"/>
        <v>45</v>
      </c>
      <c r="AW57" s="269"/>
      <c r="AX57" s="269"/>
      <c r="AY57" s="269"/>
      <c r="AZ57" s="8">
        <f t="shared" si="22"/>
        <v>45</v>
      </c>
      <c r="BA57" s="194" t="s">
        <v>566</v>
      </c>
      <c r="BB57" s="570">
        <f t="shared" si="21"/>
        <v>500000.00000000006</v>
      </c>
      <c r="BC57" s="571">
        <f t="shared" si="20"/>
        <v>-10495.000000000002</v>
      </c>
      <c r="BD57" s="517">
        <v>3673</v>
      </c>
      <c r="BE57" s="111"/>
      <c r="BF57" s="111"/>
      <c r="BG57" s="111"/>
      <c r="BH57" s="111"/>
      <c r="BI57" s="111"/>
    </row>
    <row r="58" spans="3:61" ht="12.75">
      <c r="C58" s="104"/>
      <c r="D58" s="104"/>
      <c r="E58" s="104"/>
      <c r="G58" s="7"/>
      <c r="H58" s="7"/>
      <c r="I58" s="7"/>
      <c r="AB58" s="127"/>
      <c r="AC58" s="127"/>
      <c r="AD58" s="127"/>
      <c r="AE58" s="8">
        <f t="shared" si="19"/>
        <v>46</v>
      </c>
      <c r="AF58" s="205" t="s">
        <v>556</v>
      </c>
      <c r="AG58" s="205"/>
      <c r="AH58" s="206"/>
      <c r="AI58" s="474">
        <v>0.35</v>
      </c>
      <c r="AJ58" s="143">
        <f>-AJ56*AI58</f>
        <v>726661.5118493594</v>
      </c>
      <c r="AQ58" s="111"/>
      <c r="AR58" s="111"/>
      <c r="AS58" s="111"/>
      <c r="AT58" s="111"/>
      <c r="AU58" s="8">
        <f t="shared" si="13"/>
        <v>46</v>
      </c>
      <c r="AV58"/>
      <c r="AW58" s="573"/>
      <c r="AX58" s="573"/>
      <c r="AY58" s="573"/>
      <c r="AZ58" s="8">
        <f t="shared" si="22"/>
        <v>46</v>
      </c>
      <c r="BA58" s="194" t="s">
        <v>573</v>
      </c>
      <c r="BB58" s="568">
        <f t="shared" si="21"/>
        <v>265155</v>
      </c>
      <c r="BC58" s="569">
        <f t="shared" si="20"/>
        <v>-5565.6034500000005</v>
      </c>
      <c r="BD58" s="127">
        <v>1948</v>
      </c>
      <c r="BE58" s="111"/>
      <c r="BF58" s="111"/>
      <c r="BG58" s="111"/>
      <c r="BH58" s="111"/>
      <c r="BI58" s="111"/>
    </row>
    <row r="59" spans="7:61" ht="13.5">
      <c r="G59" s="7"/>
      <c r="H59" s="7"/>
      <c r="I59" s="7"/>
      <c r="L59" s="111"/>
      <c r="M59" s="111"/>
      <c r="N59" s="111"/>
      <c r="O59" s="111"/>
      <c r="AB59" s="127"/>
      <c r="AC59" s="127"/>
      <c r="AD59" s="127"/>
      <c r="AE59" s="8">
        <f t="shared" si="19"/>
        <v>47</v>
      </c>
      <c r="AF59" s="111"/>
      <c r="AG59" s="111"/>
      <c r="AH59" s="147"/>
      <c r="AI59" s="147"/>
      <c r="AJ59" s="147"/>
      <c r="AQ59" s="111"/>
      <c r="AR59" s="111"/>
      <c r="AS59" s="111"/>
      <c r="AT59" s="111"/>
      <c r="AU59" s="8">
        <f t="shared" si="13"/>
        <v>47</v>
      </c>
      <c r="AV59" s="606" t="s">
        <v>30</v>
      </c>
      <c r="AW59" s="590"/>
      <c r="AX59" s="310"/>
      <c r="AY59" s="541">
        <f>+AY55+AY57</f>
        <v>-6784717.468887897</v>
      </c>
      <c r="AZ59" s="8">
        <f t="shared" si="22"/>
        <v>47</v>
      </c>
      <c r="BA59" s="194" t="s">
        <v>574</v>
      </c>
      <c r="BB59" s="570">
        <f>SUM(AX50:AX54)</f>
        <v>152585.85869565216</v>
      </c>
      <c r="BC59" s="571">
        <f t="shared" si="20"/>
        <v>-3202.777174021739</v>
      </c>
      <c r="BD59" s="517">
        <f t="shared" si="23"/>
        <v>1121</v>
      </c>
      <c r="BE59" s="111"/>
      <c r="BF59" s="111"/>
      <c r="BG59" s="111"/>
      <c r="BH59" s="111"/>
      <c r="BI59" s="111"/>
    </row>
    <row r="60" spans="7:61" ht="13.5" thickBot="1">
      <c r="G60" s="7"/>
      <c r="H60" s="7"/>
      <c r="I60" s="7"/>
      <c r="L60" s="111"/>
      <c r="M60" s="111"/>
      <c r="N60" s="111"/>
      <c r="O60" s="111"/>
      <c r="AB60" s="127"/>
      <c r="AC60" s="127"/>
      <c r="AD60" s="127"/>
      <c r="AE60" s="8">
        <f t="shared" si="19"/>
        <v>48</v>
      </c>
      <c r="AF60" s="207" t="s">
        <v>171</v>
      </c>
      <c r="AG60" s="207"/>
      <c r="AH60" s="203"/>
      <c r="AI60" s="203"/>
      <c r="AJ60" s="475">
        <f>-AJ56-AJ58</f>
        <v>1349514.2362916677</v>
      </c>
      <c r="AQ60" s="111"/>
      <c r="AR60" s="111"/>
      <c r="AS60" s="111"/>
      <c r="AT60" s="111"/>
      <c r="AU60" s="8">
        <f t="shared" si="13"/>
        <v>48</v>
      </c>
      <c r="AV60" s="104"/>
      <c r="AW60" s="573"/>
      <c r="AX60" s="311"/>
      <c r="AY60" s="312"/>
      <c r="AZ60" s="8">
        <f t="shared" si="22"/>
        <v>48</v>
      </c>
      <c r="BA60" s="194" t="s">
        <v>701</v>
      </c>
      <c r="BB60" s="568">
        <f>N28</f>
        <v>697744.7390124068</v>
      </c>
      <c r="BC60" s="569">
        <f t="shared" si="20"/>
        <v>-14645.66207187042</v>
      </c>
      <c r="BD60" s="127">
        <f t="shared" si="23"/>
        <v>5126</v>
      </c>
      <c r="BE60" s="111"/>
      <c r="BF60" s="111"/>
      <c r="BG60" s="111"/>
      <c r="BH60" s="111"/>
      <c r="BI60" s="111"/>
    </row>
    <row r="61" spans="7:67" ht="14.25" thickTop="1">
      <c r="G61" s="7"/>
      <c r="H61" s="7"/>
      <c r="I61" s="7"/>
      <c r="L61" s="111"/>
      <c r="M61" s="111"/>
      <c r="N61" s="111"/>
      <c r="O61" s="111"/>
      <c r="AB61" s="127"/>
      <c r="AC61" s="127"/>
      <c r="AD61" s="127"/>
      <c r="AE61" s="8"/>
      <c r="AF61" s="111"/>
      <c r="AG61" s="111"/>
      <c r="AH61" s="203"/>
      <c r="AI61" s="203"/>
      <c r="AJ61" s="111"/>
      <c r="AQ61" s="111"/>
      <c r="AR61" s="111"/>
      <c r="AS61" s="111"/>
      <c r="AT61" s="111"/>
      <c r="AU61" s="8">
        <f t="shared" si="13"/>
        <v>49</v>
      </c>
      <c r="AV61" s="104" t="s">
        <v>24</v>
      </c>
      <c r="AW61" s="573"/>
      <c r="AX61" s="311">
        <v>0.35</v>
      </c>
      <c r="AY61" s="614">
        <f>-AY55*AX61</f>
        <v>2374651.1141107637</v>
      </c>
      <c r="AZ61" s="8">
        <f t="shared" si="22"/>
        <v>49</v>
      </c>
      <c r="BA61" s="104" t="s">
        <v>702</v>
      </c>
      <c r="BB61" s="569">
        <f>'JHS-20'!O27</f>
        <v>420202.5851524854</v>
      </c>
      <c r="BC61" s="569">
        <f t="shared" si="20"/>
        <v>-8820.05226235067</v>
      </c>
      <c r="BD61" s="372">
        <v>3087</v>
      </c>
      <c r="BE61" s="111"/>
      <c r="BF61" s="111"/>
      <c r="BG61" s="111"/>
      <c r="BH61" s="111"/>
      <c r="BI61" s="111"/>
      <c r="BO61" s="331"/>
    </row>
    <row r="62" spans="7:61" ht="13.5">
      <c r="G62" s="7"/>
      <c r="H62" s="7"/>
      <c r="I62" s="7"/>
      <c r="L62" s="111"/>
      <c r="M62" s="111"/>
      <c r="N62" s="111"/>
      <c r="O62" s="111"/>
      <c r="AB62" s="127"/>
      <c r="AC62" s="127"/>
      <c r="AD62" s="127"/>
      <c r="AE62" s="8"/>
      <c r="AF62" s="207"/>
      <c r="AG62" s="207"/>
      <c r="AH62" s="147"/>
      <c r="AI62" s="147"/>
      <c r="AJ62" s="147"/>
      <c r="AQ62" s="111"/>
      <c r="AR62" s="111"/>
      <c r="AS62" s="111"/>
      <c r="AT62" s="111"/>
      <c r="AU62" s="8">
        <f t="shared" si="13"/>
        <v>50</v>
      </c>
      <c r="AV62" s="104"/>
      <c r="AW62" s="573"/>
      <c r="AX62" s="104"/>
      <c r="AY62" s="104"/>
      <c r="AZ62" s="8">
        <f t="shared" si="22"/>
        <v>50</v>
      </c>
      <c r="BA62" s="104" t="s">
        <v>703</v>
      </c>
      <c r="BB62" s="571">
        <f>BH16</f>
        <v>4580590.941704548</v>
      </c>
      <c r="BC62" s="571">
        <f t="shared" si="20"/>
        <v>-96146.60386637847</v>
      </c>
      <c r="BD62" s="524">
        <v>33651</v>
      </c>
      <c r="BE62" s="111"/>
      <c r="BF62" s="111"/>
      <c r="BG62" s="111"/>
      <c r="BH62" s="111"/>
      <c r="BI62" s="111"/>
    </row>
    <row r="63" spans="7:61" ht="14.25" thickBot="1">
      <c r="G63" s="7"/>
      <c r="H63" s="7"/>
      <c r="I63" s="7"/>
      <c r="L63" s="111"/>
      <c r="M63" s="111"/>
      <c r="N63" s="111"/>
      <c r="O63" s="111"/>
      <c r="AB63" s="127"/>
      <c r="AC63" s="127"/>
      <c r="AD63" s="127"/>
      <c r="AE63" s="8"/>
      <c r="AF63" s="111"/>
      <c r="AG63" s="111"/>
      <c r="AH63" s="111"/>
      <c r="AI63" s="111"/>
      <c r="AJ63" s="111"/>
      <c r="AQ63" s="111"/>
      <c r="AR63" s="111"/>
      <c r="AS63" s="111"/>
      <c r="AT63" s="111"/>
      <c r="AU63" s="8">
        <f t="shared" si="13"/>
        <v>51</v>
      </c>
      <c r="AV63" s="104" t="s">
        <v>171</v>
      </c>
      <c r="AW63" s="573"/>
      <c r="AX63" s="104"/>
      <c r="AY63" s="615">
        <f>-AY59-AY61</f>
        <v>4410066.354777133</v>
      </c>
      <c r="AZ63" s="8">
        <f t="shared" si="22"/>
        <v>51</v>
      </c>
      <c r="BA63" s="194" t="s">
        <v>575</v>
      </c>
      <c r="BB63" s="568">
        <f>AS28</f>
        <v>7088065.589499994</v>
      </c>
      <c r="BC63" s="572">
        <f t="shared" si="20"/>
        <v>-148778.49672360488</v>
      </c>
      <c r="BD63" s="145">
        <v>52072</v>
      </c>
      <c r="BE63" s="111"/>
      <c r="BF63" s="111"/>
      <c r="BG63" s="111"/>
      <c r="BH63" s="111"/>
      <c r="BI63" s="111"/>
    </row>
    <row r="64" spans="7:67" ht="14.25" thickTop="1">
      <c r="G64" s="7"/>
      <c r="H64" s="7"/>
      <c r="I64" s="7"/>
      <c r="L64" s="111"/>
      <c r="M64" s="111"/>
      <c r="N64" s="111"/>
      <c r="O64" s="111"/>
      <c r="AB64" s="127"/>
      <c r="AC64" s="127"/>
      <c r="AD64" s="127"/>
      <c r="AE64" s="8"/>
      <c r="AF64" s="111"/>
      <c r="AG64" s="111"/>
      <c r="AH64" s="111"/>
      <c r="AI64" s="111"/>
      <c r="AJ64" s="133"/>
      <c r="AQ64" s="111"/>
      <c r="AR64" s="111"/>
      <c r="AS64" s="111"/>
      <c r="AT64" s="111"/>
      <c r="AU64" s="8"/>
      <c r="AV64" s="78"/>
      <c r="AW64" s="134"/>
      <c r="AX64" s="134"/>
      <c r="AY64" s="134"/>
      <c r="AZ64" s="8">
        <f t="shared" si="22"/>
        <v>52</v>
      </c>
      <c r="BA64" s="7" t="s">
        <v>568</v>
      </c>
      <c r="BB64" s="616">
        <f>SUM(BB47:BB63)</f>
        <v>20668052.391362812</v>
      </c>
      <c r="BC64" s="616">
        <f>SUM(BC47:BC63)</f>
        <v>-433822.4196947054</v>
      </c>
      <c r="BD64" s="616">
        <f>SUM(BD47:BD63)</f>
        <v>151836</v>
      </c>
      <c r="BE64" s="111"/>
      <c r="BF64" s="111"/>
      <c r="BG64" s="111"/>
      <c r="BH64" s="111"/>
      <c r="BI64" s="111"/>
      <c r="BO64" s="108"/>
    </row>
    <row r="65" spans="7:61" ht="12.75">
      <c r="G65" s="7"/>
      <c r="H65" s="7"/>
      <c r="I65" s="7"/>
      <c r="L65" s="111"/>
      <c r="M65" s="111"/>
      <c r="N65" s="111"/>
      <c r="O65" s="111"/>
      <c r="AB65" s="127"/>
      <c r="AC65" s="127"/>
      <c r="AD65" s="127"/>
      <c r="AE65" s="8"/>
      <c r="AF65" s="111"/>
      <c r="AG65" s="111"/>
      <c r="AH65" s="111"/>
      <c r="AI65" s="111"/>
      <c r="AJ65" s="111"/>
      <c r="AQ65" s="111"/>
      <c r="AR65" s="111"/>
      <c r="AS65" s="111"/>
      <c r="AT65" s="111"/>
      <c r="AU65" s="8"/>
      <c r="AV65" s="131"/>
      <c r="AW65" s="131"/>
      <c r="AX65" s="131"/>
      <c r="AY65" s="131"/>
      <c r="AZ65" s="8">
        <f t="shared" si="22"/>
        <v>53</v>
      </c>
      <c r="BA65" s="104"/>
      <c r="BB65" s="372"/>
      <c r="BC65" s="372"/>
      <c r="BD65" s="372"/>
      <c r="BE65" s="111"/>
      <c r="BF65" s="111"/>
      <c r="BG65" s="111"/>
      <c r="BH65" s="111"/>
      <c r="BI65" s="111"/>
    </row>
    <row r="66" spans="7:61" ht="12.75">
      <c r="G66" s="7"/>
      <c r="H66" s="7"/>
      <c r="I66" s="7"/>
      <c r="L66" s="111"/>
      <c r="M66" s="111"/>
      <c r="N66" s="111"/>
      <c r="O66" s="111"/>
      <c r="AB66" s="127"/>
      <c r="AC66" s="127"/>
      <c r="AD66" s="127"/>
      <c r="AE66" s="8"/>
      <c r="AF66" s="111"/>
      <c r="AG66" s="111"/>
      <c r="AH66" s="111"/>
      <c r="AI66" s="111"/>
      <c r="AJ66" s="111"/>
      <c r="AQ66" s="111"/>
      <c r="AR66" s="111"/>
      <c r="AS66" s="111"/>
      <c r="AT66" s="111"/>
      <c r="AU66" s="8"/>
      <c r="AV66" s="131"/>
      <c r="AW66" s="131"/>
      <c r="AX66" s="131"/>
      <c r="AY66" s="131"/>
      <c r="AZ66" s="8">
        <f t="shared" si="22"/>
        <v>54</v>
      </c>
      <c r="BB66" s="372"/>
      <c r="BC66" s="372"/>
      <c r="BD66" s="242"/>
      <c r="BE66" s="111"/>
      <c r="BF66" s="111"/>
      <c r="BG66" s="111"/>
      <c r="BH66" s="111"/>
      <c r="BI66" s="111"/>
    </row>
    <row r="67" spans="12:61" ht="13.5">
      <c r="L67" s="111"/>
      <c r="M67" s="111"/>
      <c r="N67" s="111"/>
      <c r="O67" s="111"/>
      <c r="AB67" s="127"/>
      <c r="AC67" s="127"/>
      <c r="AD67" s="127"/>
      <c r="AE67" s="8"/>
      <c r="AF67" s="111"/>
      <c r="AG67" s="111"/>
      <c r="AH67" s="111"/>
      <c r="AI67" s="111"/>
      <c r="AJ67" s="111"/>
      <c r="AQ67" s="111"/>
      <c r="AR67" s="111"/>
      <c r="AS67" s="111"/>
      <c r="AT67" s="111"/>
      <c r="AU67" s="8"/>
      <c r="AV67" s="131"/>
      <c r="AW67" s="131"/>
      <c r="AX67" s="131"/>
      <c r="AY67" s="131"/>
      <c r="AZ67" s="8">
        <f t="shared" si="22"/>
        <v>55</v>
      </c>
      <c r="BA67" s="9" t="s">
        <v>652</v>
      </c>
      <c r="BB67" s="147"/>
      <c r="BC67" s="282">
        <f>BB34+BB27+BB22+BB17+BB44+BB64</f>
        <v>174764195.7521423</v>
      </c>
      <c r="BD67" s="282">
        <f>BC34+BC27+BC22+BC17+BC44+BC64</f>
        <v>-3668300.4688374675</v>
      </c>
      <c r="BE67" s="111"/>
      <c r="BF67" s="111"/>
      <c r="BG67" s="111"/>
      <c r="BH67" s="111"/>
      <c r="BI67" s="111"/>
    </row>
    <row r="68" spans="12:61" ht="13.5">
      <c r="L68" s="111"/>
      <c r="M68" s="111"/>
      <c r="N68" s="111"/>
      <c r="O68" s="111"/>
      <c r="AE68" s="8"/>
      <c r="AF68" s="111"/>
      <c r="AG68" s="111"/>
      <c r="AH68" s="111"/>
      <c r="AI68" s="111"/>
      <c r="AQ68" s="111"/>
      <c r="AR68" s="111"/>
      <c r="AS68" s="111"/>
      <c r="AT68" s="111"/>
      <c r="AU68" s="8"/>
      <c r="AV68" s="131"/>
      <c r="AW68" s="131"/>
      <c r="AX68" s="131"/>
      <c r="AY68" s="131"/>
      <c r="AZ68" s="8">
        <f t="shared" si="22"/>
        <v>56</v>
      </c>
      <c r="BA68" s="9" t="s">
        <v>455</v>
      </c>
      <c r="BB68" s="127"/>
      <c r="BC68" s="127"/>
      <c r="BD68" s="517">
        <f>(+BD17+BD22+BD27+BD34+BD44+BD64)</f>
        <v>1398673.3576827715</v>
      </c>
      <c r="BE68" s="111"/>
      <c r="BF68" s="111"/>
      <c r="BG68" s="111"/>
      <c r="BH68" s="111"/>
      <c r="BI68" s="111"/>
    </row>
    <row r="69" spans="12:61" ht="14.25" thickBot="1">
      <c r="L69" s="111"/>
      <c r="M69" s="111"/>
      <c r="N69" s="111"/>
      <c r="O69" s="111"/>
      <c r="AE69" s="8"/>
      <c r="AF69" s="111"/>
      <c r="AG69" s="111"/>
      <c r="AH69" s="111"/>
      <c r="AI69" s="111"/>
      <c r="AQ69" s="111"/>
      <c r="AR69" s="111"/>
      <c r="AS69" s="111"/>
      <c r="AT69" s="111"/>
      <c r="AU69" s="8"/>
      <c r="AZ69" s="8">
        <f t="shared" si="22"/>
        <v>57</v>
      </c>
      <c r="BA69" s="9" t="s">
        <v>18</v>
      </c>
      <c r="BB69" s="127"/>
      <c r="BC69" s="127"/>
      <c r="BD69" s="593">
        <f>-SUM(BD67:BD68)</f>
        <v>2269627.111154696</v>
      </c>
      <c r="BE69" s="111"/>
      <c r="BF69" s="111"/>
      <c r="BG69" s="111"/>
      <c r="BH69" s="111"/>
      <c r="BI69" s="111"/>
    </row>
    <row r="70" spans="12:61" ht="13.5" thickTop="1">
      <c r="L70" s="111"/>
      <c r="M70" s="111"/>
      <c r="N70" s="111"/>
      <c r="O70" s="111"/>
      <c r="AE70" s="8"/>
      <c r="AF70" s="111"/>
      <c r="AG70" s="111"/>
      <c r="AH70" s="111"/>
      <c r="AI70" s="111"/>
      <c r="AQ70" s="111"/>
      <c r="AR70" s="111"/>
      <c r="AS70" s="111"/>
      <c r="AT70" s="111"/>
      <c r="AU70" s="8"/>
      <c r="AV70" s="131"/>
      <c r="AW70" s="131"/>
      <c r="AX70" s="131"/>
      <c r="AY70" s="131"/>
      <c r="AZ70" s="8">
        <f t="shared" si="22"/>
        <v>58</v>
      </c>
      <c r="BB70" s="127"/>
      <c r="BC70" s="127"/>
      <c r="BE70" s="111"/>
      <c r="BF70" s="111"/>
      <c r="BG70" s="111"/>
      <c r="BH70" s="111"/>
      <c r="BI70" s="111"/>
    </row>
    <row r="71" spans="12:61" ht="12.75">
      <c r="L71" s="111"/>
      <c r="M71" s="111"/>
      <c r="N71" s="111"/>
      <c r="O71" s="111"/>
      <c r="AE71" s="8"/>
      <c r="AF71" s="111"/>
      <c r="AG71" s="111"/>
      <c r="AH71" s="111"/>
      <c r="AI71" s="111"/>
      <c r="AJ71" s="131"/>
      <c r="AQ71" s="111"/>
      <c r="AR71" s="111"/>
      <c r="AS71" s="111"/>
      <c r="AT71" s="111"/>
      <c r="AU71" s="8"/>
      <c r="AZ71" s="8">
        <f t="shared" si="22"/>
        <v>59</v>
      </c>
      <c r="BA71" s="126" t="s">
        <v>306</v>
      </c>
      <c r="BB71" s="127"/>
      <c r="BC71" s="127"/>
      <c r="BD71" s="127"/>
      <c r="BE71" s="111"/>
      <c r="BF71" s="111"/>
      <c r="BG71" s="111"/>
      <c r="BH71" s="111"/>
      <c r="BI71" s="111"/>
    </row>
    <row r="72" spans="12:61" ht="12.75">
      <c r="L72" s="111"/>
      <c r="M72" s="111"/>
      <c r="N72" s="111"/>
      <c r="O72" s="111"/>
      <c r="AE72" s="9"/>
      <c r="AJ72" s="131"/>
      <c r="AQ72" s="111"/>
      <c r="AR72" s="111"/>
      <c r="AS72" s="111"/>
      <c r="AT72" s="111"/>
      <c r="AU72" s="8"/>
      <c r="AV72" s="137"/>
      <c r="AW72" s="137"/>
      <c r="AX72" s="137"/>
      <c r="AY72" s="137"/>
      <c r="AZ72" s="8">
        <f t="shared" si="22"/>
        <v>60</v>
      </c>
      <c r="BA72" s="9" t="s">
        <v>576</v>
      </c>
      <c r="BB72" s="57">
        <f>'[1]Prod Plant'!C49+J15+Y15</f>
        <v>3307889571.7574425</v>
      </c>
      <c r="BC72" s="128">
        <f aca="true" t="shared" si="24" ref="BC72:BC79">-ROUND(BB72*$BC$11,0)</f>
        <v>-69432602</v>
      </c>
      <c r="BD72" s="127"/>
      <c r="BE72" s="111"/>
      <c r="BF72" s="111"/>
      <c r="BG72" s="111"/>
      <c r="BH72" s="111"/>
      <c r="BI72" s="111"/>
    </row>
    <row r="73" spans="12:61" ht="12.75">
      <c r="L73" s="111"/>
      <c r="M73" s="111"/>
      <c r="N73" s="111"/>
      <c r="O73" s="111"/>
      <c r="AE73" s="8"/>
      <c r="AJ73" s="131"/>
      <c r="AQ73" s="111"/>
      <c r="AR73" s="111"/>
      <c r="AS73" s="111"/>
      <c r="AT73" s="111"/>
      <c r="AU73" s="8"/>
      <c r="AZ73" s="8">
        <f t="shared" si="22"/>
        <v>61</v>
      </c>
      <c r="BA73" s="9" t="s">
        <v>577</v>
      </c>
      <c r="BB73" s="99">
        <f>'[1]Prod Plant'!E49+J16+Y16</f>
        <v>-1194219566.310815</v>
      </c>
      <c r="BC73" s="147">
        <f t="shared" si="24"/>
        <v>25066669</v>
      </c>
      <c r="BE73" s="111"/>
      <c r="BF73" s="111"/>
      <c r="BG73" s="111"/>
      <c r="BH73" s="111"/>
      <c r="BI73" s="111"/>
    </row>
    <row r="74" spans="12:61" ht="12.75">
      <c r="L74" s="111"/>
      <c r="M74" s="111"/>
      <c r="N74" s="111"/>
      <c r="O74" s="111"/>
      <c r="AE74" s="8"/>
      <c r="AJ74" s="131"/>
      <c r="AQ74" s="111"/>
      <c r="AR74" s="111"/>
      <c r="AS74" s="111"/>
      <c r="AT74" s="111"/>
      <c r="AU74" s="8"/>
      <c r="AZ74" s="8">
        <f t="shared" si="22"/>
        <v>62</v>
      </c>
      <c r="BA74" s="9" t="s">
        <v>120</v>
      </c>
      <c r="BB74" s="99">
        <f>'[1]Prod Plant'!C61</f>
        <v>77287156</v>
      </c>
      <c r="BC74" s="147">
        <f t="shared" si="24"/>
        <v>-1622257</v>
      </c>
      <c r="BE74" s="111"/>
      <c r="BF74" s="111"/>
      <c r="BG74" s="111"/>
      <c r="BH74" s="111"/>
      <c r="BI74" s="111"/>
    </row>
    <row r="75" spans="12:61" ht="12.75">
      <c r="L75" s="111"/>
      <c r="M75" s="111"/>
      <c r="N75" s="111"/>
      <c r="O75" s="111"/>
      <c r="AE75" s="8"/>
      <c r="AJ75" s="131"/>
      <c r="AQ75" s="111"/>
      <c r="AR75" s="111"/>
      <c r="AS75" s="111"/>
      <c r="AT75" s="111"/>
      <c r="AU75" s="8"/>
      <c r="AZ75" s="8">
        <f t="shared" si="22"/>
        <v>63</v>
      </c>
      <c r="BA75" s="9" t="s">
        <v>578</v>
      </c>
      <c r="BB75" s="99">
        <f>'[1]Prod Plant'!E61+'[1]Prod Plant'!E76</f>
        <v>-4080190</v>
      </c>
      <c r="BC75" s="147">
        <f t="shared" si="24"/>
        <v>85643</v>
      </c>
      <c r="BE75" s="111"/>
      <c r="BF75" s="111"/>
      <c r="BG75" s="111"/>
      <c r="BH75" s="111"/>
      <c r="BI75" s="111"/>
    </row>
    <row r="76" spans="12:61" ht="12.75">
      <c r="L76" s="111"/>
      <c r="M76" s="111"/>
      <c r="N76" s="111"/>
      <c r="O76" s="111"/>
      <c r="AE76" s="8"/>
      <c r="AJ76" s="131"/>
      <c r="AQ76" s="111"/>
      <c r="AR76" s="111"/>
      <c r="AS76" s="111"/>
      <c r="AT76" s="111"/>
      <c r="AU76" s="8"/>
      <c r="AZ76" s="8">
        <f t="shared" si="22"/>
        <v>64</v>
      </c>
      <c r="BA76" s="9" t="s">
        <v>667</v>
      </c>
      <c r="BB76" s="55">
        <v>4947628</v>
      </c>
      <c r="BC76" s="127">
        <f t="shared" si="24"/>
        <v>-103851</v>
      </c>
      <c r="BD76" s="127"/>
      <c r="BE76" s="111"/>
      <c r="BF76" s="111"/>
      <c r="BG76" s="111"/>
      <c r="BH76" s="111"/>
      <c r="BI76" s="111"/>
    </row>
    <row r="77" spans="12:61" ht="12.75">
      <c r="L77" s="111"/>
      <c r="M77" s="111"/>
      <c r="N77" s="111"/>
      <c r="O77" s="111"/>
      <c r="AE77" s="8"/>
      <c r="AJ77" s="131"/>
      <c r="AQ77" s="111"/>
      <c r="AR77" s="111"/>
      <c r="AS77" s="111"/>
      <c r="AT77" s="111"/>
      <c r="AU77" s="8"/>
      <c r="AZ77" s="8">
        <f t="shared" si="22"/>
        <v>65</v>
      </c>
      <c r="BA77" s="9" t="s">
        <v>668</v>
      </c>
      <c r="BB77" s="55">
        <v>1458712</v>
      </c>
      <c r="BC77" s="127">
        <f t="shared" si="24"/>
        <v>-30618</v>
      </c>
      <c r="BD77" s="127"/>
      <c r="BE77" s="111"/>
      <c r="BF77" s="111"/>
      <c r="BG77" s="111"/>
      <c r="BH77" s="111"/>
      <c r="BI77" s="111"/>
    </row>
    <row r="78" spans="12:61" ht="12.75">
      <c r="L78" s="111"/>
      <c r="M78" s="111"/>
      <c r="N78" s="111"/>
      <c r="O78" s="111"/>
      <c r="AE78" s="8"/>
      <c r="AQ78" s="111"/>
      <c r="AR78" s="111"/>
      <c r="AS78" s="111"/>
      <c r="AT78" s="111"/>
      <c r="AU78" s="8"/>
      <c r="AY78" s="7" t="s">
        <v>485</v>
      </c>
      <c r="AZ78" s="8">
        <f t="shared" si="22"/>
        <v>66</v>
      </c>
      <c r="BA78" s="9" t="s">
        <v>491</v>
      </c>
      <c r="BB78" s="55">
        <v>250524822.2320833</v>
      </c>
      <c r="BC78" s="147">
        <f t="shared" si="24"/>
        <v>-5258516</v>
      </c>
      <c r="BD78" s="147"/>
      <c r="BE78" s="111"/>
      <c r="BF78" s="111"/>
      <c r="BG78" s="111"/>
      <c r="BH78" s="111"/>
      <c r="BI78" s="111"/>
    </row>
    <row r="79" spans="12:61" ht="12.75">
      <c r="L79" s="111"/>
      <c r="M79" s="111"/>
      <c r="N79" s="111"/>
      <c r="O79" s="111"/>
      <c r="AE79" s="8"/>
      <c r="AQ79" s="111"/>
      <c r="AR79" s="111"/>
      <c r="AS79" s="111"/>
      <c r="AT79" s="111"/>
      <c r="AU79" s="8"/>
      <c r="AZ79" s="8">
        <f t="shared" si="22"/>
        <v>67</v>
      </c>
      <c r="BA79" s="9" t="s">
        <v>29</v>
      </c>
      <c r="BB79" s="55">
        <v>-54306612</v>
      </c>
      <c r="BC79" s="147">
        <f t="shared" si="24"/>
        <v>1139896</v>
      </c>
      <c r="BD79" s="147"/>
      <c r="BE79" s="111"/>
      <c r="BF79" s="111"/>
      <c r="BG79" s="111"/>
      <c r="BH79" s="111"/>
      <c r="BI79" s="111"/>
    </row>
    <row r="80" spans="12:61" ht="12.75">
      <c r="L80" s="111"/>
      <c r="M80" s="111"/>
      <c r="N80" s="111"/>
      <c r="O80" s="111"/>
      <c r="AE80" s="8"/>
      <c r="AQ80" s="111"/>
      <c r="AR80" s="111"/>
      <c r="AS80" s="111"/>
      <c r="AT80" s="111"/>
      <c r="AU80" s="8"/>
      <c r="AZ80" s="8">
        <f t="shared" si="22"/>
        <v>68</v>
      </c>
      <c r="BA80" s="7" t="s">
        <v>39</v>
      </c>
      <c r="BB80" s="584">
        <f>SUM(BB72:BB79)</f>
        <v>2389501521.678711</v>
      </c>
      <c r="BC80" s="584">
        <f>SUM(BC72:BC79)</f>
        <v>-50155636</v>
      </c>
      <c r="BD80" s="147"/>
      <c r="BE80" s="111"/>
      <c r="BF80" s="111"/>
      <c r="BG80" s="111"/>
      <c r="BH80" s="111"/>
      <c r="BI80" s="111"/>
    </row>
    <row r="81" spans="12:61" ht="12.75">
      <c r="L81" s="111"/>
      <c r="M81" s="111"/>
      <c r="N81" s="111"/>
      <c r="O81" s="111"/>
      <c r="AE81" s="8"/>
      <c r="AQ81" s="111"/>
      <c r="AR81" s="111"/>
      <c r="AS81" s="111"/>
      <c r="AT81" s="111"/>
      <c r="AU81" s="8"/>
      <c r="AZ81" s="8">
        <f t="shared" si="22"/>
        <v>69</v>
      </c>
      <c r="BB81" s="99"/>
      <c r="BC81" s="358"/>
      <c r="BD81" s="147"/>
      <c r="BE81" s="111"/>
      <c r="BF81" s="111"/>
      <c r="BG81" s="111"/>
      <c r="BH81" s="111"/>
      <c r="BI81" s="111"/>
    </row>
    <row r="82" spans="12:61" ht="12.75">
      <c r="L82" s="111"/>
      <c r="M82" s="111"/>
      <c r="N82" s="111"/>
      <c r="O82" s="111"/>
      <c r="AQ82" s="111"/>
      <c r="AR82" s="111"/>
      <c r="AS82" s="111"/>
      <c r="AT82" s="111"/>
      <c r="AU82" s="8"/>
      <c r="AZ82" s="8">
        <f t="shared" si="22"/>
        <v>70</v>
      </c>
      <c r="BA82" s="9" t="s">
        <v>293</v>
      </c>
      <c r="BB82" s="55">
        <f>-248409806+J17+Y17</f>
        <v>-326649309.4452131</v>
      </c>
      <c r="BC82" s="127">
        <f>-ROUND(BB82*$BC$11,0)</f>
        <v>6856369</v>
      </c>
      <c r="BD82" s="147"/>
      <c r="BE82" s="111"/>
      <c r="BF82" s="111"/>
      <c r="BG82" s="111"/>
      <c r="BH82" s="111"/>
      <c r="BI82" s="111"/>
    </row>
    <row r="83" spans="12:61" ht="12.75">
      <c r="L83" s="111"/>
      <c r="M83" s="111"/>
      <c r="N83" s="111"/>
      <c r="O83" s="111"/>
      <c r="AQ83" s="111"/>
      <c r="AR83" s="111"/>
      <c r="AS83" s="111"/>
      <c r="AT83" s="111"/>
      <c r="AU83" s="8"/>
      <c r="AZ83" s="8">
        <f t="shared" si="22"/>
        <v>71</v>
      </c>
      <c r="BA83" s="9" t="s">
        <v>579</v>
      </c>
      <c r="BB83" s="55">
        <v>6328940</v>
      </c>
      <c r="BC83" s="127">
        <f>-ROUND(BB83*$BC$11,0)</f>
        <v>-132844</v>
      </c>
      <c r="BD83" s="147"/>
      <c r="BE83" s="111"/>
      <c r="BG83" s="111"/>
      <c r="BH83" s="111"/>
      <c r="BI83" s="111"/>
    </row>
    <row r="84" spans="12:61" ht="12.75">
      <c r="L84" s="111"/>
      <c r="M84" s="111"/>
      <c r="N84" s="111"/>
      <c r="O84" s="111"/>
      <c r="AQ84" s="111"/>
      <c r="AR84" s="111"/>
      <c r="AS84" s="111"/>
      <c r="AT84" s="111"/>
      <c r="AV84" s="131"/>
      <c r="AW84" s="131"/>
      <c r="AX84" s="131"/>
      <c r="AY84" s="131"/>
      <c r="AZ84" s="8">
        <f t="shared" si="22"/>
        <v>72</v>
      </c>
      <c r="BA84" s="9" t="s">
        <v>612</v>
      </c>
      <c r="BB84" s="149">
        <f>SUM(BB82:BB83)</f>
        <v>-320320369.4452131</v>
      </c>
      <c r="BC84" s="149">
        <f>SUM(BC82:BC83)</f>
        <v>6723525</v>
      </c>
      <c r="BD84" s="147"/>
      <c r="BE84" s="111"/>
      <c r="BG84" s="111"/>
      <c r="BH84" s="111"/>
      <c r="BI84" s="111"/>
    </row>
    <row r="85" spans="12:61" ht="12.75">
      <c r="L85" s="111"/>
      <c r="M85" s="111"/>
      <c r="N85" s="111"/>
      <c r="O85" s="111"/>
      <c r="AQ85" s="111"/>
      <c r="AR85" s="111"/>
      <c r="AS85" s="111"/>
      <c r="AT85" s="111"/>
      <c r="AV85" s="131"/>
      <c r="AW85" s="131"/>
      <c r="AX85" s="131"/>
      <c r="AY85" s="131"/>
      <c r="AZ85" s="8">
        <f t="shared" si="22"/>
        <v>73</v>
      </c>
      <c r="BA85" s="9"/>
      <c r="BB85" s="584"/>
      <c r="BC85" s="149">
        <f>-ROUND(BB85*$BC$11,0)</f>
        <v>0</v>
      </c>
      <c r="BD85" s="147"/>
      <c r="BE85" s="111"/>
      <c r="BG85" s="111"/>
      <c r="BH85" s="111"/>
      <c r="BI85" s="111"/>
    </row>
    <row r="86" spans="12:61" ht="13.5" thickBot="1">
      <c r="L86" s="111"/>
      <c r="M86" s="111"/>
      <c r="N86" s="111"/>
      <c r="O86" s="111"/>
      <c r="AQ86" s="111"/>
      <c r="AR86" s="111"/>
      <c r="AS86" s="111"/>
      <c r="AT86" s="111"/>
      <c r="AV86" s="131"/>
      <c r="AW86" s="131"/>
      <c r="AX86" s="131"/>
      <c r="AZ86" s="8">
        <f t="shared" si="22"/>
        <v>74</v>
      </c>
      <c r="BA86" s="9" t="s">
        <v>580</v>
      </c>
      <c r="BB86" s="292">
        <f>BB80+BB84+BB85</f>
        <v>2069181152.2334979</v>
      </c>
      <c r="BC86" s="292">
        <f>BC80+BC84+BC85</f>
        <v>-43432111</v>
      </c>
      <c r="BD86" s="292">
        <f>SUM(BB86:BC86)</f>
        <v>2025749041.2334979</v>
      </c>
      <c r="BE86" s="111"/>
      <c r="BF86" s="111"/>
      <c r="BG86" s="111"/>
      <c r="BH86" s="111"/>
      <c r="BI86" s="111"/>
    </row>
    <row r="87" spans="12:61" ht="13.5" thickTop="1">
      <c r="L87" s="111"/>
      <c r="M87" s="111"/>
      <c r="N87" s="111"/>
      <c r="O87" s="111"/>
      <c r="AQ87" s="111"/>
      <c r="AR87" s="111"/>
      <c r="AS87" s="111"/>
      <c r="AT87" s="111"/>
      <c r="AV87" s="131"/>
      <c r="AW87" s="131"/>
      <c r="AX87" s="131"/>
      <c r="AY87" s="36"/>
      <c r="AZ87" s="8">
        <f t="shared" si="22"/>
        <v>75</v>
      </c>
      <c r="BB87" s="149"/>
      <c r="BC87" s="617"/>
      <c r="BD87" s="147"/>
      <c r="BE87" s="111"/>
      <c r="BF87" s="111"/>
      <c r="BG87" s="111"/>
      <c r="BH87" s="111"/>
      <c r="BI87" s="111"/>
    </row>
    <row r="88" spans="12:61" ht="12.75">
      <c r="L88" s="111"/>
      <c r="M88" s="111"/>
      <c r="N88" s="111"/>
      <c r="O88" s="111"/>
      <c r="AQ88" s="111"/>
      <c r="AR88" s="111"/>
      <c r="AS88" s="111"/>
      <c r="AT88" s="111"/>
      <c r="AV88" s="131"/>
      <c r="AW88" s="131"/>
      <c r="AX88" s="131"/>
      <c r="AY88" s="131"/>
      <c r="AZ88" s="8">
        <f t="shared" si="22"/>
        <v>76</v>
      </c>
      <c r="BA88" s="126" t="s">
        <v>669</v>
      </c>
      <c r="BB88" s="147"/>
      <c r="BC88" s="147"/>
      <c r="BD88" s="147"/>
      <c r="BE88" s="111"/>
      <c r="BF88" s="111"/>
      <c r="BG88" s="111"/>
      <c r="BH88" s="111"/>
      <c r="BI88" s="111"/>
    </row>
    <row r="89" spans="12:61" ht="12.75">
      <c r="L89" s="111"/>
      <c r="M89" s="111"/>
      <c r="N89" s="111"/>
      <c r="O89" s="111"/>
      <c r="AQ89" s="111"/>
      <c r="AR89" s="111"/>
      <c r="AS89" s="111"/>
      <c r="AT89" s="111"/>
      <c r="AV89" s="131"/>
      <c r="AW89" s="131"/>
      <c r="AX89" s="131"/>
      <c r="AY89" s="131"/>
      <c r="AZ89" s="8">
        <f t="shared" si="22"/>
        <v>77</v>
      </c>
      <c r="BA89" s="9" t="s">
        <v>432</v>
      </c>
      <c r="BB89" s="365">
        <f>AX14</f>
        <v>11214773.00999999</v>
      </c>
      <c r="BC89" s="128">
        <f aca="true" t="shared" si="25" ref="BC89:BC104">-ROUND(BB89*$BC$11,0)</f>
        <v>-235398</v>
      </c>
      <c r="BD89" s="127"/>
      <c r="BE89" s="111"/>
      <c r="BF89" s="111"/>
      <c r="BG89" s="111"/>
      <c r="BH89" s="111"/>
      <c r="BI89" s="111"/>
    </row>
    <row r="90" spans="12:61" ht="12.75">
      <c r="L90" s="111"/>
      <c r="M90" s="111"/>
      <c r="N90" s="111"/>
      <c r="O90" s="111"/>
      <c r="AQ90" s="111"/>
      <c r="AR90" s="111"/>
      <c r="AS90" s="111"/>
      <c r="AT90" s="111"/>
      <c r="AV90" s="131"/>
      <c r="AW90" s="131"/>
      <c r="AX90" s="131"/>
      <c r="AY90" s="131"/>
      <c r="AZ90" s="8">
        <f t="shared" si="22"/>
        <v>78</v>
      </c>
      <c r="BA90" s="9" t="s">
        <v>71</v>
      </c>
      <c r="BB90" s="372">
        <f>AX15</f>
        <v>34565277.37337757</v>
      </c>
      <c r="BC90" s="127">
        <f t="shared" si="25"/>
        <v>-725525</v>
      </c>
      <c r="BD90" s="127"/>
      <c r="BE90" s="111"/>
      <c r="BF90" s="111"/>
      <c r="BG90" s="111"/>
      <c r="BH90" s="111"/>
      <c r="BI90" s="111"/>
    </row>
    <row r="91" spans="12:61" ht="12.75">
      <c r="L91" s="111"/>
      <c r="M91" s="111"/>
      <c r="N91" s="111"/>
      <c r="O91" s="111"/>
      <c r="AQ91" s="111"/>
      <c r="AR91" s="111"/>
      <c r="AS91" s="111"/>
      <c r="AT91" s="111"/>
      <c r="AZ91" s="8">
        <f t="shared" si="22"/>
        <v>79</v>
      </c>
      <c r="BA91" s="9" t="s">
        <v>270</v>
      </c>
      <c r="BB91" s="372">
        <f>AX16</f>
        <v>24941806.74</v>
      </c>
      <c r="BC91" s="127">
        <f t="shared" si="25"/>
        <v>-523529</v>
      </c>
      <c r="BD91" s="127"/>
      <c r="BE91" s="111"/>
      <c r="BF91" s="111"/>
      <c r="BG91" s="111"/>
      <c r="BH91" s="111"/>
      <c r="BI91" s="111"/>
    </row>
    <row r="92" spans="12:61" ht="12.75">
      <c r="L92" s="111"/>
      <c r="M92" s="111"/>
      <c r="N92" s="111"/>
      <c r="O92" s="111"/>
      <c r="AQ92" s="111"/>
      <c r="AR92" s="111"/>
      <c r="AS92" s="111"/>
      <c r="AT92" s="111"/>
      <c r="AZ92" s="8">
        <f t="shared" si="22"/>
        <v>80</v>
      </c>
      <c r="BA92" s="194" t="s">
        <v>560</v>
      </c>
      <c r="BB92" s="372">
        <f>AX17</f>
        <v>-29911730</v>
      </c>
      <c r="BC92" s="127">
        <f t="shared" si="25"/>
        <v>627847</v>
      </c>
      <c r="BD92" s="127"/>
      <c r="BE92" s="111"/>
      <c r="BF92" s="111"/>
      <c r="BG92" s="111"/>
      <c r="BH92" s="111"/>
      <c r="BI92" s="111"/>
    </row>
    <row r="93" spans="12:61" ht="12.75">
      <c r="L93" s="111"/>
      <c r="M93" s="111"/>
      <c r="N93" s="111"/>
      <c r="O93" s="111"/>
      <c r="AQ93" s="111"/>
      <c r="AR93" s="111"/>
      <c r="AS93" s="111"/>
      <c r="AT93" s="111"/>
      <c r="AZ93" s="8">
        <f t="shared" si="22"/>
        <v>81</v>
      </c>
      <c r="BA93" s="9" t="s">
        <v>367</v>
      </c>
      <c r="BB93" s="372">
        <f>AX18</f>
        <v>-10331527.550000008</v>
      </c>
      <c r="BC93" s="127">
        <f t="shared" si="25"/>
        <v>216859</v>
      </c>
      <c r="BD93" s="127"/>
      <c r="BE93" s="111"/>
      <c r="BF93" s="111"/>
      <c r="BG93" s="111"/>
      <c r="BH93" s="111"/>
      <c r="BI93" s="111"/>
    </row>
    <row r="94" spans="12:61" ht="12.75">
      <c r="L94" s="111"/>
      <c r="M94" s="111"/>
      <c r="N94" s="111"/>
      <c r="O94" s="111"/>
      <c r="AQ94" s="111"/>
      <c r="AR94" s="111"/>
      <c r="AS94" s="111"/>
      <c r="AT94" s="111"/>
      <c r="AZ94" s="8">
        <f t="shared" si="22"/>
        <v>82</v>
      </c>
      <c r="BA94" s="194" t="s">
        <v>235</v>
      </c>
      <c r="BB94" s="372">
        <f>AX22</f>
        <v>-1529461.682666667</v>
      </c>
      <c r="BC94" s="127">
        <f t="shared" si="25"/>
        <v>32103</v>
      </c>
      <c r="BD94" s="127"/>
      <c r="BE94" s="111"/>
      <c r="BF94" s="111"/>
      <c r="BG94" s="111"/>
      <c r="BH94" s="111"/>
      <c r="BI94" s="111"/>
    </row>
    <row r="95" spans="12:61" ht="12.75">
      <c r="L95" s="111"/>
      <c r="M95" s="111"/>
      <c r="N95" s="111"/>
      <c r="O95" s="111"/>
      <c r="AQ95" s="111"/>
      <c r="AR95" s="111"/>
      <c r="AS95" s="111"/>
      <c r="AT95" s="111"/>
      <c r="AZ95" s="8">
        <f t="shared" si="22"/>
        <v>83</v>
      </c>
      <c r="BA95" s="194" t="s">
        <v>234</v>
      </c>
      <c r="BB95" s="372">
        <f>AX23</f>
        <v>-2096742.2330097083</v>
      </c>
      <c r="BC95" s="127">
        <f t="shared" si="25"/>
        <v>44011</v>
      </c>
      <c r="BD95" s="127"/>
      <c r="BE95" s="111"/>
      <c r="BF95" s="111"/>
      <c r="BG95" s="111"/>
      <c r="BH95" s="111"/>
      <c r="BI95" s="111"/>
    </row>
    <row r="96" spans="12:61" ht="12.75">
      <c r="L96" s="111"/>
      <c r="M96" s="111"/>
      <c r="N96" s="111"/>
      <c r="O96" s="111"/>
      <c r="AQ96" s="111"/>
      <c r="AR96" s="111"/>
      <c r="AS96" s="111"/>
      <c r="AT96" s="111"/>
      <c r="AZ96" s="8">
        <f t="shared" si="22"/>
        <v>84</v>
      </c>
      <c r="BA96" s="7" t="s">
        <v>117</v>
      </c>
      <c r="BB96" s="372">
        <f>AX24</f>
        <v>23180900.644329056</v>
      </c>
      <c r="BC96" s="127">
        <f t="shared" si="25"/>
        <v>-486567</v>
      </c>
      <c r="BD96" s="127"/>
      <c r="BE96" s="111"/>
      <c r="BF96" s="111"/>
      <c r="BG96" s="111"/>
      <c r="BH96" s="111"/>
      <c r="BI96" s="111"/>
    </row>
    <row r="97" spans="7:91" s="7" customFormat="1" ht="13.5">
      <c r="G97" s="111"/>
      <c r="H97" s="111"/>
      <c r="I97" s="111"/>
      <c r="L97" s="111"/>
      <c r="M97" s="111"/>
      <c r="N97" s="111"/>
      <c r="O97" s="111"/>
      <c r="AQ97" s="111"/>
      <c r="AR97" s="111"/>
      <c r="AS97" s="111"/>
      <c r="AT97" s="111"/>
      <c r="AZ97" s="8">
        <f t="shared" si="22"/>
        <v>85</v>
      </c>
      <c r="BA97" s="194" t="s">
        <v>563</v>
      </c>
      <c r="BB97" s="524">
        <f>AX26</f>
        <v>3583333.3333333335</v>
      </c>
      <c r="BC97" s="517">
        <f t="shared" si="25"/>
        <v>-75214</v>
      </c>
      <c r="BD97" s="127"/>
      <c r="BE97" s="111"/>
      <c r="BF97" s="111"/>
      <c r="BG97" s="111"/>
      <c r="BH97" s="111"/>
      <c r="BI97" s="111"/>
      <c r="BJ97"/>
      <c r="BK97"/>
      <c r="BL97"/>
      <c r="BM97"/>
      <c r="BN97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J97" s="108"/>
      <c r="CK97" s="108"/>
      <c r="CL97" s="108"/>
      <c r="CM97" s="108"/>
    </row>
    <row r="98" spans="7:91" s="7" customFormat="1" ht="12.75">
      <c r="G98" s="111"/>
      <c r="H98" s="111"/>
      <c r="I98" s="111"/>
      <c r="L98" s="111"/>
      <c r="M98" s="111"/>
      <c r="N98" s="111"/>
      <c r="O98" s="111"/>
      <c r="AQ98" s="111"/>
      <c r="AR98" s="111"/>
      <c r="AS98" s="111"/>
      <c r="AT98" s="111"/>
      <c r="AZ98" s="8">
        <f t="shared" si="22"/>
        <v>86</v>
      </c>
      <c r="BA98" s="194" t="s">
        <v>581</v>
      </c>
      <c r="BB98" s="372">
        <f>AX27</f>
        <v>1193197.5</v>
      </c>
      <c r="BC98" s="127">
        <f t="shared" si="25"/>
        <v>-25045</v>
      </c>
      <c r="BD98" s="127"/>
      <c r="BE98" s="111"/>
      <c r="BF98" s="111"/>
      <c r="BG98" s="111"/>
      <c r="BH98" s="111"/>
      <c r="BI98" s="111"/>
      <c r="BJ98"/>
      <c r="BK98"/>
      <c r="BL98"/>
      <c r="BM98"/>
      <c r="BN98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J98" s="108"/>
      <c r="CK98" s="108"/>
      <c r="CL98" s="108"/>
      <c r="CM98" s="108"/>
    </row>
    <row r="99" spans="7:91" s="7" customFormat="1" ht="12.75">
      <c r="G99" s="111"/>
      <c r="H99" s="111"/>
      <c r="I99" s="111"/>
      <c r="L99" s="111"/>
      <c r="M99" s="111"/>
      <c r="N99" s="111"/>
      <c r="O99" s="111"/>
      <c r="AQ99" s="111"/>
      <c r="AR99" s="111"/>
      <c r="AS99" s="111"/>
      <c r="AT99" s="111"/>
      <c r="AZ99" s="8">
        <f t="shared" si="22"/>
        <v>87</v>
      </c>
      <c r="BA99" s="194" t="s">
        <v>347</v>
      </c>
      <c r="BB99" s="372">
        <f>+O14+O15</f>
        <v>99746463.45661505</v>
      </c>
      <c r="BC99" s="127">
        <f t="shared" si="25"/>
        <v>-2093678</v>
      </c>
      <c r="BD99" s="127"/>
      <c r="BE99" s="111"/>
      <c r="BF99" s="111"/>
      <c r="BG99" s="111"/>
      <c r="BH99" s="111"/>
      <c r="BI99" s="111"/>
      <c r="BJ99"/>
      <c r="BK99"/>
      <c r="BL99"/>
      <c r="BM99"/>
      <c r="BN99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J99" s="108"/>
      <c r="CK99" s="108"/>
      <c r="CL99" s="108"/>
      <c r="CM99" s="108"/>
    </row>
    <row r="100" spans="7:91" s="7" customFormat="1" ht="13.5">
      <c r="G100" s="111"/>
      <c r="H100" s="111"/>
      <c r="I100" s="111"/>
      <c r="L100" s="111"/>
      <c r="M100" s="111"/>
      <c r="N100" s="111"/>
      <c r="O100" s="111"/>
      <c r="AQ100" s="111"/>
      <c r="AR100" s="111"/>
      <c r="AS100" s="111"/>
      <c r="AT100" s="111"/>
      <c r="AZ100" s="8">
        <f t="shared" si="22"/>
        <v>88</v>
      </c>
      <c r="BA100" s="104" t="s">
        <v>704</v>
      </c>
      <c r="BB100" s="524">
        <f>BH28</f>
        <v>10324092.422502052</v>
      </c>
      <c r="BC100" s="524">
        <f t="shared" si="25"/>
        <v>-216703</v>
      </c>
      <c r="BD100" s="127"/>
      <c r="BE100" s="111"/>
      <c r="BF100" s="111"/>
      <c r="BG100" s="111"/>
      <c r="BH100" s="111"/>
      <c r="BI100" s="111"/>
      <c r="BJ100"/>
      <c r="BK100"/>
      <c r="BL100"/>
      <c r="BM100"/>
      <c r="BN100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J100" s="108"/>
      <c r="CK100" s="108"/>
      <c r="CL100" s="108"/>
      <c r="CM100" s="108"/>
    </row>
    <row r="101" spans="7:91" s="7" customFormat="1" ht="12.75">
      <c r="G101" s="111"/>
      <c r="H101" s="111"/>
      <c r="I101" s="111"/>
      <c r="L101" s="111"/>
      <c r="M101" s="111"/>
      <c r="N101" s="111"/>
      <c r="O101" s="111"/>
      <c r="AQ101" s="111"/>
      <c r="AR101" s="111"/>
      <c r="AS101" s="111"/>
      <c r="AT101" s="111"/>
      <c r="AZ101" s="8">
        <f t="shared" si="22"/>
        <v>89</v>
      </c>
      <c r="BA101" s="194" t="s">
        <v>366</v>
      </c>
      <c r="BB101" s="372">
        <f>+N22</f>
        <v>11099629.760439247</v>
      </c>
      <c r="BC101" s="127">
        <f t="shared" si="25"/>
        <v>-232981</v>
      </c>
      <c r="BD101" s="127"/>
      <c r="BE101" s="111"/>
      <c r="BF101" s="111"/>
      <c r="BG101" s="111"/>
      <c r="BH101" s="111"/>
      <c r="BI101" s="111"/>
      <c r="BJ101"/>
      <c r="BK101"/>
      <c r="BL101"/>
      <c r="BM101"/>
      <c r="BN101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J101" s="108"/>
      <c r="CK101" s="108"/>
      <c r="CL101" s="108"/>
      <c r="CM101" s="108"/>
    </row>
    <row r="102" spans="7:91" s="7" customFormat="1" ht="12.75">
      <c r="G102" s="111"/>
      <c r="H102" s="111"/>
      <c r="I102" s="111"/>
      <c r="L102" s="111"/>
      <c r="M102" s="111"/>
      <c r="N102" s="111"/>
      <c r="O102" s="111"/>
      <c r="AQ102" s="111"/>
      <c r="AR102" s="111"/>
      <c r="AS102" s="111"/>
      <c r="AT102" s="111"/>
      <c r="AZ102" s="8">
        <f t="shared" si="22"/>
        <v>90</v>
      </c>
      <c r="BA102" s="194" t="s">
        <v>364</v>
      </c>
      <c r="BB102" s="372">
        <f>+AT14+AT15+AT16</f>
        <v>117130302.1673249</v>
      </c>
      <c r="BC102" s="127">
        <f t="shared" si="25"/>
        <v>-2458565</v>
      </c>
      <c r="BD102" s="127"/>
      <c r="BE102" s="111"/>
      <c r="BF102" s="111"/>
      <c r="BG102" s="111"/>
      <c r="BH102" s="111"/>
      <c r="BI102" s="111"/>
      <c r="BJ102"/>
      <c r="BK102"/>
      <c r="BL102"/>
      <c r="BM102"/>
      <c r="BN102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J102" s="108"/>
      <c r="CK102" s="108"/>
      <c r="CL102" s="108"/>
      <c r="CM102" s="108"/>
    </row>
    <row r="103" spans="7:91" s="7" customFormat="1" ht="12.75">
      <c r="G103" s="111"/>
      <c r="H103" s="111"/>
      <c r="I103" s="111"/>
      <c r="L103" s="111"/>
      <c r="M103" s="111"/>
      <c r="N103" s="111"/>
      <c r="O103" s="111"/>
      <c r="AQ103" s="111"/>
      <c r="AR103" s="111"/>
      <c r="AS103" s="111"/>
      <c r="AT103" s="111"/>
      <c r="AZ103" s="8">
        <f t="shared" si="22"/>
        <v>91</v>
      </c>
      <c r="BA103" s="194" t="s">
        <v>365</v>
      </c>
      <c r="BB103" s="372">
        <f>+AT23</f>
        <v>18500000</v>
      </c>
      <c r="BC103" s="127">
        <f t="shared" si="25"/>
        <v>-388315</v>
      </c>
      <c r="BD103" s="127"/>
      <c r="BE103" s="111"/>
      <c r="BF103" s="111"/>
      <c r="BG103" s="111"/>
      <c r="BH103" s="111"/>
      <c r="BI103" s="111"/>
      <c r="BJ103"/>
      <c r="BK103"/>
      <c r="BL103"/>
      <c r="BM103"/>
      <c r="BN103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J103" s="108"/>
      <c r="CK103" s="108"/>
      <c r="CL103" s="108"/>
      <c r="CM103" s="108"/>
    </row>
    <row r="104" spans="7:91" s="7" customFormat="1" ht="13.5">
      <c r="G104" s="111"/>
      <c r="H104" s="111"/>
      <c r="I104" s="111"/>
      <c r="L104" s="111"/>
      <c r="M104" s="111"/>
      <c r="N104" s="111"/>
      <c r="O104" s="111"/>
      <c r="AQ104" s="111"/>
      <c r="AR104" s="111"/>
      <c r="AS104" s="111"/>
      <c r="AT104" s="111"/>
      <c r="AZ104" s="8">
        <f t="shared" si="22"/>
        <v>92</v>
      </c>
      <c r="BA104" s="194" t="s">
        <v>582</v>
      </c>
      <c r="BB104" s="618">
        <f>SUM(AX29:AX33)</f>
        <v>31788.419916433093</v>
      </c>
      <c r="BC104" s="282">
        <f t="shared" si="25"/>
        <v>-667</v>
      </c>
      <c r="BD104" s="127"/>
      <c r="BE104" s="111"/>
      <c r="BF104" s="111"/>
      <c r="BG104" s="111"/>
      <c r="BH104" s="111"/>
      <c r="BI104" s="111"/>
      <c r="BJ104"/>
      <c r="BK104"/>
      <c r="BL104"/>
      <c r="BM104"/>
      <c r="BN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J104" s="108"/>
      <c r="CK104" s="108"/>
      <c r="CL104" s="108"/>
      <c r="CM104" s="108"/>
    </row>
    <row r="105" spans="7:91" s="7" customFormat="1" ht="13.5">
      <c r="G105" s="111"/>
      <c r="H105" s="111"/>
      <c r="I105" s="111"/>
      <c r="L105" s="111"/>
      <c r="M105" s="111"/>
      <c r="N105" s="111"/>
      <c r="O105" s="111"/>
      <c r="AQ105" s="111"/>
      <c r="AR105" s="111"/>
      <c r="AS105" s="111"/>
      <c r="AT105" s="111"/>
      <c r="AZ105" s="8">
        <f t="shared" si="22"/>
        <v>93</v>
      </c>
      <c r="BA105" s="7" t="s">
        <v>583</v>
      </c>
      <c r="BB105" s="554">
        <f>SUM(BB89:BB104)</f>
        <v>311642103.3621612</v>
      </c>
      <c r="BC105" s="554">
        <f>SUM(BC89:BC104)</f>
        <v>-6541367</v>
      </c>
      <c r="BD105" s="554">
        <f>SUM(BB105:BC105)</f>
        <v>305100736.3621612</v>
      </c>
      <c r="BE105" s="111"/>
      <c r="BF105" s="111"/>
      <c r="BG105" s="111"/>
      <c r="BH105" s="111"/>
      <c r="BI105" s="111"/>
      <c r="BJ105"/>
      <c r="BK105"/>
      <c r="BL105"/>
      <c r="BM105"/>
      <c r="BN105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J105" s="108"/>
      <c r="CK105" s="108"/>
      <c r="CL105" s="108"/>
      <c r="CM105" s="108"/>
    </row>
    <row r="106" spans="7:91" s="7" customFormat="1" ht="12.75">
      <c r="G106" s="111"/>
      <c r="H106" s="111"/>
      <c r="I106" s="111"/>
      <c r="L106" s="111"/>
      <c r="M106" s="111"/>
      <c r="N106" s="111"/>
      <c r="O106" s="111"/>
      <c r="AQ106" s="111"/>
      <c r="AR106" s="111"/>
      <c r="AS106" s="111"/>
      <c r="AT106" s="111"/>
      <c r="AZ106" s="8">
        <f t="shared" si="22"/>
        <v>94</v>
      </c>
      <c r="BB106" s="147"/>
      <c r="BC106" s="372"/>
      <c r="BD106" s="147"/>
      <c r="BE106" s="111"/>
      <c r="BF106" s="111"/>
      <c r="BG106" s="111"/>
      <c r="BH106" s="111"/>
      <c r="BI106" s="111"/>
      <c r="BJ106"/>
      <c r="BK106"/>
      <c r="BL106"/>
      <c r="BM106"/>
      <c r="BN106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J106" s="108"/>
      <c r="CK106" s="108"/>
      <c r="CL106" s="108"/>
      <c r="CM106" s="108"/>
    </row>
    <row r="107" spans="7:91" s="7" customFormat="1" ht="14.25" thickBot="1">
      <c r="G107" s="111"/>
      <c r="H107" s="111"/>
      <c r="I107" s="111"/>
      <c r="L107" s="111"/>
      <c r="M107" s="111"/>
      <c r="N107" s="111"/>
      <c r="O107" s="111"/>
      <c r="AQ107" s="111"/>
      <c r="AR107" s="111"/>
      <c r="AS107" s="111"/>
      <c r="AT107" s="111"/>
      <c r="AZ107" s="8">
        <f t="shared" si="22"/>
        <v>95</v>
      </c>
      <c r="BA107" s="7" t="s">
        <v>584</v>
      </c>
      <c r="BB107" s="146"/>
      <c r="BC107" s="539">
        <f>SUM(BC86,BC105)</f>
        <v>-49973478</v>
      </c>
      <c r="BD107" s="146"/>
      <c r="BE107" s="111"/>
      <c r="BF107" s="111"/>
      <c r="BG107" s="111"/>
      <c r="BH107" s="111"/>
      <c r="BI107" s="111"/>
      <c r="BJ107"/>
      <c r="BK107"/>
      <c r="BL107"/>
      <c r="BM107"/>
      <c r="BN107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J107" s="108"/>
      <c r="CK107" s="108"/>
      <c r="CL107" s="108"/>
      <c r="CM107" s="108"/>
    </row>
    <row r="108" spans="7:91" s="7" customFormat="1" ht="13.5" thickTop="1">
      <c r="G108" s="111"/>
      <c r="H108" s="111"/>
      <c r="I108" s="111"/>
      <c r="L108" s="111"/>
      <c r="M108" s="111"/>
      <c r="N108" s="111"/>
      <c r="O108" s="111"/>
      <c r="AQ108" s="111"/>
      <c r="AR108" s="111"/>
      <c r="AS108" s="111"/>
      <c r="AT108" s="111"/>
      <c r="BB108" s="127"/>
      <c r="BD108" s="128"/>
      <c r="BE108" s="111"/>
      <c r="BF108" s="111"/>
      <c r="BG108" s="111"/>
      <c r="BH108" s="111"/>
      <c r="BI108" s="111"/>
      <c r="BJ108"/>
      <c r="BK108"/>
      <c r="BL108"/>
      <c r="BM108"/>
      <c r="BN108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J108" s="108"/>
      <c r="CK108" s="108"/>
      <c r="CL108" s="108"/>
      <c r="CM108" s="108"/>
    </row>
    <row r="109" spans="7:91" s="7" customFormat="1" ht="12.75">
      <c r="G109" s="111"/>
      <c r="H109" s="111"/>
      <c r="I109" s="111"/>
      <c r="L109" s="111"/>
      <c r="M109" s="111"/>
      <c r="N109" s="111"/>
      <c r="O109" s="111"/>
      <c r="AQ109" s="111"/>
      <c r="AR109" s="111"/>
      <c r="AS109" s="111"/>
      <c r="AT109" s="111"/>
      <c r="BB109" s="127"/>
      <c r="BE109" s="111"/>
      <c r="BF109" s="111"/>
      <c r="BG109" s="111"/>
      <c r="BH109" s="111"/>
      <c r="BI109" s="111"/>
      <c r="BJ109"/>
      <c r="BK109"/>
      <c r="BL109"/>
      <c r="BM109"/>
      <c r="BN109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J109" s="108"/>
      <c r="CK109" s="108"/>
      <c r="CL109" s="108"/>
      <c r="CM109" s="108"/>
    </row>
    <row r="110" spans="7:91" s="7" customFormat="1" ht="12.75">
      <c r="G110" s="111"/>
      <c r="H110" s="111"/>
      <c r="I110" s="111"/>
      <c r="L110" s="111"/>
      <c r="M110" s="111"/>
      <c r="N110" s="111"/>
      <c r="O110" s="111"/>
      <c r="AQ110" s="111"/>
      <c r="AR110" s="111"/>
      <c r="AS110" s="111"/>
      <c r="AT110" s="111"/>
      <c r="BB110" s="127"/>
      <c r="BC110" s="128"/>
      <c r="BD110" s="36"/>
      <c r="BE110" s="111"/>
      <c r="BF110" s="111"/>
      <c r="BG110" s="111"/>
      <c r="BH110" s="111"/>
      <c r="BI110" s="111"/>
      <c r="BJ110"/>
      <c r="BK110"/>
      <c r="BL110"/>
      <c r="BM110"/>
      <c r="BN110"/>
      <c r="BO110" s="111"/>
      <c r="BP110" s="111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J110" s="108"/>
      <c r="CK110" s="108"/>
      <c r="CL110" s="108"/>
      <c r="CM110" s="108"/>
    </row>
    <row r="111" spans="12:68" ht="12.75">
      <c r="L111" s="111"/>
      <c r="M111" s="111"/>
      <c r="N111" s="111"/>
      <c r="O111" s="111"/>
      <c r="AQ111" s="111"/>
      <c r="AR111" s="111"/>
      <c r="AS111" s="111"/>
      <c r="AT111" s="111"/>
      <c r="BA111" s="111"/>
      <c r="BB111" s="147"/>
      <c r="BC111" s="133"/>
      <c r="BD111" s="111"/>
      <c r="BE111" s="111"/>
      <c r="BF111" s="111"/>
      <c r="BG111" s="111"/>
      <c r="BH111" s="111"/>
      <c r="BI111" s="111"/>
      <c r="BO111" s="111"/>
      <c r="BP111" s="111"/>
    </row>
    <row r="112" spans="12:68" ht="12.75">
      <c r="L112" s="111"/>
      <c r="M112" s="111"/>
      <c r="N112" s="111"/>
      <c r="O112" s="111"/>
      <c r="AQ112" s="111"/>
      <c r="AR112" s="111"/>
      <c r="AS112" s="111"/>
      <c r="AT112" s="111"/>
      <c r="BA112" s="111"/>
      <c r="BB112" s="147"/>
      <c r="BC112" s="133"/>
      <c r="BD112" s="111"/>
      <c r="BE112" s="111"/>
      <c r="BF112" s="111"/>
      <c r="BG112" s="111"/>
      <c r="BH112" s="111"/>
      <c r="BI112" s="111"/>
      <c r="BO112" s="162"/>
      <c r="BP112" s="162"/>
    </row>
    <row r="113" spans="12:68" ht="12.75">
      <c r="L113" s="111"/>
      <c r="M113" s="111"/>
      <c r="N113" s="111"/>
      <c r="O113" s="111"/>
      <c r="AQ113" s="111"/>
      <c r="AR113" s="111"/>
      <c r="AS113" s="111"/>
      <c r="AT113" s="111"/>
      <c r="BA113" s="111"/>
      <c r="BB113" s="147"/>
      <c r="BC113" s="133"/>
      <c r="BD113" s="111"/>
      <c r="BE113" s="111"/>
      <c r="BF113" s="111"/>
      <c r="BG113" s="111"/>
      <c r="BH113" s="111"/>
      <c r="BI113" s="111"/>
      <c r="BO113" s="111"/>
      <c r="BP113" s="111"/>
    </row>
    <row r="114" spans="12:68" ht="12.75">
      <c r="L114" s="111"/>
      <c r="M114" s="111"/>
      <c r="N114" s="111"/>
      <c r="O114" s="111"/>
      <c r="AQ114" s="111"/>
      <c r="AR114" s="111"/>
      <c r="AS114" s="111"/>
      <c r="AT114" s="111"/>
      <c r="BA114" s="162"/>
      <c r="BB114" s="162"/>
      <c r="BC114" s="162"/>
      <c r="BD114" s="162"/>
      <c r="BE114" s="111"/>
      <c r="BF114" s="111"/>
      <c r="BG114" s="111"/>
      <c r="BH114" s="111"/>
      <c r="BI114" s="111"/>
      <c r="BO114" s="111"/>
      <c r="BP114" s="111"/>
    </row>
    <row r="115" spans="12:68" ht="12.75">
      <c r="L115" s="111"/>
      <c r="M115" s="111"/>
      <c r="N115" s="111"/>
      <c r="O115" s="111"/>
      <c r="AQ115" s="111"/>
      <c r="AR115" s="111"/>
      <c r="AS115" s="111"/>
      <c r="AT115" s="111"/>
      <c r="BA115" s="111"/>
      <c r="BB115" s="358"/>
      <c r="BC115" s="133"/>
      <c r="BD115" s="111"/>
      <c r="BE115" s="111"/>
      <c r="BF115" s="111"/>
      <c r="BG115" s="111"/>
      <c r="BH115" s="111"/>
      <c r="BI115" s="111"/>
      <c r="BO115" s="111"/>
      <c r="BP115" s="111"/>
    </row>
    <row r="116" spans="12:68" ht="12.75">
      <c r="L116" s="111"/>
      <c r="M116" s="111"/>
      <c r="N116" s="111"/>
      <c r="O116" s="111"/>
      <c r="AQ116" s="111"/>
      <c r="AR116" s="111"/>
      <c r="AS116" s="111"/>
      <c r="AT116" s="111"/>
      <c r="BA116" s="38"/>
      <c r="BB116" s="104"/>
      <c r="BC116" s="104"/>
      <c r="BD116" s="111"/>
      <c r="BE116" s="111"/>
      <c r="BF116" s="111"/>
      <c r="BG116" s="111"/>
      <c r="BH116" s="111"/>
      <c r="BI116" s="111"/>
      <c r="BO116" s="111"/>
      <c r="BP116" s="111"/>
    </row>
    <row r="117" spans="12:68" ht="12.75">
      <c r="L117" s="111"/>
      <c r="M117" s="111"/>
      <c r="N117" s="111"/>
      <c r="O117" s="111"/>
      <c r="AQ117" s="111"/>
      <c r="AR117" s="111"/>
      <c r="AS117" s="111"/>
      <c r="AT117" s="111"/>
      <c r="BA117" s="104"/>
      <c r="BB117" s="162"/>
      <c r="BC117" s="162"/>
      <c r="BD117" s="111"/>
      <c r="BE117" s="111"/>
      <c r="BF117" s="111"/>
      <c r="BG117" s="111"/>
      <c r="BH117" s="111"/>
      <c r="BI117" s="111"/>
      <c r="BO117" s="162"/>
      <c r="BP117" s="162"/>
    </row>
    <row r="118" spans="12:68" ht="12.75">
      <c r="L118" s="111"/>
      <c r="M118" s="111"/>
      <c r="N118" s="111"/>
      <c r="O118" s="111"/>
      <c r="AQ118" s="111"/>
      <c r="AR118" s="111"/>
      <c r="AS118" s="111"/>
      <c r="AT118" s="111"/>
      <c r="BA118" s="104"/>
      <c r="BB118" s="162"/>
      <c r="BC118" s="162"/>
      <c r="BD118" s="111"/>
      <c r="BE118" s="111"/>
      <c r="BF118" s="111"/>
      <c r="BG118" s="111"/>
      <c r="BH118" s="111"/>
      <c r="BI118" s="111"/>
      <c r="BO118" s="162"/>
      <c r="BP118" s="162"/>
    </row>
    <row r="119" spans="12:68" ht="12.75">
      <c r="L119" s="111"/>
      <c r="M119" s="111"/>
      <c r="N119" s="111"/>
      <c r="O119" s="111"/>
      <c r="BA119" s="104"/>
      <c r="BB119" s="162"/>
      <c r="BC119" s="162"/>
      <c r="BD119" s="162"/>
      <c r="BO119" s="162"/>
      <c r="BP119" s="162"/>
    </row>
    <row r="120" spans="12:68" ht="12.75">
      <c r="L120" s="111"/>
      <c r="M120" s="111"/>
      <c r="N120" s="111"/>
      <c r="O120" s="111"/>
      <c r="BA120" s="104"/>
      <c r="BB120" s="162"/>
      <c r="BC120" s="162"/>
      <c r="BD120" s="162"/>
      <c r="BO120" s="162"/>
      <c r="BP120" s="162"/>
    </row>
    <row r="121" spans="12:68" ht="12.75">
      <c r="L121" s="111"/>
      <c r="M121" s="111"/>
      <c r="N121" s="111"/>
      <c r="O121" s="111"/>
      <c r="BA121" s="104"/>
      <c r="BB121" s="162"/>
      <c r="BC121" s="162"/>
      <c r="BD121" s="162"/>
      <c r="BO121" s="111"/>
      <c r="BP121" s="111"/>
    </row>
    <row r="122" spans="12:68" ht="12.75">
      <c r="L122" s="111"/>
      <c r="M122" s="111"/>
      <c r="N122" s="111"/>
      <c r="O122" s="111"/>
      <c r="BA122" s="104"/>
      <c r="BB122" s="162"/>
      <c r="BC122" s="162"/>
      <c r="BD122" s="162"/>
      <c r="BO122" s="111"/>
      <c r="BP122" s="111"/>
    </row>
    <row r="123" spans="12:68" ht="12.75">
      <c r="L123" s="111"/>
      <c r="M123" s="111"/>
      <c r="N123" s="111"/>
      <c r="O123" s="111"/>
      <c r="BA123" s="111"/>
      <c r="BB123" s="111"/>
      <c r="BC123" s="111"/>
      <c r="BD123" s="111"/>
      <c r="BO123" s="111"/>
      <c r="BP123" s="111"/>
    </row>
    <row r="124" spans="12:56" ht="12.75">
      <c r="L124" s="111"/>
      <c r="M124" s="111"/>
      <c r="N124" s="111"/>
      <c r="O124" s="111"/>
      <c r="BA124" s="162"/>
      <c r="BB124" s="162"/>
      <c r="BC124" s="162"/>
      <c r="BD124" s="162"/>
    </row>
    <row r="125" spans="12:56" ht="12.75">
      <c r="L125" s="111"/>
      <c r="M125" s="111"/>
      <c r="N125" s="111"/>
      <c r="O125" s="111"/>
      <c r="BA125" s="108"/>
      <c r="BB125" s="108"/>
      <c r="BC125" s="108"/>
      <c r="BD125" s="108"/>
    </row>
    <row r="126" spans="12:56" ht="12.75">
      <c r="L126" s="111"/>
      <c r="M126" s="111"/>
      <c r="N126" s="111"/>
      <c r="O126" s="111"/>
      <c r="BA126" s="108"/>
      <c r="BB126" s="108"/>
      <c r="BC126" s="108"/>
      <c r="BD126" s="108"/>
    </row>
    <row r="127" spans="12:56" ht="12.75">
      <c r="L127" s="111"/>
      <c r="M127" s="111"/>
      <c r="N127" s="111"/>
      <c r="O127" s="111"/>
      <c r="BA127" s="108"/>
      <c r="BB127" s="108"/>
      <c r="BC127" s="108"/>
      <c r="BD127" s="108"/>
    </row>
    <row r="128" spans="53:56" ht="12.75">
      <c r="BA128" s="108"/>
      <c r="BB128" s="108"/>
      <c r="BC128" s="108"/>
      <c r="BD128" s="108"/>
    </row>
    <row r="129" spans="53:56" ht="12.75">
      <c r="BA129" s="108"/>
      <c r="BB129" s="108"/>
      <c r="BC129" s="108"/>
      <c r="BD129" s="108"/>
    </row>
    <row r="130" spans="53:56" ht="12.75">
      <c r="BA130" s="108"/>
      <c r="BB130" s="108"/>
      <c r="BC130" s="108"/>
      <c r="BD130" s="108"/>
    </row>
    <row r="131" spans="53:56" ht="12.75">
      <c r="BA131" s="108"/>
      <c r="BB131" s="108"/>
      <c r="BC131" s="108"/>
      <c r="BD131" s="108"/>
    </row>
    <row r="132" spans="53:56" ht="12.75">
      <c r="BA132" s="108"/>
      <c r="BB132" s="108"/>
      <c r="BC132" s="108"/>
      <c r="BD132" s="108"/>
    </row>
    <row r="133" spans="53:56" ht="12.75">
      <c r="BA133" s="108"/>
      <c r="BB133" s="108"/>
      <c r="BC133" s="108"/>
      <c r="BD133" s="108"/>
    </row>
    <row r="134" spans="53:56" ht="12.75">
      <c r="BA134" s="108"/>
      <c r="BB134" s="108"/>
      <c r="BC134" s="108"/>
      <c r="BD134" s="108"/>
    </row>
    <row r="135" spans="53:56" ht="12.75">
      <c r="BA135" s="108"/>
      <c r="BB135" s="108"/>
      <c r="BC135" s="108"/>
      <c r="BD135" s="108"/>
    </row>
    <row r="136" spans="53:56" ht="12.75">
      <c r="BA136" s="108"/>
      <c r="BB136" s="108"/>
      <c r="BC136" s="108"/>
      <c r="BD136" s="108"/>
    </row>
    <row r="137" spans="53:56" ht="12.75">
      <c r="BA137" s="108"/>
      <c r="BB137" s="108"/>
      <c r="BC137" s="108"/>
      <c r="BD137" s="108"/>
    </row>
    <row r="138" spans="53:56" ht="12.75">
      <c r="BA138" s="108"/>
      <c r="BB138" s="108"/>
      <c r="BC138" s="108"/>
      <c r="BD138" s="108"/>
    </row>
    <row r="139" spans="53:56" ht="12.75">
      <c r="BA139" s="108"/>
      <c r="BB139" s="108"/>
      <c r="BC139" s="108"/>
      <c r="BD139" s="108"/>
    </row>
    <row r="140" spans="53:56" ht="12.75">
      <c r="BA140" s="108"/>
      <c r="BB140" s="108"/>
      <c r="BC140" s="108"/>
      <c r="BD140" s="108"/>
    </row>
    <row r="141" spans="53:56" ht="12.75">
      <c r="BA141" s="108"/>
      <c r="BB141" s="108"/>
      <c r="BC141" s="108"/>
      <c r="BD141" s="108"/>
    </row>
    <row r="142" spans="53:56" ht="12.75">
      <c r="BA142" s="108"/>
      <c r="BB142" s="108"/>
      <c r="BC142" s="108"/>
      <c r="BD142" s="108"/>
    </row>
    <row r="143" spans="53:56" ht="12.75">
      <c r="BA143" s="108"/>
      <c r="BB143" s="108"/>
      <c r="BC143" s="108"/>
      <c r="BD143" s="108"/>
    </row>
    <row r="144" spans="53:56" ht="12.75">
      <c r="BA144" s="108"/>
      <c r="BB144" s="108"/>
      <c r="BC144" s="108"/>
      <c r="BD144" s="108"/>
    </row>
    <row r="145" spans="53:56" ht="12.75">
      <c r="BA145" s="108"/>
      <c r="BB145" s="108"/>
      <c r="BC145" s="108"/>
      <c r="BD145" s="108"/>
    </row>
    <row r="146" spans="53:56" ht="12.75">
      <c r="BA146" s="108"/>
      <c r="BB146" s="108"/>
      <c r="BC146" s="108"/>
      <c r="BD146" s="108"/>
    </row>
    <row r="147" spans="53:56" ht="12.75">
      <c r="BA147" s="108"/>
      <c r="BB147" s="108"/>
      <c r="BC147" s="108"/>
      <c r="BD147" s="108"/>
    </row>
    <row r="148" spans="53:56" ht="12.75">
      <c r="BA148" s="108"/>
      <c r="BB148" s="108"/>
      <c r="BC148" s="108"/>
      <c r="BD148" s="108"/>
    </row>
    <row r="149" spans="53:56" ht="12.75">
      <c r="BA149" s="108"/>
      <c r="BB149" s="108"/>
      <c r="BC149" s="108"/>
      <c r="BD149" s="108"/>
    </row>
    <row r="150" spans="53:56" ht="12.75">
      <c r="BA150" s="108"/>
      <c r="BB150" s="108"/>
      <c r="BC150" s="108"/>
      <c r="BD150" s="108"/>
    </row>
    <row r="151" spans="53:56" ht="12.75">
      <c r="BA151" s="108"/>
      <c r="BB151" s="108"/>
      <c r="BC151" s="108"/>
      <c r="BD151" s="108"/>
    </row>
    <row r="152" spans="53:56" ht="12.75">
      <c r="BA152" s="108"/>
      <c r="BB152" s="108"/>
      <c r="BC152" s="108"/>
      <c r="BD152" s="108"/>
    </row>
    <row r="153" spans="53:56" ht="12.75">
      <c r="BA153" s="108"/>
      <c r="BB153" s="108"/>
      <c r="BC153" s="108"/>
      <c r="BD153" s="108"/>
    </row>
    <row r="154" spans="53:56" ht="12.75">
      <c r="BA154" s="108"/>
      <c r="BB154" s="108"/>
      <c r="BC154" s="108"/>
      <c r="BD154" s="108"/>
    </row>
    <row r="155" spans="53:56" ht="12.75">
      <c r="BA155" s="108"/>
      <c r="BB155" s="108"/>
      <c r="BC155" s="108"/>
      <c r="BD155" s="108"/>
    </row>
    <row r="156" spans="53:56" ht="12.75">
      <c r="BA156" s="108"/>
      <c r="BB156" s="108"/>
      <c r="BC156" s="108"/>
      <c r="BD156" s="108"/>
    </row>
    <row r="157" spans="53:56" ht="12.75">
      <c r="BA157" s="108"/>
      <c r="BB157" s="108"/>
      <c r="BC157" s="108"/>
      <c r="BD157" s="108"/>
    </row>
    <row r="161" spans="53:56" ht="12.75">
      <c r="BA161" s="108"/>
      <c r="BB161" s="108"/>
      <c r="BC161" s="108"/>
      <c r="BD161" s="108"/>
    </row>
    <row r="162" spans="53:56" ht="12.75">
      <c r="BA162" s="108"/>
      <c r="BB162" s="108"/>
      <c r="BC162" s="108"/>
      <c r="BD162" s="108"/>
    </row>
    <row r="163" spans="53:56" ht="12.75">
      <c r="BA163" s="108"/>
      <c r="BB163" s="108"/>
      <c r="BC163" s="108"/>
      <c r="BD163" s="108"/>
    </row>
    <row r="164" spans="53:56" ht="12.75">
      <c r="BA164" s="108"/>
      <c r="BB164" s="108"/>
      <c r="BC164" s="108"/>
      <c r="BD164" s="108"/>
    </row>
    <row r="165" spans="53:56" ht="12.75">
      <c r="BA165" s="108"/>
      <c r="BB165" s="108"/>
      <c r="BC165" s="108"/>
      <c r="BD165" s="108"/>
    </row>
    <row r="166" spans="53:56" ht="12.75">
      <c r="BA166" s="108"/>
      <c r="BB166" s="108"/>
      <c r="BC166" s="108"/>
      <c r="BD166" s="108"/>
    </row>
    <row r="167" spans="53:56" ht="12.75">
      <c r="BA167" s="108"/>
      <c r="BB167" s="108"/>
      <c r="BC167" s="108"/>
      <c r="BD167" s="108"/>
    </row>
    <row r="168" spans="53:56" ht="12.75">
      <c r="BA168" s="108"/>
      <c r="BB168" s="108"/>
      <c r="BC168" s="108"/>
      <c r="BD168" s="108"/>
    </row>
    <row r="169" spans="53:56" ht="12.75">
      <c r="BA169" s="108"/>
      <c r="BB169" s="108"/>
      <c r="BC169" s="108"/>
      <c r="BD169" s="108"/>
    </row>
    <row r="170" spans="53:56" ht="12.75">
      <c r="BA170" s="108"/>
      <c r="BB170" s="108"/>
      <c r="BC170" s="108"/>
      <c r="BD170" s="108"/>
    </row>
    <row r="171" spans="53:56" ht="12.75">
      <c r="BA171" s="108"/>
      <c r="BB171" s="108"/>
      <c r="BC171" s="108"/>
      <c r="BD171" s="108"/>
    </row>
    <row r="172" spans="53:56" ht="12.75">
      <c r="BA172" s="108"/>
      <c r="BB172" s="108"/>
      <c r="BC172" s="108"/>
      <c r="BD172" s="108"/>
    </row>
    <row r="173" spans="53:56" ht="12.75">
      <c r="BA173" s="108"/>
      <c r="BB173" s="108"/>
      <c r="BC173" s="108"/>
      <c r="BD173" s="108"/>
    </row>
    <row r="174" spans="53:56" ht="12.75">
      <c r="BA174" s="108"/>
      <c r="BB174" s="108"/>
      <c r="BC174" s="108"/>
      <c r="BD174" s="108"/>
    </row>
    <row r="175" spans="53:56" ht="12.75">
      <c r="BA175" s="108"/>
      <c r="BB175" s="108"/>
      <c r="BC175" s="108"/>
      <c r="BD175" s="108"/>
    </row>
    <row r="176" spans="53:56" ht="12.75">
      <c r="BA176" s="108"/>
      <c r="BB176" s="108"/>
      <c r="BC176" s="108"/>
      <c r="BD176" s="108"/>
    </row>
    <row r="177" spans="53:56" ht="12.75">
      <c r="BA177" s="108"/>
      <c r="BB177" s="108"/>
      <c r="BC177" s="108"/>
      <c r="BD177" s="108"/>
    </row>
    <row r="178" spans="53:56" ht="12.75">
      <c r="BA178" s="108"/>
      <c r="BB178" s="108"/>
      <c r="BC178" s="108"/>
      <c r="BD178" s="108"/>
    </row>
    <row r="179" spans="53:56" ht="12.75">
      <c r="BA179" s="108"/>
      <c r="BB179" s="108"/>
      <c r="BC179" s="108"/>
      <c r="BD179" s="108"/>
    </row>
    <row r="180" spans="53:56" ht="12.75">
      <c r="BA180" s="108"/>
      <c r="BB180" s="108"/>
      <c r="BC180" s="108"/>
      <c r="BD180" s="108"/>
    </row>
    <row r="181" spans="53:56" ht="12.75">
      <c r="BA181" s="108"/>
      <c r="BB181" s="108"/>
      <c r="BC181" s="108"/>
      <c r="BD181" s="108"/>
    </row>
    <row r="182" spans="53:56" ht="12.75">
      <c r="BA182" s="108"/>
      <c r="BB182" s="108"/>
      <c r="BC182" s="108"/>
      <c r="BD182" s="108"/>
    </row>
    <row r="183" spans="53:56" ht="12.75">
      <c r="BA183" s="108"/>
      <c r="BB183" s="108"/>
      <c r="BC183" s="108"/>
      <c r="BD183" s="108"/>
    </row>
    <row r="184" spans="53:56" ht="12.75">
      <c r="BA184" s="108"/>
      <c r="BB184" s="108"/>
      <c r="BC184" s="108"/>
      <c r="BD184" s="108"/>
    </row>
    <row r="185" spans="53:56" ht="12.75">
      <c r="BA185" s="108"/>
      <c r="BB185" s="108"/>
      <c r="BC185" s="108"/>
      <c r="BD185" s="108"/>
    </row>
    <row r="186" spans="53:56" ht="12.75">
      <c r="BA186" s="108"/>
      <c r="BB186" s="108"/>
      <c r="BC186" s="108"/>
      <c r="BD186" s="108"/>
    </row>
    <row r="187" spans="53:56" ht="12.75">
      <c r="BA187" s="108"/>
      <c r="BB187" s="108"/>
      <c r="BC187" s="108"/>
      <c r="BD187" s="108"/>
    </row>
    <row r="188" spans="53:56" ht="12.75">
      <c r="BA188" s="108"/>
      <c r="BB188" s="108"/>
      <c r="BC188" s="108"/>
      <c r="BD188" s="108"/>
    </row>
    <row r="189" spans="53:56" ht="12.75">
      <c r="BA189" s="108"/>
      <c r="BB189" s="108"/>
      <c r="BC189" s="108"/>
      <c r="BD189" s="108"/>
    </row>
    <row r="190" spans="53:56" ht="12.75">
      <c r="BA190" s="108"/>
      <c r="BB190" s="108"/>
      <c r="BC190" s="108"/>
      <c r="BD190" s="108"/>
    </row>
    <row r="191" spans="53:56" ht="12.75">
      <c r="BA191" s="108"/>
      <c r="BB191" s="108"/>
      <c r="BC191" s="108"/>
      <c r="BD191" s="108"/>
    </row>
    <row r="192" spans="53:56" ht="12.75">
      <c r="BA192" s="108"/>
      <c r="BB192" s="108"/>
      <c r="BC192" s="108"/>
      <c r="BD192" s="108"/>
    </row>
    <row r="193" spans="53:56" ht="12.75">
      <c r="BA193" s="108"/>
      <c r="BB193" s="108"/>
      <c r="BC193" s="108"/>
      <c r="BD193" s="108"/>
    </row>
    <row r="194" spans="53:56" ht="12.75">
      <c r="BA194" s="108"/>
      <c r="BB194" s="108"/>
      <c r="BC194" s="108"/>
      <c r="BD194" s="108"/>
    </row>
    <row r="195" spans="53:56" ht="12.75">
      <c r="BA195" s="108"/>
      <c r="BB195" s="108"/>
      <c r="BC195" s="108"/>
      <c r="BD195" s="108"/>
    </row>
    <row r="196" spans="53:56" ht="12.75">
      <c r="BA196" s="108"/>
      <c r="BB196" s="108"/>
      <c r="BC196" s="108"/>
      <c r="BD196" s="108"/>
    </row>
    <row r="197" spans="53:56" ht="12.75">
      <c r="BA197" s="108"/>
      <c r="BB197" s="108"/>
      <c r="BC197" s="108"/>
      <c r="BD197" s="108"/>
    </row>
    <row r="198" spans="53:56" ht="12.75">
      <c r="BA198" s="108"/>
      <c r="BB198" s="108"/>
      <c r="BC198" s="108"/>
      <c r="BD198" s="108"/>
    </row>
    <row r="199" spans="53:56" ht="12.75">
      <c r="BA199" s="108"/>
      <c r="BB199" s="108"/>
      <c r="BC199" s="108"/>
      <c r="BD199" s="108"/>
    </row>
    <row r="200" spans="53:56" ht="12.75">
      <c r="BA200" s="108"/>
      <c r="BB200" s="108"/>
      <c r="BC200" s="108"/>
      <c r="BD200" s="108"/>
    </row>
    <row r="201" spans="53:56" ht="12.75">
      <c r="BA201" s="108"/>
      <c r="BB201" s="108"/>
      <c r="BC201" s="108"/>
      <c r="BD201" s="108"/>
    </row>
    <row r="202" spans="53:56" ht="12.75">
      <c r="BA202" s="108"/>
      <c r="BB202" s="108"/>
      <c r="BC202" s="108"/>
      <c r="BD202" s="108"/>
    </row>
    <row r="203" spans="53:56" ht="12.75">
      <c r="BA203" s="108"/>
      <c r="BB203" s="108"/>
      <c r="BC203" s="108"/>
      <c r="BD203" s="108"/>
    </row>
    <row r="204" spans="53:56" ht="12.75">
      <c r="BA204" s="108"/>
      <c r="BB204" s="108"/>
      <c r="BC204" s="108"/>
      <c r="BD204" s="108"/>
    </row>
    <row r="205" spans="53:56" ht="12.75">
      <c r="BA205" s="108"/>
      <c r="BB205" s="108"/>
      <c r="BC205" s="108"/>
      <c r="BD205" s="108"/>
    </row>
    <row r="206" spans="53:56" ht="12.75">
      <c r="BA206" s="108"/>
      <c r="BB206" s="108"/>
      <c r="BC206" s="108"/>
      <c r="BD206" s="108"/>
    </row>
    <row r="207" spans="53:56" ht="12.75">
      <c r="BA207" s="108"/>
      <c r="BB207" s="108"/>
      <c r="BC207" s="108"/>
      <c r="BD207" s="108"/>
    </row>
    <row r="208" spans="53:56" ht="12.75">
      <c r="BA208" s="108"/>
      <c r="BB208" s="108"/>
      <c r="BC208" s="108"/>
      <c r="BD208" s="108"/>
    </row>
    <row r="209" spans="53:56" ht="12.75">
      <c r="BA209" s="108"/>
      <c r="BB209" s="108"/>
      <c r="BC209" s="108"/>
      <c r="BD209" s="108"/>
    </row>
    <row r="210" spans="53:56" ht="12.75">
      <c r="BA210" s="108"/>
      <c r="BB210" s="108"/>
      <c r="BC210" s="108"/>
      <c r="BD210" s="108"/>
    </row>
    <row r="211" spans="53:56" ht="12.75">
      <c r="BA211" s="108"/>
      <c r="BB211" s="108"/>
      <c r="BC211" s="108"/>
      <c r="BD211" s="108"/>
    </row>
    <row r="212" spans="53:56" ht="12.75">
      <c r="BA212" s="108"/>
      <c r="BB212" s="108"/>
      <c r="BC212" s="108"/>
      <c r="BD212" s="108"/>
    </row>
    <row r="213" spans="53:56" ht="12.75">
      <c r="BA213" s="108"/>
      <c r="BB213" s="108"/>
      <c r="BC213" s="108"/>
      <c r="BD213" s="108"/>
    </row>
    <row r="214" spans="53:56" ht="12.75">
      <c r="BA214" s="108"/>
      <c r="BB214" s="108"/>
      <c r="BC214" s="108"/>
      <c r="BD214" s="108"/>
    </row>
    <row r="215" spans="53:56" ht="12.75">
      <c r="BA215" s="108"/>
      <c r="BB215" s="108"/>
      <c r="BC215" s="108"/>
      <c r="BD215" s="108"/>
    </row>
    <row r="216" spans="53:56" ht="12.75">
      <c r="BA216" s="108"/>
      <c r="BB216" s="108"/>
      <c r="BC216" s="108"/>
      <c r="BD216" s="108"/>
    </row>
    <row r="217" spans="53:56" ht="12.75">
      <c r="BA217" s="108"/>
      <c r="BB217" s="108"/>
      <c r="BC217" s="108"/>
      <c r="BD217" s="108"/>
    </row>
    <row r="218" spans="54:56" ht="12.75">
      <c r="BB218" s="108"/>
      <c r="BC218" s="108"/>
      <c r="BD218" s="108"/>
    </row>
    <row r="219" spans="54:56" ht="12.75">
      <c r="BB219" s="108"/>
      <c r="BC219" s="108"/>
      <c r="BD219" s="108"/>
    </row>
    <row r="220" spans="54:56" ht="12.75">
      <c r="BB220" s="108"/>
      <c r="BC220" s="108"/>
      <c r="BD220" s="108"/>
    </row>
    <row r="221" spans="54:56" ht="12.75">
      <c r="BB221" s="108"/>
      <c r="BC221" s="108"/>
      <c r="BD221" s="108"/>
    </row>
    <row r="222" spans="54:56" ht="12.75">
      <c r="BB222" s="108"/>
      <c r="BC222" s="108"/>
      <c r="BD222" s="108"/>
    </row>
    <row r="223" spans="54:56" ht="12.75">
      <c r="BB223" s="108"/>
      <c r="BC223" s="108"/>
      <c r="BD223" s="108"/>
    </row>
    <row r="224" spans="54:56" ht="12.75">
      <c r="BB224" s="108"/>
      <c r="BC224" s="108"/>
      <c r="BD224" s="108"/>
    </row>
    <row r="225" spans="54:56" ht="12.75">
      <c r="BB225" s="108"/>
      <c r="BC225" s="108"/>
      <c r="BD225" s="108"/>
    </row>
    <row r="226" spans="54:56" ht="12.75">
      <c r="BB226" s="108"/>
      <c r="BC226" s="108"/>
      <c r="BD226" s="108"/>
    </row>
    <row r="227" spans="54:56" ht="12.75">
      <c r="BB227" s="108"/>
      <c r="BC227" s="108"/>
      <c r="BD227" s="108"/>
    </row>
    <row r="228" spans="54:56" ht="12.75">
      <c r="BB228" s="108"/>
      <c r="BC228" s="108"/>
      <c r="BD228" s="108"/>
    </row>
    <row r="229" spans="54:56" ht="12.75">
      <c r="BB229" s="108"/>
      <c r="BC229" s="108"/>
      <c r="BD229" s="108"/>
    </row>
    <row r="230" spans="54:56" ht="12.75">
      <c r="BB230" s="108"/>
      <c r="BC230" s="108"/>
      <c r="BD230" s="108"/>
    </row>
    <row r="231" spans="54:56" ht="12.75">
      <c r="BB231" s="108"/>
      <c r="BC231" s="108"/>
      <c r="BD231" s="108"/>
    </row>
    <row r="232" spans="54:56" ht="12.75">
      <c r="BB232" s="108"/>
      <c r="BC232" s="108"/>
      <c r="BD232" s="108"/>
    </row>
    <row r="233" spans="54:56" ht="12.75">
      <c r="BB233" s="108"/>
      <c r="BC233" s="108"/>
      <c r="BD233" s="108"/>
    </row>
    <row r="234" spans="54:56" ht="12.75">
      <c r="BB234" s="108"/>
      <c r="BC234" s="108"/>
      <c r="BD234" s="108"/>
    </row>
    <row r="235" spans="54:56" ht="12.75">
      <c r="BB235" s="108"/>
      <c r="BC235" s="108"/>
      <c r="BD235" s="108"/>
    </row>
    <row r="236" spans="54:56" ht="12.75">
      <c r="BB236" s="108"/>
      <c r="BC236" s="108"/>
      <c r="BD236" s="108"/>
    </row>
    <row r="237" spans="54:56" ht="12.75">
      <c r="BB237" s="108"/>
      <c r="BC237" s="108"/>
      <c r="BD237" s="108"/>
    </row>
    <row r="238" spans="54:56" ht="12.75">
      <c r="BB238" s="108"/>
      <c r="BC238" s="108"/>
      <c r="BD238" s="108"/>
    </row>
    <row r="239" spans="54:56" ht="12.75">
      <c r="BB239" s="108"/>
      <c r="BC239" s="108"/>
      <c r="BD239" s="108"/>
    </row>
    <row r="240" spans="54:56" ht="12.75">
      <c r="BB240" s="108"/>
      <c r="BC240" s="108"/>
      <c r="BD240" s="108"/>
    </row>
    <row r="241" spans="54:56" ht="12.75">
      <c r="BB241" s="108"/>
      <c r="BC241" s="108"/>
      <c r="BD241" s="108"/>
    </row>
    <row r="242" spans="54:56" ht="12.75">
      <c r="BB242" s="108"/>
      <c r="BC242" s="108"/>
      <c r="BD242" s="108"/>
    </row>
    <row r="243" spans="54:56" ht="12.75">
      <c r="BB243" s="108"/>
      <c r="BC243" s="108"/>
      <c r="BD243" s="108"/>
    </row>
    <row r="244" spans="54:56" ht="12.75">
      <c r="BB244" s="108"/>
      <c r="BC244" s="108"/>
      <c r="BD244" s="108"/>
    </row>
    <row r="245" spans="54:56" ht="12.75">
      <c r="BB245" s="108"/>
      <c r="BC245" s="108"/>
      <c r="BD245" s="108"/>
    </row>
    <row r="246" spans="54:56" ht="12.75">
      <c r="BB246" s="108"/>
      <c r="BC246" s="108"/>
      <c r="BD246" s="108"/>
    </row>
    <row r="247" spans="54:56" ht="12.75">
      <c r="BB247" s="108"/>
      <c r="BC247" s="108"/>
      <c r="BD247" s="108"/>
    </row>
    <row r="248" spans="54:56" ht="12.75">
      <c r="BB248" s="108"/>
      <c r="BC248" s="108"/>
      <c r="BD248" s="108"/>
    </row>
    <row r="249" spans="54:56" ht="12.75">
      <c r="BB249" s="108"/>
      <c r="BC249" s="108"/>
      <c r="BD249" s="108"/>
    </row>
    <row r="250" spans="54:56" ht="12.75">
      <c r="BB250" s="108"/>
      <c r="BC250" s="108"/>
      <c r="BD250" s="108"/>
    </row>
    <row r="251" spans="54:56" ht="12.75">
      <c r="BB251" s="108"/>
      <c r="BC251" s="108"/>
      <c r="BD251" s="108"/>
    </row>
    <row r="252" spans="54:56" ht="12.75">
      <c r="BB252" s="108"/>
      <c r="BC252" s="108"/>
      <c r="BD252" s="108"/>
    </row>
    <row r="253" spans="54:56" ht="12.75">
      <c r="BB253" s="108"/>
      <c r="BC253" s="108"/>
      <c r="BD253" s="108"/>
    </row>
    <row r="254" spans="54:56" ht="12.75">
      <c r="BB254" s="108"/>
      <c r="BC254" s="108"/>
      <c r="BD254" s="108"/>
    </row>
    <row r="255" spans="54:56" ht="12.75">
      <c r="BB255" s="108"/>
      <c r="BC255" s="108"/>
      <c r="BD255" s="108"/>
    </row>
    <row r="256" spans="54:56" ht="12.75">
      <c r="BB256" s="108"/>
      <c r="BC256" s="108"/>
      <c r="BD256" s="108"/>
    </row>
    <row r="257" spans="54:56" ht="12.75">
      <c r="BB257" s="108"/>
      <c r="BC257" s="108"/>
      <c r="BD257" s="108"/>
    </row>
    <row r="258" spans="54:56" ht="12.75">
      <c r="BB258" s="108"/>
      <c r="BC258" s="108"/>
      <c r="BD258" s="108"/>
    </row>
    <row r="259" spans="54:56" ht="12.75">
      <c r="BB259" s="108"/>
      <c r="BC259" s="108"/>
      <c r="BD259" s="108"/>
    </row>
    <row r="260" spans="54:56" ht="12.75">
      <c r="BB260" s="108"/>
      <c r="BC260" s="108"/>
      <c r="BD260" s="108"/>
    </row>
    <row r="261" spans="54:56" ht="12.75">
      <c r="BB261" s="108"/>
      <c r="BC261" s="108"/>
      <c r="BD261" s="108"/>
    </row>
    <row r="262" spans="54:56" ht="12.75">
      <c r="BB262" s="108"/>
      <c r="BC262" s="108"/>
      <c r="BD262" s="108"/>
    </row>
    <row r="263" spans="54:56" ht="12.75">
      <c r="BB263" s="108"/>
      <c r="BC263" s="108"/>
      <c r="BD263" s="108"/>
    </row>
    <row r="264" spans="54:56" ht="12.75">
      <c r="BB264" s="108"/>
      <c r="BC264" s="108"/>
      <c r="BD264" s="108"/>
    </row>
    <row r="265" spans="54:56" ht="12.75">
      <c r="BB265" s="108"/>
      <c r="BC265" s="108"/>
      <c r="BD265" s="108"/>
    </row>
    <row r="266" spans="54:56" ht="12.75">
      <c r="BB266" s="108"/>
      <c r="BC266" s="108"/>
      <c r="BD266" s="108"/>
    </row>
    <row r="267" spans="54:56" ht="12.75">
      <c r="BB267" s="108"/>
      <c r="BC267" s="108"/>
      <c r="BD267" s="108"/>
    </row>
    <row r="268" spans="54:56" ht="12.75">
      <c r="BB268" s="108"/>
      <c r="BC268" s="108"/>
      <c r="BD268" s="108"/>
    </row>
    <row r="269" spans="54:56" ht="12.75">
      <c r="BB269" s="108"/>
      <c r="BC269" s="108"/>
      <c r="BD269" s="108"/>
    </row>
    <row r="270" spans="54:56" ht="12.75">
      <c r="BB270" s="108"/>
      <c r="BC270" s="108"/>
      <c r="BD270" s="108"/>
    </row>
    <row r="271" spans="54:56" ht="12.75">
      <c r="BB271" s="108"/>
      <c r="BC271" s="108"/>
      <c r="BD271" s="108"/>
    </row>
    <row r="272" spans="54:56" ht="12.75">
      <c r="BB272" s="108"/>
      <c r="BC272" s="108"/>
      <c r="BD272" s="108"/>
    </row>
    <row r="273" spans="54:56" ht="12.75">
      <c r="BB273" s="108"/>
      <c r="BC273" s="108"/>
      <c r="BD273" s="108"/>
    </row>
    <row r="274" spans="54:56" ht="12.75">
      <c r="BB274" s="108"/>
      <c r="BC274" s="108"/>
      <c r="BD274" s="108"/>
    </row>
    <row r="275" spans="54:56" ht="12.75">
      <c r="BB275" s="108"/>
      <c r="BC275" s="108"/>
      <c r="BD275" s="108"/>
    </row>
    <row r="276" spans="54:56" ht="12.75">
      <c r="BB276" s="108"/>
      <c r="BC276" s="108"/>
      <c r="BD276" s="108"/>
    </row>
    <row r="277" spans="54:56" ht="12.75">
      <c r="BB277" s="108"/>
      <c r="BC277" s="108"/>
      <c r="BD277" s="108"/>
    </row>
    <row r="278" spans="54:56" ht="12.75">
      <c r="BB278" s="108"/>
      <c r="BC278" s="108"/>
      <c r="BD278" s="108"/>
    </row>
    <row r="279" spans="54:56" ht="12.75">
      <c r="BB279" s="108"/>
      <c r="BC279" s="108"/>
      <c r="BD279" s="108"/>
    </row>
    <row r="280" spans="54:56" ht="12.75">
      <c r="BB280" s="108"/>
      <c r="BC280" s="108"/>
      <c r="BD280" s="108"/>
    </row>
    <row r="281" spans="54:56" ht="12.75">
      <c r="BB281" s="108"/>
      <c r="BC281" s="108"/>
      <c r="BD281" s="108"/>
    </row>
    <row r="282" spans="54:56" ht="12.75">
      <c r="BB282" s="108"/>
      <c r="BC282" s="108"/>
      <c r="BD282" s="108"/>
    </row>
    <row r="283" spans="54:56" ht="12.75">
      <c r="BB283" s="108"/>
      <c r="BC283" s="108"/>
      <c r="BD283" s="108"/>
    </row>
    <row r="284" spans="54:56" ht="12.75">
      <c r="BB284" s="108"/>
      <c r="BC284" s="108"/>
      <c r="BD284" s="108"/>
    </row>
    <row r="285" spans="54:56" ht="12.75">
      <c r="BB285" s="108"/>
      <c r="BC285" s="108"/>
      <c r="BD285" s="108"/>
    </row>
    <row r="286" spans="54:56" ht="12.75">
      <c r="BB286" s="108"/>
      <c r="BC286" s="108"/>
      <c r="BD286" s="108"/>
    </row>
    <row r="287" spans="54:56" ht="12.75">
      <c r="BB287" s="108"/>
      <c r="BC287" s="108"/>
      <c r="BD287" s="108"/>
    </row>
    <row r="288" spans="54:56" ht="12.75">
      <c r="BB288" s="108"/>
      <c r="BC288" s="108"/>
      <c r="BD288" s="108"/>
    </row>
    <row r="289" spans="54:56" ht="12.75">
      <c r="BB289" s="108"/>
      <c r="BC289" s="108"/>
      <c r="BD289" s="108"/>
    </row>
    <row r="290" spans="54:56" ht="12.75">
      <c r="BB290" s="108"/>
      <c r="BC290" s="108"/>
      <c r="BD290" s="108"/>
    </row>
    <row r="291" spans="54:56" ht="12.75">
      <c r="BB291" s="108"/>
      <c r="BC291" s="108"/>
      <c r="BD291" s="108"/>
    </row>
    <row r="292" spans="54:56" ht="12.75">
      <c r="BB292" s="108"/>
      <c r="BC292" s="108"/>
      <c r="BD292" s="108"/>
    </row>
    <row r="293" spans="54:56" ht="12.75">
      <c r="BB293" s="108"/>
      <c r="BC293" s="108"/>
      <c r="BD293" s="108"/>
    </row>
    <row r="294" spans="54:56" ht="12.75">
      <c r="BB294" s="108"/>
      <c r="BC294" s="108"/>
      <c r="BD294" s="108"/>
    </row>
    <row r="295" spans="54:56" ht="12.75">
      <c r="BB295" s="108"/>
      <c r="BC295" s="108"/>
      <c r="BD295" s="108"/>
    </row>
    <row r="296" spans="54:56" ht="12.75">
      <c r="BB296" s="108"/>
      <c r="BC296" s="108"/>
      <c r="BD296" s="108"/>
    </row>
    <row r="297" spans="54:56" ht="12.75">
      <c r="BB297" s="108"/>
      <c r="BC297" s="108"/>
      <c r="BD297" s="108"/>
    </row>
    <row r="298" spans="54:56" ht="12.75">
      <c r="BB298" s="108"/>
      <c r="BC298" s="108"/>
      <c r="BD298" s="108"/>
    </row>
    <row r="299" spans="54:56" ht="12.75">
      <c r="BB299" s="108"/>
      <c r="BC299" s="108"/>
      <c r="BD299" s="108"/>
    </row>
    <row r="300" spans="54:56" ht="12.75">
      <c r="BB300" s="108"/>
      <c r="BC300" s="108"/>
      <c r="BD300" s="108"/>
    </row>
    <row r="301" spans="54:56" ht="12.75">
      <c r="BB301" s="108"/>
      <c r="BC301" s="108"/>
      <c r="BD301" s="108"/>
    </row>
    <row r="302" spans="54:56" ht="12.75">
      <c r="BB302" s="108"/>
      <c r="BC302" s="108"/>
      <c r="BD302" s="108"/>
    </row>
    <row r="303" spans="54:56" ht="12.75">
      <c r="BB303" s="108"/>
      <c r="BC303" s="108"/>
      <c r="BD303" s="108"/>
    </row>
    <row r="304" spans="54:56" ht="12.75">
      <c r="BB304" s="108"/>
      <c r="BC304" s="108"/>
      <c r="BD304" s="108"/>
    </row>
    <row r="305" spans="54:56" ht="12.75">
      <c r="BB305" s="108"/>
      <c r="BC305" s="108"/>
      <c r="BD305" s="108"/>
    </row>
  </sheetData>
  <sheetProtection/>
  <mergeCells count="9">
    <mergeCell ref="BE8:BI8"/>
    <mergeCell ref="AZ5:BD5"/>
    <mergeCell ref="BE5:BI5"/>
    <mergeCell ref="BE6:BI6"/>
    <mergeCell ref="BE7:BI7"/>
    <mergeCell ref="AP8:AT8"/>
    <mergeCell ref="AP6:AT6"/>
    <mergeCell ref="AP5:AT5"/>
    <mergeCell ref="AP7:AT7"/>
  </mergeCells>
  <conditionalFormatting sqref="EN1:IV1 A1:BI1">
    <cfRule type="cellIs" priority="3" dxfId="7" operator="notEqual" stopIfTrue="1">
      <formula>0</formula>
    </cfRule>
  </conditionalFormatting>
  <printOptions horizontalCentered="1"/>
  <pageMargins left="0.7" right="0.7" top="0.75" bottom="0.75" header="0.3" footer="0.3"/>
  <pageSetup fitToHeight="2" horizontalDpi="600" verticalDpi="600" orientation="portrait" scale="75" r:id="rId1"/>
  <headerFooter alignWithMargins="0">
    <oddFooter>&amp;L&amp;"Times New Roman,Bold Italic"&amp;12Amounts presented in bold italic type have changed since PSE's Rebuttal Filing as revised February 16, 2012.</oddFooter>
  </headerFooter>
  <rowBreaks count="1" manualBreakCount="1">
    <brk id="69" min="51" max="55" man="1"/>
  </rowBreaks>
  <colBreaks count="19" manualBreakCount="19">
    <brk id="15" max="65535" man="1"/>
    <brk id="25" max="65535" man="1"/>
    <brk id="30" max="65535" man="1"/>
    <brk id="41" max="65535" man="1"/>
    <brk id="46" max="65535" man="1"/>
    <brk id="51" max="65535" man="1"/>
    <brk id="71" max="65535" man="1"/>
    <brk id="76" max="65535" man="1"/>
    <brk id="82" max="65535" man="1"/>
    <brk id="86" max="65535" man="1"/>
    <brk id="96" max="65535" man="1"/>
    <brk id="105" max="65535" man="1"/>
    <brk id="109" max="65535" man="1"/>
    <brk id="113" max="65535" man="1"/>
    <brk id="118" max="65535" man="1"/>
    <brk id="123" max="65535" man="1"/>
    <brk id="128" max="65535" man="1"/>
    <brk id="133" max="65535" man="1"/>
    <brk id="1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38"/>
    <pageSetUpPr fitToPage="1"/>
  </sheetPr>
  <dimension ref="A1:U87"/>
  <sheetViews>
    <sheetView tabSelected="1" zoomScale="88" zoomScaleNormal="88" zoomScalePageLayoutView="0" workbookViewId="0" topLeftCell="A1">
      <pane xSplit="3" ySplit="15" topLeftCell="D16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0.66015625" defaultRowHeight="10.5"/>
  <cols>
    <col min="1" max="1" width="7.33203125" style="350" bestFit="1" customWidth="1"/>
    <col min="2" max="2" width="11.83203125" style="350" customWidth="1"/>
    <col min="3" max="3" width="38.5" style="350" customWidth="1"/>
    <col min="4" max="4" width="19.33203125" style="350" bestFit="1" customWidth="1"/>
    <col min="5" max="5" width="18.33203125" style="350" bestFit="1" customWidth="1"/>
    <col min="6" max="6" width="15.16015625" style="350" bestFit="1" customWidth="1"/>
    <col min="7" max="7" width="12.83203125" style="350" bestFit="1" customWidth="1"/>
    <col min="8" max="9" width="14.16015625" style="350" bestFit="1" customWidth="1"/>
    <col min="10" max="10" width="14" style="350" bestFit="1" customWidth="1"/>
    <col min="11" max="11" width="13.16015625" style="350" bestFit="1" customWidth="1"/>
    <col min="12" max="12" width="15.66015625" style="350" bestFit="1" customWidth="1"/>
    <col min="13" max="13" width="5" style="350" customWidth="1"/>
    <col min="14" max="14" width="16.33203125" style="350" customWidth="1"/>
    <col min="15" max="15" width="17.83203125" style="350" bestFit="1" customWidth="1"/>
    <col min="16" max="16" width="21.33203125" style="350" customWidth="1"/>
    <col min="17" max="17" width="19.66015625" style="350" bestFit="1" customWidth="1"/>
    <col min="18" max="18" width="17.83203125" style="350" bestFit="1" customWidth="1"/>
    <col min="19" max="19" width="10.66015625" style="350" customWidth="1"/>
    <col min="20" max="20" width="13.83203125" style="350" bestFit="1" customWidth="1"/>
    <col min="21" max="21" width="13.33203125" style="350" bestFit="1" customWidth="1"/>
    <col min="22" max="16384" width="10.66015625" style="350" customWidth="1"/>
  </cols>
  <sheetData>
    <row r="1" spans="1:14" ht="12.75">
      <c r="A1" s="506"/>
      <c r="N1" s="1" t="s">
        <v>708</v>
      </c>
    </row>
    <row r="2" ht="12.75">
      <c r="N2" s="1" t="s">
        <v>709</v>
      </c>
    </row>
    <row r="3" spans="1:14" ht="12.75">
      <c r="A3" s="352" t="s">
        <v>679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562"/>
    </row>
    <row r="4" spans="1:14" ht="12.75">
      <c r="A4" s="352" t="s">
        <v>92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563"/>
    </row>
    <row r="5" spans="1:14" ht="12.75">
      <c r="A5" s="352" t="str">
        <f>"DETERMINATION OF NET POWER COSTS FOR GRC ADJUSTMENT JHS "&amp;'JHS-20'!E4</f>
        <v>DETERMINATION OF NET POWER COSTS FOR GRC ADJUSTMENT JHS 20.01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2.75">
      <c r="A6" s="352" t="s">
        <v>211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18" ht="12.75">
      <c r="A7" s="352" t="s">
        <v>212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P7" s="386" t="s">
        <v>647</v>
      </c>
      <c r="Q7" s="386" t="s">
        <v>486</v>
      </c>
      <c r="R7" s="386" t="s">
        <v>511</v>
      </c>
    </row>
    <row r="8" spans="1:18" ht="12.75">
      <c r="A8" s="352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P8" s="386"/>
      <c r="Q8" s="386"/>
      <c r="R8" s="386"/>
    </row>
    <row r="9" spans="1:18" ht="12.75">
      <c r="A9" s="352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P9" s="386"/>
      <c r="Q9" s="386"/>
      <c r="R9" s="386"/>
    </row>
    <row r="10" spans="1:14" ht="13.5">
      <c r="A10" s="352"/>
      <c r="B10" s="351"/>
      <c r="C10" s="351"/>
      <c r="D10" s="543" t="s">
        <v>247</v>
      </c>
      <c r="E10" s="543" t="s">
        <v>247</v>
      </c>
      <c r="F10" s="543" t="s">
        <v>247</v>
      </c>
      <c r="G10" s="543"/>
      <c r="H10" s="351"/>
      <c r="I10" s="543" t="s">
        <v>247</v>
      </c>
      <c r="J10" s="351"/>
      <c r="K10" s="351"/>
      <c r="L10" s="543" t="s">
        <v>247</v>
      </c>
      <c r="M10" s="560"/>
      <c r="N10" s="543" t="s">
        <v>247</v>
      </c>
    </row>
    <row r="11" spans="4:14" ht="25.5" customHeight="1">
      <c r="D11" s="497" t="s">
        <v>711</v>
      </c>
      <c r="E11" s="497" t="s">
        <v>82</v>
      </c>
      <c r="F11" s="512" t="s">
        <v>210</v>
      </c>
      <c r="G11" s="513"/>
      <c r="H11" s="513"/>
      <c r="I11" s="514"/>
      <c r="J11" s="509" t="s">
        <v>710</v>
      </c>
      <c r="K11" s="498"/>
      <c r="L11" s="497" t="s">
        <v>514</v>
      </c>
      <c r="N11" s="497" t="str">
        <f>"Per JHS "&amp;'JHS-20'!E4</f>
        <v>Per JHS 20.01</v>
      </c>
    </row>
    <row r="12" spans="4:16" ht="12.75">
      <c r="D12" s="386"/>
      <c r="E12" s="382"/>
      <c r="F12" s="388"/>
      <c r="G12" s="388"/>
      <c r="H12" s="388"/>
      <c r="I12" s="388"/>
      <c r="J12" s="386"/>
      <c r="K12" s="388"/>
      <c r="N12" s="386"/>
      <c r="P12" s="386"/>
    </row>
    <row r="13" spans="4:16" ht="12.75">
      <c r="D13" s="386" t="s">
        <v>401</v>
      </c>
      <c r="E13" s="382" t="s">
        <v>79</v>
      </c>
      <c r="F13" s="388" t="s">
        <v>692</v>
      </c>
      <c r="G13" s="388" t="s">
        <v>693</v>
      </c>
      <c r="H13" s="388" t="s">
        <v>694</v>
      </c>
      <c r="I13" s="388" t="s">
        <v>695</v>
      </c>
      <c r="J13" s="386"/>
      <c r="K13" s="388"/>
      <c r="N13" s="386" t="s">
        <v>93</v>
      </c>
      <c r="P13" s="386" t="s">
        <v>93</v>
      </c>
    </row>
    <row r="14" spans="4:16" ht="12.75">
      <c r="D14" s="386" t="s">
        <v>94</v>
      </c>
      <c r="E14" s="382" t="s">
        <v>80</v>
      </c>
      <c r="F14" s="353" t="s">
        <v>643</v>
      </c>
      <c r="G14" s="353" t="s">
        <v>206</v>
      </c>
      <c r="H14" s="353" t="s">
        <v>209</v>
      </c>
      <c r="I14" s="353" t="s">
        <v>644</v>
      </c>
      <c r="J14" s="386" t="s">
        <v>95</v>
      </c>
      <c r="K14" s="353" t="s">
        <v>85</v>
      </c>
      <c r="L14" s="386" t="s">
        <v>96</v>
      </c>
      <c r="M14" s="386"/>
      <c r="N14" s="386" t="s">
        <v>97</v>
      </c>
      <c r="P14" s="386" t="s">
        <v>97</v>
      </c>
    </row>
    <row r="15" spans="1:16" ht="13.5">
      <c r="A15" s="390" t="s">
        <v>445</v>
      </c>
      <c r="B15" s="419" t="s">
        <v>98</v>
      </c>
      <c r="C15" s="419" t="s">
        <v>680</v>
      </c>
      <c r="D15" s="387">
        <v>41394</v>
      </c>
      <c r="E15" s="505" t="s">
        <v>81</v>
      </c>
      <c r="F15" s="389" t="s">
        <v>205</v>
      </c>
      <c r="G15" s="389" t="s">
        <v>207</v>
      </c>
      <c r="H15" s="389" t="s">
        <v>208</v>
      </c>
      <c r="I15" s="389" t="s">
        <v>645</v>
      </c>
      <c r="J15" s="390" t="s">
        <v>99</v>
      </c>
      <c r="K15" s="389" t="s">
        <v>464</v>
      </c>
      <c r="L15" s="390" t="s">
        <v>100</v>
      </c>
      <c r="M15" s="391"/>
      <c r="N15" s="507">
        <f>'[1]Production Factor'!F19</f>
        <v>0.97901</v>
      </c>
      <c r="P15" s="429">
        <f>N15</f>
        <v>0.97901</v>
      </c>
    </row>
    <row r="16" spans="1:14" ht="12.75">
      <c r="A16" s="386"/>
      <c r="B16" s="386" t="s">
        <v>413</v>
      </c>
      <c r="C16" s="386" t="s">
        <v>414</v>
      </c>
      <c r="D16" s="386" t="s">
        <v>415</v>
      </c>
      <c r="E16" s="386" t="s">
        <v>83</v>
      </c>
      <c r="F16" s="353" t="s">
        <v>416</v>
      </c>
      <c r="G16" s="353" t="s">
        <v>417</v>
      </c>
      <c r="H16" s="353" t="s">
        <v>418</v>
      </c>
      <c r="I16" s="353" t="s">
        <v>419</v>
      </c>
      <c r="J16" s="386" t="s">
        <v>420</v>
      </c>
      <c r="K16" s="353" t="s">
        <v>421</v>
      </c>
      <c r="L16" s="386" t="s">
        <v>422</v>
      </c>
      <c r="M16" s="391"/>
      <c r="N16" s="382" t="s">
        <v>423</v>
      </c>
    </row>
    <row r="17" spans="1:13" ht="12.75">
      <c r="A17" s="386">
        <v>1</v>
      </c>
      <c r="B17" s="350" t="s">
        <v>101</v>
      </c>
      <c r="F17" s="399"/>
      <c r="G17" s="399"/>
      <c r="H17" s="399"/>
      <c r="I17" s="399"/>
      <c r="K17" s="399"/>
      <c r="M17" s="403"/>
    </row>
    <row r="18" spans="1:16" ht="13.5">
      <c r="A18" s="386">
        <f aca="true" t="shared" si="0" ref="A18:A73">A17+1</f>
        <v>2</v>
      </c>
      <c r="B18" s="386">
        <v>501</v>
      </c>
      <c r="C18" s="420" t="s">
        <v>102</v>
      </c>
      <c r="D18" s="526">
        <f>'[1]DEM RY PC'!P10*1000</f>
        <v>89725748.88685407</v>
      </c>
      <c r="E18" s="392"/>
      <c r="F18" s="392"/>
      <c r="G18" s="392"/>
      <c r="H18" s="392"/>
      <c r="I18" s="526">
        <f>-SUM('JHS-20'!AX47)</f>
        <v>-500000.00000000006</v>
      </c>
      <c r="J18" s="392">
        <v>0</v>
      </c>
      <c r="K18" s="392"/>
      <c r="L18" s="526">
        <f>SUM(D18:K18)</f>
        <v>89225748.88685407</v>
      </c>
      <c r="M18" s="392"/>
      <c r="N18" s="526">
        <f>L18*$N$15</f>
        <v>87352900.417719</v>
      </c>
      <c r="O18" s="395"/>
      <c r="P18" s="411">
        <f>D18*N15</f>
        <v>87842405.417719</v>
      </c>
    </row>
    <row r="19" spans="1:16" ht="13.5">
      <c r="A19" s="386">
        <f t="shared" si="0"/>
        <v>3</v>
      </c>
      <c r="B19" s="386">
        <v>547</v>
      </c>
      <c r="C19" s="420" t="s">
        <v>103</v>
      </c>
      <c r="D19" s="527">
        <f>'[1]DEM RY PC'!P11*1000</f>
        <v>184028409.60315043</v>
      </c>
      <c r="E19" s="527">
        <f>-E30</f>
        <v>0</v>
      </c>
      <c r="F19" s="393"/>
      <c r="G19" s="393"/>
      <c r="H19" s="393"/>
      <c r="I19" s="393">
        <f>-SUM('JHS-20'!AX43:AX44)</f>
        <v>929795.8802588996</v>
      </c>
      <c r="J19" s="395">
        <v>0</v>
      </c>
      <c r="K19" s="393"/>
      <c r="L19" s="532">
        <f>SUM(D19:K19)</f>
        <v>184958205.48340932</v>
      </c>
      <c r="M19" s="397"/>
      <c r="N19" s="532">
        <f>L19*$N$15</f>
        <v>181075932.75031257</v>
      </c>
      <c r="O19" s="393"/>
      <c r="P19" s="239">
        <f>D19*P15</f>
        <v>180165653.2855803</v>
      </c>
    </row>
    <row r="20" spans="1:18" ht="13.5">
      <c r="A20" s="386">
        <f t="shared" si="0"/>
        <v>4</v>
      </c>
      <c r="C20" s="420"/>
      <c r="D20" s="620">
        <f>SUM(D18:D19)</f>
        <v>273754158.4900045</v>
      </c>
      <c r="E20" s="620">
        <f>SUM(E18:E19)</f>
        <v>0</v>
      </c>
      <c r="F20" s="621">
        <f>SUM(F18:F19)</f>
        <v>0</v>
      </c>
      <c r="G20" s="621"/>
      <c r="H20" s="621"/>
      <c r="I20" s="620">
        <f>SUM(I18:I19)</f>
        <v>429795.8802588996</v>
      </c>
      <c r="J20" s="622">
        <f>SUM(J18:J19)</f>
        <v>0</v>
      </c>
      <c r="K20" s="622">
        <f>SUM(K18:K19)</f>
        <v>0</v>
      </c>
      <c r="L20" s="623">
        <f>SUM(L18:L19)</f>
        <v>274183954.3702634</v>
      </c>
      <c r="M20" s="397"/>
      <c r="N20" s="620">
        <f>SUM(N18:N19)</f>
        <v>268428833.16803157</v>
      </c>
      <c r="O20" s="395"/>
      <c r="P20" s="258">
        <f>SUM(P18:P19)</f>
        <v>268008058.7032993</v>
      </c>
      <c r="Q20" s="239">
        <f>'JHS-19'!AR26</f>
        <v>268008058.7032993</v>
      </c>
      <c r="R20" s="239">
        <f>P20-Q20</f>
        <v>0</v>
      </c>
    </row>
    <row r="21" spans="1:18" ht="12.75">
      <c r="A21" s="386">
        <f t="shared" si="0"/>
        <v>5</v>
      </c>
      <c r="B21" s="350" t="s">
        <v>104</v>
      </c>
      <c r="D21" s="621"/>
      <c r="E21" s="621"/>
      <c r="F21" s="621"/>
      <c r="G21" s="621"/>
      <c r="H21" s="621"/>
      <c r="I21" s="621"/>
      <c r="J21" s="622"/>
      <c r="K21" s="621"/>
      <c r="L21" s="622"/>
      <c r="M21" s="397"/>
      <c r="N21" s="621"/>
      <c r="O21" s="395"/>
      <c r="P21" s="258"/>
      <c r="Q21" s="428"/>
      <c r="R21" s="239"/>
    </row>
    <row r="22" spans="1:18" ht="13.5">
      <c r="A22" s="386">
        <f t="shared" si="0"/>
        <v>6</v>
      </c>
      <c r="B22" s="386">
        <v>555</v>
      </c>
      <c r="C22" s="420" t="s">
        <v>105</v>
      </c>
      <c r="D22" s="527">
        <f>'[1]DEM RY PC'!P12*1000</f>
        <v>477042403.0775758</v>
      </c>
      <c r="E22" s="393"/>
      <c r="F22" s="393">
        <f>-'JHS-20'!I28</f>
        <v>-776099.4992999999</v>
      </c>
      <c r="G22" s="393"/>
      <c r="H22" s="393">
        <f>-'JHS-20'!AS28</f>
        <v>-7088065.589499994</v>
      </c>
      <c r="I22" s="354">
        <f>-(+'JHS-20'!AX38)</f>
        <v>-3526620</v>
      </c>
      <c r="J22" s="395">
        <v>0</v>
      </c>
      <c r="K22" s="354"/>
      <c r="L22" s="532">
        <f>SUM(D22:K22)</f>
        <v>465651617.9887758</v>
      </c>
      <c r="M22" s="397"/>
      <c r="N22" s="527">
        <f>L22*$N$15</f>
        <v>455877590.5271914</v>
      </c>
      <c r="O22" s="395"/>
      <c r="P22" s="239">
        <f>D22*$P$15</f>
        <v>467029283.0369775</v>
      </c>
      <c r="Q22" s="428"/>
      <c r="R22" s="239"/>
    </row>
    <row r="23" spans="1:20" s="399" customFormat="1" ht="12.75">
      <c r="A23" s="386">
        <f t="shared" si="0"/>
        <v>7</v>
      </c>
      <c r="B23" s="421"/>
      <c r="C23" s="422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93"/>
      <c r="P23" s="239">
        <f>D23*$P$15</f>
        <v>0</v>
      </c>
      <c r="Q23" s="499"/>
      <c r="R23" s="257"/>
      <c r="T23" s="400"/>
    </row>
    <row r="24" spans="1:20" ht="12.75">
      <c r="A24" s="386">
        <f t="shared" si="0"/>
        <v>8</v>
      </c>
      <c r="B24" s="386">
        <v>557</v>
      </c>
      <c r="C24" s="420" t="s">
        <v>106</v>
      </c>
      <c r="D24" s="393">
        <f>'[1]DEM RY PC'!P13*1000</f>
        <v>8029302.949999998</v>
      </c>
      <c r="E24" s="393"/>
      <c r="F24" s="393"/>
      <c r="G24" s="393"/>
      <c r="H24" s="393"/>
      <c r="I24" s="393"/>
      <c r="J24" s="393">
        <f>-'[1]EB&amp;Taxes'!D9</f>
        <v>-1369203.65</v>
      </c>
      <c r="K24" s="393"/>
      <c r="L24" s="395">
        <f>SUM(D24:K24)</f>
        <v>6660099.299999999</v>
      </c>
      <c r="M24" s="397"/>
      <c r="N24" s="393">
        <f>L24*$N$15</f>
        <v>6520303.815692999</v>
      </c>
      <c r="O24" s="395"/>
      <c r="P24" s="239">
        <f>D24*$P$15</f>
        <v>7860767.881079499</v>
      </c>
      <c r="Q24" s="428"/>
      <c r="R24" s="239"/>
      <c r="T24" s="400"/>
    </row>
    <row r="25" spans="1:18" ht="12.75">
      <c r="A25" s="386">
        <f t="shared" si="0"/>
        <v>9</v>
      </c>
      <c r="B25" s="386"/>
      <c r="C25" s="420" t="s">
        <v>464</v>
      </c>
      <c r="D25" s="393">
        <v>0</v>
      </c>
      <c r="E25" s="393"/>
      <c r="F25" s="393"/>
      <c r="G25" s="393"/>
      <c r="H25" s="393"/>
      <c r="I25" s="393"/>
      <c r="J25" s="393"/>
      <c r="K25" s="393">
        <v>1451371.7</v>
      </c>
      <c r="L25" s="395">
        <f>SUM(D25:K25)</f>
        <v>1451371.7</v>
      </c>
      <c r="M25" s="397"/>
      <c r="N25" s="393">
        <f>L25*$N$15</f>
        <v>1420907.408017</v>
      </c>
      <c r="O25" s="395"/>
      <c r="P25" s="239">
        <f>D25*$P$15</f>
        <v>0</v>
      </c>
      <c r="Q25" s="428"/>
      <c r="R25" s="239"/>
    </row>
    <row r="26" spans="1:21" ht="13.5">
      <c r="A26" s="386">
        <f t="shared" si="0"/>
        <v>10</v>
      </c>
      <c r="C26" s="423"/>
      <c r="D26" s="620">
        <f>SUM(D22:D25)</f>
        <v>485071706.0275758</v>
      </c>
      <c r="E26" s="621">
        <f>SUM(E22:E25)</f>
        <v>0</v>
      </c>
      <c r="F26" s="621">
        <f aca="true" t="shared" si="1" ref="F26:N26">SUM(F22:F25)</f>
        <v>-776099.4992999999</v>
      </c>
      <c r="G26" s="621">
        <f t="shared" si="1"/>
        <v>0</v>
      </c>
      <c r="H26" s="622">
        <f t="shared" si="1"/>
        <v>-7088065.589499994</v>
      </c>
      <c r="I26" s="622">
        <f t="shared" si="1"/>
        <v>-3526620</v>
      </c>
      <c r="J26" s="621">
        <f>SUM(J22:J25)</f>
        <v>-1369203.65</v>
      </c>
      <c r="K26" s="622">
        <f t="shared" si="1"/>
        <v>1451371.7</v>
      </c>
      <c r="L26" s="623">
        <f>SUM(L22:L25)</f>
        <v>473763088.9887758</v>
      </c>
      <c r="M26" s="397"/>
      <c r="N26" s="623">
        <f t="shared" si="1"/>
        <v>463818801.7509014</v>
      </c>
      <c r="O26" s="395"/>
      <c r="P26" s="502">
        <f>SUM(P22:P25)</f>
        <v>474890050.918057</v>
      </c>
      <c r="Q26" s="239">
        <f>'JHS-19'!AP27-'JHS-19'!K27</f>
        <v>512580524.34460753</v>
      </c>
      <c r="R26" s="239">
        <f>P26-Q26</f>
        <v>-37690473.42655051</v>
      </c>
      <c r="T26" s="401"/>
      <c r="U26" s="401"/>
    </row>
    <row r="27" spans="1:18" ht="12.75">
      <c r="A27" s="386">
        <f t="shared" si="0"/>
        <v>11</v>
      </c>
      <c r="C27" s="423"/>
      <c r="D27" s="621"/>
      <c r="E27" s="621"/>
      <c r="F27" s="621"/>
      <c r="G27" s="621"/>
      <c r="H27" s="621"/>
      <c r="I27" s="621"/>
      <c r="J27" s="621"/>
      <c r="K27" s="621"/>
      <c r="L27" s="622"/>
      <c r="M27" s="397"/>
      <c r="N27" s="621"/>
      <c r="O27" s="395"/>
      <c r="P27" s="258"/>
      <c r="Q27" s="428"/>
      <c r="R27" s="239"/>
    </row>
    <row r="28" spans="1:18" ht="13.5">
      <c r="A28" s="386">
        <f t="shared" si="0"/>
        <v>12</v>
      </c>
      <c r="B28" s="386">
        <v>565</v>
      </c>
      <c r="C28" s="350" t="s">
        <v>107</v>
      </c>
      <c r="D28" s="528">
        <f>'[1]DEM RY PC'!P14*1000</f>
        <v>92328589.55090627</v>
      </c>
      <c r="E28" s="354"/>
      <c r="F28" s="528">
        <f>-'JHS-20'!I29</f>
        <v>-6884867.046457907</v>
      </c>
      <c r="G28" s="354">
        <f>-'JHS-20'!O27</f>
        <v>-420202.5851524854</v>
      </c>
      <c r="H28" s="354"/>
      <c r="I28" s="354">
        <f>-(+'JHS-20'!AX42+'JHS-20'!AX40)</f>
        <v>0</v>
      </c>
      <c r="J28" s="393">
        <v>0</v>
      </c>
      <c r="K28" s="354"/>
      <c r="L28" s="527">
        <f>SUM(D28:K28)</f>
        <v>85023519.91929588</v>
      </c>
      <c r="M28" s="354"/>
      <c r="N28" s="527">
        <f>L28*$N$15</f>
        <v>83238876.23618986</v>
      </c>
      <c r="O28" s="354"/>
      <c r="P28" s="239">
        <f>D28*$P$15</f>
        <v>90390612.45623276</v>
      </c>
      <c r="Q28" s="239">
        <f>'JHS-19'!AR28</f>
        <v>90390612.45623274</v>
      </c>
      <c r="R28" s="239">
        <f>P28-Q28</f>
        <v>0</v>
      </c>
    </row>
    <row r="29" spans="1:18" ht="12.75">
      <c r="A29" s="386">
        <f t="shared" si="0"/>
        <v>13</v>
      </c>
      <c r="D29" s="393"/>
      <c r="E29" s="393"/>
      <c r="F29" s="393"/>
      <c r="G29" s="393"/>
      <c r="H29" s="393"/>
      <c r="I29" s="393"/>
      <c r="J29" s="393"/>
      <c r="K29" s="393"/>
      <c r="L29" s="395">
        <f>SUM(D29:K29)</f>
        <v>0</v>
      </c>
      <c r="M29" s="397"/>
      <c r="N29" s="393"/>
      <c r="P29" s="257"/>
      <c r="Q29" s="428"/>
      <c r="R29" s="239"/>
    </row>
    <row r="30" spans="1:18" s="403" customFormat="1" ht="13.5">
      <c r="A30" s="391">
        <f t="shared" si="0"/>
        <v>14</v>
      </c>
      <c r="B30" s="391" t="s">
        <v>444</v>
      </c>
      <c r="C30" s="403" t="s">
        <v>108</v>
      </c>
      <c r="D30" s="528">
        <f>'[1]DEM RY PC'!P28*1000</f>
        <v>133613385.29825684</v>
      </c>
      <c r="E30" s="528">
        <v>0</v>
      </c>
      <c r="F30" s="354">
        <f>-'[1]ProdO&amp;M'!F49</f>
        <v>-10891023</v>
      </c>
      <c r="G30" s="354"/>
      <c r="H30" s="354"/>
      <c r="I30" s="528">
        <f>-SUM('JHS-20'!AX50:AX54)</f>
        <v>-152585.85869565216</v>
      </c>
      <c r="J30" s="354">
        <f>-'[1]EB&amp;Taxes'!D8</f>
        <v>-6849513.489999999</v>
      </c>
      <c r="K30" s="354"/>
      <c r="L30" s="532">
        <f>SUM(D30:K30)</f>
        <v>115720262.9495612</v>
      </c>
      <c r="M30" s="397"/>
      <c r="N30" s="527">
        <f>L30*$N$15</f>
        <v>113291294.6302499</v>
      </c>
      <c r="O30" s="447">
        <v>12391741.700500797</v>
      </c>
      <c r="P30" s="239">
        <f>D30*$P$15</f>
        <v>130808840.34084643</v>
      </c>
      <c r="Q30" s="402">
        <f>'JHS-19'!AR32</f>
        <v>124341933.36604214</v>
      </c>
      <c r="R30" s="500">
        <f>P30-Q30</f>
        <v>6466906.974804297</v>
      </c>
    </row>
    <row r="31" spans="1:18" s="403" customFormat="1" ht="12.75">
      <c r="A31" s="391">
        <f t="shared" si="0"/>
        <v>15</v>
      </c>
      <c r="B31" s="391"/>
      <c r="D31" s="354"/>
      <c r="E31" s="354"/>
      <c r="F31" s="354"/>
      <c r="G31" s="354"/>
      <c r="H31" s="354"/>
      <c r="I31" s="354"/>
      <c r="J31" s="354"/>
      <c r="K31" s="354"/>
      <c r="L31" s="397"/>
      <c r="M31" s="397"/>
      <c r="N31" s="354"/>
      <c r="O31" s="372">
        <f>O30+F30+J30</f>
        <v>-5348794.789499202</v>
      </c>
      <c r="P31" s="242"/>
      <c r="Q31" s="501"/>
      <c r="R31" s="501"/>
    </row>
    <row r="32" spans="1:18" ht="12.75">
      <c r="A32" s="386">
        <f t="shared" si="0"/>
        <v>16</v>
      </c>
      <c r="B32" s="386" t="s">
        <v>444</v>
      </c>
      <c r="C32" s="350" t="s">
        <v>109</v>
      </c>
      <c r="D32" s="393">
        <f>'[1]DEM RY PC'!P29*1000</f>
        <v>1419635</v>
      </c>
      <c r="E32" s="393"/>
      <c r="F32" s="393"/>
      <c r="G32" s="393"/>
      <c r="H32" s="393"/>
      <c r="I32" s="393"/>
      <c r="J32" s="393"/>
      <c r="K32" s="393"/>
      <c r="L32" s="395">
        <f>SUM(D32:K32)</f>
        <v>1419635</v>
      </c>
      <c r="M32" s="397"/>
      <c r="N32" s="393">
        <f>L32*$N$15</f>
        <v>1389836.8613500001</v>
      </c>
      <c r="P32" s="239">
        <f>D32*$P$15</f>
        <v>1389836.8613500001</v>
      </c>
      <c r="Q32" s="428"/>
      <c r="R32" s="428"/>
    </row>
    <row r="33" spans="1:18" ht="13.5">
      <c r="A33" s="386">
        <f t="shared" si="0"/>
        <v>17</v>
      </c>
      <c r="B33" s="386">
        <v>447</v>
      </c>
      <c r="C33" s="350" t="s">
        <v>121</v>
      </c>
      <c r="D33" s="527">
        <f>'[1]DEM RY PC'!P15*1000</f>
        <v>-41024834.63544272</v>
      </c>
      <c r="E33" s="393"/>
      <c r="F33" s="393"/>
      <c r="G33" s="393"/>
      <c r="H33" s="395"/>
      <c r="I33" s="395"/>
      <c r="J33" s="393"/>
      <c r="K33" s="395"/>
      <c r="L33" s="532">
        <f>SUM(D33:K33)</f>
        <v>-41024834.63544272</v>
      </c>
      <c r="M33" s="397"/>
      <c r="N33" s="527">
        <f>L33*$N$15</f>
        <v>-40163723.356444776</v>
      </c>
      <c r="P33" s="239">
        <f>D33*$P$15</f>
        <v>-40163723.356444776</v>
      </c>
      <c r="Q33" s="239">
        <f>-'JHS-19'!AR19</f>
        <v>-40163723.356444776</v>
      </c>
      <c r="R33" s="428">
        <f>P33-Q33</f>
        <v>0</v>
      </c>
    </row>
    <row r="34" spans="1:18" ht="12.75">
      <c r="A34" s="386">
        <f t="shared" si="0"/>
        <v>18</v>
      </c>
      <c r="B34" s="386">
        <v>456</v>
      </c>
      <c r="C34" s="350" t="s">
        <v>122</v>
      </c>
      <c r="D34" s="393">
        <f>'[1]DEM RY PC'!P17*1000</f>
        <v>0</v>
      </c>
      <c r="E34" s="393"/>
      <c r="F34" s="393"/>
      <c r="G34" s="393"/>
      <c r="H34" s="395"/>
      <c r="I34" s="395"/>
      <c r="J34" s="393"/>
      <c r="K34" s="395"/>
      <c r="L34" s="395">
        <f>SUM(D34:K34)</f>
        <v>0</v>
      </c>
      <c r="M34" s="397"/>
      <c r="N34" s="393">
        <f>L34*$N$15</f>
        <v>0</v>
      </c>
      <c r="P34" s="239">
        <f>D34*$P$15</f>
        <v>0</v>
      </c>
      <c r="Q34" s="428"/>
      <c r="R34" s="428"/>
    </row>
    <row r="35" spans="1:18" ht="13.5">
      <c r="A35" s="386">
        <f t="shared" si="0"/>
        <v>19</v>
      </c>
      <c r="D35" s="624">
        <f aca="true" t="shared" si="2" ref="D35:K35">SUM(D32:D34)</f>
        <v>-39605199.63544272</v>
      </c>
      <c r="E35" s="625">
        <f t="shared" si="2"/>
        <v>0</v>
      </c>
      <c r="F35" s="625">
        <f t="shared" si="2"/>
        <v>0</v>
      </c>
      <c r="G35" s="625">
        <f t="shared" si="2"/>
        <v>0</v>
      </c>
      <c r="H35" s="626">
        <f t="shared" si="2"/>
        <v>0</v>
      </c>
      <c r="I35" s="626">
        <f>SUM(I32:I34)</f>
        <v>0</v>
      </c>
      <c r="J35" s="625">
        <f t="shared" si="2"/>
        <v>0</v>
      </c>
      <c r="K35" s="626">
        <f t="shared" si="2"/>
        <v>0</v>
      </c>
      <c r="L35" s="627">
        <f>SUM(L32:L34)</f>
        <v>-39605199.63544272</v>
      </c>
      <c r="M35" s="404"/>
      <c r="N35" s="624">
        <f>SUM(N32:N34)</f>
        <v>-38773886.495094776</v>
      </c>
      <c r="P35" s="239">
        <f>D35*$P$15</f>
        <v>-38773886.495094776</v>
      </c>
      <c r="Q35" s="428"/>
      <c r="R35" s="428"/>
    </row>
    <row r="36" spans="1:18" ht="12.75">
      <c r="A36" s="386">
        <f t="shared" si="0"/>
        <v>20</v>
      </c>
      <c r="D36" s="399"/>
      <c r="E36" s="399"/>
      <c r="F36" s="399"/>
      <c r="G36" s="399"/>
      <c r="J36" s="399"/>
      <c r="M36" s="403"/>
      <c r="N36" s="399"/>
      <c r="P36" s="257"/>
      <c r="Q36" s="428"/>
      <c r="R36" s="428"/>
    </row>
    <row r="37" spans="1:18" ht="13.5">
      <c r="A37" s="386">
        <f t="shared" si="0"/>
        <v>21</v>
      </c>
      <c r="B37" s="350" t="s">
        <v>585</v>
      </c>
      <c r="D37" s="528">
        <f aca="true" t="shared" si="3" ref="D37:L37">D20+D26+D28+D30+D35</f>
        <v>945162639.7313007</v>
      </c>
      <c r="E37" s="354">
        <f>E20+E26+E28+E30+E35</f>
        <v>0</v>
      </c>
      <c r="F37" s="528">
        <f t="shared" si="3"/>
        <v>-18551989.54575791</v>
      </c>
      <c r="G37" s="354">
        <f t="shared" si="3"/>
        <v>-420202.5851524854</v>
      </c>
      <c r="H37" s="397">
        <f t="shared" si="3"/>
        <v>-7088065.589499994</v>
      </c>
      <c r="I37" s="533">
        <f t="shared" si="3"/>
        <v>-3249409.9784367527</v>
      </c>
      <c r="J37" s="354">
        <f t="shared" si="3"/>
        <v>-8218717.139999999</v>
      </c>
      <c r="K37" s="397">
        <f t="shared" si="3"/>
        <v>1451371.7</v>
      </c>
      <c r="L37" s="533">
        <f t="shared" si="3"/>
        <v>909085626.5924536</v>
      </c>
      <c r="M37" s="397"/>
      <c r="N37" s="528">
        <f>N20+N26+N28+N30+N35</f>
        <v>890003919.2902778</v>
      </c>
      <c r="P37" s="239">
        <f>D37*$P$15</f>
        <v>925323675.9233408</v>
      </c>
      <c r="Q37" s="428"/>
      <c r="R37" s="428"/>
    </row>
    <row r="38" spans="1:18" ht="13.5">
      <c r="A38" s="386">
        <f t="shared" si="0"/>
        <v>22</v>
      </c>
      <c r="B38" s="386" t="s">
        <v>444</v>
      </c>
      <c r="C38" s="350" t="s">
        <v>402</v>
      </c>
      <c r="D38" s="530">
        <f>'[1]TransmRev'!D41</f>
        <v>-14018204.653333332</v>
      </c>
      <c r="E38" s="495"/>
      <c r="F38" s="495"/>
      <c r="G38" s="495"/>
      <c r="H38" s="496"/>
      <c r="I38" s="496"/>
      <c r="J38" s="495"/>
      <c r="K38" s="395"/>
      <c r="L38" s="532">
        <f>SUM(D38:K38)</f>
        <v>-14018204.653333332</v>
      </c>
      <c r="M38" s="397"/>
      <c r="N38" s="552">
        <f>L38*$N$15</f>
        <v>-13723962.537659867</v>
      </c>
      <c r="P38" s="239">
        <f>D38*$P$15</f>
        <v>-13723962.537659867</v>
      </c>
      <c r="Q38" s="428"/>
      <c r="R38" s="428"/>
    </row>
    <row r="39" spans="1:18" ht="12.75">
      <c r="A39" s="386">
        <f t="shared" si="0"/>
        <v>23</v>
      </c>
      <c r="D39" s="104"/>
      <c r="E39" s="104"/>
      <c r="F39" s="104"/>
      <c r="G39" s="104"/>
      <c r="H39" s="403"/>
      <c r="I39" s="403"/>
      <c r="J39" s="104"/>
      <c r="K39" s="628"/>
      <c r="L39" s="628"/>
      <c r="M39" s="403"/>
      <c r="N39" s="628"/>
      <c r="O39" s="401"/>
      <c r="P39" s="502"/>
      <c r="Q39" s="428"/>
      <c r="R39" s="428"/>
    </row>
    <row r="40" spans="1:18" ht="14.25" thickBot="1">
      <c r="A40" s="386">
        <f t="shared" si="0"/>
        <v>24</v>
      </c>
      <c r="B40" s="350" t="str">
        <f>"Col k = amount of adjustment on JHS "&amp;'JHS-20'!E4&amp;" Line 23"</f>
        <v>Col k = amount of adjustment on JHS 20.01 Line 23</v>
      </c>
      <c r="D40" s="529">
        <f>SUM(D37:D39)</f>
        <v>931144435.0779674</v>
      </c>
      <c r="E40" s="384">
        <f>SUM(E37:E39)</f>
        <v>0</v>
      </c>
      <c r="F40" s="529">
        <f aca="true" t="shared" si="4" ref="F40:L40">SUM(F37:F39)</f>
        <v>-18551989.54575791</v>
      </c>
      <c r="G40" s="384">
        <f t="shared" si="4"/>
        <v>-420202.5851524854</v>
      </c>
      <c r="H40" s="405">
        <f t="shared" si="4"/>
        <v>-7088065.589499994</v>
      </c>
      <c r="I40" s="531">
        <f t="shared" si="4"/>
        <v>-3249409.9784367527</v>
      </c>
      <c r="J40" s="511">
        <f>SUM(J37:J39)</f>
        <v>-8218717.139999999</v>
      </c>
      <c r="K40" s="405">
        <f t="shared" si="4"/>
        <v>1451371.7</v>
      </c>
      <c r="L40" s="531">
        <f t="shared" si="4"/>
        <v>895067421.9391203</v>
      </c>
      <c r="M40" s="394"/>
      <c r="N40" s="531">
        <f>SUM(N37:N39)</f>
        <v>876279956.752618</v>
      </c>
      <c r="O40" s="396"/>
      <c r="P40" s="504">
        <f>SUM(P37:P39)</f>
        <v>911599713.3856809</v>
      </c>
      <c r="Q40" s="428"/>
      <c r="R40" s="428"/>
    </row>
    <row r="41" spans="1:18" ht="14.25" thickBot="1" thickTop="1">
      <c r="A41" s="424">
        <f t="shared" si="0"/>
        <v>25</v>
      </c>
      <c r="B41" s="416"/>
      <c r="C41" s="416"/>
      <c r="D41" s="405"/>
      <c r="E41" s="405"/>
      <c r="F41" s="405"/>
      <c r="G41" s="405"/>
      <c r="H41" s="406"/>
      <c r="I41" s="406"/>
      <c r="J41" s="510"/>
      <c r="K41" s="406"/>
      <c r="L41" s="406"/>
      <c r="M41" s="405"/>
      <c r="N41" s="407">
        <f>ROUND(N40+'JHS-20'!D35,0)</f>
        <v>0</v>
      </c>
      <c r="P41" s="503"/>
      <c r="Q41" s="428"/>
      <c r="R41" s="428"/>
    </row>
    <row r="42" spans="1:18" ht="13.5" thickTop="1">
      <c r="A42" s="391"/>
      <c r="B42" s="403"/>
      <c r="C42" s="403"/>
      <c r="D42" s="394">
        <f>D37*N15</f>
        <v>925323675.9233408</v>
      </c>
      <c r="E42" s="394"/>
      <c r="F42" s="394"/>
      <c r="G42" s="394"/>
      <c r="H42" s="394"/>
      <c r="I42" s="394"/>
      <c r="J42" s="104"/>
      <c r="K42" s="394"/>
      <c r="L42" s="394"/>
      <c r="M42" s="394"/>
      <c r="N42" s="394"/>
      <c r="P42" s="104"/>
      <c r="Q42" s="428"/>
      <c r="R42" s="428"/>
    </row>
    <row r="43" spans="1:18" ht="12.75">
      <c r="A43" s="391"/>
      <c r="B43" s="403"/>
      <c r="C43" s="403"/>
      <c r="D43" s="394"/>
      <c r="E43" s="394"/>
      <c r="F43" s="394"/>
      <c r="G43" s="394"/>
      <c r="H43" s="394"/>
      <c r="I43" s="394"/>
      <c r="J43" s="104"/>
      <c r="K43" s="394"/>
      <c r="L43" s="394"/>
      <c r="M43" s="394"/>
      <c r="N43" s="104"/>
      <c r="P43" s="104"/>
      <c r="Q43" s="428"/>
      <c r="R43" s="428"/>
    </row>
    <row r="44" spans="1:18" ht="12.75">
      <c r="A44" s="421">
        <f>A41+1</f>
        <v>26</v>
      </c>
      <c r="B44" s="408"/>
      <c r="C44" s="104"/>
      <c r="D44" s="372">
        <f>D30*N15</f>
        <v>130808840.34084643</v>
      </c>
      <c r="E44" s="104"/>
      <c r="F44" s="408"/>
      <c r="G44" s="408"/>
      <c r="H44" s="408"/>
      <c r="I44" s="408"/>
      <c r="J44" s="408"/>
      <c r="K44" s="408"/>
      <c r="L44" s="409"/>
      <c r="M44" s="408"/>
      <c r="N44" s="408"/>
      <c r="P44" s="398"/>
      <c r="Q44" s="428"/>
      <c r="R44" s="428"/>
    </row>
    <row r="45" spans="1:18" ht="12.75">
      <c r="A45" s="386">
        <f>A44+1</f>
        <v>27</v>
      </c>
      <c r="B45" s="351" t="s">
        <v>58</v>
      </c>
      <c r="C45" s="351"/>
      <c r="D45" s="351"/>
      <c r="E45" s="351"/>
      <c r="F45" s="351"/>
      <c r="G45" s="351"/>
      <c r="H45" s="351"/>
      <c r="I45" s="351"/>
      <c r="J45" s="409"/>
      <c r="K45" s="351"/>
      <c r="L45" s="410"/>
      <c r="M45" s="410"/>
      <c r="N45" s="410"/>
      <c r="Q45" s="428"/>
      <c r="R45" s="428"/>
    </row>
    <row r="46" spans="1:18" ht="12.75">
      <c r="A46" s="386">
        <f t="shared" si="0"/>
        <v>28</v>
      </c>
      <c r="B46" s="104" t="s">
        <v>59</v>
      </c>
      <c r="L46" s="410"/>
      <c r="M46" s="410"/>
      <c r="N46" s="410"/>
      <c r="Q46" s="428"/>
      <c r="R46" s="428"/>
    </row>
    <row r="47" spans="1:18" ht="12.75">
      <c r="A47" s="386">
        <f t="shared" si="0"/>
        <v>29</v>
      </c>
      <c r="B47" s="423" t="s">
        <v>648</v>
      </c>
      <c r="D47" s="411"/>
      <c r="E47" s="411"/>
      <c r="F47" s="411"/>
      <c r="G47" s="411"/>
      <c r="H47" s="411"/>
      <c r="I47" s="411"/>
      <c r="J47" s="397">
        <f>ROUND(L47-D37,0)</f>
        <v>0</v>
      </c>
      <c r="K47" s="411"/>
      <c r="L47" s="412">
        <f>ROUND('[1]DEM RY PC'!P30*1000,0)</f>
        <v>945162640</v>
      </c>
      <c r="M47" s="403"/>
      <c r="N47" s="412">
        <f aca="true" t="shared" si="5" ref="N47:N53">L47*$N$15</f>
        <v>925323676.1864</v>
      </c>
      <c r="P47" s="428">
        <f>D20+D26+D28+D33+D34</f>
        <v>810129619.4330438</v>
      </c>
      <c r="Q47" s="428">
        <f>P20+P26+P28+P33+P34</f>
        <v>793124998.7211444</v>
      </c>
      <c r="R47" s="428"/>
    </row>
    <row r="48" spans="1:18" ht="12.75">
      <c r="A48" s="386">
        <f t="shared" si="0"/>
        <v>30</v>
      </c>
      <c r="B48" s="104" t="s">
        <v>56</v>
      </c>
      <c r="L48" s="395">
        <f>J40</f>
        <v>-8218717.139999999</v>
      </c>
      <c r="N48" s="395">
        <f t="shared" si="5"/>
        <v>-8046206.267231399</v>
      </c>
      <c r="Q48" s="428"/>
      <c r="R48" s="428"/>
    </row>
    <row r="49" spans="1:16" ht="12.75">
      <c r="A49" s="386">
        <f t="shared" si="0"/>
        <v>31</v>
      </c>
      <c r="B49" s="104" t="s">
        <v>48</v>
      </c>
      <c r="L49" s="401">
        <f>L38</f>
        <v>-14018204.653333332</v>
      </c>
      <c r="N49" s="395">
        <f t="shared" si="5"/>
        <v>-13723962.537659867</v>
      </c>
      <c r="P49" s="398"/>
    </row>
    <row r="50" spans="1:15" ht="12.75">
      <c r="A50" s="386">
        <f t="shared" si="0"/>
        <v>32</v>
      </c>
      <c r="B50" s="104" t="s">
        <v>50</v>
      </c>
      <c r="L50" s="401">
        <f>I40</f>
        <v>-3249409.9784367527</v>
      </c>
      <c r="N50" s="395">
        <f t="shared" si="5"/>
        <v>-3181204.8629893656</v>
      </c>
      <c r="O50" s="396"/>
    </row>
    <row r="51" spans="1:15" ht="12.75">
      <c r="A51" s="386">
        <f t="shared" si="0"/>
        <v>33</v>
      </c>
      <c r="B51" s="104" t="s">
        <v>325</v>
      </c>
      <c r="L51" s="401">
        <f>H40</f>
        <v>-7088065.589499994</v>
      </c>
      <c r="N51" s="395">
        <f t="shared" si="5"/>
        <v>-6939287.09277639</v>
      </c>
      <c r="O51" s="396"/>
    </row>
    <row r="52" spans="1:15" ht="12.75">
      <c r="A52" s="386">
        <f t="shared" si="0"/>
        <v>34</v>
      </c>
      <c r="B52" s="104" t="s">
        <v>57</v>
      </c>
      <c r="L52" s="401">
        <f>+F40+G40</f>
        <v>-18972192.130910393</v>
      </c>
      <c r="N52" s="395">
        <f t="shared" si="5"/>
        <v>-18573965.818082586</v>
      </c>
      <c r="O52" s="396"/>
    </row>
    <row r="53" spans="1:15" ht="12.75">
      <c r="A53" s="386">
        <f t="shared" si="0"/>
        <v>35</v>
      </c>
      <c r="B53" s="104" t="s">
        <v>49</v>
      </c>
      <c r="L53" s="401">
        <f>K40</f>
        <v>1451371.7</v>
      </c>
      <c r="N53" s="395">
        <f t="shared" si="5"/>
        <v>1420907.408017</v>
      </c>
      <c r="O53" s="396"/>
    </row>
    <row r="54" spans="1:17" ht="13.5" thickBot="1">
      <c r="A54" s="386">
        <f t="shared" si="0"/>
        <v>36</v>
      </c>
      <c r="B54" s="104" t="str">
        <f>'JHS-20'!A6&amp;" -- LINE "&amp;'JHS-20'!A35</f>
        <v>POWER COSTS -- LINE 23</v>
      </c>
      <c r="L54" s="413">
        <f>SUM(L47:L53)</f>
        <v>895067422.2078197</v>
      </c>
      <c r="N54" s="413">
        <f>SUM(N47:N53)</f>
        <v>876279957.0156776</v>
      </c>
      <c r="O54" s="414">
        <f>ROUND(N54+'JHS-20'!D35,0)</f>
        <v>0</v>
      </c>
      <c r="P54" s="386" t="s">
        <v>621</v>
      </c>
      <c r="Q54" s="350" t="s">
        <v>523</v>
      </c>
    </row>
    <row r="55" spans="1:18" ht="13.5" thickTop="1">
      <c r="A55" s="386">
        <f t="shared" si="0"/>
        <v>37</v>
      </c>
      <c r="L55" s="412"/>
      <c r="N55" s="415"/>
      <c r="P55" s="428">
        <f>D30</f>
        <v>133613385.29825684</v>
      </c>
      <c r="Q55" s="428">
        <f>P55*$N$15</f>
        <v>130808840.34084643</v>
      </c>
      <c r="R55" s="350" t="s">
        <v>518</v>
      </c>
    </row>
    <row r="56" spans="1:18" ht="12.75">
      <c r="A56" s="386">
        <f t="shared" si="0"/>
        <v>38</v>
      </c>
      <c r="B56" s="104" t="s">
        <v>60</v>
      </c>
      <c r="L56" s="412"/>
      <c r="N56" s="415"/>
      <c r="P56" s="428">
        <f>J30</f>
        <v>-6849513.489999999</v>
      </c>
      <c r="Q56" s="428">
        <f>P56*$N$15</f>
        <v>-6705742.2018449</v>
      </c>
      <c r="R56" s="350" t="s">
        <v>522</v>
      </c>
    </row>
    <row r="57" spans="1:18" ht="12.75">
      <c r="A57" s="386">
        <f t="shared" si="0"/>
        <v>39</v>
      </c>
      <c r="B57" s="423" t="str">
        <f>B54</f>
        <v>POWER COSTS -- LINE 23</v>
      </c>
      <c r="L57" s="412">
        <f>L54</f>
        <v>895067422.2078197</v>
      </c>
      <c r="N57" s="412">
        <f>N54</f>
        <v>876279957.0156776</v>
      </c>
      <c r="O57" s="396"/>
      <c r="P57" s="428">
        <f>L63</f>
        <v>243956.35415977897</v>
      </c>
      <c r="Q57" s="428">
        <f>P57*$N$15</f>
        <v>238835.71028596524</v>
      </c>
      <c r="R57" s="350" t="s">
        <v>519</v>
      </c>
    </row>
    <row r="58" spans="1:18" ht="12.75">
      <c r="A58" s="386">
        <f t="shared" si="0"/>
        <v>40</v>
      </c>
      <c r="B58" s="423" t="str">
        <f>'JHS-20'!AU6&amp;" (ONLY THE AMORTIZATIONS THAT ARE CHARGED TO POWER COSTS)"</f>
        <v>REGULATORY ASSETS AND LIABILITIES (ONLY THE AMORTIZATIONS THAT ARE CHARGED TO POWER COSTS)</v>
      </c>
      <c r="L58" s="395">
        <f>-I40</f>
        <v>3249409.9784367527</v>
      </c>
      <c r="N58" s="395">
        <f aca="true" t="shared" si="6" ref="N58:N64">L58*$N$15</f>
        <v>3181204.8629893656</v>
      </c>
      <c r="O58" s="396"/>
      <c r="P58" s="428">
        <f>L51</f>
        <v>-7088065.589499994</v>
      </c>
      <c r="Q58" s="428">
        <f>P58*$N$15</f>
        <v>-6939287.09277639</v>
      </c>
      <c r="R58" s="350" t="s">
        <v>520</v>
      </c>
    </row>
    <row r="59" spans="1:17" ht="12.75">
      <c r="A59" s="386">
        <f t="shared" si="0"/>
        <v>41</v>
      </c>
      <c r="B59" s="423" t="str">
        <f>'JHS-20'!K6</f>
        <v>LOWER SNAKE RIVER PREPAID TRANSMISSION DEPOSITS</v>
      </c>
      <c r="L59" s="395">
        <f>-F40</f>
        <v>18551989.54575791</v>
      </c>
      <c r="N59" s="395">
        <f t="shared" si="6"/>
        <v>18162583.285192452</v>
      </c>
      <c r="O59" s="396"/>
      <c r="P59" s="428">
        <v>1</v>
      </c>
      <c r="Q59" s="428"/>
    </row>
    <row r="60" spans="1:18" ht="12.75">
      <c r="A60" s="386">
        <f t="shared" si="0"/>
        <v>42</v>
      </c>
      <c r="B60" s="423" t="str">
        <f>'JHS-20'!F6</f>
        <v>LOWER SNAKE RIVER PROJECT</v>
      </c>
      <c r="L60" s="395">
        <f>-G40</f>
        <v>420202.5851524854</v>
      </c>
      <c r="N60" s="395">
        <f t="shared" si="6"/>
        <v>411382.5328901348</v>
      </c>
      <c r="O60" s="396"/>
      <c r="P60" s="428">
        <f>SUM(P55:P59)</f>
        <v>119919763.57291663</v>
      </c>
      <c r="Q60" s="428">
        <f>SUM(Q55:Q59)</f>
        <v>117402646.7565111</v>
      </c>
      <c r="R60" s="350" t="s">
        <v>521</v>
      </c>
    </row>
    <row r="61" spans="1:17" ht="12.75">
      <c r="A61" s="386">
        <f t="shared" si="0"/>
        <v>43</v>
      </c>
      <c r="B61" s="104" t="str">
        <f>'JHS-21'!CN6&amp;" and "&amp;'JHS-21'!AX6&amp;":"</f>
        <v>WAGE INCREASE and INCENTIVE PAY:</v>
      </c>
      <c r="L61" s="312"/>
      <c r="M61" s="403"/>
      <c r="N61" s="395"/>
      <c r="O61" s="396"/>
      <c r="P61" s="428"/>
      <c r="Q61" s="428">
        <f>'JHS-19'!AM32</f>
        <v>124341933.36604214</v>
      </c>
    </row>
    <row r="62" spans="1:17" ht="12.75">
      <c r="A62" s="386">
        <f t="shared" si="0"/>
        <v>44</v>
      </c>
      <c r="B62" s="104" t="s">
        <v>54</v>
      </c>
      <c r="L62" s="395">
        <f>'JHS-20'!BB15</f>
        <v>79703.05095969615</v>
      </c>
      <c r="M62" s="403"/>
      <c r="N62" s="395">
        <f t="shared" si="6"/>
        <v>78030.08392005213</v>
      </c>
      <c r="O62" s="396"/>
      <c r="P62" s="428"/>
      <c r="Q62" s="428">
        <f>Q61-Q60</f>
        <v>6939286.60953103</v>
      </c>
    </row>
    <row r="63" spans="1:17" ht="12.75">
      <c r="A63" s="386">
        <f t="shared" si="0"/>
        <v>45</v>
      </c>
      <c r="B63" s="104" t="s">
        <v>55</v>
      </c>
      <c r="L63" s="395">
        <f>'JHS-20'!BB16</f>
        <v>243956.35415977897</v>
      </c>
      <c r="M63" s="403"/>
      <c r="N63" s="395">
        <f t="shared" si="6"/>
        <v>238835.71028596524</v>
      </c>
      <c r="O63" s="396"/>
      <c r="P63" s="428"/>
      <c r="Q63" s="428"/>
    </row>
    <row r="64" spans="1:17" ht="12.75">
      <c r="A64" s="386">
        <f t="shared" si="0"/>
        <v>46</v>
      </c>
      <c r="B64" s="423" t="str">
        <f>"Less Transmission Income in "&amp;PROPER('JHS-20'!A6)&amp;" not related to the PCA-approved transmission lines (Colstrip, 3rd AC and Northern Intertie)"</f>
        <v>Less Transmission Income in Power Costs not related to the PCA-approved transmission lines (Colstrip, 3rd AC and Northern Intertie)</v>
      </c>
      <c r="L64" s="395">
        <f>-D38+'[1]TransmRev'!D11</f>
        <v>6008579.900000002</v>
      </c>
      <c r="M64" s="403"/>
      <c r="N64" s="395">
        <f t="shared" si="6"/>
        <v>5882459.807899003</v>
      </c>
      <c r="O64" s="396"/>
      <c r="P64" s="428"/>
      <c r="Q64" s="428"/>
    </row>
    <row r="65" spans="1:17" ht="13.5" thickBot="1">
      <c r="A65" s="386">
        <f t="shared" si="0"/>
        <v>47</v>
      </c>
      <c r="B65" s="104" t="str">
        <f>"Power Costs in Baseline Rate = Lines "&amp;'[1]JHS-25 Ex A-1'!A16&amp;" - "&amp;'[1]JHS-25 Ex A-1'!A18&amp;", Lines "&amp;'[1]JHS-25 Ex A-1'!A23&amp;" - "&amp;'[1]JHS-25 Ex A-1'!A29&amp;", Line "&amp;'[1]JHS-25 Ex A-1'!A35&amp;" and Power Cost Portion of Line "&amp;'[1]JHS-25 Ex A-1'!A32&amp;" of Exhibit A-1"</f>
        <v>Power Costs in Baseline Rate = Lines 13 - 15, Lines 16 - 22, Line 28 and Power Cost Portion of Line 25 of Exhibit A-1</v>
      </c>
      <c r="L65" s="413">
        <f>SUM(L57:L64)</f>
        <v>923621263.6222863</v>
      </c>
      <c r="N65" s="413">
        <f>SUM(N57:N64)</f>
        <v>904234453.2988545</v>
      </c>
      <c r="O65" s="396"/>
      <c r="P65" s="428"/>
      <c r="Q65" s="428"/>
    </row>
    <row r="66" spans="1:17" ht="13.5" thickTop="1">
      <c r="A66" s="386">
        <f t="shared" si="0"/>
        <v>48</v>
      </c>
      <c r="L66" s="412"/>
      <c r="M66" s="403"/>
      <c r="N66" s="412"/>
      <c r="O66" s="396"/>
      <c r="P66" s="428"/>
      <c r="Q66" s="428"/>
    </row>
    <row r="67" spans="1:17" ht="12.75">
      <c r="A67" s="386">
        <f t="shared" si="0"/>
        <v>49</v>
      </c>
      <c r="B67" s="104" t="s">
        <v>61</v>
      </c>
      <c r="L67" s="412"/>
      <c r="M67" s="403"/>
      <c r="N67" s="412"/>
      <c r="O67" s="396"/>
      <c r="P67" s="428"/>
      <c r="Q67" s="428"/>
    </row>
    <row r="68" spans="1:17" ht="12.75">
      <c r="A68" s="386">
        <f t="shared" si="0"/>
        <v>50</v>
      </c>
      <c r="B68" s="423" t="s">
        <v>64</v>
      </c>
      <c r="L68" s="412">
        <f>L65</f>
        <v>923621263.6222863</v>
      </c>
      <c r="M68" s="403"/>
      <c r="N68" s="412">
        <f>N65</f>
        <v>904234453.2988545</v>
      </c>
      <c r="O68" s="396"/>
      <c r="P68" s="428"/>
      <c r="Q68" s="428"/>
    </row>
    <row r="69" spans="1:17" ht="12.75">
      <c r="A69" s="386">
        <f>A68+1</f>
        <v>51</v>
      </c>
      <c r="B69" s="423" t="s">
        <v>62</v>
      </c>
      <c r="L69" s="412"/>
      <c r="M69" s="403"/>
      <c r="N69" s="412"/>
      <c r="O69" s="396"/>
      <c r="P69" s="428"/>
      <c r="Q69" s="428"/>
    </row>
    <row r="70" spans="1:17" ht="12.75">
      <c r="A70" s="386">
        <f t="shared" si="0"/>
        <v>52</v>
      </c>
      <c r="B70" s="104" t="s">
        <v>402</v>
      </c>
      <c r="L70" s="395">
        <f>-L49-L64</f>
        <v>8009624.75333333</v>
      </c>
      <c r="M70" s="395"/>
      <c r="N70" s="395">
        <f>-N49-N64</f>
        <v>7841502.729760864</v>
      </c>
      <c r="O70" s="396"/>
      <c r="P70" s="428"/>
      <c r="Q70" s="428"/>
    </row>
    <row r="71" spans="1:17" ht="12.75">
      <c r="A71" s="386">
        <f t="shared" si="0"/>
        <v>53</v>
      </c>
      <c r="B71" s="104" t="s">
        <v>109</v>
      </c>
      <c r="L71" s="395">
        <f>-L32</f>
        <v>-1419635</v>
      </c>
      <c r="M71" s="395"/>
      <c r="N71" s="395">
        <f>-N32</f>
        <v>-1389836.8613500001</v>
      </c>
      <c r="O71" s="396"/>
      <c r="P71" s="428"/>
      <c r="Q71" s="428"/>
    </row>
    <row r="72" spans="1:17" ht="12.75">
      <c r="A72" s="386">
        <f>A71+1</f>
        <v>54</v>
      </c>
      <c r="B72" s="104" t="s">
        <v>122</v>
      </c>
      <c r="L72" s="395">
        <f>-L34</f>
        <v>0</v>
      </c>
      <c r="M72" s="395"/>
      <c r="N72" s="395">
        <f>-N34</f>
        <v>0</v>
      </c>
      <c r="O72" s="396"/>
      <c r="P72" s="428"/>
      <c r="Q72" s="428"/>
    </row>
    <row r="73" spans="1:15" ht="12.75">
      <c r="A73" s="386">
        <f t="shared" si="0"/>
        <v>55</v>
      </c>
      <c r="B73" s="423" t="s">
        <v>63</v>
      </c>
      <c r="L73" s="372">
        <f>'JHS-19'!K27</f>
        <v>-37532000</v>
      </c>
      <c r="M73" s="428"/>
      <c r="N73" s="372">
        <f>L73</f>
        <v>-37532000</v>
      </c>
      <c r="O73" s="396"/>
    </row>
    <row r="74" spans="1:16" ht="13.5" thickBot="1">
      <c r="A74" s="386">
        <f>A73+1</f>
        <v>56</v>
      </c>
      <c r="B74" s="104" t="s">
        <v>65</v>
      </c>
      <c r="L74" s="413">
        <f>SUM(L68:L73)</f>
        <v>892679253.3756196</v>
      </c>
      <c r="M74" s="403"/>
      <c r="N74" s="413">
        <f>SUM(N68:N73)</f>
        <v>873154119.1672653</v>
      </c>
      <c r="O74" s="396"/>
      <c r="P74" s="396">
        <f>'JHS-19'!AM30+'JHS-19'!AM32-'JHS-19'!AM19-N74</f>
        <v>44471286.346471906</v>
      </c>
    </row>
    <row r="75" spans="1:15" ht="14.25" thickBot="1" thickTop="1">
      <c r="A75" s="424">
        <f>A74+1</f>
        <v>57</v>
      </c>
      <c r="B75" s="416"/>
      <c r="C75" s="416"/>
      <c r="D75" s="416"/>
      <c r="E75" s="416"/>
      <c r="F75" s="416"/>
      <c r="G75" s="416"/>
      <c r="H75" s="416"/>
      <c r="I75" s="416"/>
      <c r="J75" s="417">
        <f>ROUND('JHS-20'!D29-'JHS-20.01(A)'!N54,0)</f>
        <v>-60793446</v>
      </c>
      <c r="K75" s="416"/>
      <c r="L75" s="418"/>
      <c r="M75" s="418"/>
      <c r="N75" s="418"/>
      <c r="O75" s="396"/>
    </row>
    <row r="76" spans="1:15" ht="13.5" thickTop="1">
      <c r="A76" s="421"/>
      <c r="O76" s="508"/>
    </row>
    <row r="77" spans="1:15" ht="12.75">
      <c r="A77" s="619"/>
      <c r="N77" s="396"/>
      <c r="O77" s="508"/>
    </row>
    <row r="78" spans="12:15" ht="12.75">
      <c r="L78" s="104"/>
      <c r="N78" s="239"/>
      <c r="O78" s="508"/>
    </row>
    <row r="79" spans="12:15" ht="12.75">
      <c r="L79" s="104"/>
      <c r="N79" s="396"/>
      <c r="O79" s="508"/>
    </row>
    <row r="80" spans="12:14" ht="12.75">
      <c r="L80" s="104"/>
      <c r="N80" s="396"/>
    </row>
    <row r="81" spans="12:14" ht="12.75">
      <c r="L81" s="104"/>
      <c r="N81" s="398"/>
    </row>
    <row r="82" spans="10:14" ht="12.75">
      <c r="J82" s="420"/>
      <c r="L82" s="401"/>
      <c r="N82" s="104"/>
    </row>
    <row r="85" ht="12.75">
      <c r="N85" s="396"/>
    </row>
    <row r="87" ht="12.75">
      <c r="N87" s="508"/>
    </row>
  </sheetData>
  <sheetProtection/>
  <conditionalFormatting sqref="O65:O74 O54 P41:P43 N41 N43">
    <cfRule type="cellIs" priority="2" dxfId="2" operator="notEqual" stopIfTrue="1">
      <formula>0</formula>
    </cfRule>
  </conditionalFormatting>
  <printOptions horizontalCentered="1"/>
  <pageMargins left="0.25" right="1" top="0.67" bottom="0.5" header="0.21" footer="0.5"/>
  <pageSetup fitToHeight="1" fitToWidth="1" horizontalDpi="600" verticalDpi="600" orientation="landscape" scale="73" r:id="rId1"/>
  <headerFooter alignWithMargins="0">
    <oddFooter>&amp;L&amp;"Times New Roman,Bold Italic"&amp;14Amounts presented in bold italic type have changed since PSE's Rebuttal Filing as revised February 16, 2012.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13"/>
  <sheetViews>
    <sheetView zoomScale="88" zoomScaleNormal="88" zoomScaleSheetLayoutView="100" zoomScalePageLayoutView="0" workbookViewId="0" topLeftCell="A1">
      <pane xSplit="1" ySplit="11" topLeftCell="O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Y2" sqref="Y2:Y4"/>
    </sheetView>
  </sheetViews>
  <sheetFormatPr defaultColWidth="9.33203125" defaultRowHeight="10.5"/>
  <cols>
    <col min="1" max="1" width="6" style="0" customWidth="1"/>
    <col min="2" max="2" width="29.5" style="0" customWidth="1"/>
    <col min="3" max="3" width="22.33203125" style="0" customWidth="1"/>
    <col min="4" max="4" width="18.5" style="0" customWidth="1"/>
    <col min="5" max="5" width="17.16015625" style="0" bestFit="1" customWidth="1"/>
    <col min="6" max="6" width="18.5" style="0" customWidth="1"/>
    <col min="7" max="7" width="17.83203125" style="0" customWidth="1"/>
    <col min="8" max="8" width="9.5" style="0" bestFit="1" customWidth="1"/>
    <col min="9" max="9" width="75.66015625" style="0" customWidth="1"/>
    <col min="10" max="10" width="23.16015625" style="0" customWidth="1"/>
    <col min="11" max="11" width="15.66015625" style="0" customWidth="1"/>
    <col min="12" max="12" width="16.16015625" style="0" customWidth="1"/>
    <col min="13" max="13" width="6.5" style="0" customWidth="1"/>
    <col min="14" max="14" width="74.66015625" style="0" customWidth="1"/>
    <col min="16" max="16" width="13.33203125" style="0" customWidth="1"/>
    <col min="17" max="17" width="17.83203125" style="0" customWidth="1"/>
    <col min="18" max="18" width="6.5" style="0" customWidth="1"/>
    <col min="19" max="19" width="74.33203125" style="0" customWidth="1"/>
    <col min="20" max="20" width="17.16015625" style="0" customWidth="1"/>
    <col min="21" max="21" width="18.83203125" style="0" customWidth="1"/>
    <col min="22" max="22" width="5.83203125" style="0" bestFit="1" customWidth="1"/>
    <col min="23" max="23" width="57.5" style="0" customWidth="1"/>
    <col min="24" max="24" width="21.33203125" style="0" customWidth="1"/>
    <col min="25" max="25" width="21.16015625" style="0" customWidth="1"/>
    <col min="26" max="26" width="5.83203125" style="7" customWidth="1"/>
    <col min="27" max="27" width="70.16015625" style="7" customWidth="1"/>
    <col min="28" max="28" width="17.16015625" style="7" customWidth="1"/>
    <col min="29" max="29" width="14.83203125" style="7" customWidth="1"/>
    <col min="30" max="30" width="16.33203125" style="7" customWidth="1"/>
    <col min="31" max="31" width="5.83203125" style="7" bestFit="1" customWidth="1"/>
    <col min="32" max="32" width="50.16015625" style="7" customWidth="1"/>
    <col min="33" max="33" width="16" style="7" customWidth="1"/>
    <col min="34" max="34" width="16.33203125" style="7" customWidth="1"/>
    <col min="35" max="35" width="17.16015625" style="7" customWidth="1"/>
    <col min="36" max="36" width="6.83203125" style="0" customWidth="1"/>
    <col min="37" max="37" width="68.83203125" style="0" customWidth="1"/>
    <col min="38" max="38" width="13.66015625" style="0" customWidth="1"/>
    <col min="39" max="39" width="15.5" style="0" customWidth="1"/>
    <col min="40" max="40" width="19.16015625" style="0" customWidth="1"/>
    <col min="41" max="41" width="7.5" style="0" customWidth="1"/>
    <col min="42" max="42" width="24.83203125" style="0" customWidth="1"/>
    <col min="43" max="43" width="20.5" style="0" customWidth="1"/>
    <col min="44" max="44" width="21" style="0" customWidth="1"/>
    <col min="45" max="45" width="18.33203125" style="0" customWidth="1"/>
    <col min="46" max="46" width="22.66015625" style="0" customWidth="1"/>
    <col min="47" max="47" width="15.5" style="0" customWidth="1"/>
    <col min="48" max="48" width="21.33203125" style="0" customWidth="1"/>
    <col min="49" max="49" width="18.5" style="0" customWidth="1"/>
    <col min="50" max="50" width="6.83203125" style="7" customWidth="1"/>
    <col min="51" max="51" width="52" style="0" bestFit="1" customWidth="1"/>
    <col min="52" max="52" width="19.16015625" style="0" customWidth="1"/>
    <col min="53" max="53" width="18.33203125" style="0" customWidth="1"/>
    <col min="54" max="54" width="19.66015625" style="0" customWidth="1"/>
    <col min="55" max="55" width="5.83203125" style="7" customWidth="1"/>
    <col min="56" max="56" width="37.16015625" style="7" bestFit="1" customWidth="1"/>
    <col min="57" max="57" width="22.33203125" style="7" customWidth="1"/>
    <col min="58" max="58" width="20.5" style="7" customWidth="1"/>
    <col min="59" max="59" width="21.83203125" style="7" customWidth="1"/>
    <col min="60" max="60" width="24" style="7" customWidth="1"/>
    <col min="61" max="61" width="5.83203125" style="108" customWidth="1"/>
    <col min="62" max="62" width="59.83203125" style="108" customWidth="1"/>
    <col min="63" max="63" width="6.5" style="108" customWidth="1"/>
    <col min="64" max="64" width="24.33203125" style="108" customWidth="1"/>
    <col min="65" max="65" width="5.83203125" style="0" bestFit="1" customWidth="1"/>
    <col min="66" max="66" width="54.83203125" style="0" customWidth="1"/>
    <col min="67" max="67" width="14.66015625" style="0" customWidth="1"/>
    <col min="68" max="68" width="14.83203125" style="0" customWidth="1"/>
    <col min="69" max="69" width="16.5" style="0" customWidth="1"/>
    <col min="70" max="70" width="6.83203125" style="7" customWidth="1"/>
    <col min="71" max="71" width="49.83203125" style="7" bestFit="1" customWidth="1"/>
    <col min="72" max="72" width="16.16015625" style="7" customWidth="1"/>
    <col min="73" max="73" width="23.66015625" style="7" customWidth="1"/>
    <col min="74" max="74" width="5.83203125" style="7" customWidth="1"/>
    <col min="75" max="75" width="62.16015625" style="7" bestFit="1" customWidth="1"/>
    <col min="76" max="76" width="20.83203125" style="7" customWidth="1"/>
    <col min="77" max="77" width="15.66015625" style="7" customWidth="1"/>
    <col min="78" max="78" width="5.83203125" style="7" customWidth="1"/>
    <col min="79" max="79" width="60.16015625" style="7" customWidth="1"/>
    <col min="80" max="80" width="17" style="7" customWidth="1"/>
    <col min="81" max="81" width="24.33203125" style="7" customWidth="1"/>
    <col min="82" max="82" width="5.83203125" style="7" customWidth="1"/>
    <col min="83" max="83" width="46.33203125" style="7" bestFit="1" customWidth="1"/>
    <col min="84" max="84" width="16.83203125" style="7" customWidth="1"/>
    <col min="85" max="85" width="20.5" style="7" customWidth="1"/>
    <col min="86" max="86" width="22.16015625" style="7" customWidth="1"/>
    <col min="87" max="87" width="5.83203125" style="7" customWidth="1"/>
    <col min="88" max="88" width="43.83203125" style="7" customWidth="1"/>
    <col min="89" max="89" width="18.5" style="7" customWidth="1"/>
    <col min="90" max="90" width="19.16015625" style="7" customWidth="1"/>
    <col min="91" max="91" width="23.33203125" style="7" customWidth="1"/>
    <col min="92" max="92" width="6.83203125" style="7" customWidth="1"/>
    <col min="93" max="93" width="42.83203125" style="7" customWidth="1"/>
    <col min="94" max="94" width="20" style="7" customWidth="1"/>
    <col min="95" max="95" width="20.5" style="7" customWidth="1"/>
    <col min="96" max="96" width="24.83203125" style="7" customWidth="1"/>
    <col min="97" max="97" width="5.83203125" style="7" customWidth="1"/>
    <col min="98" max="98" width="61.16015625" style="7" customWidth="1"/>
    <col min="99" max="99" width="10.16015625" style="7" customWidth="1"/>
    <col min="100" max="100" width="15.16015625" style="7" customWidth="1"/>
    <col min="101" max="101" width="29.16015625" style="7" customWidth="1"/>
    <col min="102" max="102" width="6.83203125" style="7" customWidth="1"/>
    <col min="103" max="103" width="49.16015625" style="7" customWidth="1"/>
    <col min="104" max="104" width="10.66015625" style="7" customWidth="1"/>
    <col min="105" max="105" width="10.83203125" style="7" customWidth="1"/>
    <col min="106" max="106" width="29.16015625" style="7" customWidth="1"/>
    <col min="107" max="107" width="6.5" style="0" bestFit="1" customWidth="1"/>
    <col min="108" max="108" width="44.66015625" style="0" bestFit="1" customWidth="1"/>
    <col min="109" max="111" width="18.83203125" style="0" customWidth="1"/>
  </cols>
  <sheetData>
    <row r="1" spans="1:111" ht="12.75">
      <c r="A1" s="198">
        <f>ROUND(SUM(B1:G1),0)</f>
        <v>0</v>
      </c>
      <c r="B1" s="199"/>
      <c r="C1" s="199"/>
      <c r="D1" s="199"/>
      <c r="E1" s="199"/>
      <c r="F1" s="199"/>
      <c r="G1" s="199">
        <f>ROUND('JHS-19'!P49-G53,0)</f>
        <v>0</v>
      </c>
      <c r="H1" s="199"/>
      <c r="I1" s="199"/>
      <c r="J1" s="199"/>
      <c r="K1" s="199"/>
      <c r="L1" s="199">
        <f>ROUND(L59-'JHS-19'!Q49,0)</f>
        <v>0</v>
      </c>
      <c r="M1" s="199"/>
      <c r="N1" s="229"/>
      <c r="O1" s="229"/>
      <c r="P1" s="229"/>
      <c r="Q1" s="229">
        <f>ROUND(Q44-'JHS-19'!R49,2)</f>
        <v>0</v>
      </c>
      <c r="R1" s="199"/>
      <c r="S1" s="199"/>
      <c r="T1" s="199"/>
      <c r="U1" s="200">
        <f>ROUND(U32-'JHS-19'!S49,0)</f>
        <v>0</v>
      </c>
      <c r="V1" s="199"/>
      <c r="W1" s="199"/>
      <c r="X1" s="199"/>
      <c r="Y1" s="208">
        <f>ROUND(Y23-'JHS-19'!T49,0)</f>
        <v>0</v>
      </c>
      <c r="Z1" s="199"/>
      <c r="AA1" s="199"/>
      <c r="AB1" s="199"/>
      <c r="AC1" s="199"/>
      <c r="AD1" s="199">
        <f>ROUND(AD31-'JHS-19'!U49,0)</f>
        <v>0</v>
      </c>
      <c r="AE1" s="199"/>
      <c r="AF1" s="200"/>
      <c r="AG1" s="200"/>
      <c r="AH1" s="200"/>
      <c r="AI1" s="104">
        <f>ROUND(AI25-'JHS-19'!V49,0)</f>
        <v>0</v>
      </c>
      <c r="AJ1" s="208"/>
      <c r="AK1" s="208"/>
      <c r="AL1" s="208"/>
      <c r="AM1" s="208"/>
      <c r="AN1" s="208">
        <f>ROUND(AN20-'JHS-19'!W49,0)</f>
        <v>0</v>
      </c>
      <c r="AO1" s="199"/>
      <c r="AP1" s="199"/>
      <c r="AQ1" s="199"/>
      <c r="AR1" s="199"/>
      <c r="AS1" s="199"/>
      <c r="AT1" s="199"/>
      <c r="AU1" s="199"/>
      <c r="AV1" s="199"/>
      <c r="AW1" s="275">
        <f>ROUND(AW28-'JHS-19'!X49,0)</f>
        <v>0</v>
      </c>
      <c r="AX1" s="199"/>
      <c r="AY1" s="217"/>
      <c r="AZ1" s="217"/>
      <c r="BA1" s="217"/>
      <c r="BB1" s="200">
        <f>ROUND(BB30-'JHS-19'!Y49,0)</f>
        <v>0</v>
      </c>
      <c r="BC1" s="199"/>
      <c r="BD1" s="199"/>
      <c r="BE1" s="199"/>
      <c r="BF1" s="199"/>
      <c r="BG1" s="199"/>
      <c r="BH1" s="199">
        <f>ROUND(BH19-'JHS-19'!Z49,0)</f>
        <v>0</v>
      </c>
      <c r="BI1" s="200"/>
      <c r="BJ1" s="200"/>
      <c r="BK1" s="200"/>
      <c r="BL1" s="200">
        <f>ROUND(BL24-'JHS-19'!AA49,0)</f>
        <v>0</v>
      </c>
      <c r="BM1" s="199"/>
      <c r="BN1" s="199"/>
      <c r="BO1" s="199"/>
      <c r="BP1" s="199"/>
      <c r="BQ1" s="208">
        <f>BQ19-'JHS-19'!AB49</f>
        <v>0</v>
      </c>
      <c r="BR1" s="199"/>
      <c r="BS1" s="199"/>
      <c r="BT1" s="208">
        <f>BU20-'JHS-19'!AC51</f>
        <v>0</v>
      </c>
      <c r="BU1" s="199">
        <f>ROUND(BU15-'JHS-19'!AC49,0)</f>
        <v>0</v>
      </c>
      <c r="BV1" s="199"/>
      <c r="BW1" s="199"/>
      <c r="BX1" s="199"/>
      <c r="BY1" s="199">
        <f>ROUND(BY31-'JHS-19'!AD49,0)</f>
        <v>0</v>
      </c>
      <c r="BZ1" s="199"/>
      <c r="CA1" s="199"/>
      <c r="CB1" s="199"/>
      <c r="CC1" s="208">
        <f>ROUND(CC31-'JHS-19'!AE49,0)</f>
        <v>0</v>
      </c>
      <c r="CD1" s="199"/>
      <c r="CE1" s="199"/>
      <c r="CF1" s="199"/>
      <c r="CG1" s="199"/>
      <c r="CH1" s="202">
        <f>ROUND(CH20-'JHS-19'!AF49,0)</f>
        <v>0</v>
      </c>
      <c r="CI1" s="199"/>
      <c r="CJ1" s="199"/>
      <c r="CK1" s="199"/>
      <c r="CL1" s="199"/>
      <c r="CM1" s="202">
        <f>ROUND(CM18-'JHS-19'!AG49,0)</f>
        <v>0</v>
      </c>
      <c r="CN1" s="199"/>
      <c r="CO1" s="199"/>
      <c r="CP1" s="199"/>
      <c r="CQ1" s="199"/>
      <c r="CR1" s="199">
        <f>ROUND(CR29-'JHS-19'!AH49,0)</f>
        <v>0</v>
      </c>
      <c r="CS1" s="199"/>
      <c r="CT1" s="199"/>
      <c r="CU1" s="199"/>
      <c r="CV1" s="199"/>
      <c r="CW1" s="199">
        <f>ROUND(CW40-'JHS-19'!AI49,0)</f>
        <v>0</v>
      </c>
      <c r="CX1" s="199"/>
      <c r="CY1" s="199"/>
      <c r="CZ1" s="199"/>
      <c r="DA1" s="199"/>
      <c r="DB1" s="199">
        <f>ROUND(DB24-'JHS-19'!AJ49,0)</f>
        <v>0</v>
      </c>
      <c r="DC1" s="199"/>
      <c r="DD1" s="199"/>
      <c r="DE1" s="199"/>
      <c r="DF1" s="199"/>
      <c r="DG1" s="199">
        <v>0</v>
      </c>
    </row>
    <row r="2" spans="1:111" ht="12.75">
      <c r="A2" s="16"/>
      <c r="B2" s="7"/>
      <c r="C2" s="7"/>
      <c r="D2" s="7"/>
      <c r="E2" s="7"/>
      <c r="F2" s="7"/>
      <c r="G2" s="1" t="str">
        <f>DocketNumber</f>
        <v>Docket Number UE-111048</v>
      </c>
      <c r="H2" s="16"/>
      <c r="I2" s="7"/>
      <c r="J2" s="7"/>
      <c r="K2" s="7"/>
      <c r="L2" s="1" t="str">
        <f>DocketNumber</f>
        <v>Docket Number UE-111048</v>
      </c>
      <c r="M2" s="7"/>
      <c r="N2" s="230"/>
      <c r="O2" s="230"/>
      <c r="P2" s="230"/>
      <c r="Q2" s="1" t="str">
        <f>DocketNumber</f>
        <v>Docket Number UE-111048</v>
      </c>
      <c r="R2" s="16"/>
      <c r="S2" s="7"/>
      <c r="T2" s="7"/>
      <c r="U2" s="1" t="str">
        <f>DocketNumber</f>
        <v>Docket Number UE-111048</v>
      </c>
      <c r="V2" s="16"/>
      <c r="W2" s="7"/>
      <c r="X2" s="7"/>
      <c r="Y2" s="1" t="str">
        <f>DocketNumber</f>
        <v>Docket Number UE-111048</v>
      </c>
      <c r="Z2" s="16"/>
      <c r="AB2" s="109"/>
      <c r="AD2" s="1" t="str">
        <f>DocketNumber</f>
        <v>Docket Number UE-111048</v>
      </c>
      <c r="AE2" s="16"/>
      <c r="AI2" s="1" t="str">
        <f>DocketNumber</f>
        <v>Docket Number UE-111048</v>
      </c>
      <c r="AJ2" s="1"/>
      <c r="AK2" s="1"/>
      <c r="AL2" s="1"/>
      <c r="AM2" s="1"/>
      <c r="AN2" s="1" t="str">
        <f>DocketNumber</f>
        <v>Docket Number UE-111048</v>
      </c>
      <c r="AO2" s="16"/>
      <c r="AP2" s="7"/>
      <c r="AQ2" s="7"/>
      <c r="AR2" s="7"/>
      <c r="AS2" s="7"/>
      <c r="AT2" s="7"/>
      <c r="AU2" s="7"/>
      <c r="AV2" s="7"/>
      <c r="AW2" s="1" t="str">
        <f>DocketNumber</f>
        <v>Docket Number UE-111048</v>
      </c>
      <c r="AX2" s="16"/>
      <c r="AY2" s="7"/>
      <c r="AZ2" s="7"/>
      <c r="BA2" s="7"/>
      <c r="BB2" s="1" t="str">
        <f>DocketNumber</f>
        <v>Docket Number UE-111048</v>
      </c>
      <c r="BC2" s="16"/>
      <c r="BH2" s="1" t="str">
        <f>DocketNumber</f>
        <v>Docket Number UE-111048</v>
      </c>
      <c r="BI2" s="16"/>
      <c r="BJ2" s="7"/>
      <c r="BK2" s="7"/>
      <c r="BL2" s="1" t="str">
        <f>DocketNumber</f>
        <v>Docket Number UE-111048</v>
      </c>
      <c r="BM2" s="104"/>
      <c r="BN2" s="104"/>
      <c r="BO2" s="104"/>
      <c r="BQ2" s="1" t="str">
        <f>DocketNumber</f>
        <v>Docket Number UE-111048</v>
      </c>
      <c r="BR2" s="16"/>
      <c r="BU2" s="1" t="str">
        <f>DocketNumber</f>
        <v>Docket Number UE-111048</v>
      </c>
      <c r="BV2" s="16"/>
      <c r="BY2" s="1" t="str">
        <f>DocketNumber</f>
        <v>Docket Number UE-111048</v>
      </c>
      <c r="BZ2" s="16"/>
      <c r="CA2" s="107"/>
      <c r="CB2" s="107"/>
      <c r="CC2" s="1" t="str">
        <f>DocketNumber</f>
        <v>Docket Number UE-111048</v>
      </c>
      <c r="CD2" s="16"/>
      <c r="CH2" s="1" t="str">
        <f>DocketNumber</f>
        <v>Docket Number UE-111048</v>
      </c>
      <c r="CI2" s="16"/>
      <c r="CM2" s="1" t="str">
        <f>DocketNumber</f>
        <v>Docket Number UE-111048</v>
      </c>
      <c r="CN2" s="16"/>
      <c r="CR2" s="1" t="str">
        <f>DocketNumber</f>
        <v>Docket Number UE-111048</v>
      </c>
      <c r="CS2" s="16"/>
      <c r="CW2" s="1" t="str">
        <f>DocketNumber</f>
        <v>Docket Number UE-111048</v>
      </c>
      <c r="CX2" s="16"/>
      <c r="DB2" s="1" t="str">
        <f>DocketNumber</f>
        <v>Docket Number UE-111048</v>
      </c>
      <c r="DC2" s="7"/>
      <c r="DD2" s="7"/>
      <c r="DE2" s="7"/>
      <c r="DF2" s="7"/>
      <c r="DG2" s="1" t="str">
        <f>DocketNumber</f>
        <v>Docket Number UE-111048</v>
      </c>
    </row>
    <row r="3" spans="1:111" ht="13.5" thickBot="1">
      <c r="A3" s="33"/>
      <c r="B3" s="16"/>
      <c r="C3" s="16"/>
      <c r="D3" s="16"/>
      <c r="E3" s="16"/>
      <c r="F3" s="16"/>
      <c r="G3" s="371" t="s">
        <v>691</v>
      </c>
      <c r="H3" s="7"/>
      <c r="I3" s="7"/>
      <c r="J3" s="7"/>
      <c r="K3" s="7"/>
      <c r="L3" s="1" t="str">
        <f>$G$3</f>
        <v>Exhibit No.     (JHS-21)</v>
      </c>
      <c r="M3" s="7"/>
      <c r="N3" s="230"/>
      <c r="O3" s="230"/>
      <c r="P3" s="230"/>
      <c r="Q3" s="1" t="str">
        <f>$G$3</f>
        <v>Exhibit No.     (JHS-21)</v>
      </c>
      <c r="R3" s="7"/>
      <c r="S3" s="7"/>
      <c r="T3" s="7"/>
      <c r="U3" s="1" t="str">
        <f>$G$3</f>
        <v>Exhibit No.     (JHS-21)</v>
      </c>
      <c r="V3" s="7"/>
      <c r="W3" s="7"/>
      <c r="X3" s="7"/>
      <c r="Y3" s="1" t="str">
        <f>$G$3</f>
        <v>Exhibit No.     (JHS-21)</v>
      </c>
      <c r="AD3" s="1" t="str">
        <f>$G$3</f>
        <v>Exhibit No.     (JHS-21)</v>
      </c>
      <c r="AF3" s="108"/>
      <c r="AG3" s="108"/>
      <c r="AH3" s="108"/>
      <c r="AI3" s="1" t="str">
        <f>$G$3</f>
        <v>Exhibit No.     (JHS-21)</v>
      </c>
      <c r="AJ3" s="1"/>
      <c r="AK3" s="1"/>
      <c r="AL3" s="1"/>
      <c r="AM3" s="1"/>
      <c r="AN3" s="1" t="str">
        <f>$G$3</f>
        <v>Exhibit No.     (JHS-21)</v>
      </c>
      <c r="AO3" s="7"/>
      <c r="AP3" s="7"/>
      <c r="AQ3" s="7"/>
      <c r="AR3" s="7"/>
      <c r="AS3" s="7"/>
      <c r="AT3" s="7"/>
      <c r="AU3" s="7"/>
      <c r="AV3" s="7"/>
      <c r="AW3" s="1" t="str">
        <f>$G$3</f>
        <v>Exhibit No.     (JHS-21)</v>
      </c>
      <c r="AY3" s="7"/>
      <c r="AZ3" s="7"/>
      <c r="BA3" s="7"/>
      <c r="BB3" s="1" t="str">
        <f>$G$3</f>
        <v>Exhibit No.     (JHS-21)</v>
      </c>
      <c r="BH3" s="1" t="str">
        <f>$G$3</f>
        <v>Exhibit No.     (JHS-21)</v>
      </c>
      <c r="BL3" s="1" t="str">
        <f>$G$3</f>
        <v>Exhibit No.     (JHS-21)</v>
      </c>
      <c r="BM3" s="104"/>
      <c r="BN3" s="104"/>
      <c r="BO3" s="104"/>
      <c r="BQ3" s="1" t="str">
        <f>$G$3</f>
        <v>Exhibit No.     (JHS-21)</v>
      </c>
      <c r="BU3" s="1" t="str">
        <f>$G$3</f>
        <v>Exhibit No.     (JHS-21)</v>
      </c>
      <c r="BY3" s="1" t="str">
        <f>$G$3</f>
        <v>Exhibit No.     (JHS-21)</v>
      </c>
      <c r="CC3" s="1" t="str">
        <f>$G$3</f>
        <v>Exhibit No.     (JHS-21)</v>
      </c>
      <c r="CH3" s="1" t="str">
        <f>$G$3</f>
        <v>Exhibit No.     (JHS-21)</v>
      </c>
      <c r="CM3" s="1" t="str">
        <f>$G$3</f>
        <v>Exhibit No.     (JHS-21)</v>
      </c>
      <c r="CR3" s="1" t="str">
        <f>$G$3</f>
        <v>Exhibit No.     (JHS-21)</v>
      </c>
      <c r="CW3" s="1" t="str">
        <f>$G$3</f>
        <v>Exhibit No.     (JHS-21)</v>
      </c>
      <c r="DB3" s="1" t="str">
        <f>$G$3</f>
        <v>Exhibit No.     (JHS-21)</v>
      </c>
      <c r="DC3" s="16"/>
      <c r="DD3" s="16"/>
      <c r="DE3" s="7"/>
      <c r="DF3" s="7"/>
      <c r="DG3" s="1" t="str">
        <f>$G$3</f>
        <v>Exhibit No.     (JHS-21)</v>
      </c>
    </row>
    <row r="4" spans="1:111" s="117" customFormat="1" ht="14.25" thickBot="1" thickTop="1">
      <c r="A4" s="16"/>
      <c r="B4" s="16"/>
      <c r="C4" s="16"/>
      <c r="D4" s="16"/>
      <c r="E4" s="16"/>
      <c r="F4" s="16"/>
      <c r="G4" s="303">
        <v>21.01</v>
      </c>
      <c r="H4" s="50"/>
      <c r="I4" s="50"/>
      <c r="J4" s="50"/>
      <c r="K4" s="50"/>
      <c r="L4" s="303">
        <f>'JHS-21'!G4+0.01</f>
        <v>21.020000000000003</v>
      </c>
      <c r="M4" s="16"/>
      <c r="N4" s="230"/>
      <c r="O4" s="230"/>
      <c r="P4" s="222"/>
      <c r="Q4" s="303">
        <f>L4+0.01</f>
        <v>21.030000000000005</v>
      </c>
      <c r="R4" s="16"/>
      <c r="S4" s="16"/>
      <c r="T4" s="16"/>
      <c r="U4" s="303">
        <f>'JHS-21'!L4+0.02</f>
        <v>21.040000000000003</v>
      </c>
      <c r="V4" s="16"/>
      <c r="W4" s="16"/>
      <c r="X4" s="16"/>
      <c r="Y4" s="303">
        <f>'JHS-21'!U4+0.01</f>
        <v>21.050000000000004</v>
      </c>
      <c r="Z4" s="16"/>
      <c r="AA4" s="16"/>
      <c r="AB4" s="115"/>
      <c r="AC4" s="16"/>
      <c r="AD4" s="303">
        <f>Y4+0.01</f>
        <v>21.060000000000006</v>
      </c>
      <c r="AE4" s="16"/>
      <c r="AF4" s="81"/>
      <c r="AG4" s="81"/>
      <c r="AH4" s="81"/>
      <c r="AI4" s="303">
        <f>AD4+0.01</f>
        <v>21.070000000000007</v>
      </c>
      <c r="AJ4" s="27"/>
      <c r="AK4" s="105"/>
      <c r="AL4" s="27"/>
      <c r="AM4" s="27"/>
      <c r="AN4" s="303">
        <f>AI4+0.01</f>
        <v>21.08000000000001</v>
      </c>
      <c r="AO4" s="16"/>
      <c r="AP4" s="16"/>
      <c r="AQ4" s="16"/>
      <c r="AR4" s="16"/>
      <c r="AS4" s="16"/>
      <c r="AT4" s="16"/>
      <c r="AU4" s="16"/>
      <c r="AV4" s="16"/>
      <c r="AW4" s="303">
        <f>AN4+0.01</f>
        <v>21.09000000000001</v>
      </c>
      <c r="AX4" s="16"/>
      <c r="AY4" s="16"/>
      <c r="AZ4" s="16"/>
      <c r="BA4" s="16"/>
      <c r="BB4" s="303">
        <f>AW4+0.01</f>
        <v>21.100000000000012</v>
      </c>
      <c r="BC4" s="16"/>
      <c r="BD4" s="16"/>
      <c r="BE4" s="16"/>
      <c r="BF4" s="16"/>
      <c r="BG4" s="50"/>
      <c r="BH4" s="303">
        <f>BB4+0.01</f>
        <v>21.110000000000014</v>
      </c>
      <c r="BI4" s="16"/>
      <c r="BJ4" s="16"/>
      <c r="BK4" s="16"/>
      <c r="BL4" s="303">
        <f>BH4+0.01</f>
        <v>21.120000000000015</v>
      </c>
      <c r="BM4" s="7"/>
      <c r="BN4" s="7"/>
      <c r="BO4" s="7"/>
      <c r="BQ4" s="303">
        <f>BL4+0.01</f>
        <v>21.130000000000017</v>
      </c>
      <c r="BR4" s="16"/>
      <c r="BS4" s="16"/>
      <c r="BT4" s="16"/>
      <c r="BU4" s="303">
        <f>BQ4+0.01</f>
        <v>21.14000000000002</v>
      </c>
      <c r="BV4" s="16"/>
      <c r="BW4" s="7"/>
      <c r="BX4" s="16"/>
      <c r="BY4" s="303">
        <f>BU4+0.01</f>
        <v>21.15000000000002</v>
      </c>
      <c r="BZ4" s="16"/>
      <c r="CA4" s="16"/>
      <c r="CB4" s="16"/>
      <c r="CC4" s="303">
        <f>BY4+0.01</f>
        <v>21.16000000000002</v>
      </c>
      <c r="CD4" s="27"/>
      <c r="CE4" s="27"/>
      <c r="CF4" s="27"/>
      <c r="CG4" s="27"/>
      <c r="CH4" s="303">
        <f>CC4+0.01</f>
        <v>21.170000000000023</v>
      </c>
      <c r="CI4" s="27"/>
      <c r="CJ4" s="27"/>
      <c r="CK4" s="27"/>
      <c r="CL4" s="27"/>
      <c r="CM4" s="303">
        <f>CH4+0.01</f>
        <v>21.180000000000025</v>
      </c>
      <c r="CN4" s="16"/>
      <c r="CO4" s="16"/>
      <c r="CP4" s="16"/>
      <c r="CQ4" s="16"/>
      <c r="CR4" s="303">
        <f>CM4+0.01</f>
        <v>21.190000000000026</v>
      </c>
      <c r="CS4" s="16"/>
      <c r="CT4" s="16"/>
      <c r="CU4" s="16"/>
      <c r="CV4" s="16"/>
      <c r="CW4" s="303">
        <f>CR4+0.01</f>
        <v>21.200000000000028</v>
      </c>
      <c r="CX4" s="16"/>
      <c r="CY4" s="16"/>
      <c r="CZ4" s="16"/>
      <c r="DA4" s="16"/>
      <c r="DB4" s="303">
        <f>CW4+0.01</f>
        <v>21.21000000000003</v>
      </c>
      <c r="DC4" s="7"/>
      <c r="DD4" s="7"/>
      <c r="DE4" s="7"/>
      <c r="DF4" s="7"/>
      <c r="DG4" s="515">
        <f>DB4+0.01</f>
        <v>21.22000000000003</v>
      </c>
    </row>
    <row r="5" spans="1:111" s="117" customFormat="1" ht="13.5">
      <c r="A5" s="18" t="s">
        <v>640</v>
      </c>
      <c r="B5" s="17"/>
      <c r="C5" s="17"/>
      <c r="D5" s="17"/>
      <c r="E5" s="17"/>
      <c r="F5" s="17"/>
      <c r="G5" s="17"/>
      <c r="H5" s="18" t="s">
        <v>640</v>
      </c>
      <c r="I5" s="17"/>
      <c r="J5" s="17"/>
      <c r="K5" s="17"/>
      <c r="L5" s="17"/>
      <c r="M5" s="18" t="s">
        <v>640</v>
      </c>
      <c r="N5" s="231"/>
      <c r="O5" s="232"/>
      <c r="P5" s="232"/>
      <c r="Q5" s="232"/>
      <c r="R5" s="18" t="s">
        <v>640</v>
      </c>
      <c r="S5" s="17"/>
      <c r="T5" s="17"/>
      <c r="U5" s="82"/>
      <c r="V5" s="18" t="s">
        <v>640</v>
      </c>
      <c r="W5" s="17"/>
      <c r="X5" s="17"/>
      <c r="Y5" s="17"/>
      <c r="Z5" s="18" t="s">
        <v>640</v>
      </c>
      <c r="AA5" s="31"/>
      <c r="AB5" s="60"/>
      <c r="AC5" s="17"/>
      <c r="AD5" s="17"/>
      <c r="AE5" s="18" t="s">
        <v>640</v>
      </c>
      <c r="AF5" s="17"/>
      <c r="AG5" s="17"/>
      <c r="AH5" s="17"/>
      <c r="AI5" s="71"/>
      <c r="AJ5" s="18" t="s">
        <v>640</v>
      </c>
      <c r="AK5" s="17"/>
      <c r="AL5" s="17"/>
      <c r="AM5" s="17"/>
      <c r="AN5" s="17"/>
      <c r="AO5" s="18" t="s">
        <v>640</v>
      </c>
      <c r="AP5" s="17"/>
      <c r="AQ5" s="17"/>
      <c r="AR5" s="17"/>
      <c r="AS5" s="17"/>
      <c r="AT5" s="17"/>
      <c r="AU5" s="17"/>
      <c r="AV5" s="17"/>
      <c r="AW5" s="17"/>
      <c r="AX5" s="18" t="s">
        <v>640</v>
      </c>
      <c r="AY5" s="179"/>
      <c r="AZ5" s="179"/>
      <c r="BA5" s="179"/>
      <c r="BB5" s="179"/>
      <c r="BC5" s="18" t="s">
        <v>640</v>
      </c>
      <c r="BD5" s="17"/>
      <c r="BE5" s="17"/>
      <c r="BF5" s="17"/>
      <c r="BG5" s="17"/>
      <c r="BH5" s="17"/>
      <c r="BI5" s="209" t="s">
        <v>640</v>
      </c>
      <c r="BJ5" s="209"/>
      <c r="BK5" s="209"/>
      <c r="BL5" s="209"/>
      <c r="BM5" s="18" t="s">
        <v>640</v>
      </c>
      <c r="BN5" s="17"/>
      <c r="BO5" s="17"/>
      <c r="BP5" s="17"/>
      <c r="BQ5" s="71"/>
      <c r="BR5" s="18" t="s">
        <v>640</v>
      </c>
      <c r="BS5" s="17"/>
      <c r="BT5" s="17"/>
      <c r="BU5" s="17"/>
      <c r="BV5" s="18" t="s">
        <v>640</v>
      </c>
      <c r="BW5" s="17"/>
      <c r="BX5" s="17"/>
      <c r="BY5" s="17"/>
      <c r="BZ5" s="18" t="s">
        <v>640</v>
      </c>
      <c r="CA5" s="17"/>
      <c r="CB5" s="17"/>
      <c r="CC5" s="17"/>
      <c r="CD5" s="18" t="s">
        <v>640</v>
      </c>
      <c r="CE5" s="28"/>
      <c r="CF5" s="17"/>
      <c r="CG5" s="17"/>
      <c r="CH5" s="17"/>
      <c r="CI5" s="18" t="s">
        <v>640</v>
      </c>
      <c r="CJ5" s="28"/>
      <c r="CK5" s="17"/>
      <c r="CL5" s="17"/>
      <c r="CM5" s="17"/>
      <c r="CN5" s="18" t="s">
        <v>640</v>
      </c>
      <c r="CO5" s="17"/>
      <c r="CP5" s="17"/>
      <c r="CQ5" s="17"/>
      <c r="CR5" s="17"/>
      <c r="CS5" s="17" t="s">
        <v>640</v>
      </c>
      <c r="CT5" s="17"/>
      <c r="CU5" s="17"/>
      <c r="CV5" s="17"/>
      <c r="CW5" s="17"/>
      <c r="CX5" s="18" t="s">
        <v>640</v>
      </c>
      <c r="CY5" s="17"/>
      <c r="CZ5" s="17"/>
      <c r="DA5" s="17"/>
      <c r="DB5" s="17"/>
      <c r="DC5" s="17" t="s">
        <v>705</v>
      </c>
      <c r="DD5" s="566"/>
      <c r="DE5" s="566"/>
      <c r="DF5" s="17"/>
      <c r="DG5" s="17"/>
    </row>
    <row r="6" spans="1:111" s="117" customFormat="1" ht="13.5" customHeight="1">
      <c r="A6" s="637" t="s">
        <v>352</v>
      </c>
      <c r="B6" s="637"/>
      <c r="C6" s="637"/>
      <c r="D6" s="637"/>
      <c r="E6" s="637"/>
      <c r="F6" s="637"/>
      <c r="G6" s="637"/>
      <c r="H6" s="18" t="s">
        <v>353</v>
      </c>
      <c r="I6" s="19"/>
      <c r="J6" s="19"/>
      <c r="K6" s="19"/>
      <c r="L6" s="19"/>
      <c r="M6" s="637" t="s">
        <v>354</v>
      </c>
      <c r="N6" s="637"/>
      <c r="O6" s="637"/>
      <c r="P6" s="637"/>
      <c r="Q6" s="637"/>
      <c r="R6" s="18" t="s">
        <v>355</v>
      </c>
      <c r="S6" s="17"/>
      <c r="T6" s="17"/>
      <c r="U6" s="82"/>
      <c r="V6" s="18" t="s">
        <v>356</v>
      </c>
      <c r="W6" s="17"/>
      <c r="X6" s="17"/>
      <c r="Y6" s="19"/>
      <c r="Z6" s="18" t="s">
        <v>357</v>
      </c>
      <c r="AA6" s="31"/>
      <c r="AB6" s="60"/>
      <c r="AC6" s="17"/>
      <c r="AD6" s="19"/>
      <c r="AE6" s="18" t="s">
        <v>358</v>
      </c>
      <c r="AF6" s="17"/>
      <c r="AG6" s="17"/>
      <c r="AH6" s="17"/>
      <c r="AI6" s="19"/>
      <c r="AJ6" s="17" t="s">
        <v>404</v>
      </c>
      <c r="AK6" s="360"/>
      <c r="AL6" s="360"/>
      <c r="AM6" s="360"/>
      <c r="AN6" s="360"/>
      <c r="AO6" s="18" t="s">
        <v>487</v>
      </c>
      <c r="AP6" s="17"/>
      <c r="AQ6" s="17"/>
      <c r="AR6" s="17"/>
      <c r="AS6" s="17"/>
      <c r="AT6" s="17"/>
      <c r="AU6" s="17"/>
      <c r="AV6" s="19"/>
      <c r="AW6" s="19"/>
      <c r="AX6" s="17" t="s">
        <v>359</v>
      </c>
      <c r="AY6" s="179"/>
      <c r="AZ6" s="179"/>
      <c r="BA6" s="179"/>
      <c r="BB6" s="179"/>
      <c r="BC6" s="18" t="s">
        <v>656</v>
      </c>
      <c r="BD6" s="17"/>
      <c r="BE6" s="17"/>
      <c r="BF6" s="17"/>
      <c r="BG6" s="17"/>
      <c r="BH6" s="19"/>
      <c r="BI6" s="209" t="s">
        <v>316</v>
      </c>
      <c r="BJ6" s="179"/>
      <c r="BK6" s="179"/>
      <c r="BL6" s="179"/>
      <c r="BM6" s="17" t="s">
        <v>338</v>
      </c>
      <c r="BN6" s="17"/>
      <c r="BO6" s="17"/>
      <c r="BP6" s="17"/>
      <c r="BQ6" s="17"/>
      <c r="BR6" s="18" t="s">
        <v>360</v>
      </c>
      <c r="BS6" s="17"/>
      <c r="BT6" s="17"/>
      <c r="BU6" s="17"/>
      <c r="BV6" s="18" t="s">
        <v>361</v>
      </c>
      <c r="BW6" s="17"/>
      <c r="BX6" s="17"/>
      <c r="BY6" s="19"/>
      <c r="BZ6" s="18" t="s">
        <v>362</v>
      </c>
      <c r="CA6" s="17"/>
      <c r="CB6" s="17"/>
      <c r="CC6" s="17"/>
      <c r="CD6" s="637" t="s">
        <v>363</v>
      </c>
      <c r="CE6" s="637"/>
      <c r="CF6" s="637"/>
      <c r="CG6" s="637"/>
      <c r="CH6" s="637"/>
      <c r="CI6" s="637" t="s">
        <v>251</v>
      </c>
      <c r="CJ6" s="637"/>
      <c r="CK6" s="637"/>
      <c r="CL6" s="637"/>
      <c r="CM6" s="637"/>
      <c r="CN6" s="17" t="s">
        <v>252</v>
      </c>
      <c r="CO6" s="17"/>
      <c r="CP6" s="17"/>
      <c r="CQ6" s="17"/>
      <c r="CR6" s="19"/>
      <c r="CS6" s="17" t="s">
        <v>253</v>
      </c>
      <c r="CT6" s="17"/>
      <c r="CU6" s="17"/>
      <c r="CV6" s="17"/>
      <c r="CW6" s="17"/>
      <c r="CX6" s="17" t="s">
        <v>254</v>
      </c>
      <c r="CY6" s="17"/>
      <c r="CZ6" s="17"/>
      <c r="DA6" s="17"/>
      <c r="DB6" s="19"/>
      <c r="DC6" s="18" t="s">
        <v>699</v>
      </c>
      <c r="DD6" s="18"/>
      <c r="DE6" s="18"/>
      <c r="DF6" s="18"/>
      <c r="DG6" s="18"/>
    </row>
    <row r="7" spans="1:111" ht="12.75">
      <c r="A7" s="17" t="s">
        <v>248</v>
      </c>
      <c r="B7" s="18"/>
      <c r="C7" s="18"/>
      <c r="D7" s="18"/>
      <c r="E7" s="17"/>
      <c r="F7" s="20"/>
      <c r="G7" s="20"/>
      <c r="H7" s="17" t="str">
        <f>TESTYEAR</f>
        <v>FOR THE TWELVE MONTHS ENDED DECEMBER 31, 2010</v>
      </c>
      <c r="I7" s="20"/>
      <c r="J7" s="20"/>
      <c r="K7" s="20"/>
      <c r="L7" s="20"/>
      <c r="M7" s="17" t="str">
        <f>TESTYEAR</f>
        <v>FOR THE TWELVE MONTHS ENDED DECEMBER 31, 2010</v>
      </c>
      <c r="N7" s="246"/>
      <c r="O7" s="246"/>
      <c r="P7" s="246"/>
      <c r="Q7" s="246"/>
      <c r="R7" s="17" t="str">
        <f>TESTYEAR</f>
        <v>FOR THE TWELVE MONTHS ENDED DECEMBER 31, 2010</v>
      </c>
      <c r="S7" s="17"/>
      <c r="T7" s="17"/>
      <c r="U7" s="82"/>
      <c r="V7" s="17" t="str">
        <f>TESTYEAR</f>
        <v>FOR THE TWELVE MONTHS ENDED DECEMBER 31, 2010</v>
      </c>
      <c r="W7" s="17"/>
      <c r="X7" s="17"/>
      <c r="Y7" s="20"/>
      <c r="Z7" s="17" t="str">
        <f>TESTYEAR</f>
        <v>FOR THE TWELVE MONTHS ENDED DECEMBER 31, 2010</v>
      </c>
      <c r="AA7" s="31"/>
      <c r="AB7" s="60"/>
      <c r="AC7" s="17"/>
      <c r="AD7" s="20"/>
      <c r="AE7" s="17" t="str">
        <f>TESTYEAR</f>
        <v>FOR THE TWELVE MONTHS ENDED DECEMBER 31, 2010</v>
      </c>
      <c r="AF7" s="17"/>
      <c r="AG7" s="17"/>
      <c r="AH7" s="17"/>
      <c r="AI7" s="20"/>
      <c r="AJ7" s="17" t="str">
        <f>TESTYEAR</f>
        <v>FOR THE TWELVE MONTHS ENDED DECEMBER 31, 2010</v>
      </c>
      <c r="AK7" s="360"/>
      <c r="AL7" s="360"/>
      <c r="AM7" s="360"/>
      <c r="AN7" s="360"/>
      <c r="AO7" s="17" t="str">
        <f>TESTYEAR</f>
        <v>FOR THE TWELVE MONTHS ENDED DECEMBER 31, 2010</v>
      </c>
      <c r="AP7" s="17"/>
      <c r="AQ7" s="17"/>
      <c r="AR7" s="17"/>
      <c r="AS7" s="17"/>
      <c r="AT7" s="17"/>
      <c r="AU7" s="17"/>
      <c r="AV7" s="20"/>
      <c r="AW7" s="20"/>
      <c r="AX7" s="17" t="str">
        <f>TESTYEAR</f>
        <v>FOR THE TWELVE MONTHS ENDED DECEMBER 31, 2010</v>
      </c>
      <c r="AY7" s="179"/>
      <c r="AZ7" s="179"/>
      <c r="BA7" s="179"/>
      <c r="BB7" s="179"/>
      <c r="BC7" s="17" t="str">
        <f>TESTYEAR</f>
        <v>FOR THE TWELVE MONTHS ENDED DECEMBER 31, 2010</v>
      </c>
      <c r="BD7" s="18"/>
      <c r="BE7" s="17"/>
      <c r="BF7" s="17"/>
      <c r="BG7" s="17"/>
      <c r="BH7" s="83"/>
      <c r="BI7" s="179" t="str">
        <f>TESTYEAR</f>
        <v>FOR THE TWELVE MONTHS ENDED DECEMBER 31, 2010</v>
      </c>
      <c r="BJ7" s="179"/>
      <c r="BK7" s="179"/>
      <c r="BL7" s="179"/>
      <c r="BM7" s="636" t="s">
        <v>248</v>
      </c>
      <c r="BN7" s="636"/>
      <c r="BO7" s="636"/>
      <c r="BP7" s="636"/>
      <c r="BQ7" s="636"/>
      <c r="BR7" s="18" t="str">
        <f>TESTYEAR</f>
        <v>FOR THE TWELVE MONTHS ENDED DECEMBER 31, 2010</v>
      </c>
      <c r="BS7" s="17"/>
      <c r="BT7" s="17"/>
      <c r="BU7" s="17"/>
      <c r="BV7" s="17" t="str">
        <f>TESTYEAR</f>
        <v>FOR THE TWELVE MONTHS ENDED DECEMBER 31, 2010</v>
      </c>
      <c r="BW7" s="18"/>
      <c r="BX7" s="17"/>
      <c r="BY7" s="20"/>
      <c r="BZ7" s="17" t="str">
        <f>TESTYEAR</f>
        <v>FOR THE TWELVE MONTHS ENDED DECEMBER 31, 2010</v>
      </c>
      <c r="CA7" s="17"/>
      <c r="CB7" s="17"/>
      <c r="CC7" s="17"/>
      <c r="CD7" s="17" t="str">
        <f>TESTYEAR</f>
        <v>FOR THE TWELVE MONTHS ENDED DECEMBER 31, 2010</v>
      </c>
      <c r="CE7" s="29"/>
      <c r="CF7" s="20"/>
      <c r="CG7" s="20"/>
      <c r="CH7" s="20"/>
      <c r="CI7" s="17" t="str">
        <f>TESTYEAR</f>
        <v>FOR THE TWELVE MONTHS ENDED DECEMBER 31, 2010</v>
      </c>
      <c r="CJ7" s="29"/>
      <c r="CK7" s="20"/>
      <c r="CL7" s="20"/>
      <c r="CM7" s="20"/>
      <c r="CN7" s="17" t="str">
        <f>TESTYEAR</f>
        <v>FOR THE TWELVE MONTHS ENDED DECEMBER 31, 2010</v>
      </c>
      <c r="CO7" s="17"/>
      <c r="CP7" s="17"/>
      <c r="CQ7" s="17"/>
      <c r="CR7" s="20"/>
      <c r="CS7" s="17" t="str">
        <f>TESTYEAR</f>
        <v>FOR THE TWELVE MONTHS ENDED DECEMBER 31, 2010</v>
      </c>
      <c r="CT7" s="17"/>
      <c r="CU7" s="17"/>
      <c r="CV7" s="17"/>
      <c r="CW7" s="17"/>
      <c r="CX7" s="17" t="str">
        <f>TESTYEAR</f>
        <v>FOR THE TWELVE MONTHS ENDED DECEMBER 31, 2010</v>
      </c>
      <c r="CY7" s="17"/>
      <c r="CZ7" s="17"/>
      <c r="DA7" s="17"/>
      <c r="DB7" s="20"/>
      <c r="DC7" s="17" t="s">
        <v>697</v>
      </c>
      <c r="DD7" s="17"/>
      <c r="DE7" s="17"/>
      <c r="DF7" s="17"/>
      <c r="DG7" s="17"/>
    </row>
    <row r="8" spans="1:111" ht="12.75">
      <c r="A8" s="18" t="s">
        <v>45</v>
      </c>
      <c r="B8" s="18"/>
      <c r="C8" s="18"/>
      <c r="D8" s="18"/>
      <c r="E8" s="17"/>
      <c r="F8" s="17"/>
      <c r="G8" s="17"/>
      <c r="H8" s="18" t="s">
        <v>45</v>
      </c>
      <c r="I8" s="17"/>
      <c r="J8" s="17"/>
      <c r="K8" s="17"/>
      <c r="L8" s="17"/>
      <c r="M8" s="18" t="s">
        <v>45</v>
      </c>
      <c r="N8" s="187"/>
      <c r="O8" s="187"/>
      <c r="P8" s="188"/>
      <c r="Q8" s="188"/>
      <c r="R8" s="18" t="s">
        <v>45</v>
      </c>
      <c r="S8" s="18"/>
      <c r="T8" s="18"/>
      <c r="U8" s="82"/>
      <c r="V8" s="18" t="s">
        <v>45</v>
      </c>
      <c r="W8" s="17"/>
      <c r="X8" s="17"/>
      <c r="Y8" s="20"/>
      <c r="Z8" s="18" t="s">
        <v>45</v>
      </c>
      <c r="AA8" s="31"/>
      <c r="AB8" s="60"/>
      <c r="AC8" s="17"/>
      <c r="AD8" s="17"/>
      <c r="AE8" s="18" t="s">
        <v>45</v>
      </c>
      <c r="AF8" s="17"/>
      <c r="AG8" s="17"/>
      <c r="AH8" s="18"/>
      <c r="AI8" s="20"/>
      <c r="AJ8" s="17" t="s">
        <v>45</v>
      </c>
      <c r="AK8" s="360"/>
      <c r="AL8" s="360"/>
      <c r="AM8" s="360"/>
      <c r="AN8" s="360"/>
      <c r="AO8" s="18" t="s">
        <v>45</v>
      </c>
      <c r="AP8" s="17"/>
      <c r="AQ8" s="17"/>
      <c r="AR8" s="17"/>
      <c r="AS8" s="17"/>
      <c r="AT8" s="17"/>
      <c r="AU8" s="17"/>
      <c r="AV8" s="20"/>
      <c r="AW8" s="17"/>
      <c r="AX8" s="17" t="s">
        <v>45</v>
      </c>
      <c r="AY8" s="179"/>
      <c r="AZ8" s="179"/>
      <c r="BA8" s="179"/>
      <c r="BB8" s="179"/>
      <c r="BC8" s="18" t="s">
        <v>45</v>
      </c>
      <c r="BD8" s="18"/>
      <c r="BE8" s="18"/>
      <c r="BF8" s="17"/>
      <c r="BG8" s="17"/>
      <c r="BH8" s="83"/>
      <c r="BI8" s="209" t="s">
        <v>45</v>
      </c>
      <c r="BJ8" s="179"/>
      <c r="BK8" s="179"/>
      <c r="BL8" s="179"/>
      <c r="BM8" s="636" t="s">
        <v>92</v>
      </c>
      <c r="BN8" s="636"/>
      <c r="BO8" s="636"/>
      <c r="BP8" s="636"/>
      <c r="BQ8" s="636"/>
      <c r="BR8" s="18" t="s">
        <v>45</v>
      </c>
      <c r="BS8" s="17"/>
      <c r="BT8" s="17"/>
      <c r="BU8" s="17"/>
      <c r="BV8" s="18" t="s">
        <v>45</v>
      </c>
      <c r="BW8" s="18"/>
      <c r="BX8" s="17"/>
      <c r="BY8" s="17"/>
      <c r="BZ8" s="18" t="s">
        <v>45</v>
      </c>
      <c r="CA8" s="17"/>
      <c r="CB8" s="17"/>
      <c r="CC8" s="17"/>
      <c r="CD8" s="18" t="s">
        <v>45</v>
      </c>
      <c r="CE8" s="28"/>
      <c r="CF8" s="17"/>
      <c r="CG8" s="17"/>
      <c r="CH8" s="17"/>
      <c r="CI8" s="18" t="s">
        <v>45</v>
      </c>
      <c r="CJ8" s="28"/>
      <c r="CK8" s="17"/>
      <c r="CL8" s="17"/>
      <c r="CM8" s="17"/>
      <c r="CN8" s="18" t="s">
        <v>45</v>
      </c>
      <c r="CO8" s="17"/>
      <c r="CP8" s="17"/>
      <c r="CQ8" s="17"/>
      <c r="CR8" s="20"/>
      <c r="CS8" s="17" t="s">
        <v>45</v>
      </c>
      <c r="CT8" s="17"/>
      <c r="CU8" s="17"/>
      <c r="CV8" s="17"/>
      <c r="CW8" s="17"/>
      <c r="CX8" s="18" t="s">
        <v>45</v>
      </c>
      <c r="CY8" s="17"/>
      <c r="CZ8" s="17"/>
      <c r="DA8" s="17"/>
      <c r="DB8" s="17"/>
      <c r="DC8" s="17" t="s">
        <v>248</v>
      </c>
      <c r="DD8" s="17"/>
      <c r="DE8" s="17"/>
      <c r="DF8" s="17"/>
      <c r="DG8" s="17"/>
    </row>
    <row r="9" spans="1:111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8"/>
      <c r="O9" s="188"/>
      <c r="P9" s="188"/>
      <c r="Q9" s="188"/>
      <c r="R9" s="16"/>
      <c r="S9" s="114"/>
      <c r="T9" s="114"/>
      <c r="U9" s="118"/>
      <c r="V9" s="16"/>
      <c r="W9" s="114"/>
      <c r="X9" s="51"/>
      <c r="Y9" s="51"/>
      <c r="Z9" s="16"/>
      <c r="AA9" s="16"/>
      <c r="AB9" s="383"/>
      <c r="AC9" s="543" t="s">
        <v>247</v>
      </c>
      <c r="AD9" s="543" t="s">
        <v>247</v>
      </c>
      <c r="AE9" s="16"/>
      <c r="AF9" s="80"/>
      <c r="AG9" s="80"/>
      <c r="AH9" s="81"/>
      <c r="AI9" s="81"/>
      <c r="AJ9" s="18"/>
      <c r="AK9" s="360"/>
      <c r="AL9" s="360"/>
      <c r="AM9" s="360"/>
      <c r="AN9" s="360"/>
      <c r="AO9" s="16"/>
      <c r="AP9" s="16"/>
      <c r="AQ9" s="4"/>
      <c r="AR9" s="4"/>
      <c r="AS9" s="4"/>
      <c r="AT9" s="4"/>
      <c r="AU9" s="4"/>
      <c r="AV9" s="4"/>
      <c r="AW9" s="4" t="s">
        <v>123</v>
      </c>
      <c r="AX9" s="16"/>
      <c r="AY9" s="16"/>
      <c r="AZ9" s="16"/>
      <c r="BA9" s="16"/>
      <c r="BB9" s="16"/>
      <c r="BC9" s="16"/>
      <c r="BD9" s="114"/>
      <c r="BE9" s="114"/>
      <c r="BF9" s="16"/>
      <c r="BG9" s="16"/>
      <c r="BH9" s="16"/>
      <c r="BI9" s="16"/>
      <c r="BJ9" s="114"/>
      <c r="BK9" s="16"/>
      <c r="BL9" s="16"/>
      <c r="BM9" s="104"/>
      <c r="BN9" s="104"/>
      <c r="BO9" s="104"/>
      <c r="BP9" s="104"/>
      <c r="BQ9" s="104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14"/>
      <c r="CP9" s="114"/>
      <c r="CQ9" s="16"/>
      <c r="CR9" s="16"/>
      <c r="CS9" s="16"/>
      <c r="CT9" s="16"/>
      <c r="CU9" s="16"/>
      <c r="CV9" s="16"/>
      <c r="CW9" s="16"/>
      <c r="CX9" s="77"/>
      <c r="CY9" s="114"/>
      <c r="CZ9" s="114"/>
      <c r="DA9" s="16"/>
      <c r="DB9" s="16"/>
      <c r="DC9" s="18" t="s">
        <v>45</v>
      </c>
      <c r="DD9" s="18"/>
      <c r="DE9" s="18"/>
      <c r="DF9" s="18"/>
      <c r="DG9" s="18"/>
    </row>
    <row r="10" spans="1:111" ht="13.5">
      <c r="A10" s="25" t="s">
        <v>599</v>
      </c>
      <c r="B10" s="114"/>
      <c r="C10" s="114"/>
      <c r="D10" s="114"/>
      <c r="E10" s="16"/>
      <c r="F10" s="16"/>
      <c r="G10" s="4"/>
      <c r="H10" s="25" t="s">
        <v>599</v>
      </c>
      <c r="I10" s="16"/>
      <c r="J10" s="4"/>
      <c r="K10" s="342"/>
      <c r="L10" s="342"/>
      <c r="M10" s="248" t="s">
        <v>599</v>
      </c>
      <c r="N10" s="249"/>
      <c r="O10" s="249"/>
      <c r="P10" s="189"/>
      <c r="Q10" s="189"/>
      <c r="R10" s="4" t="s">
        <v>599</v>
      </c>
      <c r="S10" s="16"/>
      <c r="T10" s="7"/>
      <c r="U10" s="86"/>
      <c r="V10" s="4" t="s">
        <v>599</v>
      </c>
      <c r="W10" s="16"/>
      <c r="X10" s="543" t="s">
        <v>247</v>
      </c>
      <c r="Y10" s="543" t="s">
        <v>247</v>
      </c>
      <c r="Z10" s="4" t="s">
        <v>605</v>
      </c>
      <c r="AA10" s="16"/>
      <c r="AB10" s="115"/>
      <c r="AC10" s="25" t="s">
        <v>616</v>
      </c>
      <c r="AD10" s="25"/>
      <c r="AE10" s="4" t="s">
        <v>599</v>
      </c>
      <c r="AF10" s="81"/>
      <c r="AG10" s="4"/>
      <c r="AH10" s="81"/>
      <c r="AI10" s="81"/>
      <c r="AJ10" s="25" t="s">
        <v>599</v>
      </c>
      <c r="AK10" s="16"/>
      <c r="AL10" s="25"/>
      <c r="AM10" s="25"/>
      <c r="AN10" s="25"/>
      <c r="AO10" s="4" t="s">
        <v>599</v>
      </c>
      <c r="AP10" s="16"/>
      <c r="AQ10" s="4" t="s">
        <v>601</v>
      </c>
      <c r="AR10" s="4" t="s">
        <v>602</v>
      </c>
      <c r="AS10" s="4" t="s">
        <v>603</v>
      </c>
      <c r="AT10" s="4" t="s">
        <v>505</v>
      </c>
      <c r="AU10" s="4" t="s">
        <v>603</v>
      </c>
      <c r="AV10" s="4" t="s">
        <v>601</v>
      </c>
      <c r="AW10" s="4" t="s">
        <v>707</v>
      </c>
      <c r="AX10" s="25" t="s">
        <v>599</v>
      </c>
      <c r="AY10" s="16"/>
      <c r="AZ10" s="115"/>
      <c r="BA10" s="25"/>
      <c r="BB10" s="25"/>
      <c r="BC10" s="4" t="s">
        <v>599</v>
      </c>
      <c r="BD10" s="16"/>
      <c r="BE10" s="543" t="s">
        <v>247</v>
      </c>
      <c r="BF10" s="543" t="s">
        <v>247</v>
      </c>
      <c r="BG10" s="543" t="s">
        <v>247</v>
      </c>
      <c r="BH10" s="543" t="s">
        <v>247</v>
      </c>
      <c r="BI10" s="4" t="s">
        <v>599</v>
      </c>
      <c r="BJ10" s="16"/>
      <c r="BK10" s="16"/>
      <c r="BL10" s="16"/>
      <c r="BM10" s="366" t="s">
        <v>599</v>
      </c>
      <c r="BN10" s="366"/>
      <c r="BO10" s="366"/>
      <c r="BP10" s="366"/>
      <c r="BQ10" s="366"/>
      <c r="BR10" s="25" t="s">
        <v>599</v>
      </c>
      <c r="BS10" s="114"/>
      <c r="BT10" s="114"/>
      <c r="BU10" s="16"/>
      <c r="BV10" s="25" t="s">
        <v>599</v>
      </c>
      <c r="BW10" s="16"/>
      <c r="BX10" s="16"/>
      <c r="BY10" s="16"/>
      <c r="BZ10" s="25" t="s">
        <v>599</v>
      </c>
      <c r="CA10" s="114"/>
      <c r="CB10" s="114"/>
      <c r="CC10" s="16"/>
      <c r="CD10" s="25" t="s">
        <v>599</v>
      </c>
      <c r="CE10" s="16"/>
      <c r="CF10" s="16"/>
      <c r="CG10" s="16"/>
      <c r="CH10" s="16"/>
      <c r="CI10" s="25" t="s">
        <v>599</v>
      </c>
      <c r="CJ10" s="16"/>
      <c r="CK10" s="16"/>
      <c r="CL10" s="16"/>
      <c r="CM10" s="16"/>
      <c r="CN10" s="25" t="s">
        <v>599</v>
      </c>
      <c r="CO10" s="16"/>
      <c r="CP10" s="4"/>
      <c r="CQ10" s="342"/>
      <c r="CR10" s="342"/>
      <c r="CS10" s="25" t="s">
        <v>599</v>
      </c>
      <c r="CT10" s="16"/>
      <c r="CU10" s="339"/>
      <c r="CV10" s="342"/>
      <c r="CW10" s="542"/>
      <c r="CX10" s="4" t="s">
        <v>599</v>
      </c>
      <c r="CY10" s="16"/>
      <c r="CZ10" s="16"/>
      <c r="DA10" s="16"/>
      <c r="DB10" s="542"/>
      <c r="DC10" s="77"/>
      <c r="DD10" s="114"/>
      <c r="DE10" s="16"/>
      <c r="DF10" s="16"/>
      <c r="DG10" s="16"/>
    </row>
    <row r="11" spans="1:111" ht="12.75">
      <c r="A11" s="21" t="s">
        <v>620</v>
      </c>
      <c r="B11" s="76" t="s">
        <v>125</v>
      </c>
      <c r="C11" s="76"/>
      <c r="D11" s="76" t="s">
        <v>711</v>
      </c>
      <c r="E11" s="76"/>
      <c r="F11" s="76"/>
      <c r="G11" s="11"/>
      <c r="H11" s="21" t="s">
        <v>620</v>
      </c>
      <c r="I11" s="76" t="s">
        <v>125</v>
      </c>
      <c r="J11" s="76" t="s">
        <v>710</v>
      </c>
      <c r="K11" s="48" t="s">
        <v>129</v>
      </c>
      <c r="L11" s="48"/>
      <c r="M11" s="250" t="s">
        <v>620</v>
      </c>
      <c r="N11" s="240" t="s">
        <v>125</v>
      </c>
      <c r="O11" s="250"/>
      <c r="P11" s="241"/>
      <c r="Q11" s="191" t="s">
        <v>129</v>
      </c>
      <c r="R11" s="11" t="s">
        <v>620</v>
      </c>
      <c r="S11" s="121" t="s">
        <v>125</v>
      </c>
      <c r="T11" s="123"/>
      <c r="U11" s="87" t="s">
        <v>128</v>
      </c>
      <c r="V11" s="11" t="s">
        <v>620</v>
      </c>
      <c r="W11" s="121" t="s">
        <v>125</v>
      </c>
      <c r="X11" s="11"/>
      <c r="Y11" s="11" t="s">
        <v>128</v>
      </c>
      <c r="Z11" s="11" t="s">
        <v>620</v>
      </c>
      <c r="AA11" s="121" t="s">
        <v>125</v>
      </c>
      <c r="AB11" s="61" t="s">
        <v>619</v>
      </c>
      <c r="AC11" s="62" t="s">
        <v>126</v>
      </c>
      <c r="AD11" s="21" t="s">
        <v>129</v>
      </c>
      <c r="AE11" s="11" t="s">
        <v>620</v>
      </c>
      <c r="AF11" s="22" t="s">
        <v>125</v>
      </c>
      <c r="AG11" s="11" t="s">
        <v>130</v>
      </c>
      <c r="AH11" s="11" t="s">
        <v>126</v>
      </c>
      <c r="AI11" s="88" t="s">
        <v>129</v>
      </c>
      <c r="AJ11" s="11" t="s">
        <v>620</v>
      </c>
      <c r="AK11" s="76" t="s">
        <v>125</v>
      </c>
      <c r="AL11" s="11" t="s">
        <v>130</v>
      </c>
      <c r="AM11" s="11" t="s">
        <v>126</v>
      </c>
      <c r="AN11" s="21" t="s">
        <v>129</v>
      </c>
      <c r="AO11" s="11" t="s">
        <v>620</v>
      </c>
      <c r="AP11" s="11" t="s">
        <v>131</v>
      </c>
      <c r="AQ11" s="11" t="s">
        <v>604</v>
      </c>
      <c r="AR11" s="11" t="s">
        <v>132</v>
      </c>
      <c r="AS11" s="11" t="s">
        <v>133</v>
      </c>
      <c r="AT11" s="11" t="s">
        <v>132</v>
      </c>
      <c r="AU11" s="11" t="s">
        <v>134</v>
      </c>
      <c r="AV11" s="11" t="s">
        <v>132</v>
      </c>
      <c r="AW11" s="11" t="s">
        <v>135</v>
      </c>
      <c r="AX11" s="11" t="s">
        <v>620</v>
      </c>
      <c r="AY11" s="121" t="s">
        <v>125</v>
      </c>
      <c r="AZ11" s="61" t="s">
        <v>619</v>
      </c>
      <c r="BA11" s="62" t="s">
        <v>126</v>
      </c>
      <c r="BB11" s="21" t="s">
        <v>129</v>
      </c>
      <c r="BC11" s="11" t="s">
        <v>620</v>
      </c>
      <c r="BD11" s="121" t="s">
        <v>125</v>
      </c>
      <c r="BE11" s="11" t="s">
        <v>136</v>
      </c>
      <c r="BF11" s="11" t="s">
        <v>611</v>
      </c>
      <c r="BG11" s="11" t="s">
        <v>181</v>
      </c>
      <c r="BH11" s="11" t="s">
        <v>137</v>
      </c>
      <c r="BI11" s="11" t="s">
        <v>620</v>
      </c>
      <c r="BJ11" s="121" t="s">
        <v>125</v>
      </c>
      <c r="BK11" s="76"/>
      <c r="BL11" s="11" t="s">
        <v>128</v>
      </c>
      <c r="BM11" s="494" t="s">
        <v>620</v>
      </c>
      <c r="BN11" s="494" t="s">
        <v>125</v>
      </c>
      <c r="BO11" s="494" t="s">
        <v>130</v>
      </c>
      <c r="BP11" s="494" t="s">
        <v>126</v>
      </c>
      <c r="BQ11" s="494" t="s">
        <v>129</v>
      </c>
      <c r="BR11" s="21" t="s">
        <v>620</v>
      </c>
      <c r="BS11" s="22" t="s">
        <v>125</v>
      </c>
      <c r="BT11" s="11"/>
      <c r="BU11" s="23" t="s">
        <v>128</v>
      </c>
      <c r="BV11" s="11" t="s">
        <v>620</v>
      </c>
      <c r="BW11" s="22" t="s">
        <v>125</v>
      </c>
      <c r="BX11" s="121"/>
      <c r="BY11" s="23" t="s">
        <v>128</v>
      </c>
      <c r="BZ11" s="21" t="s">
        <v>620</v>
      </c>
      <c r="CA11" s="76" t="s">
        <v>125</v>
      </c>
      <c r="CB11" s="76"/>
      <c r="CC11" s="23" t="s">
        <v>128</v>
      </c>
      <c r="CD11" s="11" t="s">
        <v>620</v>
      </c>
      <c r="CE11" s="22" t="s">
        <v>125</v>
      </c>
      <c r="CF11" s="21" t="s">
        <v>619</v>
      </c>
      <c r="CG11" s="65" t="s">
        <v>616</v>
      </c>
      <c r="CH11" s="65" t="s">
        <v>129</v>
      </c>
      <c r="CI11" s="11" t="s">
        <v>620</v>
      </c>
      <c r="CJ11" s="22" t="s">
        <v>125</v>
      </c>
      <c r="CK11" s="65" t="s">
        <v>619</v>
      </c>
      <c r="CL11" s="65" t="s">
        <v>126</v>
      </c>
      <c r="CM11" s="65" t="s">
        <v>129</v>
      </c>
      <c r="CN11" s="21" t="s">
        <v>620</v>
      </c>
      <c r="CO11" s="76" t="s">
        <v>125</v>
      </c>
      <c r="CP11" s="11" t="s">
        <v>130</v>
      </c>
      <c r="CQ11" s="11" t="s">
        <v>138</v>
      </c>
      <c r="CR11" s="11" t="s">
        <v>129</v>
      </c>
      <c r="CS11" s="11" t="s">
        <v>620</v>
      </c>
      <c r="CT11" s="76" t="s">
        <v>125</v>
      </c>
      <c r="CU11" s="11"/>
      <c r="CV11" s="11"/>
      <c r="CW11" s="65" t="s">
        <v>128</v>
      </c>
      <c r="CX11" s="11" t="s">
        <v>620</v>
      </c>
      <c r="CY11" s="76" t="s">
        <v>125</v>
      </c>
      <c r="CZ11" s="76"/>
      <c r="DA11" s="11"/>
      <c r="DB11" s="65" t="s">
        <v>128</v>
      </c>
      <c r="DC11" s="4" t="s">
        <v>599</v>
      </c>
      <c r="DD11" s="4"/>
      <c r="DE11" s="4"/>
      <c r="DF11" s="4"/>
      <c r="DG11" s="4"/>
    </row>
    <row r="12" spans="1:111" ht="12.75">
      <c r="A12" s="8">
        <v>1</v>
      </c>
      <c r="B12" s="101" t="s">
        <v>263</v>
      </c>
      <c r="C12" s="9"/>
      <c r="D12" s="9"/>
      <c r="E12" s="7"/>
      <c r="F12" s="36"/>
      <c r="G12" s="7"/>
      <c r="H12" s="273"/>
      <c r="I12" s="119"/>
      <c r="J12" s="119"/>
      <c r="K12" s="272"/>
      <c r="L12" s="272"/>
      <c r="M12" s="13"/>
      <c r="N12" s="188"/>
      <c r="O12" s="188"/>
      <c r="P12" s="188"/>
      <c r="Q12" s="188"/>
      <c r="R12" s="13"/>
      <c r="S12" s="7"/>
      <c r="T12" s="92"/>
      <c r="U12" s="108"/>
      <c r="V12" s="13"/>
      <c r="W12" s="72"/>
      <c r="X12" s="73"/>
      <c r="Y12" s="54"/>
      <c r="Z12" s="38"/>
      <c r="AA12" s="328"/>
      <c r="AB12" s="329"/>
      <c r="AC12" s="330"/>
      <c r="AD12" s="273"/>
      <c r="AE12" s="13"/>
      <c r="AF12" s="9"/>
      <c r="AG12" s="26"/>
      <c r="AH12" s="26"/>
      <c r="AI12" s="26"/>
      <c r="AJ12" s="7"/>
      <c r="AK12" s="137"/>
      <c r="AL12" s="137"/>
      <c r="AM12" s="137"/>
      <c r="AN12" s="137"/>
      <c r="AO12" s="13"/>
      <c r="AP12" s="7"/>
      <c r="AQ12" s="7"/>
      <c r="AR12" s="7"/>
      <c r="AS12" s="7"/>
      <c r="AT12" s="7"/>
      <c r="AU12" s="7"/>
      <c r="AV12" s="7"/>
      <c r="AW12" s="7"/>
      <c r="AY12" s="7"/>
      <c r="AZ12" s="7"/>
      <c r="BA12" s="7"/>
      <c r="BB12" s="108"/>
      <c r="BC12" s="13"/>
      <c r="BI12" s="7"/>
      <c r="BJ12" s="7"/>
      <c r="BK12" s="7"/>
      <c r="BL12" s="7"/>
      <c r="BM12" s="385"/>
      <c r="BN12" s="385"/>
      <c r="BO12" s="385"/>
      <c r="BP12" s="385"/>
      <c r="BQ12" s="385"/>
      <c r="BX12" s="127"/>
      <c r="BY12" s="127"/>
      <c r="CN12" s="8"/>
      <c r="CO12" s="9"/>
      <c r="CS12" s="13"/>
      <c r="CT12" s="13"/>
      <c r="CU12" s="13"/>
      <c r="CV12" s="13"/>
      <c r="CW12" s="13"/>
      <c r="DA12" s="38"/>
      <c r="DB12" s="38"/>
      <c r="DC12" s="11" t="s">
        <v>620</v>
      </c>
      <c r="DD12" s="11" t="s">
        <v>125</v>
      </c>
      <c r="DE12" s="11" t="s">
        <v>130</v>
      </c>
      <c r="DF12" s="11" t="s">
        <v>126</v>
      </c>
      <c r="DG12" s="21" t="s">
        <v>129</v>
      </c>
    </row>
    <row r="13" spans="1:111" ht="13.5">
      <c r="A13" s="3">
        <f aca="true" t="shared" si="0" ref="A13:A44">+A12+1</f>
        <v>2</v>
      </c>
      <c r="B13" s="7"/>
      <c r="C13" s="37" t="s">
        <v>619</v>
      </c>
      <c r="D13" s="38" t="s">
        <v>156</v>
      </c>
      <c r="E13" s="39" t="s">
        <v>157</v>
      </c>
      <c r="F13" s="8" t="s">
        <v>158</v>
      </c>
      <c r="G13" s="7"/>
      <c r="H13" s="8">
        <v>1</v>
      </c>
      <c r="I13" s="16" t="s">
        <v>512</v>
      </c>
      <c r="J13" s="7"/>
      <c r="K13" s="7"/>
      <c r="L13" s="7"/>
      <c r="M13" s="8">
        <v>1</v>
      </c>
      <c r="N13" s="278" t="s">
        <v>471</v>
      </c>
      <c r="O13" s="244"/>
      <c r="P13" s="244"/>
      <c r="Q13" s="244"/>
      <c r="R13" s="8">
        <v>1</v>
      </c>
      <c r="S13" s="92" t="s">
        <v>229</v>
      </c>
      <c r="T13" s="276"/>
      <c r="U13" s="57">
        <v>-187810291.9949</v>
      </c>
      <c r="V13" s="8">
        <v>1</v>
      </c>
      <c r="W13" s="72" t="s">
        <v>167</v>
      </c>
      <c r="X13" s="555">
        <f>'JHS-19'!AR51-X25</f>
        <v>4894662749</v>
      </c>
      <c r="Y13" s="54" t="s">
        <v>485</v>
      </c>
      <c r="Z13" s="38">
        <v>1</v>
      </c>
      <c r="AA13" s="63" t="s">
        <v>73</v>
      </c>
      <c r="AB13" s="109"/>
      <c r="AC13" s="109"/>
      <c r="AD13" s="129"/>
      <c r="AE13" s="8">
        <v>1</v>
      </c>
      <c r="AF13" s="104" t="s">
        <v>277</v>
      </c>
      <c r="AG13" s="49"/>
      <c r="AH13" s="343"/>
      <c r="AI13" s="49"/>
      <c r="AJ13" s="8">
        <v>1</v>
      </c>
      <c r="AK13" s="238" t="s">
        <v>309</v>
      </c>
      <c r="AL13" s="365">
        <v>195770.8014</v>
      </c>
      <c r="AM13" s="365">
        <v>1109327.7804666667</v>
      </c>
      <c r="AN13" s="365">
        <f>AM13-AL13</f>
        <v>913556.9790666667</v>
      </c>
      <c r="AO13" s="8">
        <v>1</v>
      </c>
      <c r="AP13" s="7" t="s">
        <v>461</v>
      </c>
      <c r="AQ13" s="8" t="s">
        <v>463</v>
      </c>
      <c r="AR13" s="8" t="s">
        <v>462</v>
      </c>
      <c r="AS13" s="8" t="s">
        <v>462</v>
      </c>
      <c r="AT13" s="8" t="s">
        <v>462</v>
      </c>
      <c r="AU13" s="8" t="s">
        <v>462</v>
      </c>
      <c r="AV13" s="8" t="s">
        <v>462</v>
      </c>
      <c r="AW13" s="7"/>
      <c r="AX13" s="8">
        <v>1</v>
      </c>
      <c r="AY13" s="284" t="s">
        <v>587</v>
      </c>
      <c r="AZ13" s="128"/>
      <c r="BA13" s="128"/>
      <c r="BB13" s="130"/>
      <c r="BC13" s="8">
        <v>1</v>
      </c>
      <c r="BD13" s="92" t="s">
        <v>488</v>
      </c>
      <c r="BE13" s="538">
        <v>27835239</v>
      </c>
      <c r="BF13" s="538">
        <v>9294613</v>
      </c>
      <c r="BG13" s="538">
        <v>618282</v>
      </c>
      <c r="BH13" s="57">
        <f>+BE13+BF13+BG13</f>
        <v>37748134</v>
      </c>
      <c r="BI13" s="8">
        <v>1</v>
      </c>
      <c r="BJ13" s="7" t="s">
        <v>407</v>
      </c>
      <c r="BK13" s="7"/>
      <c r="BL13" s="6">
        <v>79150521</v>
      </c>
      <c r="BM13" s="104">
        <v>1</v>
      </c>
      <c r="BN13" s="104" t="s">
        <v>339</v>
      </c>
      <c r="BO13" s="343">
        <v>322483.7235980937</v>
      </c>
      <c r="BP13" s="343">
        <v>270816.37514571205</v>
      </c>
      <c r="BQ13" s="343">
        <v>-51667.34845238167</v>
      </c>
      <c r="BR13" s="3" t="s">
        <v>154</v>
      </c>
      <c r="BS13" s="111" t="s">
        <v>588</v>
      </c>
      <c r="BT13" s="111"/>
      <c r="BU13" s="132">
        <v>47149</v>
      </c>
      <c r="BV13" s="8">
        <v>1</v>
      </c>
      <c r="BW13" s="9" t="s">
        <v>90</v>
      </c>
      <c r="BX13" s="439"/>
      <c r="BY13" s="242"/>
      <c r="BZ13" s="3" t="s">
        <v>154</v>
      </c>
      <c r="CA13" s="186" t="s">
        <v>590</v>
      </c>
      <c r="CB13" s="186"/>
      <c r="CC13" s="134">
        <v>-1822806.2499999967</v>
      </c>
      <c r="CD13" s="8">
        <v>1</v>
      </c>
      <c r="CE13" s="7" t="s">
        <v>650</v>
      </c>
      <c r="CF13" s="125">
        <v>2661295.195108</v>
      </c>
      <c r="CG13" s="125">
        <v>2817401.1726639997</v>
      </c>
      <c r="CH13" s="57">
        <f>+CG13-CF13</f>
        <v>156105.97755599953</v>
      </c>
      <c r="CI13" s="8">
        <v>1</v>
      </c>
      <c r="CJ13" s="7" t="s">
        <v>47</v>
      </c>
      <c r="CK13" s="125">
        <v>3279191.91458248</v>
      </c>
      <c r="CL13" s="125">
        <v>5594712.966</v>
      </c>
      <c r="CM13" s="125">
        <f>+CL13-CK13</f>
        <v>2315521.05141752</v>
      </c>
      <c r="CN13" s="8">
        <v>1</v>
      </c>
      <c r="CO13" s="7" t="s">
        <v>183</v>
      </c>
      <c r="CP13" s="54"/>
      <c r="CQ13" s="64"/>
      <c r="CR13" s="54"/>
      <c r="CS13" s="8">
        <v>1</v>
      </c>
      <c r="CT13" s="344" t="s">
        <v>76</v>
      </c>
      <c r="CW13" s="109"/>
      <c r="CX13" s="8">
        <v>1</v>
      </c>
      <c r="CY13" s="126" t="s">
        <v>182</v>
      </c>
      <c r="DA13" s="41"/>
      <c r="DB13" s="41"/>
      <c r="DC13" s="104"/>
      <c r="DD13" s="104"/>
      <c r="DE13" s="104"/>
      <c r="DF13" s="104"/>
      <c r="DG13" s="104"/>
    </row>
    <row r="14" spans="1:111" ht="14.25" thickBot="1">
      <c r="A14" s="3">
        <f t="shared" si="0"/>
        <v>3</v>
      </c>
      <c r="B14" s="7"/>
      <c r="C14" s="40" t="s">
        <v>164</v>
      </c>
      <c r="D14" s="41" t="s">
        <v>164</v>
      </c>
      <c r="E14" s="42" t="s">
        <v>165</v>
      </c>
      <c r="F14" s="281">
        <v>0.068</v>
      </c>
      <c r="G14" s="7"/>
      <c r="H14" s="3">
        <f aca="true" t="shared" si="1" ref="H14:H59">+H13+1</f>
        <v>2</v>
      </c>
      <c r="I14" s="79" t="s">
        <v>295</v>
      </c>
      <c r="J14" s="7"/>
      <c r="K14" s="7"/>
      <c r="L14" s="7"/>
      <c r="M14" s="8">
        <f aca="true" t="shared" si="2" ref="M14:M44">M13+1</f>
        <v>2</v>
      </c>
      <c r="N14" s="251" t="s">
        <v>435</v>
      </c>
      <c r="O14" s="244"/>
      <c r="P14" s="239"/>
      <c r="Q14" s="365">
        <v>78809572.05463935</v>
      </c>
      <c r="R14" s="8">
        <f aca="true" t="shared" si="3" ref="R14:R37">R13+1</f>
        <v>2</v>
      </c>
      <c r="S14" s="9"/>
      <c r="T14" s="9"/>
      <c r="U14" s="135"/>
      <c r="V14" s="8">
        <f aca="true" t="shared" si="4" ref="V14:V23">V13+1</f>
        <v>2</v>
      </c>
      <c r="W14" s="72" t="s">
        <v>485</v>
      </c>
      <c r="X14" s="556" t="s">
        <v>485</v>
      </c>
      <c r="Y14" s="128"/>
      <c r="Z14" s="38">
        <f aca="true" t="shared" si="5" ref="Z14:Z31">Z13+1</f>
        <v>2</v>
      </c>
      <c r="AA14" s="194" t="s">
        <v>370</v>
      </c>
      <c r="AB14" s="223">
        <v>-3790492.57</v>
      </c>
      <c r="AC14" s="223">
        <v>0</v>
      </c>
      <c r="AD14" s="223">
        <f>AC14-AB14</f>
        <v>3790492.57</v>
      </c>
      <c r="AE14" s="8">
        <f aca="true" t="shared" si="6" ref="AE14:AE25">AE13+1</f>
        <v>2</v>
      </c>
      <c r="AF14" s="9" t="s">
        <v>240</v>
      </c>
      <c r="AG14" s="49">
        <v>0</v>
      </c>
      <c r="AH14" s="343">
        <v>-359644.18475228845</v>
      </c>
      <c r="AI14" s="49">
        <f>+AH14-AG14</f>
        <v>-359644.18475228845</v>
      </c>
      <c r="AJ14" s="8">
        <v>2</v>
      </c>
      <c r="AK14" s="242" t="s">
        <v>310</v>
      </c>
      <c r="AL14" s="425">
        <v>615331.374168</v>
      </c>
      <c r="AM14" s="425">
        <v>818110.3149214709</v>
      </c>
      <c r="AN14" s="425">
        <f>AM14-AL14</f>
        <v>202778.940753471</v>
      </c>
      <c r="AO14" s="8">
        <f aca="true" t="shared" si="7" ref="AO14:AO28">AO13+1</f>
        <v>2</v>
      </c>
      <c r="AP14" s="323">
        <v>2007</v>
      </c>
      <c r="AQ14" s="128">
        <v>6924811.890000001</v>
      </c>
      <c r="AR14" s="47">
        <v>1922618327</v>
      </c>
      <c r="AS14" s="47">
        <v>111070231</v>
      </c>
      <c r="AT14" s="47">
        <v>43200762</v>
      </c>
      <c r="AU14" s="47">
        <v>373024</v>
      </c>
      <c r="AV14" s="47">
        <f>AR14-AS14-AT14-AU14</f>
        <v>1767974310</v>
      </c>
      <c r="AW14" s="321">
        <f>ROUND(AQ14/AV14,6)</f>
        <v>0.003917</v>
      </c>
      <c r="AX14" s="8">
        <f aca="true" t="shared" si="8" ref="AX14:AX30">AX13+1</f>
        <v>2</v>
      </c>
      <c r="AY14" s="194" t="s">
        <v>671</v>
      </c>
      <c r="AZ14" s="128">
        <v>261243</v>
      </c>
      <c r="BA14" s="128">
        <v>228708.05095969615</v>
      </c>
      <c r="BB14" s="130">
        <f aca="true" t="shared" si="9" ref="BB14:BB21">BA14-AZ14</f>
        <v>-32534.94904030385</v>
      </c>
      <c r="BC14" s="8">
        <f aca="true" t="shared" si="10" ref="BC14:BC19">BC13+1</f>
        <v>2</v>
      </c>
      <c r="BD14" s="9" t="s">
        <v>160</v>
      </c>
      <c r="BE14" s="5">
        <v>23853529</v>
      </c>
      <c r="BF14" s="5">
        <v>8578000</v>
      </c>
      <c r="BG14" s="5">
        <v>645631.9199999999</v>
      </c>
      <c r="BH14" s="5">
        <f>+BE14+BF14+BG14</f>
        <v>33077160.92</v>
      </c>
      <c r="BI14" s="8">
        <f aca="true" t="shared" si="11" ref="BI14:BI24">BI13+1</f>
        <v>2</v>
      </c>
      <c r="BJ14" s="7" t="s">
        <v>161</v>
      </c>
      <c r="BK14" s="7"/>
      <c r="BL14" s="5">
        <v>78841322.577215</v>
      </c>
      <c r="BM14" s="104">
        <v>2</v>
      </c>
      <c r="BN14" s="104"/>
      <c r="BO14" s="425"/>
      <c r="BP14" s="425"/>
      <c r="BQ14" s="425"/>
      <c r="BR14" s="3">
        <f>BR13+1</f>
        <v>2</v>
      </c>
      <c r="BU14" s="133"/>
      <c r="BV14" s="8">
        <f aca="true" t="shared" si="12" ref="BV14:BV31">+BV13+1</f>
        <v>2</v>
      </c>
      <c r="BW14" s="9"/>
      <c r="BX14" s="439"/>
      <c r="BY14" s="242"/>
      <c r="BZ14" s="3">
        <f aca="true" t="shared" si="13" ref="BZ14:BZ31">1+BZ13</f>
        <v>2</v>
      </c>
      <c r="CA14" s="186" t="s">
        <v>591</v>
      </c>
      <c r="CB14" s="186"/>
      <c r="CC14" s="147">
        <v>107709.44000000006</v>
      </c>
      <c r="CD14" s="8">
        <f aca="true" t="shared" si="14" ref="CD14:CD20">CD13+1</f>
        <v>2</v>
      </c>
      <c r="CE14" s="7" t="s">
        <v>651</v>
      </c>
      <c r="CF14" s="55">
        <v>1594751.9440727741</v>
      </c>
      <c r="CG14" s="55">
        <v>1630149.7991683</v>
      </c>
      <c r="CH14" s="55">
        <f>+CG14-CF14</f>
        <v>35397.85509552574</v>
      </c>
      <c r="CI14" s="8">
        <f>CI13+1</f>
        <v>2</v>
      </c>
      <c r="CJ14" s="7" t="s">
        <v>677</v>
      </c>
      <c r="CK14" s="55">
        <v>469391.995068844</v>
      </c>
      <c r="CL14" s="55">
        <v>0</v>
      </c>
      <c r="CM14" s="298">
        <f>+CL14-CK14</f>
        <v>-469391.995068844</v>
      </c>
      <c r="CN14" s="8">
        <v>2</v>
      </c>
      <c r="CO14" s="9" t="s">
        <v>671</v>
      </c>
      <c r="CP14" s="444">
        <v>3782810</v>
      </c>
      <c r="CQ14" s="444">
        <v>3895048</v>
      </c>
      <c r="CR14" s="125">
        <f aca="true" t="shared" si="15" ref="CR14:CR21">CQ14-CP14</f>
        <v>112238</v>
      </c>
      <c r="CS14" s="8">
        <f aca="true" t="shared" si="16" ref="CS14:CS40">CS13+1</f>
        <v>2</v>
      </c>
      <c r="CT14" s="194" t="s">
        <v>187</v>
      </c>
      <c r="CU14" s="234"/>
      <c r="CV14" s="269">
        <v>5398752.811058</v>
      </c>
      <c r="CW14" s="573"/>
      <c r="CX14" s="8">
        <v>2</v>
      </c>
      <c r="CY14" s="9" t="s">
        <v>34</v>
      </c>
      <c r="CZ14" s="9"/>
      <c r="DA14" s="131"/>
      <c r="DB14" s="357">
        <v>12639719.5008</v>
      </c>
      <c r="DC14" s="8">
        <v>1</v>
      </c>
      <c r="DD14" s="104" t="s">
        <v>698</v>
      </c>
      <c r="DE14" s="516">
        <v>204952588</v>
      </c>
      <c r="DF14" s="516">
        <v>203573760.0878062</v>
      </c>
      <c r="DG14" s="516">
        <f>DF14-DE14</f>
        <v>-1378827.912193805</v>
      </c>
    </row>
    <row r="15" spans="1:106" ht="15" thickBot="1" thickTop="1">
      <c r="A15" s="3">
        <f t="shared" si="0"/>
        <v>4</v>
      </c>
      <c r="B15" s="140">
        <v>40179</v>
      </c>
      <c r="C15" s="141">
        <v>2154813.765</v>
      </c>
      <c r="D15" s="142">
        <v>2282982.530676057</v>
      </c>
      <c r="E15" s="36">
        <f aca="true" t="shared" si="17" ref="E15:E26">+D15-C15</f>
        <v>128168.76567605697</v>
      </c>
      <c r="F15" s="36">
        <f aca="true" t="shared" si="18" ref="F15:F26">ROUND(+E15*(1-$F$14),0)</f>
        <v>119453</v>
      </c>
      <c r="G15" s="7"/>
      <c r="H15" s="3">
        <f t="shared" si="1"/>
        <v>3</v>
      </c>
      <c r="I15" s="325" t="s">
        <v>499</v>
      </c>
      <c r="J15" s="162"/>
      <c r="K15" s="365">
        <v>6061237.274029518</v>
      </c>
      <c r="L15" s="432"/>
      <c r="M15" s="8">
        <f t="shared" si="2"/>
        <v>3</v>
      </c>
      <c r="N15" s="251" t="s">
        <v>436</v>
      </c>
      <c r="O15" s="234"/>
      <c r="P15" s="239"/>
      <c r="Q15" s="239">
        <v>75028227.01</v>
      </c>
      <c r="R15" s="8">
        <f t="shared" si="3"/>
        <v>3</v>
      </c>
      <c r="S15" s="43" t="s">
        <v>676</v>
      </c>
      <c r="T15" s="10">
        <v>0.35</v>
      </c>
      <c r="U15" s="96">
        <f>+U13*T15</f>
        <v>-65733602.19821499</v>
      </c>
      <c r="V15" s="8">
        <f t="shared" si="4"/>
        <v>3</v>
      </c>
      <c r="W15" s="186" t="s">
        <v>655</v>
      </c>
      <c r="X15" s="545">
        <f>SUM(X13:X14)</f>
        <v>4894662749</v>
      </c>
      <c r="Y15" s="128"/>
      <c r="Z15" s="38">
        <f t="shared" si="5"/>
        <v>3</v>
      </c>
      <c r="AA15" s="194" t="s">
        <v>371</v>
      </c>
      <c r="AB15" s="145">
        <v>-1569757</v>
      </c>
      <c r="AC15" s="145">
        <v>0</v>
      </c>
      <c r="AD15" s="127">
        <f>AC15-AB15</f>
        <v>1569757</v>
      </c>
      <c r="AE15" s="8">
        <f t="shared" si="6"/>
        <v>3</v>
      </c>
      <c r="AF15" s="9" t="s">
        <v>255</v>
      </c>
      <c r="AG15" s="433">
        <v>0</v>
      </c>
      <c r="AH15" s="425">
        <f>-AH14*0.35</f>
        <v>125875.46466330095</v>
      </c>
      <c r="AI15" s="433">
        <f>+AH15-AG15</f>
        <v>125875.46466330095</v>
      </c>
      <c r="AJ15" s="8">
        <v>3</v>
      </c>
      <c r="AK15" s="242" t="s">
        <v>311</v>
      </c>
      <c r="AL15" s="372">
        <f>SUM(AL13:AL14)</f>
        <v>811102.175568</v>
      </c>
      <c r="AM15" s="372">
        <f>SUM(AM13:AM14)</f>
        <v>1927438.0953881377</v>
      </c>
      <c r="AN15" s="372">
        <f>SUM(AN13:AN14)</f>
        <v>1116335.9198201378</v>
      </c>
      <c r="AO15" s="8">
        <f t="shared" si="7"/>
        <v>3</v>
      </c>
      <c r="AP15" s="323">
        <v>2008</v>
      </c>
      <c r="AQ15" s="128">
        <v>8122859.950000001</v>
      </c>
      <c r="AR15" s="47">
        <v>2132433310</v>
      </c>
      <c r="AS15" s="47">
        <v>95513282</v>
      </c>
      <c r="AT15" s="47">
        <v>59332118</v>
      </c>
      <c r="AU15" s="47">
        <v>374652</v>
      </c>
      <c r="AV15" s="47">
        <f>AR15-AS15-AT15-AU15</f>
        <v>1977213258</v>
      </c>
      <c r="AW15" s="321">
        <f>ROUND(AQ15/AV15,6)</f>
        <v>0.004108</v>
      </c>
      <c r="AX15" s="8">
        <f t="shared" si="8"/>
        <v>3</v>
      </c>
      <c r="AY15" s="194" t="s">
        <v>672</v>
      </c>
      <c r="AZ15" s="127">
        <v>1299242</v>
      </c>
      <c r="BA15" s="127">
        <v>1147368.218159779</v>
      </c>
      <c r="BB15" s="127">
        <f t="shared" si="9"/>
        <v>-151873.78184022103</v>
      </c>
      <c r="BC15" s="8">
        <f t="shared" si="10"/>
        <v>3</v>
      </c>
      <c r="BD15" s="9" t="s">
        <v>652</v>
      </c>
      <c r="BE15" s="57">
        <f>BE13-BE14</f>
        <v>3981710</v>
      </c>
      <c r="BF15" s="57">
        <f>BF13-BF14</f>
        <v>716613</v>
      </c>
      <c r="BG15" s="57">
        <f>BG13-BG14</f>
        <v>-27349.919999999925</v>
      </c>
      <c r="BH15" s="57">
        <f>BH13-BH14</f>
        <v>4670973.079999998</v>
      </c>
      <c r="BI15" s="8">
        <f t="shared" si="11"/>
        <v>3</v>
      </c>
      <c r="BJ15" s="7" t="s">
        <v>408</v>
      </c>
      <c r="BK15" s="7"/>
      <c r="BL15" s="6">
        <f>(BL13-BL14)</f>
        <v>309198.422784999</v>
      </c>
      <c r="BM15" s="104">
        <v>3</v>
      </c>
      <c r="BN15" s="104" t="s">
        <v>14</v>
      </c>
      <c r="BO15" s="372">
        <v>322483.7235980937</v>
      </c>
      <c r="BP15" s="372">
        <v>270816.37514571205</v>
      </c>
      <c r="BQ15" s="372">
        <v>-51667.34845238167</v>
      </c>
      <c r="BR15" s="3">
        <f>BR14+1</f>
        <v>3</v>
      </c>
      <c r="BS15" s="7" t="s">
        <v>171</v>
      </c>
      <c r="BU15" s="427">
        <f>-BU13</f>
        <v>-47149</v>
      </c>
      <c r="BV15" s="8">
        <f t="shared" si="12"/>
        <v>3</v>
      </c>
      <c r="BW15" s="9" t="s">
        <v>496</v>
      </c>
      <c r="BX15" s="264">
        <v>982000</v>
      </c>
      <c r="BY15" s="442"/>
      <c r="BZ15" s="3">
        <f t="shared" si="13"/>
        <v>3</v>
      </c>
      <c r="CA15" s="7" t="s">
        <v>592</v>
      </c>
      <c r="CC15" s="356">
        <f>SUM(CC13:CC14)</f>
        <v>-1715096.8099999968</v>
      </c>
      <c r="CD15" s="8">
        <f t="shared" si="14"/>
        <v>3</v>
      </c>
      <c r="CE15" s="9" t="s">
        <v>652</v>
      </c>
      <c r="CF15" s="144">
        <f>SUM(CF13:CF14)</f>
        <v>4256047.139180774</v>
      </c>
      <c r="CG15" s="144">
        <f>SUM(CG13:CG14)</f>
        <v>4447550.9718323</v>
      </c>
      <c r="CH15" s="144">
        <f>SUM(CH13:CH14)</f>
        <v>191503.83265152527</v>
      </c>
      <c r="CI15" s="8">
        <f>CI14+1</f>
        <v>3</v>
      </c>
      <c r="CJ15" s="9" t="s">
        <v>652</v>
      </c>
      <c r="CK15" s="144">
        <f>SUM(CK13:CK14)</f>
        <v>3748583.909651324</v>
      </c>
      <c r="CL15" s="144">
        <f>SUM(CL13:CL14)</f>
        <v>5594712.966</v>
      </c>
      <c r="CM15" s="144">
        <f>SUM(CM13:CM14)</f>
        <v>1846129.0563486759</v>
      </c>
      <c r="CN15" s="8">
        <v>3</v>
      </c>
      <c r="CO15" s="9" t="s">
        <v>672</v>
      </c>
      <c r="CP15" s="445">
        <v>18813086</v>
      </c>
      <c r="CQ15" s="445">
        <v>19286741</v>
      </c>
      <c r="CR15" s="355">
        <f t="shared" si="15"/>
        <v>473655</v>
      </c>
      <c r="CS15" s="8">
        <f t="shared" si="16"/>
        <v>3</v>
      </c>
      <c r="CT15" s="230" t="s">
        <v>13</v>
      </c>
      <c r="CU15" s="66">
        <v>0.0297</v>
      </c>
      <c r="CV15" s="334">
        <f>+CV14*CU15</f>
        <v>160342.9584884226</v>
      </c>
      <c r="CW15" s="573"/>
      <c r="CX15" s="8">
        <v>3</v>
      </c>
      <c r="CY15" s="9" t="s">
        <v>36</v>
      </c>
      <c r="CZ15" s="9"/>
      <c r="DA15" s="131"/>
      <c r="DB15" s="143">
        <v>9705789.6816</v>
      </c>
    </row>
    <row r="16" spans="1:106" ht="15" thickBot="1" thickTop="1">
      <c r="A16" s="3">
        <f t="shared" si="0"/>
        <v>5</v>
      </c>
      <c r="B16" s="140">
        <v>40210</v>
      </c>
      <c r="C16" s="141">
        <v>1895525.908</v>
      </c>
      <c r="D16" s="142">
        <v>1986792.9130964398</v>
      </c>
      <c r="E16" s="36">
        <f t="shared" si="17"/>
        <v>91267.00509643974</v>
      </c>
      <c r="F16" s="36">
        <f t="shared" si="18"/>
        <v>85061</v>
      </c>
      <c r="G16" s="7"/>
      <c r="H16" s="3">
        <f t="shared" si="1"/>
        <v>4</v>
      </c>
      <c r="I16" s="326" t="s">
        <v>623</v>
      </c>
      <c r="J16" s="7"/>
      <c r="K16" s="372">
        <v>-4974.180000000002</v>
      </c>
      <c r="L16" s="432"/>
      <c r="M16" s="8">
        <f t="shared" si="2"/>
        <v>4</v>
      </c>
      <c r="N16" s="251" t="s">
        <v>437</v>
      </c>
      <c r="O16" s="234"/>
      <c r="P16" s="239"/>
      <c r="Q16" s="239">
        <v>11261428.14</v>
      </c>
      <c r="R16" s="8">
        <f t="shared" si="3"/>
        <v>4</v>
      </c>
      <c r="S16" s="9" t="s">
        <v>178</v>
      </c>
      <c r="T16" s="7"/>
      <c r="U16" s="355">
        <f>+U15</f>
        <v>-65733602.19821499</v>
      </c>
      <c r="V16" s="8">
        <f t="shared" si="4"/>
        <v>4</v>
      </c>
      <c r="W16" s="186"/>
      <c r="X16" s="557"/>
      <c r="Y16" s="186"/>
      <c r="Z16" s="38">
        <f t="shared" si="5"/>
        <v>4</v>
      </c>
      <c r="AA16" s="186" t="s">
        <v>256</v>
      </c>
      <c r="AB16" s="145"/>
      <c r="AC16" s="145"/>
      <c r="AD16" s="127"/>
      <c r="AE16" s="8">
        <f t="shared" si="6"/>
        <v>4</v>
      </c>
      <c r="AF16" s="9" t="s">
        <v>241</v>
      </c>
      <c r="AG16" s="427">
        <f>SUM(AG13:AG14)</f>
        <v>0</v>
      </c>
      <c r="AH16" s="427">
        <f>SUM(AH14:AH15)</f>
        <v>-233768.7200889875</v>
      </c>
      <c r="AI16" s="427">
        <f>SUM(AI14:AI15)</f>
        <v>-233768.7200889875</v>
      </c>
      <c r="AJ16" s="8">
        <v>4</v>
      </c>
      <c r="AK16" s="362"/>
      <c r="AL16" s="372"/>
      <c r="AM16" s="372"/>
      <c r="AN16" s="372"/>
      <c r="AO16" s="8">
        <f t="shared" si="7"/>
        <v>4</v>
      </c>
      <c r="AP16" s="323">
        <v>2009</v>
      </c>
      <c r="AQ16" s="437">
        <v>10727813.25</v>
      </c>
      <c r="AR16" s="436">
        <v>2093755522.6100001</v>
      </c>
      <c r="AS16" s="436">
        <v>64642019.06</v>
      </c>
      <c r="AT16" s="436">
        <v>7215398.16999999</v>
      </c>
      <c r="AU16" s="436">
        <v>360828.64</v>
      </c>
      <c r="AV16" s="436">
        <f>AR16-AS16-AT16-AU16</f>
        <v>2021537276.74</v>
      </c>
      <c r="AW16" s="322">
        <f>ROUND(AQ16/AV16,6)</f>
        <v>0.005307</v>
      </c>
      <c r="AX16" s="8">
        <f t="shared" si="8"/>
        <v>4</v>
      </c>
      <c r="AY16" s="194" t="s">
        <v>23</v>
      </c>
      <c r="AZ16" s="127">
        <v>210121</v>
      </c>
      <c r="BA16" s="127">
        <v>184354.71548012106</v>
      </c>
      <c r="BB16" s="127">
        <f t="shared" si="9"/>
        <v>-25766.284519878944</v>
      </c>
      <c r="BC16" s="8">
        <f t="shared" si="10"/>
        <v>4</v>
      </c>
      <c r="BD16" s="9"/>
      <c r="BE16" s="57"/>
      <c r="BF16" s="57"/>
      <c r="BG16" s="57"/>
      <c r="BH16" s="57"/>
      <c r="BI16" s="8">
        <f t="shared" si="11"/>
        <v>4</v>
      </c>
      <c r="BJ16" s="7"/>
      <c r="BK16" s="7"/>
      <c r="BL16" s="7"/>
      <c r="BM16" s="104">
        <v>4</v>
      </c>
      <c r="BN16" s="104"/>
      <c r="BO16" s="372"/>
      <c r="BP16" s="372"/>
      <c r="BQ16" s="372"/>
      <c r="BR16" s="3"/>
      <c r="BV16" s="8">
        <f t="shared" si="12"/>
        <v>4</v>
      </c>
      <c r="BW16" s="9"/>
      <c r="BX16" s="439"/>
      <c r="BY16" s="242"/>
      <c r="BZ16" s="3">
        <f t="shared" si="13"/>
        <v>4</v>
      </c>
      <c r="CD16" s="8">
        <f t="shared" si="14"/>
        <v>4</v>
      </c>
      <c r="CE16" s="9"/>
      <c r="CH16" s="127"/>
      <c r="CI16" s="8">
        <f>CI15+1</f>
        <v>4</v>
      </c>
      <c r="CJ16" s="9"/>
      <c r="CM16" s="127"/>
      <c r="CN16" s="8">
        <v>4</v>
      </c>
      <c r="CO16" s="9" t="s">
        <v>23</v>
      </c>
      <c r="CP16" s="445">
        <v>3042579</v>
      </c>
      <c r="CQ16" s="445">
        <v>3128925</v>
      </c>
      <c r="CR16" s="355">
        <f t="shared" si="15"/>
        <v>86346</v>
      </c>
      <c r="CS16" s="8">
        <f t="shared" si="16"/>
        <v>4</v>
      </c>
      <c r="CT16" s="195" t="s">
        <v>186</v>
      </c>
      <c r="CU16" s="234"/>
      <c r="CV16" s="234"/>
      <c r="CW16" s="238">
        <f>SUM(CV14:CV15)</f>
        <v>5559095.769546422</v>
      </c>
      <c r="CX16" s="8">
        <v>4</v>
      </c>
      <c r="CY16" s="7" t="s">
        <v>448</v>
      </c>
      <c r="DA16" s="131"/>
      <c r="DB16" s="147">
        <f>SUM(DB14:DB15)</f>
        <v>22345509.182400003</v>
      </c>
    </row>
    <row r="17" spans="1:106" ht="13.5" thickTop="1">
      <c r="A17" s="3">
        <f t="shared" si="0"/>
        <v>6</v>
      </c>
      <c r="B17" s="140">
        <v>40238</v>
      </c>
      <c r="C17" s="141">
        <v>2022381.922</v>
      </c>
      <c r="D17" s="142">
        <v>2041216.6270947068</v>
      </c>
      <c r="E17" s="36">
        <f t="shared" si="17"/>
        <v>18834.705094706733</v>
      </c>
      <c r="F17" s="36">
        <f t="shared" si="18"/>
        <v>17554</v>
      </c>
      <c r="G17" s="7"/>
      <c r="H17" s="3">
        <f t="shared" si="1"/>
        <v>5</v>
      </c>
      <c r="I17" s="326" t="s">
        <v>661</v>
      </c>
      <c r="J17" s="7"/>
      <c r="K17" s="372">
        <v>16481251.350494359</v>
      </c>
      <c r="L17" s="432"/>
      <c r="M17" s="8">
        <f t="shared" si="2"/>
        <v>5</v>
      </c>
      <c r="N17" s="270" t="s">
        <v>403</v>
      </c>
      <c r="O17" s="234"/>
      <c r="P17" s="239"/>
      <c r="Q17" s="239">
        <v>-78576305.16</v>
      </c>
      <c r="R17" s="8">
        <f t="shared" si="3"/>
        <v>5</v>
      </c>
      <c r="S17" s="9"/>
      <c r="T17" s="9"/>
      <c r="U17" s="135"/>
      <c r="V17" s="8">
        <f t="shared" si="4"/>
        <v>5</v>
      </c>
      <c r="W17" s="72" t="s">
        <v>9</v>
      </c>
      <c r="X17" s="635">
        <f>'[1]JHS-22'!H13+'[1]JHS-22'!H14</f>
        <v>0.031</v>
      </c>
      <c r="Y17" s="15" t="s">
        <v>485</v>
      </c>
      <c r="Z17" s="38">
        <f t="shared" si="5"/>
        <v>5</v>
      </c>
      <c r="AA17" s="7" t="s">
        <v>257</v>
      </c>
      <c r="AB17" s="145">
        <v>77824.864</v>
      </c>
      <c r="AC17" s="145">
        <v>0</v>
      </c>
      <c r="AD17" s="127">
        <f aca="true" t="shared" si="19" ref="AD17:AD22">AC17-AB17</f>
        <v>-77824.864</v>
      </c>
      <c r="AE17" s="8">
        <f t="shared" si="6"/>
        <v>5</v>
      </c>
      <c r="AF17" s="9"/>
      <c r="AG17" s="168"/>
      <c r="AH17" s="168"/>
      <c r="AI17" s="168"/>
      <c r="AJ17" s="8">
        <v>5</v>
      </c>
      <c r="AK17" s="361" t="s">
        <v>312</v>
      </c>
      <c r="AL17" s="372"/>
      <c r="AM17" s="372"/>
      <c r="AN17" s="372">
        <f>AN15</f>
        <v>1116335.9198201378</v>
      </c>
      <c r="AO17" s="8">
        <f t="shared" si="7"/>
        <v>5</v>
      </c>
      <c r="AP17" s="45" t="s">
        <v>335</v>
      </c>
      <c r="AQ17" s="192"/>
      <c r="AR17" s="267"/>
      <c r="AS17" s="267"/>
      <c r="AT17" s="267"/>
      <c r="AU17" s="267"/>
      <c r="AV17" s="211"/>
      <c r="AW17" s="321">
        <f>ROUND(IF(ISERROR(AVERAGE(AW14,AW15,AW16)),0,AVERAGE(AW14,AW15,AW16)),6)</f>
        <v>0.004444</v>
      </c>
      <c r="AX17" s="8">
        <f t="shared" si="8"/>
        <v>5</v>
      </c>
      <c r="AY17" s="194" t="s">
        <v>28</v>
      </c>
      <c r="AZ17" s="127">
        <v>1505513</v>
      </c>
      <c r="BA17" s="127">
        <v>1332437.4868006757</v>
      </c>
      <c r="BB17" s="127">
        <f t="shared" si="9"/>
        <v>-173075.51319932425</v>
      </c>
      <c r="BC17" s="8">
        <f t="shared" si="10"/>
        <v>5</v>
      </c>
      <c r="BD17" s="9" t="s">
        <v>6</v>
      </c>
      <c r="BE17" s="129"/>
      <c r="BF17" s="10"/>
      <c r="BG17" s="97">
        <v>0.35</v>
      </c>
      <c r="BH17" s="5">
        <f>-ROUND(+BH15*BG17,0)</f>
        <v>-1634841</v>
      </c>
      <c r="BI17" s="8">
        <f t="shared" si="11"/>
        <v>5</v>
      </c>
      <c r="BJ17" s="92" t="s">
        <v>7</v>
      </c>
      <c r="BK17" s="7"/>
      <c r="BL17" s="6">
        <f>BL18</f>
        <v>4157945</v>
      </c>
      <c r="BM17" s="104">
        <v>5</v>
      </c>
      <c r="BN17" s="104" t="s">
        <v>16</v>
      </c>
      <c r="BO17" s="372"/>
      <c r="BP17" s="434">
        <v>0.35</v>
      </c>
      <c r="BQ17" s="372">
        <v>18083.571958333585</v>
      </c>
      <c r="BR17" s="3"/>
      <c r="BS17" s="111"/>
      <c r="BT17" s="111"/>
      <c r="BU17" s="111"/>
      <c r="BV17" s="8">
        <f t="shared" si="12"/>
        <v>5</v>
      </c>
      <c r="BW17" s="265" t="s">
        <v>493</v>
      </c>
      <c r="BX17" s="299">
        <f>BX15/2</f>
        <v>491000</v>
      </c>
      <c r="BY17" s="259"/>
      <c r="BZ17" s="3">
        <f t="shared" si="13"/>
        <v>5</v>
      </c>
      <c r="CA17" s="46" t="s">
        <v>593</v>
      </c>
      <c r="CC17" s="127">
        <v>-76216.95</v>
      </c>
      <c r="CD17" s="8">
        <f t="shared" si="14"/>
        <v>5</v>
      </c>
      <c r="CE17" s="7" t="s">
        <v>412</v>
      </c>
      <c r="CH17" s="127">
        <f>CH15</f>
        <v>191503.83265152527</v>
      </c>
      <c r="CI17" s="8">
        <f>CI16+1</f>
        <v>5</v>
      </c>
      <c r="CJ17" s="9" t="s">
        <v>16</v>
      </c>
      <c r="CK17" s="151">
        <v>0.35</v>
      </c>
      <c r="CL17" s="10"/>
      <c r="CM17" s="55">
        <f>-CK17*CM15</f>
        <v>-646145.1697220365</v>
      </c>
      <c r="CN17" s="8">
        <v>5</v>
      </c>
      <c r="CO17" s="9" t="s">
        <v>28</v>
      </c>
      <c r="CP17" s="445">
        <v>21799940</v>
      </c>
      <c r="CQ17" s="445">
        <v>22323872</v>
      </c>
      <c r="CR17" s="355">
        <f t="shared" si="15"/>
        <v>523932</v>
      </c>
      <c r="CS17" s="8">
        <f t="shared" si="16"/>
        <v>5</v>
      </c>
      <c r="CT17" s="218"/>
      <c r="CU17" s="234"/>
      <c r="CV17" s="234"/>
      <c r="CW17" s="263"/>
      <c r="CX17" s="8">
        <v>5</v>
      </c>
      <c r="DA17" s="131"/>
      <c r="DB17" s="127"/>
    </row>
    <row r="18" spans="1:106" ht="14.25" thickBot="1">
      <c r="A18" s="3">
        <f t="shared" si="0"/>
        <v>7</v>
      </c>
      <c r="B18" s="140">
        <v>40269</v>
      </c>
      <c r="C18" s="141">
        <v>1844813.61</v>
      </c>
      <c r="D18" s="142">
        <v>1833220.608777056</v>
      </c>
      <c r="E18" s="36">
        <f t="shared" si="17"/>
        <v>-11593.00122294412</v>
      </c>
      <c r="F18" s="36">
        <f t="shared" si="18"/>
        <v>-10805</v>
      </c>
      <c r="G18" s="7"/>
      <c r="H18" s="3">
        <f t="shared" si="1"/>
        <v>6</v>
      </c>
      <c r="I18" s="326" t="s">
        <v>118</v>
      </c>
      <c r="J18" s="7"/>
      <c r="K18" s="372">
        <v>-1936015</v>
      </c>
      <c r="L18" s="432"/>
      <c r="M18" s="8">
        <f t="shared" si="2"/>
        <v>6</v>
      </c>
      <c r="N18" s="252" t="s">
        <v>663</v>
      </c>
      <c r="O18" s="234"/>
      <c r="P18" s="239"/>
      <c r="Q18" s="239">
        <v>3243189.68</v>
      </c>
      <c r="R18" s="8">
        <f t="shared" si="3"/>
        <v>6</v>
      </c>
      <c r="S18" s="7" t="s">
        <v>19</v>
      </c>
      <c r="T18" s="7"/>
      <c r="U18" s="355">
        <v>125546463.030975</v>
      </c>
      <c r="V18" s="8">
        <f t="shared" si="4"/>
        <v>6</v>
      </c>
      <c r="W18" s="72" t="s">
        <v>264</v>
      </c>
      <c r="Y18" s="547">
        <f>+X15*X17</f>
        <v>151734545.219</v>
      </c>
      <c r="Z18" s="38">
        <f t="shared" si="5"/>
        <v>6</v>
      </c>
      <c r="AA18" s="7" t="s">
        <v>258</v>
      </c>
      <c r="AB18" s="146">
        <v>112533.50401471999</v>
      </c>
      <c r="AC18" s="146">
        <v>0</v>
      </c>
      <c r="AD18" s="127">
        <f t="shared" si="19"/>
        <v>-112533.50401471999</v>
      </c>
      <c r="AE18" s="8">
        <f t="shared" si="6"/>
        <v>6</v>
      </c>
      <c r="AF18" s="104" t="s">
        <v>631</v>
      </c>
      <c r="AG18" s="168"/>
      <c r="AH18" s="168"/>
      <c r="AI18" s="168"/>
      <c r="AJ18" s="8">
        <v>6</v>
      </c>
      <c r="AK18" s="361" t="s">
        <v>16</v>
      </c>
      <c r="AL18" s="104"/>
      <c r="AM18" s="180">
        <v>0.35</v>
      </c>
      <c r="AN18" s="425">
        <f>ROUND(-AN17*AM18,0)</f>
        <v>-390718</v>
      </c>
      <c r="AO18" s="8">
        <f t="shared" si="7"/>
        <v>6</v>
      </c>
      <c r="AP18" s="7"/>
      <c r="AQ18" s="7"/>
      <c r="AR18" s="7"/>
      <c r="AS18" s="7"/>
      <c r="AT18" s="7"/>
      <c r="AU18" s="7"/>
      <c r="AV18" s="7"/>
      <c r="AW18" s="7"/>
      <c r="AX18" s="8">
        <f t="shared" si="8"/>
        <v>6</v>
      </c>
      <c r="AY18" s="194" t="s">
        <v>33</v>
      </c>
      <c r="AZ18" s="127">
        <v>893833</v>
      </c>
      <c r="BA18" s="127">
        <v>791673.8626279506</v>
      </c>
      <c r="BB18" s="127">
        <f t="shared" si="9"/>
        <v>-102159.13737204939</v>
      </c>
      <c r="BC18" s="8">
        <f t="shared" si="10"/>
        <v>6</v>
      </c>
      <c r="BD18" s="9"/>
      <c r="BE18" s="129"/>
      <c r="BF18" s="10"/>
      <c r="BG18" s="10"/>
      <c r="BH18" s="99"/>
      <c r="BI18" s="8">
        <f t="shared" si="11"/>
        <v>6</v>
      </c>
      <c r="BJ18" s="9" t="s">
        <v>161</v>
      </c>
      <c r="BK18" s="7"/>
      <c r="BL18" s="5">
        <v>4157945</v>
      </c>
      <c r="BM18" s="104">
        <v>6</v>
      </c>
      <c r="BN18" s="104"/>
      <c r="BO18" s="372"/>
      <c r="BP18" s="372"/>
      <c r="BQ18" s="372"/>
      <c r="BR18" s="3"/>
      <c r="BS18" s="339"/>
      <c r="BT18" s="339"/>
      <c r="BU18" s="339"/>
      <c r="BV18" s="8">
        <f t="shared" si="12"/>
        <v>6</v>
      </c>
      <c r="BW18" s="261" t="s">
        <v>495</v>
      </c>
      <c r="BX18" s="300">
        <v>641575</v>
      </c>
      <c r="BY18" s="259"/>
      <c r="BZ18" s="3">
        <f t="shared" si="13"/>
        <v>6</v>
      </c>
      <c r="CA18" s="46" t="s">
        <v>589</v>
      </c>
      <c r="CC18" s="143">
        <v>290235.91000000003</v>
      </c>
      <c r="CD18" s="8">
        <f t="shared" si="14"/>
        <v>6</v>
      </c>
      <c r="CH18" s="131"/>
      <c r="CI18" s="8">
        <f>CI17+1</f>
        <v>6</v>
      </c>
      <c r="CJ18" s="9" t="s">
        <v>171</v>
      </c>
      <c r="CM18" s="427">
        <f>-CM15-CM17</f>
        <v>-1199983.8866266394</v>
      </c>
      <c r="CN18" s="8">
        <v>6</v>
      </c>
      <c r="CO18" s="9" t="s">
        <v>33</v>
      </c>
      <c r="CP18" s="445">
        <v>12942747</v>
      </c>
      <c r="CQ18" s="445">
        <v>13248616</v>
      </c>
      <c r="CR18" s="355">
        <f t="shared" si="15"/>
        <v>305869</v>
      </c>
      <c r="CS18" s="8">
        <f t="shared" si="16"/>
        <v>6</v>
      </c>
      <c r="CT18" s="344" t="s">
        <v>77</v>
      </c>
      <c r="CU18" s="230"/>
      <c r="CV18" s="573"/>
      <c r="CW18" s="573"/>
      <c r="CX18" s="8">
        <v>6</v>
      </c>
      <c r="CY18" s="107" t="s">
        <v>451</v>
      </c>
      <c r="CZ18" s="152">
        <v>0.6056</v>
      </c>
      <c r="DB18" s="127">
        <f>ROUND(+CZ18*DB16,0)</f>
        <v>13532440</v>
      </c>
    </row>
    <row r="19" spans="1:106" ht="15" customHeight="1" thickBot="1" thickTop="1">
      <c r="A19" s="3">
        <f t="shared" si="0"/>
        <v>8</v>
      </c>
      <c r="B19" s="140">
        <v>40299</v>
      </c>
      <c r="C19" s="141">
        <v>1764805.203</v>
      </c>
      <c r="D19" s="142">
        <v>1748090.29492157</v>
      </c>
      <c r="E19" s="36">
        <f t="shared" si="17"/>
        <v>-16714.908078429988</v>
      </c>
      <c r="F19" s="36">
        <f t="shared" si="18"/>
        <v>-15578</v>
      </c>
      <c r="G19" s="7"/>
      <c r="H19" s="3">
        <f t="shared" si="1"/>
        <v>7</v>
      </c>
      <c r="I19" s="326" t="s">
        <v>498</v>
      </c>
      <c r="J19" s="7"/>
      <c r="K19" s="372">
        <v>6253914.311885887</v>
      </c>
      <c r="L19" s="432"/>
      <c r="M19" s="8">
        <f t="shared" si="2"/>
        <v>7</v>
      </c>
      <c r="N19" s="252" t="s">
        <v>666</v>
      </c>
      <c r="O19" s="234"/>
      <c r="P19" s="239"/>
      <c r="Q19" s="239">
        <v>394978.82</v>
      </c>
      <c r="R19" s="8">
        <f t="shared" si="3"/>
        <v>7</v>
      </c>
      <c r="S19" s="7" t="s">
        <v>21</v>
      </c>
      <c r="T19" s="7"/>
      <c r="U19" s="355">
        <v>-15514213.632760001</v>
      </c>
      <c r="V19" s="8">
        <f t="shared" si="4"/>
        <v>7</v>
      </c>
      <c r="W19" s="72"/>
      <c r="X19" s="74"/>
      <c r="Y19" s="185"/>
      <c r="Z19" s="38">
        <f t="shared" si="5"/>
        <v>7</v>
      </c>
      <c r="AA19" s="7" t="s">
        <v>259</v>
      </c>
      <c r="AB19" s="145">
        <v>34160.19092432</v>
      </c>
      <c r="AC19" s="145">
        <v>0</v>
      </c>
      <c r="AD19" s="127">
        <f t="shared" si="19"/>
        <v>-34160.19092432</v>
      </c>
      <c r="AE19" s="8">
        <f t="shared" si="6"/>
        <v>7</v>
      </c>
      <c r="AF19" s="9" t="s">
        <v>269</v>
      </c>
      <c r="AG19" s="436">
        <v>10971542.557086002</v>
      </c>
      <c r="AH19" s="436">
        <v>9912384.517096072</v>
      </c>
      <c r="AI19" s="436">
        <f>AH19-AG19</f>
        <v>-1059158.0399899296</v>
      </c>
      <c r="AJ19" s="8">
        <v>7</v>
      </c>
      <c r="AK19" s="361"/>
      <c r="AL19" s="104"/>
      <c r="AM19" s="104"/>
      <c r="AN19" s="372"/>
      <c r="AO19" s="8">
        <f t="shared" si="7"/>
        <v>7</v>
      </c>
      <c r="AP19" s="171" t="s">
        <v>336</v>
      </c>
      <c r="AQ19" s="128"/>
      <c r="AR19" s="47">
        <f>'JHS-19'!AN21</f>
        <v>2274653391.25999</v>
      </c>
      <c r="AS19" s="47">
        <f>'JHS-19'!AN19</f>
        <v>201262557</v>
      </c>
      <c r="AT19" s="47">
        <f>'JHS-19'!AN20</f>
        <v>30706332.7599999</v>
      </c>
      <c r="AU19" s="47">
        <f>'JHS-19'!AN18</f>
        <v>350182.38</v>
      </c>
      <c r="AV19" s="47">
        <f>AR19-AS19-AT19-AU19</f>
        <v>2042334319.11999</v>
      </c>
      <c r="AW19" s="266"/>
      <c r="AX19" s="8">
        <f t="shared" si="8"/>
        <v>7</v>
      </c>
      <c r="AY19" s="194" t="s">
        <v>35</v>
      </c>
      <c r="AZ19" s="127">
        <v>79167</v>
      </c>
      <c r="BA19" s="127">
        <v>69617.89366414316</v>
      </c>
      <c r="BB19" s="127">
        <f t="shared" si="9"/>
        <v>-9549.106335856835</v>
      </c>
      <c r="BC19" s="8">
        <f t="shared" si="10"/>
        <v>7</v>
      </c>
      <c r="BD19" s="9" t="s">
        <v>18</v>
      </c>
      <c r="BF19" s="109"/>
      <c r="BG19" s="109"/>
      <c r="BH19" s="384">
        <f>-BH15-BH17</f>
        <v>-3036132.079999998</v>
      </c>
      <c r="BI19" s="8">
        <f t="shared" si="11"/>
        <v>7</v>
      </c>
      <c r="BJ19" s="9" t="s">
        <v>22</v>
      </c>
      <c r="BK19" s="7"/>
      <c r="BL19" s="6">
        <f>(BL17-BL18)</f>
        <v>0</v>
      </c>
      <c r="BM19" s="104">
        <v>7</v>
      </c>
      <c r="BN19" s="104" t="s">
        <v>171</v>
      </c>
      <c r="BO19" s="372"/>
      <c r="BP19" s="372"/>
      <c r="BQ19" s="427">
        <v>33583.776494048085</v>
      </c>
      <c r="BR19" s="3"/>
      <c r="BS19" s="339"/>
      <c r="BT19" s="339"/>
      <c r="BU19" s="339"/>
      <c r="BV19" s="8">
        <f t="shared" si="12"/>
        <v>7</v>
      </c>
      <c r="BW19" s="9" t="s">
        <v>30</v>
      </c>
      <c r="BX19" s="372">
        <f>+BX17-BX18</f>
        <v>-150575</v>
      </c>
      <c r="BY19" s="238">
        <f>+BX19</f>
        <v>-150575</v>
      </c>
      <c r="BZ19" s="3">
        <f t="shared" si="13"/>
        <v>7</v>
      </c>
      <c r="CA19" s="7" t="s">
        <v>594</v>
      </c>
      <c r="CC19" s="127">
        <f>SUM(CC17:CC18)</f>
        <v>214018.96000000002</v>
      </c>
      <c r="CD19" s="8">
        <f t="shared" si="14"/>
        <v>7</v>
      </c>
      <c r="CE19" s="9" t="s">
        <v>16</v>
      </c>
      <c r="CF19" s="151">
        <v>0.35</v>
      </c>
      <c r="CG19" s="10"/>
      <c r="CH19" s="55">
        <f>-CF19*CH17</f>
        <v>-67026.34142803385</v>
      </c>
      <c r="CI19" s="8"/>
      <c r="CN19" s="8">
        <v>7</v>
      </c>
      <c r="CO19" s="9" t="s">
        <v>35</v>
      </c>
      <c r="CP19" s="445">
        <v>1146347</v>
      </c>
      <c r="CQ19" s="445">
        <v>1177753</v>
      </c>
      <c r="CR19" s="355">
        <f t="shared" si="15"/>
        <v>31406</v>
      </c>
      <c r="CS19" s="8">
        <f t="shared" si="16"/>
        <v>7</v>
      </c>
      <c r="CT19" s="194" t="s">
        <v>187</v>
      </c>
      <c r="CU19" s="234"/>
      <c r="CV19" s="269">
        <v>132721.89838600002</v>
      </c>
      <c r="CW19" s="573"/>
      <c r="CX19" s="8">
        <v>7</v>
      </c>
      <c r="CY19" s="346" t="s">
        <v>635</v>
      </c>
      <c r="CZ19" s="9"/>
      <c r="DA19" s="151"/>
      <c r="DB19" s="127">
        <v>13515093</v>
      </c>
    </row>
    <row r="20" spans="1:106" ht="15" customHeight="1" thickBot="1" thickTop="1">
      <c r="A20" s="3">
        <f t="shared" si="0"/>
        <v>9</v>
      </c>
      <c r="B20" s="140">
        <v>40330</v>
      </c>
      <c r="C20" s="141">
        <v>1618462.369</v>
      </c>
      <c r="D20" s="142">
        <v>1630729.6518040113</v>
      </c>
      <c r="E20" s="36">
        <f t="shared" si="17"/>
        <v>12267.282804011367</v>
      </c>
      <c r="F20" s="36">
        <f t="shared" si="18"/>
        <v>11433</v>
      </c>
      <c r="G20" s="7"/>
      <c r="H20" s="3">
        <f t="shared" si="1"/>
        <v>8</v>
      </c>
      <c r="I20" s="326" t="s">
        <v>374</v>
      </c>
      <c r="J20" s="385"/>
      <c r="K20" s="372">
        <f>-32253105.2348128-2890382</f>
        <v>-35143487.234812796</v>
      </c>
      <c r="L20" s="432"/>
      <c r="M20" s="8">
        <f t="shared" si="2"/>
        <v>8</v>
      </c>
      <c r="N20" s="7" t="s">
        <v>329</v>
      </c>
      <c r="O20" s="7"/>
      <c r="P20" s="7"/>
      <c r="Q20" s="239">
        <v>-10990696.03</v>
      </c>
      <c r="R20" s="8">
        <f t="shared" si="3"/>
        <v>8</v>
      </c>
      <c r="S20" s="7" t="s">
        <v>44</v>
      </c>
      <c r="T20" s="7"/>
      <c r="U20" s="96">
        <v>0</v>
      </c>
      <c r="V20" s="8">
        <f t="shared" si="4"/>
        <v>8</v>
      </c>
      <c r="W20" s="186" t="s">
        <v>20</v>
      </c>
      <c r="Y20" s="558">
        <f>-Y18-X20</f>
        <v>-151734545.219</v>
      </c>
      <c r="Z20" s="38">
        <f t="shared" si="5"/>
        <v>8</v>
      </c>
      <c r="AA20" s="7" t="s">
        <v>318</v>
      </c>
      <c r="AB20" s="145">
        <v>502917.2796898801</v>
      </c>
      <c r="AC20" s="544">
        <v>118832.65031754776</v>
      </c>
      <c r="AD20" s="517">
        <f t="shared" si="19"/>
        <v>-384084.62937233236</v>
      </c>
      <c r="AE20" s="8">
        <f t="shared" si="6"/>
        <v>8</v>
      </c>
      <c r="AF20" s="9"/>
      <c r="AG20" s="168"/>
      <c r="AH20" s="168"/>
      <c r="AI20" s="435" t="s">
        <v>485</v>
      </c>
      <c r="AJ20" s="8">
        <v>8</v>
      </c>
      <c r="AK20" s="361" t="s">
        <v>171</v>
      </c>
      <c r="AL20" s="104"/>
      <c r="AM20" s="104"/>
      <c r="AN20" s="384">
        <f>-AN17-AN18</f>
        <v>-725617.9198201378</v>
      </c>
      <c r="AO20" s="8">
        <f t="shared" si="7"/>
        <v>8</v>
      </c>
      <c r="AP20" s="7"/>
      <c r="AQ20" s="127"/>
      <c r="AR20" s="268"/>
      <c r="AS20" s="127"/>
      <c r="AT20" s="127"/>
      <c r="AU20" s="127"/>
      <c r="AV20" s="127"/>
      <c r="AW20" s="268"/>
      <c r="AX20" s="8">
        <f t="shared" si="8"/>
        <v>8</v>
      </c>
      <c r="AY20" s="194" t="s">
        <v>147</v>
      </c>
      <c r="AZ20" s="127">
        <v>7752</v>
      </c>
      <c r="BA20" s="127">
        <v>6788.255027368798</v>
      </c>
      <c r="BB20" s="127">
        <f t="shared" si="9"/>
        <v>-963.7449726312016</v>
      </c>
      <c r="BC20" s="8"/>
      <c r="BI20" s="8">
        <f t="shared" si="11"/>
        <v>8</v>
      </c>
      <c r="BJ20" s="7"/>
      <c r="BK20" s="109"/>
      <c r="BL20" s="167"/>
      <c r="BM20" s="104"/>
      <c r="BN20" s="104"/>
      <c r="BR20" s="3"/>
      <c r="BS20" s="339"/>
      <c r="BT20" s="339"/>
      <c r="BU20" s="339"/>
      <c r="BV20" s="8">
        <f t="shared" si="12"/>
        <v>8</v>
      </c>
      <c r="BW20" s="9"/>
      <c r="BX20" s="147"/>
      <c r="BY20" s="438"/>
      <c r="BZ20" s="3">
        <f t="shared" si="13"/>
        <v>8</v>
      </c>
      <c r="CC20" s="149"/>
      <c r="CD20" s="8">
        <f t="shared" si="14"/>
        <v>8</v>
      </c>
      <c r="CE20" s="9" t="s">
        <v>171</v>
      </c>
      <c r="CH20" s="427">
        <f>-CH17-CH19</f>
        <v>-124477.49122349142</v>
      </c>
      <c r="CI20" s="8"/>
      <c r="CN20" s="8">
        <v>8</v>
      </c>
      <c r="CO20" s="9" t="s">
        <v>147</v>
      </c>
      <c r="CP20" s="445">
        <v>112249</v>
      </c>
      <c r="CQ20" s="445">
        <v>115580</v>
      </c>
      <c r="CR20" s="355">
        <f t="shared" si="15"/>
        <v>3331</v>
      </c>
      <c r="CS20" s="8">
        <f t="shared" si="16"/>
        <v>8</v>
      </c>
      <c r="CT20" s="230" t="s">
        <v>13</v>
      </c>
      <c r="CU20" s="66">
        <v>0</v>
      </c>
      <c r="CV20" s="334">
        <f>+CV19*CU20</f>
        <v>0</v>
      </c>
      <c r="CW20" s="573"/>
      <c r="CX20" s="8">
        <v>8</v>
      </c>
      <c r="CY20" s="7" t="s">
        <v>652</v>
      </c>
      <c r="DB20" s="149">
        <f>DB18-DB19</f>
        <v>17347</v>
      </c>
    </row>
    <row r="21" spans="1:106" ht="15" thickBot="1" thickTop="1">
      <c r="A21" s="3">
        <f t="shared" si="0"/>
        <v>10</v>
      </c>
      <c r="B21" s="140">
        <v>40360</v>
      </c>
      <c r="C21" s="141">
        <v>1688022.392</v>
      </c>
      <c r="D21" s="142">
        <v>1697903.9618338682</v>
      </c>
      <c r="E21" s="36">
        <f t="shared" si="17"/>
        <v>9881.569833868183</v>
      </c>
      <c r="F21" s="36">
        <f t="shared" si="18"/>
        <v>9210</v>
      </c>
      <c r="G21" s="7"/>
      <c r="H21" s="3">
        <f t="shared" si="1"/>
        <v>9</v>
      </c>
      <c r="I21" s="326" t="s">
        <v>176</v>
      </c>
      <c r="J21" s="159"/>
      <c r="K21" s="372">
        <v>1385859.8861668534</v>
      </c>
      <c r="L21" s="432"/>
      <c r="M21" s="8">
        <f t="shared" si="2"/>
        <v>9</v>
      </c>
      <c r="N21" s="7" t="s">
        <v>330</v>
      </c>
      <c r="O21" s="7"/>
      <c r="P21" s="7"/>
      <c r="Q21" s="239">
        <v>10504775.03</v>
      </c>
      <c r="R21" s="8">
        <f t="shared" si="3"/>
        <v>9</v>
      </c>
      <c r="S21" s="7" t="s">
        <v>32</v>
      </c>
      <c r="T21" s="7"/>
      <c r="U21" s="355">
        <f>SUM(U16:U20)</f>
        <v>44298647.2</v>
      </c>
      <c r="V21" s="8">
        <f t="shared" si="4"/>
        <v>9</v>
      </c>
      <c r="W21" s="186"/>
      <c r="X21" s="285"/>
      <c r="Y21" s="518" t="s">
        <v>485</v>
      </c>
      <c r="Z21" s="38">
        <f t="shared" si="5"/>
        <v>9</v>
      </c>
      <c r="AA21" s="104" t="s">
        <v>260</v>
      </c>
      <c r="AB21" s="145">
        <v>198811.68816704</v>
      </c>
      <c r="AC21" s="145">
        <v>0</v>
      </c>
      <c r="AD21" s="127">
        <f t="shared" si="19"/>
        <v>-198811.68816704</v>
      </c>
      <c r="AE21" s="8">
        <f t="shared" si="6"/>
        <v>9</v>
      </c>
      <c r="AF21" s="9" t="s">
        <v>30</v>
      </c>
      <c r="AG21" s="168"/>
      <c r="AH21" s="168"/>
      <c r="AI21" s="372">
        <f>AI19</f>
        <v>-1059158.0399899296</v>
      </c>
      <c r="AO21" s="8">
        <f t="shared" si="7"/>
        <v>9</v>
      </c>
      <c r="AP21" s="7" t="s">
        <v>166</v>
      </c>
      <c r="AQ21" s="127"/>
      <c r="AR21" s="127"/>
      <c r="AS21" s="127"/>
      <c r="AT21" s="127"/>
      <c r="AU21" s="127"/>
      <c r="AV21" s="321">
        <f>AW17-'JHS-20'!BR30</f>
        <v>0.004444</v>
      </c>
      <c r="AW21" s="127"/>
      <c r="AX21" s="8">
        <f t="shared" si="8"/>
        <v>9</v>
      </c>
      <c r="AY21" s="194" t="s">
        <v>447</v>
      </c>
      <c r="AZ21" s="127">
        <v>1532695</v>
      </c>
      <c r="BA21" s="127">
        <v>1343052.7051893426</v>
      </c>
      <c r="BB21" s="127">
        <f t="shared" si="9"/>
        <v>-189642.2948106574</v>
      </c>
      <c r="BC21" s="194"/>
      <c r="BH21" s="283"/>
      <c r="BI21" s="8">
        <f t="shared" si="11"/>
        <v>9</v>
      </c>
      <c r="BJ21" s="9" t="s">
        <v>652</v>
      </c>
      <c r="BK21" s="109"/>
      <c r="BL21" s="133">
        <f>BL19+BL15</f>
        <v>309198.422784999</v>
      </c>
      <c r="BM21" s="104"/>
      <c r="BN21" s="104"/>
      <c r="BS21" s="339"/>
      <c r="BT21" s="339"/>
      <c r="BU21" s="339"/>
      <c r="BV21" s="8">
        <f t="shared" si="12"/>
        <v>9</v>
      </c>
      <c r="BW21" s="9" t="s">
        <v>497</v>
      </c>
      <c r="BX21" s="228">
        <v>329000</v>
      </c>
      <c r="BY21" s="128"/>
      <c r="BZ21" s="3">
        <f t="shared" si="13"/>
        <v>9</v>
      </c>
      <c r="CA21" s="7" t="s">
        <v>595</v>
      </c>
      <c r="CB21" s="127"/>
      <c r="CC21" s="127">
        <f>CC15+CC19</f>
        <v>-1501077.8499999968</v>
      </c>
      <c r="CD21" s="8"/>
      <c r="CE21" s="9"/>
      <c r="CI21" s="8"/>
      <c r="CJ21" s="9"/>
      <c r="CN21" s="8">
        <v>9</v>
      </c>
      <c r="CO21" s="9" t="s">
        <v>447</v>
      </c>
      <c r="CP21" s="446">
        <v>22193516</v>
      </c>
      <c r="CQ21" s="446">
        <v>22842123</v>
      </c>
      <c r="CR21" s="96">
        <f t="shared" si="15"/>
        <v>648607</v>
      </c>
      <c r="CS21" s="8">
        <f t="shared" si="16"/>
        <v>9</v>
      </c>
      <c r="CT21" s="195" t="s">
        <v>186</v>
      </c>
      <c r="CU21" s="234"/>
      <c r="CV21" s="234"/>
      <c r="CW21" s="263">
        <f>SUM(CV19:CV20)</f>
        <v>132721.89838600002</v>
      </c>
      <c r="CX21" s="8">
        <v>9</v>
      </c>
      <c r="DB21" s="127"/>
    </row>
    <row r="22" spans="1:106" ht="14.25" thickTop="1">
      <c r="A22" s="3">
        <f t="shared" si="0"/>
        <v>11</v>
      </c>
      <c r="B22" s="140">
        <v>40391</v>
      </c>
      <c r="C22" s="141">
        <v>1703414.988</v>
      </c>
      <c r="D22" s="142">
        <v>1695905.8135511018</v>
      </c>
      <c r="E22" s="36">
        <f t="shared" si="17"/>
        <v>-7509.174448898062</v>
      </c>
      <c r="F22" s="36">
        <f t="shared" si="18"/>
        <v>-6999</v>
      </c>
      <c r="G22" s="7"/>
      <c r="H22" s="3">
        <f t="shared" si="1"/>
        <v>10</v>
      </c>
      <c r="I22" s="326" t="s">
        <v>174</v>
      </c>
      <c r="J22" s="159"/>
      <c r="K22" s="426">
        <f>SUM(K15:K21)</f>
        <v>-6902213.592236178</v>
      </c>
      <c r="L22" s="432"/>
      <c r="M22" s="8">
        <f t="shared" si="2"/>
        <v>10</v>
      </c>
      <c r="N22" s="7" t="s">
        <v>331</v>
      </c>
      <c r="O22" s="7"/>
      <c r="P22" s="7"/>
      <c r="Q22" s="239">
        <v>21591916</v>
      </c>
      <c r="R22" s="8">
        <f t="shared" si="3"/>
        <v>10</v>
      </c>
      <c r="S22" s="7"/>
      <c r="T22" s="7"/>
      <c r="U22" s="135"/>
      <c r="V22" s="8">
        <f t="shared" si="4"/>
        <v>10</v>
      </c>
      <c r="W22" s="186" t="s">
        <v>27</v>
      </c>
      <c r="X22" s="151">
        <v>0.35</v>
      </c>
      <c r="Y22" s="517">
        <v>-53107090.82665</v>
      </c>
      <c r="Z22" s="38">
        <f t="shared" si="5"/>
        <v>10</v>
      </c>
      <c r="AA22" s="7" t="s">
        <v>261</v>
      </c>
      <c r="AB22" s="145">
        <v>29687.374117846262</v>
      </c>
      <c r="AC22" s="145">
        <v>1910.2386084615002</v>
      </c>
      <c r="AD22" s="127">
        <f t="shared" si="19"/>
        <v>-27777.135509384763</v>
      </c>
      <c r="AE22" s="8">
        <f t="shared" si="6"/>
        <v>10</v>
      </c>
      <c r="AF22" s="9"/>
      <c r="AG22" s="47"/>
      <c r="AH22" s="47"/>
      <c r="AI22" s="365"/>
      <c r="AO22" s="8">
        <f t="shared" si="7"/>
        <v>10</v>
      </c>
      <c r="AP22" s="7" t="s">
        <v>172</v>
      </c>
      <c r="AQ22" s="127"/>
      <c r="AR22" s="127"/>
      <c r="AS22" s="127"/>
      <c r="AT22" s="127"/>
      <c r="AU22" s="127"/>
      <c r="AV22" s="128">
        <f>ROUND(AV19*AV21,0)</f>
        <v>9076134</v>
      </c>
      <c r="AW22" s="127"/>
      <c r="AX22" s="8">
        <f t="shared" si="8"/>
        <v>10</v>
      </c>
      <c r="AY22" s="218" t="s">
        <v>660</v>
      </c>
      <c r="AZ22" s="148">
        <f>SUM(AZ14:AZ21)</f>
        <v>5789566</v>
      </c>
      <c r="BA22" s="148">
        <f>SUM(BA14:BA21)</f>
        <v>5104001.187909077</v>
      </c>
      <c r="BB22" s="148">
        <f>SUM(BB14:BB21)</f>
        <v>-685564.8120909228</v>
      </c>
      <c r="BC22" s="8"/>
      <c r="BD22" s="129"/>
      <c r="BH22" s="129"/>
      <c r="BI22" s="8">
        <f t="shared" si="11"/>
        <v>10</v>
      </c>
      <c r="BJ22" s="7"/>
      <c r="BK22" s="109"/>
      <c r="BL22" s="147"/>
      <c r="BM22" s="104"/>
      <c r="BN22" s="104"/>
      <c r="BU22" s="339"/>
      <c r="BV22" s="8">
        <f t="shared" si="12"/>
        <v>10</v>
      </c>
      <c r="BW22" s="9"/>
      <c r="BX22" s="146"/>
      <c r="BY22" s="127"/>
      <c r="BZ22" s="3">
        <f t="shared" si="13"/>
        <v>10</v>
      </c>
      <c r="CB22" s="127"/>
      <c r="CC22" s="127"/>
      <c r="CD22" s="8"/>
      <c r="CE22" s="9"/>
      <c r="CI22" s="8"/>
      <c r="CJ22" s="9"/>
      <c r="CN22" s="8">
        <v>10</v>
      </c>
      <c r="CO22" s="9" t="s">
        <v>450</v>
      </c>
      <c r="CP22" s="55">
        <f>SUM(CP14:CP21)</f>
        <v>83833274</v>
      </c>
      <c r="CQ22" s="55">
        <f>SUM(CQ14:CQ21)</f>
        <v>86018658</v>
      </c>
      <c r="CR22" s="355">
        <f>SUM(CR13:CR21)</f>
        <v>2185384</v>
      </c>
      <c r="CS22" s="8">
        <f t="shared" si="16"/>
        <v>10</v>
      </c>
      <c r="CT22" s="218"/>
      <c r="CU22" s="234"/>
      <c r="CV22" s="234"/>
      <c r="CW22" s="263"/>
      <c r="CX22" s="8">
        <v>10</v>
      </c>
      <c r="CY22" s="9" t="s">
        <v>6</v>
      </c>
      <c r="CZ22" s="151">
        <v>0.35</v>
      </c>
      <c r="DB22" s="55">
        <f>-ROUND(+DB20*CZ22,0)</f>
        <v>-6071</v>
      </c>
    </row>
    <row r="23" spans="1:106" ht="14.25" thickBot="1">
      <c r="A23" s="3">
        <f t="shared" si="0"/>
        <v>12</v>
      </c>
      <c r="B23" s="140">
        <v>40422</v>
      </c>
      <c r="C23" s="141">
        <v>1637493.102</v>
      </c>
      <c r="D23" s="142">
        <v>1642184.375164137</v>
      </c>
      <c r="E23" s="36">
        <f t="shared" si="17"/>
        <v>4691.273164137034</v>
      </c>
      <c r="F23" s="36">
        <f t="shared" si="18"/>
        <v>4372</v>
      </c>
      <c r="G23" s="7"/>
      <c r="H23" s="3">
        <f t="shared" si="1"/>
        <v>11</v>
      </c>
      <c r="I23" s="7"/>
      <c r="J23" s="159"/>
      <c r="K23" s="432"/>
      <c r="L23" s="432"/>
      <c r="M23" s="8">
        <f t="shared" si="2"/>
        <v>11</v>
      </c>
      <c r="N23" s="252" t="s">
        <v>472</v>
      </c>
      <c r="O23" s="234"/>
      <c r="P23" s="239"/>
      <c r="Q23" s="279">
        <f>SUM(Q14:Q22)</f>
        <v>111267085.54463938</v>
      </c>
      <c r="R23" s="8">
        <f t="shared" si="3"/>
        <v>11</v>
      </c>
      <c r="S23" s="7" t="s">
        <v>446</v>
      </c>
      <c r="T23" s="7"/>
      <c r="U23" s="135"/>
      <c r="V23" s="8">
        <f t="shared" si="4"/>
        <v>11</v>
      </c>
      <c r="W23" s="186" t="s">
        <v>171</v>
      </c>
      <c r="Y23" s="525">
        <f>-Y22</f>
        <v>53107090.82665</v>
      </c>
      <c r="Z23" s="38">
        <f t="shared" si="5"/>
        <v>11</v>
      </c>
      <c r="AA23" s="7" t="s">
        <v>262</v>
      </c>
      <c r="AB23" s="145">
        <v>-315680.44999999995</v>
      </c>
      <c r="AC23" s="145">
        <v>340290.55000000005</v>
      </c>
      <c r="AD23" s="127">
        <f>AC23-AB23</f>
        <v>655971</v>
      </c>
      <c r="AE23" s="8">
        <f t="shared" si="6"/>
        <v>11</v>
      </c>
      <c r="AF23" s="9" t="s">
        <v>6</v>
      </c>
      <c r="AG23" s="168"/>
      <c r="AH23" s="434">
        <v>0.35</v>
      </c>
      <c r="AI23" s="425">
        <f>-AI21*0.35</f>
        <v>370705.31399647536</v>
      </c>
      <c r="AO23" s="8">
        <f t="shared" si="7"/>
        <v>11</v>
      </c>
      <c r="AP23" s="7"/>
      <c r="AQ23" s="127"/>
      <c r="AR23" s="127"/>
      <c r="AS23" s="127"/>
      <c r="AT23" s="127"/>
      <c r="AU23" s="127"/>
      <c r="AV23" s="127"/>
      <c r="AW23" s="127"/>
      <c r="AX23" s="8">
        <f t="shared" si="8"/>
        <v>11</v>
      </c>
      <c r="AY23" s="78"/>
      <c r="AZ23" s="128"/>
      <c r="BA23" s="128"/>
      <c r="BB23" s="130"/>
      <c r="BC23" s="8"/>
      <c r="BH23" s="108"/>
      <c r="BI23" s="8">
        <f t="shared" si="11"/>
        <v>11</v>
      </c>
      <c r="BJ23" s="9" t="s">
        <v>6</v>
      </c>
      <c r="BK23" s="10">
        <v>0.35</v>
      </c>
      <c r="BL23" s="99">
        <f>ROUND(-BL21*BK23,0)</f>
        <v>-108219</v>
      </c>
      <c r="BM23" s="104"/>
      <c r="BN23" s="104"/>
      <c r="BV23" s="8">
        <f t="shared" si="12"/>
        <v>11</v>
      </c>
      <c r="BW23" s="265" t="s">
        <v>494</v>
      </c>
      <c r="BX23" s="299">
        <f>BX21/4</f>
        <v>82250</v>
      </c>
      <c r="BY23" s="127"/>
      <c r="BZ23" s="3">
        <f t="shared" si="13"/>
        <v>11</v>
      </c>
      <c r="CA23" s="111" t="s">
        <v>596</v>
      </c>
      <c r="CB23" s="127"/>
      <c r="CC23" s="127">
        <f>CC21/36*12</f>
        <v>-500359.2833333323</v>
      </c>
      <c r="CD23" s="194"/>
      <c r="CF23" s="131"/>
      <c r="CG23" s="131"/>
      <c r="CH23" s="131"/>
      <c r="CI23" s="194"/>
      <c r="CJ23" s="131"/>
      <c r="CK23" s="131"/>
      <c r="CL23" s="131"/>
      <c r="CM23" s="131"/>
      <c r="CN23" s="8">
        <v>11</v>
      </c>
      <c r="CP23" s="55"/>
      <c r="CQ23" s="55"/>
      <c r="CR23" s="55"/>
      <c r="CS23" s="8">
        <f t="shared" si="16"/>
        <v>11</v>
      </c>
      <c r="CT23" s="344" t="s">
        <v>284</v>
      </c>
      <c r="CU23" s="67"/>
      <c r="CV23" s="67"/>
      <c r="CW23" s="263"/>
      <c r="CX23" s="8">
        <v>11</v>
      </c>
      <c r="DB23" s="149"/>
    </row>
    <row r="24" spans="1:106" ht="14.25" thickBot="1" thickTop="1">
      <c r="A24" s="3">
        <f t="shared" si="0"/>
        <v>13</v>
      </c>
      <c r="B24" s="140">
        <v>40452</v>
      </c>
      <c r="C24" s="141">
        <v>1814109.534</v>
      </c>
      <c r="D24" s="142">
        <v>1830542.793628212</v>
      </c>
      <c r="E24" s="36">
        <f t="shared" si="17"/>
        <v>16433.25962821208</v>
      </c>
      <c r="F24" s="36">
        <f t="shared" si="18"/>
        <v>15316</v>
      </c>
      <c r="G24" s="7"/>
      <c r="H24" s="3">
        <f t="shared" si="1"/>
        <v>12</v>
      </c>
      <c r="J24" s="159"/>
      <c r="K24" s="432"/>
      <c r="L24" s="432"/>
      <c r="M24" s="8">
        <f t="shared" si="2"/>
        <v>12</v>
      </c>
      <c r="N24" s="7"/>
      <c r="O24" s="7"/>
      <c r="P24" s="7"/>
      <c r="Q24" s="239"/>
      <c r="R24" s="8">
        <f t="shared" si="3"/>
        <v>12</v>
      </c>
      <c r="S24" s="9" t="s">
        <v>178</v>
      </c>
      <c r="T24" s="57">
        <v>16263334</v>
      </c>
      <c r="U24" s="135"/>
      <c r="Z24" s="38">
        <f t="shared" si="5"/>
        <v>12</v>
      </c>
      <c r="AA24" s="7" t="s">
        <v>509</v>
      </c>
      <c r="AB24" s="145">
        <v>0</v>
      </c>
      <c r="AC24" s="127">
        <v>1464898</v>
      </c>
      <c r="AD24" s="127">
        <f>AC24-AB24</f>
        <v>1464898</v>
      </c>
      <c r="AE24" s="8">
        <f t="shared" si="6"/>
        <v>12</v>
      </c>
      <c r="AF24" s="9"/>
      <c r="AG24" s="168"/>
      <c r="AH24" s="168"/>
      <c r="AI24" s="104"/>
      <c r="AO24" s="8">
        <f t="shared" si="7"/>
        <v>12</v>
      </c>
      <c r="AP24" s="9" t="s">
        <v>17</v>
      </c>
      <c r="AQ24" s="127"/>
      <c r="AR24" s="127"/>
      <c r="AS24" s="262"/>
      <c r="AT24" s="262"/>
      <c r="AU24" s="211"/>
      <c r="AV24" s="127">
        <v>11596412.02</v>
      </c>
      <c r="AW24" s="127"/>
      <c r="AX24" s="8">
        <f t="shared" si="8"/>
        <v>12</v>
      </c>
      <c r="AY24" s="78" t="s">
        <v>173</v>
      </c>
      <c r="AZ24" s="127">
        <v>475542.5434714723</v>
      </c>
      <c r="BA24" s="127">
        <v>419231.7190579913</v>
      </c>
      <c r="BB24" s="145">
        <f>BA24-AZ24</f>
        <v>-56310.824413480994</v>
      </c>
      <c r="BC24" s="8"/>
      <c r="BH24" s="108"/>
      <c r="BI24" s="8">
        <f t="shared" si="11"/>
        <v>12</v>
      </c>
      <c r="BJ24" s="9" t="s">
        <v>18</v>
      </c>
      <c r="BK24" s="98"/>
      <c r="BL24" s="427">
        <f>-BL21-BL23</f>
        <v>-200979.422784999</v>
      </c>
      <c r="BM24" s="104"/>
      <c r="BN24" s="104"/>
      <c r="BV24" s="8">
        <f t="shared" si="12"/>
        <v>12</v>
      </c>
      <c r="BW24" s="261" t="s">
        <v>495</v>
      </c>
      <c r="BX24" s="300">
        <v>0</v>
      </c>
      <c r="BY24" s="127"/>
      <c r="BZ24" s="3">
        <f t="shared" si="13"/>
        <v>12</v>
      </c>
      <c r="CA24" s="9"/>
      <c r="CB24" s="127"/>
      <c r="CC24" s="147"/>
      <c r="CN24" s="8">
        <v>12</v>
      </c>
      <c r="CO24" s="9" t="s">
        <v>301</v>
      </c>
      <c r="CP24" s="446">
        <v>7347779.228071429</v>
      </c>
      <c r="CQ24" s="446">
        <v>7489825.228071429</v>
      </c>
      <c r="CR24" s="96">
        <f>CQ24-CP24</f>
        <v>142046</v>
      </c>
      <c r="CS24" s="8">
        <f t="shared" si="16"/>
        <v>12</v>
      </c>
      <c r="CT24" s="194" t="s">
        <v>285</v>
      </c>
      <c r="CU24" s="234"/>
      <c r="CV24" s="335">
        <v>1409135.5231</v>
      </c>
      <c r="CW24" s="573"/>
      <c r="CX24" s="8">
        <v>12</v>
      </c>
      <c r="CY24" s="9" t="s">
        <v>18</v>
      </c>
      <c r="CZ24" s="9"/>
      <c r="DB24" s="384">
        <f>-DB20-DB22</f>
        <v>-11276</v>
      </c>
    </row>
    <row r="25" spans="1:102" ht="14.25" thickBot="1" thickTop="1">
      <c r="A25" s="3">
        <f t="shared" si="0"/>
        <v>14</v>
      </c>
      <c r="B25" s="140">
        <v>40483</v>
      </c>
      <c r="C25" s="141">
        <v>2122228.038</v>
      </c>
      <c r="D25" s="142">
        <v>2059041.0425958706</v>
      </c>
      <c r="E25" s="36">
        <f t="shared" si="17"/>
        <v>-63186.995404129615</v>
      </c>
      <c r="F25" s="36">
        <f t="shared" si="18"/>
        <v>-58890</v>
      </c>
      <c r="G25" s="7"/>
      <c r="H25" s="3">
        <f t="shared" si="1"/>
        <v>13</v>
      </c>
      <c r="I25" s="79" t="s">
        <v>513</v>
      </c>
      <c r="J25" s="159"/>
      <c r="K25" s="432"/>
      <c r="L25" s="432"/>
      <c r="M25" s="8">
        <f t="shared" si="2"/>
        <v>13</v>
      </c>
      <c r="N25" s="255" t="s">
        <v>473</v>
      </c>
      <c r="O25" s="234"/>
      <c r="P25" s="253"/>
      <c r="Q25" s="239"/>
      <c r="R25" s="8">
        <f t="shared" si="3"/>
        <v>13</v>
      </c>
      <c r="S25" s="7" t="s">
        <v>19</v>
      </c>
      <c r="T25" s="55">
        <v>205470963.593099</v>
      </c>
      <c r="U25" s="135"/>
      <c r="Z25" s="38">
        <f t="shared" si="5"/>
        <v>13</v>
      </c>
      <c r="AA25" s="7" t="s">
        <v>597</v>
      </c>
      <c r="AB25" s="145">
        <v>63989</v>
      </c>
      <c r="AC25" s="145">
        <v>47110</v>
      </c>
      <c r="AD25" s="127">
        <f>AC25-AB25</f>
        <v>-16879</v>
      </c>
      <c r="AE25" s="8">
        <f t="shared" si="6"/>
        <v>13</v>
      </c>
      <c r="AF25" s="9" t="s">
        <v>171</v>
      </c>
      <c r="AG25" s="47"/>
      <c r="AH25" s="47"/>
      <c r="AI25" s="292">
        <f>-AI21-AI23</f>
        <v>688452.7259934542</v>
      </c>
      <c r="AO25" s="8">
        <f t="shared" si="7"/>
        <v>13</v>
      </c>
      <c r="AP25" s="46" t="s">
        <v>30</v>
      </c>
      <c r="AQ25" s="127"/>
      <c r="AR25" s="127"/>
      <c r="AS25" s="127"/>
      <c r="AT25" s="127"/>
      <c r="AU25" s="127"/>
      <c r="AV25" s="149"/>
      <c r="AW25" s="128">
        <f>ROUND(AV22-AV24,0)</f>
        <v>-2520278</v>
      </c>
      <c r="AX25" s="8">
        <f t="shared" si="8"/>
        <v>13</v>
      </c>
      <c r="AY25" s="7" t="s">
        <v>652</v>
      </c>
      <c r="AZ25" s="165">
        <f>SUM(AZ22:AZ24)</f>
        <v>6265108.543471472</v>
      </c>
      <c r="BA25" s="165">
        <f>SUM(BA22:BA24)</f>
        <v>5523232.906967068</v>
      </c>
      <c r="BB25" s="165">
        <f>SUM(BB22:BB24)</f>
        <v>-741875.6365044038</v>
      </c>
      <c r="BC25" s="8"/>
      <c r="BH25" s="108"/>
      <c r="BI25" s="8"/>
      <c r="BV25" s="8">
        <f t="shared" si="12"/>
        <v>13</v>
      </c>
      <c r="BW25" s="9" t="s">
        <v>30</v>
      </c>
      <c r="BX25" s="264">
        <f>+BX23-BX24</f>
        <v>82250</v>
      </c>
      <c r="BY25" s="242">
        <f>+BX25</f>
        <v>82250</v>
      </c>
      <c r="BZ25" s="3">
        <f t="shared" si="13"/>
        <v>13</v>
      </c>
      <c r="CA25" s="7" t="s">
        <v>313</v>
      </c>
      <c r="CB25" s="127"/>
      <c r="CC25" s="127">
        <v>-2082384.0999999996</v>
      </c>
      <c r="CN25" s="8">
        <v>13</v>
      </c>
      <c r="CO25" s="9" t="s">
        <v>184</v>
      </c>
      <c r="CP25" s="55">
        <f>SUM(CP22:CP24)</f>
        <v>91181053.22807142</v>
      </c>
      <c r="CQ25" s="55">
        <f>SUM(CQ22:CQ24)</f>
        <v>93508483.22807142</v>
      </c>
      <c r="CR25" s="55">
        <f>SUM(CR22:CR24)</f>
        <v>2327430</v>
      </c>
      <c r="CS25" s="8">
        <f t="shared" si="16"/>
        <v>13</v>
      </c>
      <c r="CT25" s="230" t="s">
        <v>286</v>
      </c>
      <c r="CU25" s="629">
        <v>0.021938000000000013</v>
      </c>
      <c r="CV25" s="334">
        <f>+CV24*CU25</f>
        <v>30913.61510576782</v>
      </c>
      <c r="CW25" s="573"/>
      <c r="CX25" s="8"/>
    </row>
    <row r="26" spans="1:102" ht="14.25" thickTop="1">
      <c r="A26" s="3">
        <f t="shared" si="0"/>
        <v>15</v>
      </c>
      <c r="B26" s="140">
        <v>40513</v>
      </c>
      <c r="C26" s="157">
        <v>2328202.876</v>
      </c>
      <c r="D26" s="157">
        <v>2397719.3239888567</v>
      </c>
      <c r="E26" s="286">
        <f t="shared" si="17"/>
        <v>69516.44798885658</v>
      </c>
      <c r="F26" s="286">
        <f t="shared" si="18"/>
        <v>64789</v>
      </c>
      <c r="G26" s="7"/>
      <c r="H26" s="3">
        <f t="shared" si="1"/>
        <v>14</v>
      </c>
      <c r="I26" s="79" t="s">
        <v>375</v>
      </c>
      <c r="J26" s="159"/>
      <c r="K26" s="524">
        <v>-436486.0153772726</v>
      </c>
      <c r="L26" s="432"/>
      <c r="M26" s="8">
        <f t="shared" si="2"/>
        <v>14</v>
      </c>
      <c r="N26" s="7" t="s">
        <v>487</v>
      </c>
      <c r="O26" s="7"/>
      <c r="P26" s="253">
        <f>'[1]JHS-22'!$M$13</f>
        <v>0.004444</v>
      </c>
      <c r="Q26" s="239">
        <f>-$Q$23*P26</f>
        <v>-494470.9281603774</v>
      </c>
      <c r="R26" s="8">
        <f t="shared" si="3"/>
        <v>14</v>
      </c>
      <c r="S26" s="7" t="s">
        <v>21</v>
      </c>
      <c r="T26" s="55">
        <v>-237907201.0741</v>
      </c>
      <c r="U26" s="135"/>
      <c r="Z26" s="38">
        <f t="shared" si="5"/>
        <v>14</v>
      </c>
      <c r="AA26" s="9" t="s">
        <v>14</v>
      </c>
      <c r="AB26" s="148">
        <f>SUM(AB14:AB25)</f>
        <v>-4656006.119086193</v>
      </c>
      <c r="AC26" s="545">
        <f>SUM(AC14:AC25)</f>
        <v>1973041.4389260092</v>
      </c>
      <c r="AD26" s="545">
        <f>SUM(AD14:AD25)</f>
        <v>6629047.558012202</v>
      </c>
      <c r="AE26" s="8"/>
      <c r="AF26" s="131"/>
      <c r="AG26" s="131"/>
      <c r="AH26" s="131"/>
      <c r="AI26" s="131"/>
      <c r="AO26" s="8">
        <f t="shared" si="7"/>
        <v>14</v>
      </c>
      <c r="AP26" s="154"/>
      <c r="AQ26" s="127"/>
      <c r="AR26" s="127"/>
      <c r="AS26" s="127"/>
      <c r="AT26" s="127"/>
      <c r="AU26" s="127"/>
      <c r="AV26" s="127"/>
      <c r="AW26" s="127"/>
      <c r="AX26" s="8">
        <f t="shared" si="8"/>
        <v>14</v>
      </c>
      <c r="AY26" s="7"/>
      <c r="AZ26" s="127"/>
      <c r="BA26" s="127"/>
      <c r="BB26" s="145"/>
      <c r="BC26" s="8"/>
      <c r="BI26" s="194"/>
      <c r="BV26" s="8">
        <f t="shared" si="12"/>
        <v>14</v>
      </c>
      <c r="BX26" s="127"/>
      <c r="BY26" s="147"/>
      <c r="BZ26" s="3">
        <f t="shared" si="13"/>
        <v>14</v>
      </c>
      <c r="CB26" s="127"/>
      <c r="CC26" s="143"/>
      <c r="CN26" s="8">
        <v>14</v>
      </c>
      <c r="CO26" s="9"/>
      <c r="CP26" s="55"/>
      <c r="CQ26" s="55"/>
      <c r="CR26" s="55"/>
      <c r="CS26" s="8">
        <f t="shared" si="16"/>
        <v>14</v>
      </c>
      <c r="CT26" s="195" t="s">
        <v>287</v>
      </c>
      <c r="CU26" s="195"/>
      <c r="CV26" s="195"/>
      <c r="CW26" s="263">
        <f>SUM(CV24:CV25)</f>
        <v>1440049.1382057678</v>
      </c>
      <c r="CX26" s="194"/>
    </row>
    <row r="27" spans="1:102" ht="13.5">
      <c r="A27" s="3">
        <f t="shared" si="0"/>
        <v>16</v>
      </c>
      <c r="B27" s="7"/>
      <c r="C27" s="155">
        <f>ROUND(SUM(C15:C26),0)</f>
        <v>22594274</v>
      </c>
      <c r="D27" s="155">
        <f>ROUND(SUM(D15:D26),0)</f>
        <v>22846330</v>
      </c>
      <c r="E27" s="155">
        <f>ROUND(SUM(E15:E26),0)</f>
        <v>252056</v>
      </c>
      <c r="F27" s="155">
        <f>ROUND(SUM(F15:F26),0)</f>
        <v>234916</v>
      </c>
      <c r="G27" s="7"/>
      <c r="H27" s="3">
        <f t="shared" si="1"/>
        <v>15</v>
      </c>
      <c r="I27" s="271" t="s">
        <v>175</v>
      </c>
      <c r="J27" s="7"/>
      <c r="K27" s="554">
        <f>SUM(K25:K26)</f>
        <v>-436486.0153772726</v>
      </c>
      <c r="L27" s="432"/>
      <c r="M27" s="8">
        <f t="shared" si="2"/>
        <v>15</v>
      </c>
      <c r="N27" s="7" t="s">
        <v>169</v>
      </c>
      <c r="O27" s="7"/>
      <c r="P27" s="254">
        <f>'[1]JHS-22'!$M$14</f>
        <v>0.002</v>
      </c>
      <c r="Q27" s="239">
        <f>-$Q$23*P27</f>
        <v>-222534.17108927877</v>
      </c>
      <c r="R27" s="8">
        <f t="shared" si="3"/>
        <v>15</v>
      </c>
      <c r="S27" s="7" t="s">
        <v>26</v>
      </c>
      <c r="T27" s="5"/>
      <c r="U27" s="135"/>
      <c r="Z27" s="38">
        <f t="shared" si="5"/>
        <v>15</v>
      </c>
      <c r="AE27" s="131"/>
      <c r="AO27" s="8">
        <f t="shared" si="7"/>
        <v>15</v>
      </c>
      <c r="AP27" s="46" t="s">
        <v>24</v>
      </c>
      <c r="AQ27" s="127"/>
      <c r="AR27" s="127"/>
      <c r="AS27" s="127"/>
      <c r="AT27" s="127"/>
      <c r="AU27" s="127"/>
      <c r="AV27" s="151">
        <v>0.35</v>
      </c>
      <c r="AW27" s="127">
        <f>ROUND(-AW25*AV27,0)</f>
        <v>882097</v>
      </c>
      <c r="AX27" s="8">
        <f t="shared" si="8"/>
        <v>15</v>
      </c>
      <c r="AY27" s="7" t="s">
        <v>412</v>
      </c>
      <c r="AZ27" s="127"/>
      <c r="BA27" s="127"/>
      <c r="BB27" s="130">
        <f>BB25</f>
        <v>-741875.6365044038</v>
      </c>
      <c r="BC27" s="8"/>
      <c r="BD27" s="9"/>
      <c r="BE27" s="108"/>
      <c r="BF27" s="108"/>
      <c r="BG27" s="108"/>
      <c r="BH27" s="158"/>
      <c r="BI27" s="8"/>
      <c r="BV27" s="8">
        <f t="shared" si="12"/>
        <v>15</v>
      </c>
      <c r="BW27" s="9"/>
      <c r="BX27" s="127"/>
      <c r="BY27" s="440"/>
      <c r="BZ27" s="3">
        <f t="shared" si="13"/>
        <v>15</v>
      </c>
      <c r="CA27" s="7" t="s">
        <v>30</v>
      </c>
      <c r="CB27" s="127"/>
      <c r="CC27" s="128">
        <f>CC23-CC25</f>
        <v>1582024.8166666673</v>
      </c>
      <c r="CN27" s="8">
        <v>15</v>
      </c>
      <c r="CO27" s="9" t="s">
        <v>412</v>
      </c>
      <c r="CP27" s="55"/>
      <c r="CQ27" s="55"/>
      <c r="CR27" s="298">
        <f>CR25</f>
        <v>2327430</v>
      </c>
      <c r="CS27" s="8">
        <f t="shared" si="16"/>
        <v>15</v>
      </c>
      <c r="CT27" s="218"/>
      <c r="CU27" s="230"/>
      <c r="CV27" s="230"/>
      <c r="CW27" s="263"/>
      <c r="CX27" s="8"/>
    </row>
    <row r="28" spans="1:102" ht="14.25" thickBot="1">
      <c r="A28" s="3">
        <f t="shared" si="0"/>
        <v>17</v>
      </c>
      <c r="B28" s="7"/>
      <c r="C28" s="108"/>
      <c r="D28" s="108"/>
      <c r="E28" s="8" t="s">
        <v>508</v>
      </c>
      <c r="F28" s="7"/>
      <c r="G28" s="7"/>
      <c r="H28" s="3">
        <f t="shared" si="1"/>
        <v>16</v>
      </c>
      <c r="I28" s="7"/>
      <c r="J28" s="7"/>
      <c r="K28" s="432"/>
      <c r="L28" s="432"/>
      <c r="M28" s="8">
        <f t="shared" si="2"/>
        <v>16</v>
      </c>
      <c r="N28" s="7" t="s">
        <v>438</v>
      </c>
      <c r="O28" s="7"/>
      <c r="P28" s="567">
        <f>'[1]JHS-22'!$M$15</f>
        <v>0.038558</v>
      </c>
      <c r="Q28" s="239">
        <f>-$Q$23*P28</f>
        <v>-4290236.284430206</v>
      </c>
      <c r="R28" s="8">
        <f t="shared" si="3"/>
        <v>16</v>
      </c>
      <c r="S28" s="9" t="s">
        <v>454</v>
      </c>
      <c r="T28" s="111"/>
      <c r="U28" s="96">
        <f>SUM(T24:T27)</f>
        <v>-16172903.48100099</v>
      </c>
      <c r="Z28" s="38">
        <f t="shared" si="5"/>
        <v>16</v>
      </c>
      <c r="AA28" s="9" t="s">
        <v>411</v>
      </c>
      <c r="AB28" s="127"/>
      <c r="AC28" s="127"/>
      <c r="AD28" s="517">
        <f>AD26</f>
        <v>6629047.558012202</v>
      </c>
      <c r="AE28" s="131"/>
      <c r="AF28" s="131"/>
      <c r="AG28" s="131"/>
      <c r="AH28" s="131"/>
      <c r="AI28" s="131"/>
      <c r="AO28" s="8">
        <f t="shared" si="7"/>
        <v>16</v>
      </c>
      <c r="AP28" s="46" t="s">
        <v>171</v>
      </c>
      <c r="AQ28" s="127"/>
      <c r="AR28" s="127"/>
      <c r="AS28" s="127"/>
      <c r="AT28" s="127"/>
      <c r="AU28" s="127"/>
      <c r="AV28" s="127"/>
      <c r="AW28" s="427">
        <f>-AW25-AW27</f>
        <v>1638181</v>
      </c>
      <c r="AX28" s="8">
        <f t="shared" si="8"/>
        <v>16</v>
      </c>
      <c r="AY28" s="7"/>
      <c r="AZ28" s="127"/>
      <c r="BA28" s="127"/>
      <c r="BB28" s="145"/>
      <c r="BC28" s="8"/>
      <c r="BE28" s="215"/>
      <c r="BF28" s="215"/>
      <c r="BG28" s="215"/>
      <c r="BH28" s="224"/>
      <c r="BI28" s="8"/>
      <c r="BV28" s="8">
        <f t="shared" si="12"/>
        <v>16</v>
      </c>
      <c r="BW28" s="9" t="s">
        <v>91</v>
      </c>
      <c r="BX28" s="127"/>
      <c r="BY28" s="438">
        <f>+BY19+BY25</f>
        <v>-68325</v>
      </c>
      <c r="BZ28" s="3">
        <f t="shared" si="13"/>
        <v>16</v>
      </c>
      <c r="CB28" s="127"/>
      <c r="CC28" s="147"/>
      <c r="CN28" s="8">
        <v>16</v>
      </c>
      <c r="CO28" s="9" t="s">
        <v>38</v>
      </c>
      <c r="CP28" s="55"/>
      <c r="CQ28" s="55"/>
      <c r="CR28" s="55">
        <f>-CR27*0.35</f>
        <v>-814600.5</v>
      </c>
      <c r="CS28" s="8">
        <f t="shared" si="16"/>
        <v>16</v>
      </c>
      <c r="CT28" s="344" t="s">
        <v>288</v>
      </c>
      <c r="CU28" s="67"/>
      <c r="CV28" s="67"/>
      <c r="CW28" s="263"/>
      <c r="CX28" s="8"/>
    </row>
    <row r="29" spans="1:102" ht="15" thickBot="1" thickTop="1">
      <c r="A29" s="3">
        <f t="shared" si="0"/>
        <v>18</v>
      </c>
      <c r="B29" s="7" t="s">
        <v>297</v>
      </c>
      <c r="C29" s="7" t="s">
        <v>376</v>
      </c>
      <c r="D29" s="135"/>
      <c r="E29" s="289">
        <v>133624642.96513939</v>
      </c>
      <c r="F29" s="357">
        <v>13759867</v>
      </c>
      <c r="G29" s="7"/>
      <c r="H29" s="3">
        <f t="shared" si="1"/>
        <v>17</v>
      </c>
      <c r="I29" s="7" t="s">
        <v>124</v>
      </c>
      <c r="J29" s="7"/>
      <c r="K29" s="432"/>
      <c r="L29" s="524">
        <f>K22+K27</f>
        <v>-7338699.607613451</v>
      </c>
      <c r="M29" s="8">
        <f t="shared" si="2"/>
        <v>17</v>
      </c>
      <c r="N29" s="7" t="s">
        <v>137</v>
      </c>
      <c r="O29" s="7"/>
      <c r="P29" s="239"/>
      <c r="Q29" s="279">
        <f>SUM(Q26:Q28)</f>
        <v>-5007241.383679862</v>
      </c>
      <c r="R29" s="8">
        <f t="shared" si="3"/>
        <v>17</v>
      </c>
      <c r="S29" s="7"/>
      <c r="T29" s="30">
        <f>IF(ROUND(U28,0)=ROUND(('JHS-19'!C45+'JHS-19'!C46),0),"",U28-('JHS-19'!C45+'JHS-19'!C46))</f>
      </c>
      <c r="U29" s="135"/>
      <c r="Z29" s="38">
        <f t="shared" si="5"/>
        <v>17</v>
      </c>
      <c r="AA29" s="9" t="s">
        <v>6</v>
      </c>
      <c r="AB29" s="127"/>
      <c r="AC29" s="151">
        <v>0.35</v>
      </c>
      <c r="AD29" s="282">
        <f>-ROUND(AC29*AD28,0)</f>
        <v>-2320167</v>
      </c>
      <c r="AE29" s="131"/>
      <c r="AF29" s="131"/>
      <c r="AG29" s="131"/>
      <c r="AH29" s="131"/>
      <c r="AI29" s="131"/>
      <c r="AX29" s="8">
        <f t="shared" si="8"/>
        <v>17</v>
      </c>
      <c r="AY29" s="9" t="s">
        <v>16</v>
      </c>
      <c r="AZ29" s="7"/>
      <c r="BA29" s="151">
        <v>0.35</v>
      </c>
      <c r="BB29" s="55">
        <f>ROUND(-BB27*BA29,0)</f>
        <v>259656</v>
      </c>
      <c r="BC29" s="8"/>
      <c r="BD29" s="215"/>
      <c r="BE29" s="215"/>
      <c r="BF29" s="215"/>
      <c r="BG29" s="215"/>
      <c r="BH29" s="215"/>
      <c r="BI29" s="129"/>
      <c r="BJ29" s="7"/>
      <c r="BK29" s="7"/>
      <c r="BL29" s="155"/>
      <c r="BR29" s="8"/>
      <c r="BV29" s="8">
        <f t="shared" si="12"/>
        <v>17</v>
      </c>
      <c r="BW29" s="220"/>
      <c r="BX29" s="127"/>
      <c r="BY29" s="443"/>
      <c r="BZ29" s="3">
        <f t="shared" si="13"/>
        <v>17</v>
      </c>
      <c r="CA29" s="134" t="s">
        <v>38</v>
      </c>
      <c r="CB29" s="127"/>
      <c r="CC29" s="143">
        <f>-CC27*0.35</f>
        <v>-553708.6858333335</v>
      </c>
      <c r="CN29" s="8">
        <v>17</v>
      </c>
      <c r="CO29" s="9" t="s">
        <v>171</v>
      </c>
      <c r="CP29" s="127"/>
      <c r="CQ29" s="127"/>
      <c r="CR29" s="581">
        <f>-CR27-CR28</f>
        <v>-1512829.5</v>
      </c>
      <c r="CS29" s="8">
        <f t="shared" si="16"/>
        <v>17</v>
      </c>
      <c r="CT29" s="194" t="s">
        <v>289</v>
      </c>
      <c r="CU29" s="234"/>
      <c r="CV29" s="335">
        <v>936138.7431620001</v>
      </c>
      <c r="CW29" s="573"/>
      <c r="CX29" s="8"/>
    </row>
    <row r="30" spans="1:101" ht="15" thickBot="1" thickTop="1">
      <c r="A30" s="3">
        <f t="shared" si="0"/>
        <v>19</v>
      </c>
      <c r="B30" s="8"/>
      <c r="C30" s="7" t="s">
        <v>377</v>
      </c>
      <c r="D30" s="135"/>
      <c r="E30" s="145">
        <v>34368344.52352047</v>
      </c>
      <c r="F30" s="145">
        <v>2990016.253261298</v>
      </c>
      <c r="G30" s="7"/>
      <c r="H30" s="3">
        <f t="shared" si="1"/>
        <v>18</v>
      </c>
      <c r="I30" s="7"/>
      <c r="J30" s="7"/>
      <c r="K30" s="432"/>
      <c r="L30" s="432"/>
      <c r="M30" s="8">
        <f t="shared" si="2"/>
        <v>18</v>
      </c>
      <c r="N30" s="7"/>
      <c r="O30" s="7"/>
      <c r="P30" s="239"/>
      <c r="Q30" s="239"/>
      <c r="R30" s="8">
        <f t="shared" si="3"/>
        <v>18</v>
      </c>
      <c r="S30" s="9" t="s">
        <v>31</v>
      </c>
      <c r="T30" s="9"/>
      <c r="U30" s="145">
        <f>U16-T24</f>
        <v>-81996936.198215</v>
      </c>
      <c r="Z30" s="38">
        <f t="shared" si="5"/>
        <v>18</v>
      </c>
      <c r="AA30" s="9"/>
      <c r="AB30" s="127"/>
      <c r="AC30" s="127"/>
      <c r="AD30" s="536"/>
      <c r="AE30" s="131"/>
      <c r="AF30" s="131"/>
      <c r="AG30" s="131"/>
      <c r="AH30" s="131"/>
      <c r="AI30" s="131"/>
      <c r="AX30" s="8">
        <f t="shared" si="8"/>
        <v>18</v>
      </c>
      <c r="AY30" s="9" t="s">
        <v>171</v>
      </c>
      <c r="AZ30" s="9"/>
      <c r="BA30" s="7"/>
      <c r="BB30" s="427">
        <f>-BB27-BB29</f>
        <v>482219.6365044038</v>
      </c>
      <c r="BC30" s="8"/>
      <c r="BD30" s="215"/>
      <c r="BE30" s="215"/>
      <c r="BF30" s="215"/>
      <c r="BG30" s="215"/>
      <c r="BH30" s="215"/>
      <c r="BJ30" s="7"/>
      <c r="BK30" s="7"/>
      <c r="BL30" s="155"/>
      <c r="BR30" s="8"/>
      <c r="BV30" s="8">
        <f t="shared" si="12"/>
        <v>18</v>
      </c>
      <c r="BW30" s="220" t="s">
        <v>6</v>
      </c>
      <c r="BX30" s="441">
        <v>0.35</v>
      </c>
      <c r="BY30" s="301">
        <f>-BY28*BX30</f>
        <v>23913.75</v>
      </c>
      <c r="BZ30" s="3">
        <f t="shared" si="13"/>
        <v>18</v>
      </c>
      <c r="CA30" s="131"/>
      <c r="CB30" s="131"/>
      <c r="CC30" s="131"/>
      <c r="CS30" s="8">
        <f t="shared" si="16"/>
        <v>18</v>
      </c>
      <c r="CT30" s="230" t="s">
        <v>290</v>
      </c>
      <c r="CU30" s="629">
        <v>0.022624999999999895</v>
      </c>
      <c r="CV30" s="334">
        <f>+CV29*CU30</f>
        <v>21180.139064040155</v>
      </c>
      <c r="CW30" s="573"/>
    </row>
    <row r="31" spans="1:101" ht="15" thickBot="1" thickTop="1">
      <c r="A31" s="3">
        <f t="shared" si="0"/>
        <v>20</v>
      </c>
      <c r="B31" s="7"/>
      <c r="C31" s="9" t="s">
        <v>378</v>
      </c>
      <c r="D31" s="135"/>
      <c r="E31" s="145">
        <v>34964493.96533775</v>
      </c>
      <c r="F31" s="145">
        <v>2241783.4950816035</v>
      </c>
      <c r="G31" s="7"/>
      <c r="H31" s="3">
        <f t="shared" si="1"/>
        <v>19</v>
      </c>
      <c r="I31" s="7" t="s">
        <v>460</v>
      </c>
      <c r="J31" s="7"/>
      <c r="K31" s="432"/>
      <c r="L31" s="432"/>
      <c r="M31" s="8">
        <f t="shared" si="2"/>
        <v>19</v>
      </c>
      <c r="N31" s="126" t="s">
        <v>474</v>
      </c>
      <c r="O31" s="7"/>
      <c r="P31" s="239"/>
      <c r="Q31" s="239"/>
      <c r="R31" s="8">
        <f t="shared" si="3"/>
        <v>19</v>
      </c>
      <c r="S31" s="9" t="s">
        <v>457</v>
      </c>
      <c r="T31" s="7"/>
      <c r="U31" s="349">
        <f>U18+U19+U20-T25-T26-T27</f>
        <v>142468486.879216</v>
      </c>
      <c r="Z31" s="38">
        <f t="shared" si="5"/>
        <v>19</v>
      </c>
      <c r="AA31" s="9" t="s">
        <v>18</v>
      </c>
      <c r="AB31" s="127"/>
      <c r="AC31" s="210"/>
      <c r="AD31" s="529">
        <f>-AD28-AD29</f>
        <v>-4308880.558012202</v>
      </c>
      <c r="AE31" s="131"/>
      <c r="AF31" s="131"/>
      <c r="AG31" s="131"/>
      <c r="AH31" s="131"/>
      <c r="AI31" s="131"/>
      <c r="AX31" s="8"/>
      <c r="AY31" s="7"/>
      <c r="AZ31" s="7"/>
      <c r="BA31" s="7"/>
      <c r="BB31" s="216"/>
      <c r="BC31" s="8"/>
      <c r="BD31" s="215"/>
      <c r="BE31" s="215"/>
      <c r="BF31" s="215"/>
      <c r="BG31" s="215"/>
      <c r="BH31" s="226"/>
      <c r="BJ31" s="7"/>
      <c r="BK31" s="7"/>
      <c r="BL31" s="7"/>
      <c r="BV31" s="8">
        <f t="shared" si="12"/>
        <v>19</v>
      </c>
      <c r="BW31" s="220" t="s">
        <v>18</v>
      </c>
      <c r="BX31" s="128"/>
      <c r="BY31" s="427">
        <f>-BY28-BY30</f>
        <v>44411.25</v>
      </c>
      <c r="BZ31" s="3">
        <f t="shared" si="13"/>
        <v>19</v>
      </c>
      <c r="CA31" s="131" t="s">
        <v>171</v>
      </c>
      <c r="CB31" s="131"/>
      <c r="CC31" s="384">
        <f>-CC27-CC29</f>
        <v>-1028316.1308333338</v>
      </c>
      <c r="CN31" s="194"/>
      <c r="CS31" s="8">
        <f t="shared" si="16"/>
        <v>19</v>
      </c>
      <c r="CT31" s="195" t="s">
        <v>291</v>
      </c>
      <c r="CU31" s="195"/>
      <c r="CV31" s="195"/>
      <c r="CW31" s="263">
        <f>SUM(CV29:CV30)</f>
        <v>957318.8822260402</v>
      </c>
    </row>
    <row r="32" spans="1:101" ht="14.25" thickBot="1" thickTop="1">
      <c r="A32" s="3">
        <f t="shared" si="0"/>
        <v>21</v>
      </c>
      <c r="B32" s="7"/>
      <c r="C32" s="7" t="s">
        <v>379</v>
      </c>
      <c r="D32" s="135"/>
      <c r="E32" s="145">
        <v>15451095.20646596</v>
      </c>
      <c r="F32" s="145">
        <v>951926.5245751739</v>
      </c>
      <c r="G32" s="7"/>
      <c r="H32" s="3">
        <f t="shared" si="1"/>
        <v>20</v>
      </c>
      <c r="I32" s="79" t="s">
        <v>176</v>
      </c>
      <c r="J32" s="7"/>
      <c r="K32" s="372">
        <v>-15398</v>
      </c>
      <c r="L32" s="372"/>
      <c r="M32" s="8">
        <f t="shared" si="2"/>
        <v>20</v>
      </c>
      <c r="N32" s="251" t="s">
        <v>435</v>
      </c>
      <c r="O32" s="7"/>
      <c r="P32" s="239"/>
      <c r="Q32" s="239">
        <v>-75334320</v>
      </c>
      <c r="R32" s="8">
        <f t="shared" si="3"/>
        <v>20</v>
      </c>
      <c r="S32" s="9" t="s">
        <v>458</v>
      </c>
      <c r="T32" s="9"/>
      <c r="U32" s="427">
        <f>-SUM(U30:U31)</f>
        <v>-60471550.68100099</v>
      </c>
      <c r="Z32" s="38"/>
      <c r="AE32" s="131"/>
      <c r="AF32" s="131"/>
      <c r="AG32" s="131"/>
      <c r="AH32" s="131"/>
      <c r="AI32" s="131"/>
      <c r="AX32" s="194"/>
      <c r="AY32" s="216"/>
      <c r="AZ32" s="216"/>
      <c r="BA32" s="216"/>
      <c r="BB32" s="219"/>
      <c r="BD32" s="215"/>
      <c r="BE32" s="215"/>
      <c r="BF32" s="215"/>
      <c r="BG32" s="215"/>
      <c r="BH32" s="227"/>
      <c r="BJ32" s="7"/>
      <c r="BK32" s="7"/>
      <c r="BL32" s="7"/>
      <c r="BV32" s="8"/>
      <c r="CA32" s="134"/>
      <c r="CB32" s="134"/>
      <c r="CC32" s="134"/>
      <c r="CS32" s="8">
        <f t="shared" si="16"/>
        <v>20</v>
      </c>
      <c r="CT32" s="218"/>
      <c r="CU32" s="230"/>
      <c r="CV32" s="230"/>
      <c r="CW32" s="573"/>
    </row>
    <row r="33" spans="1:101" ht="13.5" thickTop="1">
      <c r="A33" s="3">
        <f t="shared" si="0"/>
        <v>22</v>
      </c>
      <c r="B33" s="7"/>
      <c r="C33" s="9" t="s">
        <v>380</v>
      </c>
      <c r="D33" s="135"/>
      <c r="E33" s="145">
        <v>-107334.93063307554</v>
      </c>
      <c r="F33" s="145">
        <v>-5741.2829663883895</v>
      </c>
      <c r="G33" s="7"/>
      <c r="H33" s="3">
        <f t="shared" si="1"/>
        <v>21</v>
      </c>
      <c r="I33" t="s">
        <v>506</v>
      </c>
      <c r="J33" s="7"/>
      <c r="K33" s="425">
        <v>879870.1399999999</v>
      </c>
      <c r="L33" s="372"/>
      <c r="M33" s="8">
        <f t="shared" si="2"/>
        <v>21</v>
      </c>
      <c r="N33" s="251" t="s">
        <v>436</v>
      </c>
      <c r="O33" s="7"/>
      <c r="P33" s="239"/>
      <c r="Q33" s="239">
        <v>-72142816.26</v>
      </c>
      <c r="R33" s="8">
        <f t="shared" si="3"/>
        <v>21</v>
      </c>
      <c r="S33" s="9"/>
      <c r="T33" s="10"/>
      <c r="U33" s="7"/>
      <c r="Z33" s="38"/>
      <c r="AE33" s="131"/>
      <c r="AF33" s="131"/>
      <c r="AG33" s="131"/>
      <c r="AH33" s="131"/>
      <c r="AI33" s="131"/>
      <c r="AX33" s="9"/>
      <c r="AY33" s="216"/>
      <c r="AZ33" s="216"/>
      <c r="BA33" s="216"/>
      <c r="BB33" s="216"/>
      <c r="BD33" s="215"/>
      <c r="BE33" s="215"/>
      <c r="BF33" s="215"/>
      <c r="BG33" s="215"/>
      <c r="BH33" s="227"/>
      <c r="BI33" s="7"/>
      <c r="BJ33" s="129"/>
      <c r="BK33" s="129"/>
      <c r="BL33" s="129"/>
      <c r="BV33" s="8"/>
      <c r="BW33" s="127"/>
      <c r="BX33" s="127"/>
      <c r="CS33" s="8">
        <f t="shared" si="16"/>
        <v>21</v>
      </c>
      <c r="CT33" s="345" t="s">
        <v>137</v>
      </c>
      <c r="CU33" s="336"/>
      <c r="CV33" s="336"/>
      <c r="CW33" s="573"/>
    </row>
    <row r="34" spans="1:101" ht="12.75">
      <c r="A34" s="3">
        <f t="shared" si="0"/>
        <v>23</v>
      </c>
      <c r="B34" s="7"/>
      <c r="C34" s="9" t="s">
        <v>381</v>
      </c>
      <c r="D34" s="135"/>
      <c r="E34" s="145">
        <v>9574375.759497166</v>
      </c>
      <c r="F34" s="145">
        <v>570154.0764780194</v>
      </c>
      <c r="G34" s="7"/>
      <c r="H34" s="3">
        <f t="shared" si="1"/>
        <v>22</v>
      </c>
      <c r="I34" s="79"/>
      <c r="J34" s="7"/>
      <c r="K34" s="372"/>
      <c r="L34" s="372"/>
      <c r="M34" s="8">
        <f t="shared" si="2"/>
        <v>22</v>
      </c>
      <c r="N34" s="251" t="s">
        <v>437</v>
      </c>
      <c r="O34" s="7"/>
      <c r="P34" s="239"/>
      <c r="Q34" s="239">
        <v>-10768145.59</v>
      </c>
      <c r="R34" s="8">
        <f t="shared" si="3"/>
        <v>22</v>
      </c>
      <c r="S34" s="7"/>
      <c r="T34" s="7"/>
      <c r="U34" s="7"/>
      <c r="Z34" s="38"/>
      <c r="AE34" s="131"/>
      <c r="AF34" s="131"/>
      <c r="AG34" s="131"/>
      <c r="AH34" s="131"/>
      <c r="AI34" s="131"/>
      <c r="AX34" s="8"/>
      <c r="AY34" s="216"/>
      <c r="AZ34" s="216"/>
      <c r="BA34" s="216"/>
      <c r="BB34" s="216"/>
      <c r="BC34" s="8"/>
      <c r="BD34" s="215"/>
      <c r="BE34" s="215"/>
      <c r="BF34" s="215"/>
      <c r="BG34" s="215"/>
      <c r="BH34" s="227"/>
      <c r="BI34" s="158"/>
      <c r="BV34" s="8"/>
      <c r="CS34" s="8">
        <f t="shared" si="16"/>
        <v>22</v>
      </c>
      <c r="CT34" s="333" t="s">
        <v>78</v>
      </c>
      <c r="CU34" s="234"/>
      <c r="CV34" s="234"/>
      <c r="CW34" s="256">
        <f>+CW16+CW26+CW31+CW21</f>
        <v>8089185.68836423</v>
      </c>
    </row>
    <row r="35" spans="1:101" ht="12.75">
      <c r="A35" s="3">
        <f t="shared" si="0"/>
        <v>24</v>
      </c>
      <c r="B35" s="7"/>
      <c r="C35" s="7" t="s">
        <v>382</v>
      </c>
      <c r="D35" s="135"/>
      <c r="E35" s="145">
        <v>3801196.818570435</v>
      </c>
      <c r="F35" s="145">
        <v>212912.6362017654</v>
      </c>
      <c r="G35" s="7"/>
      <c r="H35" s="3">
        <f t="shared" si="1"/>
        <v>23</v>
      </c>
      <c r="I35" s="7" t="s">
        <v>177</v>
      </c>
      <c r="J35" s="7"/>
      <c r="K35" s="372"/>
      <c r="L35" s="372">
        <f>SUM(K32:K33)</f>
        <v>864472.1399999999</v>
      </c>
      <c r="M35" s="8">
        <f t="shared" si="2"/>
        <v>23</v>
      </c>
      <c r="N35" s="270" t="s">
        <v>403</v>
      </c>
      <c r="O35" s="7"/>
      <c r="P35" s="239"/>
      <c r="Q35" s="239">
        <v>75109150.28</v>
      </c>
      <c r="R35" s="8">
        <f t="shared" si="3"/>
        <v>23</v>
      </c>
      <c r="S35" s="366" t="s">
        <v>228</v>
      </c>
      <c r="T35" s="7"/>
      <c r="U35" s="7"/>
      <c r="Z35" s="38"/>
      <c r="AE35" s="133"/>
      <c r="AF35" s="131"/>
      <c r="AG35" s="131"/>
      <c r="AH35" s="131"/>
      <c r="AI35" s="131"/>
      <c r="AX35" s="8"/>
      <c r="AY35" s="216"/>
      <c r="AZ35" s="216"/>
      <c r="BA35" s="216"/>
      <c r="BB35" s="216"/>
      <c r="BC35" s="8"/>
      <c r="BD35" s="215"/>
      <c r="BE35" s="215"/>
      <c r="BF35" s="215"/>
      <c r="BG35" s="215"/>
      <c r="BH35" s="227"/>
      <c r="BI35" s="224"/>
      <c r="BV35" s="8"/>
      <c r="CO35" s="111"/>
      <c r="CS35" s="8">
        <f t="shared" si="16"/>
        <v>23</v>
      </c>
      <c r="CT35" s="333" t="s">
        <v>249</v>
      </c>
      <c r="CU35" s="66">
        <v>0.6056</v>
      </c>
      <c r="CV35" s="66"/>
      <c r="CW35" s="335">
        <f>+CW34*CU35</f>
        <v>4898810.8528733775</v>
      </c>
    </row>
    <row r="36" spans="1:101" ht="12.75">
      <c r="A36" s="3">
        <f t="shared" si="0"/>
        <v>25</v>
      </c>
      <c r="B36" s="7"/>
      <c r="C36" s="9" t="s">
        <v>383</v>
      </c>
      <c r="D36" s="135"/>
      <c r="E36" s="145"/>
      <c r="F36" s="145"/>
      <c r="G36" s="7"/>
      <c r="H36" s="3">
        <f t="shared" si="1"/>
        <v>24</v>
      </c>
      <c r="I36" s="79"/>
      <c r="J36" s="7"/>
      <c r="K36" s="432"/>
      <c r="L36" s="432"/>
      <c r="M36" s="8">
        <f t="shared" si="2"/>
        <v>24</v>
      </c>
      <c r="N36" s="252" t="s">
        <v>663</v>
      </c>
      <c r="O36" s="7"/>
      <c r="P36" s="239"/>
      <c r="Q36" s="239">
        <v>-990957.02</v>
      </c>
      <c r="R36" s="8">
        <f t="shared" si="3"/>
        <v>24</v>
      </c>
      <c r="S36" s="7" t="s">
        <v>230</v>
      </c>
      <c r="T36" s="224"/>
      <c r="U36" s="224"/>
      <c r="Z36" s="38"/>
      <c r="AA36" s="101"/>
      <c r="AB36" s="129"/>
      <c r="AC36" s="319"/>
      <c r="AD36" s="319"/>
      <c r="AF36" s="131"/>
      <c r="AG36" s="131"/>
      <c r="AH36" s="131"/>
      <c r="AI36" s="131"/>
      <c r="AX36" s="8"/>
      <c r="AY36" s="216"/>
      <c r="AZ36" s="216"/>
      <c r="BA36" s="216"/>
      <c r="BB36" s="216"/>
      <c r="BD36" s="215"/>
      <c r="BE36" s="215"/>
      <c r="BF36" s="215"/>
      <c r="BG36" s="215"/>
      <c r="BH36" s="227"/>
      <c r="BI36" s="215"/>
      <c r="BV36" s="8"/>
      <c r="BW36" s="127"/>
      <c r="BX36" s="127"/>
      <c r="BY36" s="127"/>
      <c r="CO36" s="111"/>
      <c r="CS36" s="8">
        <f t="shared" si="16"/>
        <v>24</v>
      </c>
      <c r="CT36" s="194" t="s">
        <v>317</v>
      </c>
      <c r="CU36" s="10"/>
      <c r="CV36" s="10"/>
      <c r="CW36" s="156">
        <f>(+CV14+CV24+CV29+CV19)*CU35</f>
        <v>4770159.179687554</v>
      </c>
    </row>
    <row r="37" spans="1:101" ht="12.75">
      <c r="A37" s="3">
        <f t="shared" si="0"/>
        <v>26</v>
      </c>
      <c r="B37" s="7"/>
      <c r="C37" s="9" t="s">
        <v>384</v>
      </c>
      <c r="D37" s="135"/>
      <c r="E37" s="145">
        <v>3151344.2661390305</v>
      </c>
      <c r="F37" s="145">
        <v>172414.33919002116</v>
      </c>
      <c r="G37" s="7"/>
      <c r="H37" s="3">
        <f t="shared" si="1"/>
        <v>25</v>
      </c>
      <c r="I37" s="9" t="s">
        <v>586</v>
      </c>
      <c r="J37" s="7"/>
      <c r="K37" s="432"/>
      <c r="L37" s="432"/>
      <c r="M37" s="8">
        <f t="shared" si="2"/>
        <v>25</v>
      </c>
      <c r="N37" s="252" t="s">
        <v>664</v>
      </c>
      <c r="O37" s="111"/>
      <c r="P37" s="239"/>
      <c r="Q37" s="239">
        <v>-53247</v>
      </c>
      <c r="R37" s="8">
        <f t="shared" si="3"/>
        <v>25</v>
      </c>
      <c r="S37" s="7" t="s">
        <v>706</v>
      </c>
      <c r="T37" s="319"/>
      <c r="U37" s="319"/>
      <c r="Z37" s="38"/>
      <c r="AA37" s="111"/>
      <c r="AB37" s="147"/>
      <c r="AC37" s="111"/>
      <c r="AD37" s="131"/>
      <c r="AE37" s="127"/>
      <c r="AF37" s="131"/>
      <c r="AG37" s="131"/>
      <c r="AH37" s="131"/>
      <c r="AI37" s="131"/>
      <c r="AX37" s="8"/>
      <c r="AY37" s="215"/>
      <c r="AZ37" s="215"/>
      <c r="BA37" s="215"/>
      <c r="BB37" s="215"/>
      <c r="BD37" s="215"/>
      <c r="BE37" s="215"/>
      <c r="BF37" s="215"/>
      <c r="BG37" s="215"/>
      <c r="BH37" s="227"/>
      <c r="BI37" s="215"/>
      <c r="BJ37" s="7"/>
      <c r="BK37" s="7"/>
      <c r="BL37" s="7"/>
      <c r="BV37" s="8"/>
      <c r="BW37" s="127"/>
      <c r="BX37" s="127"/>
      <c r="BY37" s="127"/>
      <c r="CD37" s="134"/>
      <c r="CE37" s="134"/>
      <c r="CF37" s="134"/>
      <c r="CG37" s="134"/>
      <c r="CH37" s="134"/>
      <c r="CI37" s="134"/>
      <c r="CJ37" s="134"/>
      <c r="CK37" s="134"/>
      <c r="CO37" s="111"/>
      <c r="CS37" s="8">
        <f t="shared" si="16"/>
        <v>25</v>
      </c>
      <c r="CT37" s="196" t="s">
        <v>30</v>
      </c>
      <c r="CU37" s="337"/>
      <c r="CV37" s="337"/>
      <c r="CW37" s="55">
        <f>CW35-CW36</f>
        <v>128651.67318582349</v>
      </c>
    </row>
    <row r="38" spans="1:101" ht="12.75">
      <c r="A38" s="3">
        <f t="shared" si="0"/>
        <v>27</v>
      </c>
      <c r="B38" s="7"/>
      <c r="C38" s="7" t="s">
        <v>385</v>
      </c>
      <c r="D38" s="135"/>
      <c r="E38" s="146"/>
      <c r="F38" s="146"/>
      <c r="G38" s="7"/>
      <c r="H38" s="3">
        <f t="shared" si="1"/>
        <v>26</v>
      </c>
      <c r="I38" s="79" t="s">
        <v>662</v>
      </c>
      <c r="J38" s="7"/>
      <c r="K38" s="372">
        <v>-20001.479999999516</v>
      </c>
      <c r="L38" s="432"/>
      <c r="M38" s="8">
        <f t="shared" si="2"/>
        <v>26</v>
      </c>
      <c r="N38" s="252" t="s">
        <v>665</v>
      </c>
      <c r="O38" s="111"/>
      <c r="P38" s="239"/>
      <c r="Q38" s="239">
        <v>-16138.7</v>
      </c>
      <c r="Z38" s="38"/>
      <c r="AA38" s="294"/>
      <c r="AB38" s="111"/>
      <c r="AC38" s="147"/>
      <c r="AD38" s="131"/>
      <c r="AE38" s="147"/>
      <c r="AF38" s="133"/>
      <c r="AG38" s="133"/>
      <c r="AH38" s="133"/>
      <c r="AI38" s="133"/>
      <c r="AX38" s="8"/>
      <c r="AY38" s="215"/>
      <c r="AZ38" s="215"/>
      <c r="BA38" s="215"/>
      <c r="BB38" s="215"/>
      <c r="BH38" s="108"/>
      <c r="BI38" s="226"/>
      <c r="BJ38" s="158"/>
      <c r="BK38" s="158"/>
      <c r="BL38" s="158"/>
      <c r="BV38" s="8"/>
      <c r="BW38" s="127"/>
      <c r="BX38" s="127"/>
      <c r="BY38" s="127"/>
      <c r="CD38" s="131"/>
      <c r="CE38" s="131"/>
      <c r="CF38" s="131"/>
      <c r="CG38" s="131"/>
      <c r="CH38" s="131"/>
      <c r="CI38" s="131"/>
      <c r="CJ38" s="131"/>
      <c r="CK38" s="131"/>
      <c r="CO38" s="111"/>
      <c r="CS38" s="8">
        <f t="shared" si="16"/>
        <v>26</v>
      </c>
      <c r="CT38" s="218"/>
      <c r="CU38" s="234"/>
      <c r="CV38" s="234"/>
      <c r="CW38" s="335"/>
    </row>
    <row r="39" spans="1:105" ht="12.75">
      <c r="A39" s="3">
        <f t="shared" si="0"/>
        <v>28</v>
      </c>
      <c r="B39" s="7"/>
      <c r="C39" s="7" t="s">
        <v>386</v>
      </c>
      <c r="D39" s="135"/>
      <c r="E39" s="146"/>
      <c r="F39" s="146"/>
      <c r="G39" s="7"/>
      <c r="H39" s="3">
        <f t="shared" si="1"/>
        <v>27</v>
      </c>
      <c r="I39" s="79" t="s">
        <v>119</v>
      </c>
      <c r="J39" s="7"/>
      <c r="K39" s="372">
        <f>-K18</f>
        <v>1936015</v>
      </c>
      <c r="L39" s="432"/>
      <c r="M39" s="8">
        <f t="shared" si="2"/>
        <v>27</v>
      </c>
      <c r="N39" s="252" t="s">
        <v>332</v>
      </c>
      <c r="O39" s="111"/>
      <c r="P39" s="239"/>
      <c r="Q39" s="239">
        <v>-21591916</v>
      </c>
      <c r="Z39" s="38"/>
      <c r="AA39" s="111"/>
      <c r="AB39" s="146"/>
      <c r="AC39" s="146"/>
      <c r="AD39" s="146"/>
      <c r="AE39" s="147"/>
      <c r="AX39" s="8"/>
      <c r="AY39" s="215"/>
      <c r="AZ39" s="215"/>
      <c r="BA39" s="215"/>
      <c r="BB39" s="215"/>
      <c r="BC39" s="34"/>
      <c r="BH39" s="108"/>
      <c r="BI39" s="227"/>
      <c r="BJ39" s="224"/>
      <c r="BK39" s="224"/>
      <c r="BL39" s="224"/>
      <c r="BV39" s="8"/>
      <c r="BW39" s="127"/>
      <c r="BX39" s="127"/>
      <c r="BY39" s="127"/>
      <c r="CD39" s="131"/>
      <c r="CE39" s="131"/>
      <c r="CF39" s="131"/>
      <c r="CG39" s="131"/>
      <c r="CH39" s="131"/>
      <c r="CI39" s="131"/>
      <c r="CJ39" s="131"/>
      <c r="CK39" s="131"/>
      <c r="CO39" s="111"/>
      <c r="CS39" s="8">
        <f t="shared" si="16"/>
        <v>27</v>
      </c>
      <c r="CT39" s="194" t="s">
        <v>16</v>
      </c>
      <c r="CU39" s="10">
        <v>0.35</v>
      </c>
      <c r="CV39" s="10"/>
      <c r="CW39" s="630">
        <f>ROUND(-CW37*CU39,0)</f>
        <v>-45028</v>
      </c>
      <c r="DA39" s="8"/>
    </row>
    <row r="40" spans="1:105" ht="13.5" thickBot="1">
      <c r="A40" s="3">
        <f t="shared" si="0"/>
        <v>29</v>
      </c>
      <c r="B40" s="7"/>
      <c r="C40" s="7" t="s">
        <v>387</v>
      </c>
      <c r="D40" s="135"/>
      <c r="E40" s="136">
        <v>88247.90888402984</v>
      </c>
      <c r="F40" s="136">
        <v>3093</v>
      </c>
      <c r="G40" s="123"/>
      <c r="H40" s="3">
        <f t="shared" si="1"/>
        <v>28</v>
      </c>
      <c r="I40" s="79" t="s">
        <v>507</v>
      </c>
      <c r="J40" s="162"/>
      <c r="K40" s="425">
        <f>-K33</f>
        <v>-879870.1399999999</v>
      </c>
      <c r="L40" s="432"/>
      <c r="M40" s="8">
        <f t="shared" si="2"/>
        <v>28</v>
      </c>
      <c r="N40" s="111" t="s">
        <v>91</v>
      </c>
      <c r="O40" s="111"/>
      <c r="P40" s="239"/>
      <c r="Q40" s="279">
        <f>SUM(Q32:Q39)</f>
        <v>-105788390.28999999</v>
      </c>
      <c r="Z40" s="38"/>
      <c r="AA40" s="111"/>
      <c r="AB40" s="111"/>
      <c r="AC40" s="111"/>
      <c r="AD40" s="111"/>
      <c r="AE40" s="133"/>
      <c r="AF40" s="127"/>
      <c r="AG40" s="127"/>
      <c r="AH40" s="127"/>
      <c r="AI40" s="127"/>
      <c r="AX40" s="8"/>
      <c r="AY40" s="216"/>
      <c r="AZ40" s="216"/>
      <c r="BA40" s="216"/>
      <c r="BB40" s="216"/>
      <c r="BC40" s="34"/>
      <c r="BH40" s="108"/>
      <c r="BI40" s="227"/>
      <c r="BJ40" s="215"/>
      <c r="BK40" s="215"/>
      <c r="BL40" s="215"/>
      <c r="BV40" s="8"/>
      <c r="CD40" s="134"/>
      <c r="CE40" s="134"/>
      <c r="CF40" s="134"/>
      <c r="CG40" s="134"/>
      <c r="CH40" s="134"/>
      <c r="CI40" s="134"/>
      <c r="CJ40" s="134"/>
      <c r="CK40" s="134"/>
      <c r="CO40" s="111"/>
      <c r="CP40" s="99"/>
      <c r="CQ40" s="99"/>
      <c r="CS40" s="8">
        <f t="shared" si="16"/>
        <v>28</v>
      </c>
      <c r="CT40" s="194" t="s">
        <v>171</v>
      </c>
      <c r="CU40" s="234"/>
      <c r="CV40" s="234"/>
      <c r="CW40" s="631">
        <f>-CW37-CW39</f>
        <v>-83623.67318582349</v>
      </c>
      <c r="DA40" s="8"/>
    </row>
    <row r="41" spans="1:105" ht="13.5" thickTop="1">
      <c r="A41" s="3">
        <f t="shared" si="0"/>
        <v>30</v>
      </c>
      <c r="B41" s="7" t="s">
        <v>40</v>
      </c>
      <c r="C41" s="7"/>
      <c r="D41" s="7"/>
      <c r="E41" s="127">
        <f>SUM(E29:E40)</f>
        <v>234916406.48292115</v>
      </c>
      <c r="F41" s="128"/>
      <c r="G41" s="128">
        <f>SUM(F29:F40)</f>
        <v>20896426.04182149</v>
      </c>
      <c r="H41" s="3">
        <f t="shared" si="1"/>
        <v>29</v>
      </c>
      <c r="I41" s="79"/>
      <c r="J41" s="162"/>
      <c r="K41" s="432"/>
      <c r="L41" s="432"/>
      <c r="M41" s="8">
        <f t="shared" si="2"/>
        <v>29</v>
      </c>
      <c r="N41" s="111"/>
      <c r="O41" s="111"/>
      <c r="P41" s="257"/>
      <c r="Q41" s="257"/>
      <c r="Z41" s="38"/>
      <c r="AA41" s="111"/>
      <c r="AB41" s="147"/>
      <c r="AC41" s="147"/>
      <c r="AD41" s="133"/>
      <c r="AE41" s="111"/>
      <c r="AF41" s="147"/>
      <c r="AG41" s="147"/>
      <c r="AH41" s="147"/>
      <c r="AI41" s="147"/>
      <c r="AX41" s="8"/>
      <c r="AY41" s="216"/>
      <c r="AZ41" s="216"/>
      <c r="BA41" s="216"/>
      <c r="BB41" s="216"/>
      <c r="BC41" s="34"/>
      <c r="BH41" s="108"/>
      <c r="BI41" s="227"/>
      <c r="BJ41" s="215"/>
      <c r="BK41" s="215"/>
      <c r="BL41" s="215"/>
      <c r="BV41" s="8"/>
      <c r="CO41" s="111"/>
      <c r="CQ41" s="99"/>
      <c r="CR41" s="160"/>
      <c r="DA41" s="8"/>
    </row>
    <row r="42" spans="1:97" ht="12.75">
      <c r="A42" s="3">
        <f t="shared" si="0"/>
        <v>31</v>
      </c>
      <c r="B42" s="214"/>
      <c r="C42" s="214"/>
      <c r="D42" s="158"/>
      <c r="E42" s="158"/>
      <c r="F42" s="132"/>
      <c r="G42" s="7"/>
      <c r="H42" s="3">
        <f t="shared" si="1"/>
        <v>30</v>
      </c>
      <c r="I42" s="7" t="s">
        <v>537</v>
      </c>
      <c r="J42" s="162"/>
      <c r="K42" s="432"/>
      <c r="L42" s="425">
        <f>SUM(K38:K41)</f>
        <v>1036143.3800000006</v>
      </c>
      <c r="M42" s="8">
        <f t="shared" si="2"/>
        <v>30</v>
      </c>
      <c r="N42" s="111" t="s">
        <v>475</v>
      </c>
      <c r="O42" s="111"/>
      <c r="P42" s="257"/>
      <c r="Q42" s="257">
        <f>-Q23-Q29-Q40</f>
        <v>-471453.87095952034</v>
      </c>
      <c r="Z42" s="38"/>
      <c r="AA42" s="111"/>
      <c r="AB42" s="111"/>
      <c r="AC42" s="111"/>
      <c r="AD42" s="111"/>
      <c r="AE42" s="111"/>
      <c r="AF42" s="147"/>
      <c r="AG42" s="147"/>
      <c r="AH42" s="147"/>
      <c r="AI42" s="147"/>
      <c r="AX42" s="8"/>
      <c r="AY42" s="216"/>
      <c r="AZ42" s="216"/>
      <c r="BA42" s="216"/>
      <c r="BB42" s="216"/>
      <c r="BC42" s="34"/>
      <c r="BH42" s="108"/>
      <c r="BI42" s="227"/>
      <c r="BJ42" s="226"/>
      <c r="BK42" s="226"/>
      <c r="BL42" s="226"/>
      <c r="BV42" s="8"/>
      <c r="CO42" s="111"/>
      <c r="CQ42" s="99"/>
      <c r="CR42" s="160"/>
      <c r="CS42" s="194"/>
    </row>
    <row r="43" spans="1:95" ht="12.75">
      <c r="A43" s="3">
        <f t="shared" si="0"/>
        <v>32</v>
      </c>
      <c r="B43" s="9" t="s">
        <v>41</v>
      </c>
      <c r="C43" s="9"/>
      <c r="D43" s="9"/>
      <c r="E43" s="430">
        <f>+'[1]JHS-22'!M13</f>
        <v>0.004444</v>
      </c>
      <c r="F43" s="287">
        <f>ROUND(G41*E43,0)</f>
        <v>92864</v>
      </c>
      <c r="G43" s="127"/>
      <c r="H43" s="3">
        <f t="shared" si="1"/>
        <v>31</v>
      </c>
      <c r="I43" s="111"/>
      <c r="J43" s="111"/>
      <c r="K43" s="432"/>
      <c r="L43" s="432"/>
      <c r="M43" s="8">
        <f t="shared" si="2"/>
        <v>31</v>
      </c>
      <c r="N43" s="111" t="s">
        <v>24</v>
      </c>
      <c r="O43" s="111"/>
      <c r="P43" s="257"/>
      <c r="Q43" s="257">
        <f>Q42*0.35</f>
        <v>-165008.8548358321</v>
      </c>
      <c r="Z43" s="8"/>
      <c r="AE43" s="111"/>
      <c r="AF43" s="133"/>
      <c r="AG43" s="133"/>
      <c r="AH43" s="133"/>
      <c r="AI43" s="133"/>
      <c r="AX43" s="8"/>
      <c r="AY43" s="216"/>
      <c r="AZ43" s="216"/>
      <c r="BA43" s="216"/>
      <c r="BB43" s="216"/>
      <c r="BH43" s="108"/>
      <c r="BI43" s="227"/>
      <c r="BJ43" s="227"/>
      <c r="BK43" s="227"/>
      <c r="BL43" s="227"/>
      <c r="BV43" s="8"/>
      <c r="BW43" s="127"/>
      <c r="BX43" s="127"/>
      <c r="BY43" s="127"/>
      <c r="CO43" s="111"/>
      <c r="CP43" s="111"/>
      <c r="CQ43" s="111"/>
    </row>
    <row r="44" spans="1:95" ht="14.25" thickBot="1">
      <c r="A44" s="3">
        <f t="shared" si="0"/>
        <v>33</v>
      </c>
      <c r="B44" s="9" t="s">
        <v>42</v>
      </c>
      <c r="C44" s="9"/>
      <c r="D44" s="9"/>
      <c r="E44" s="430">
        <f>+'[1]JHS-22'!M14</f>
        <v>0.002</v>
      </c>
      <c r="F44" s="288">
        <f>ROUND(G41*E44,0)</f>
        <v>41793</v>
      </c>
      <c r="G44" s="127"/>
      <c r="H44" s="3">
        <f t="shared" si="1"/>
        <v>32</v>
      </c>
      <c r="I44" s="7" t="s">
        <v>538</v>
      </c>
      <c r="J44" s="111"/>
      <c r="K44" s="432"/>
      <c r="L44" s="524">
        <f>SUM(L15:L43)</f>
        <v>-5438084.08761345</v>
      </c>
      <c r="M44" s="8">
        <f t="shared" si="2"/>
        <v>32</v>
      </c>
      <c r="N44" s="111" t="s">
        <v>171</v>
      </c>
      <c r="O44" s="111"/>
      <c r="P44" s="239"/>
      <c r="Q44" s="427">
        <f>Q42-Q43</f>
        <v>-306445.0161236882</v>
      </c>
      <c r="AE44" s="146"/>
      <c r="AF44" s="111"/>
      <c r="AG44" s="111"/>
      <c r="AH44" s="111"/>
      <c r="AI44" s="111"/>
      <c r="AX44" s="8"/>
      <c r="AY44" s="216"/>
      <c r="AZ44" s="216"/>
      <c r="BA44" s="216"/>
      <c r="BB44" s="216"/>
      <c r="BH44" s="108"/>
      <c r="BI44" s="227"/>
      <c r="BJ44" s="227"/>
      <c r="BK44" s="227"/>
      <c r="BL44" s="227"/>
      <c r="BV44" s="8"/>
      <c r="BW44" s="127"/>
      <c r="BX44" s="127"/>
      <c r="BY44" s="127"/>
      <c r="CO44" s="111"/>
      <c r="CP44" s="274"/>
      <c r="CQ44" s="274"/>
    </row>
    <row r="45" spans="1:95" ht="13.5" thickTop="1">
      <c r="A45" s="3">
        <v>31</v>
      </c>
      <c r="B45" s="43" t="s">
        <v>10</v>
      </c>
      <c r="C45" s="9"/>
      <c r="D45" s="9"/>
      <c r="E45" s="430"/>
      <c r="F45" s="131"/>
      <c r="G45" s="289">
        <f>SUM(F43:F44)</f>
        <v>134657</v>
      </c>
      <c r="H45" s="3">
        <f t="shared" si="1"/>
        <v>33</v>
      </c>
      <c r="I45" s="7"/>
      <c r="J45" s="7"/>
      <c r="K45" s="432"/>
      <c r="L45" s="372"/>
      <c r="AE45" s="146"/>
      <c r="AF45" s="111"/>
      <c r="AG45" s="111"/>
      <c r="AH45" s="111"/>
      <c r="AI45" s="111"/>
      <c r="AX45" s="8"/>
      <c r="AY45" s="216"/>
      <c r="AZ45" s="216"/>
      <c r="BA45" s="216"/>
      <c r="BB45" s="216"/>
      <c r="BH45" s="108"/>
      <c r="BJ45" s="227"/>
      <c r="BK45" s="227"/>
      <c r="BL45" s="227"/>
      <c r="BV45" s="8"/>
      <c r="BW45" s="127"/>
      <c r="BX45" s="127"/>
      <c r="BY45" s="127"/>
      <c r="CO45" s="111"/>
      <c r="CP45" s="111"/>
      <c r="CQ45" s="111"/>
    </row>
    <row r="46" spans="1:95" ht="12.75">
      <c r="A46" s="3">
        <f aca="true" t="shared" si="20" ref="A46:A53">+A45+1</f>
        <v>32</v>
      </c>
      <c r="B46" s="9"/>
      <c r="C46" s="9"/>
      <c r="D46" s="9"/>
      <c r="E46" s="430"/>
      <c r="F46" s="137"/>
      <c r="G46" s="127"/>
      <c r="H46" s="3">
        <f t="shared" si="1"/>
        <v>34</v>
      </c>
      <c r="I46" s="7" t="s">
        <v>233</v>
      </c>
      <c r="J46" s="7"/>
      <c r="K46" s="432"/>
      <c r="L46" s="372"/>
      <c r="AE46" s="111"/>
      <c r="AF46" s="111"/>
      <c r="AG46" s="111"/>
      <c r="AH46" s="111"/>
      <c r="AI46" s="111"/>
      <c r="AX46" s="8"/>
      <c r="AY46" s="216"/>
      <c r="AZ46" s="216"/>
      <c r="BA46" s="216"/>
      <c r="BB46" s="216"/>
      <c r="BC46" s="91"/>
      <c r="BH46" s="108"/>
      <c r="BJ46" s="227"/>
      <c r="BK46" s="227"/>
      <c r="BL46" s="227"/>
      <c r="BV46" s="8"/>
      <c r="BW46" s="127"/>
      <c r="BX46" s="127"/>
      <c r="BY46" s="127"/>
      <c r="CO46" s="111"/>
      <c r="CP46" s="111"/>
      <c r="CQ46" s="111"/>
    </row>
    <row r="47" spans="1:95" ht="12.75">
      <c r="A47" s="3">
        <f t="shared" si="20"/>
        <v>33</v>
      </c>
      <c r="B47" s="9" t="s">
        <v>43</v>
      </c>
      <c r="C47" s="9"/>
      <c r="D47" s="9"/>
      <c r="E47" s="430">
        <f>+'[1]JHS-22'!M15</f>
        <v>0.038558</v>
      </c>
      <c r="F47" s="290">
        <f>ROUND(G41*E47,0)</f>
        <v>805724</v>
      </c>
      <c r="G47" s="127"/>
      <c r="H47" s="3">
        <f t="shared" si="1"/>
        <v>35</v>
      </c>
      <c r="I47" s="79" t="s">
        <v>232</v>
      </c>
      <c r="J47" s="7"/>
      <c r="K47" s="432" t="s">
        <v>485</v>
      </c>
      <c r="L47" s="372">
        <v>-7273471</v>
      </c>
      <c r="Z47" s="8"/>
      <c r="AE47" s="133"/>
      <c r="AF47" s="146"/>
      <c r="AG47" s="146"/>
      <c r="AH47" s="146"/>
      <c r="AI47" s="146"/>
      <c r="AX47" s="8"/>
      <c r="AY47" s="216"/>
      <c r="AZ47" s="216"/>
      <c r="BA47" s="216"/>
      <c r="BB47" s="216"/>
      <c r="BC47" s="91"/>
      <c r="BH47" s="108"/>
      <c r="BJ47" s="227"/>
      <c r="BK47" s="227"/>
      <c r="BL47" s="227"/>
      <c r="BV47" s="8"/>
      <c r="BW47" s="127"/>
      <c r="BX47" s="127"/>
      <c r="BY47" s="127"/>
      <c r="CO47" s="111"/>
      <c r="CP47" s="111"/>
      <c r="CQ47" s="111"/>
    </row>
    <row r="48" spans="1:77" ht="12.75">
      <c r="A48" s="3">
        <f t="shared" si="20"/>
        <v>34</v>
      </c>
      <c r="B48" s="43" t="s">
        <v>11</v>
      </c>
      <c r="C48" s="9"/>
      <c r="D48" s="9"/>
      <c r="E48" s="7"/>
      <c r="F48" s="137"/>
      <c r="G48" s="291">
        <f>SUM(F47:F47)</f>
        <v>805724</v>
      </c>
      <c r="H48" s="3">
        <f t="shared" si="1"/>
        <v>36</v>
      </c>
      <c r="I48" s="79"/>
      <c r="J48" s="7"/>
      <c r="K48" s="432"/>
      <c r="L48" s="432"/>
      <c r="Z48" s="8"/>
      <c r="AE48" s="111"/>
      <c r="AF48" s="146"/>
      <c r="AG48" s="146"/>
      <c r="AH48" s="146"/>
      <c r="AI48" s="146"/>
      <c r="AX48" s="8"/>
      <c r="AY48" s="216"/>
      <c r="AZ48" s="216"/>
      <c r="BA48" s="216"/>
      <c r="BB48" s="216"/>
      <c r="BC48" s="91"/>
      <c r="BH48" s="108"/>
      <c r="BJ48" s="227"/>
      <c r="BK48" s="227"/>
      <c r="BL48" s="227"/>
      <c r="BV48" s="8"/>
      <c r="BW48" s="127"/>
      <c r="BX48" s="127"/>
      <c r="BY48" s="127"/>
    </row>
    <row r="49" spans="1:77" ht="13.5">
      <c r="A49" s="3">
        <f t="shared" si="20"/>
        <v>35</v>
      </c>
      <c r="B49" s="9"/>
      <c r="C49" s="9"/>
      <c r="D49" s="9"/>
      <c r="E49" s="7"/>
      <c r="F49" s="7"/>
      <c r="G49" s="127"/>
      <c r="H49" s="3">
        <f t="shared" si="1"/>
        <v>37</v>
      </c>
      <c r="I49" s="79" t="s">
        <v>41</v>
      </c>
      <c r="J49" s="430">
        <f>+'[1]JHS-22'!M13</f>
        <v>0.004444</v>
      </c>
      <c r="K49" s="524">
        <f>+L44*J49</f>
        <v>-24166.845685354172</v>
      </c>
      <c r="L49" s="372"/>
      <c r="AF49" s="111"/>
      <c r="AG49" s="111"/>
      <c r="AH49" s="111"/>
      <c r="AI49" s="111"/>
      <c r="AX49" s="8"/>
      <c r="AY49" s="216"/>
      <c r="AZ49" s="216"/>
      <c r="BA49" s="216"/>
      <c r="BB49" s="216"/>
      <c r="BH49" s="108"/>
      <c r="BV49" s="8"/>
      <c r="BW49" s="127"/>
      <c r="BX49" s="127"/>
      <c r="BY49" s="127"/>
    </row>
    <row r="50" spans="1:77" ht="13.5">
      <c r="A50" s="3">
        <f t="shared" si="20"/>
        <v>36</v>
      </c>
      <c r="B50" s="9" t="s">
        <v>20</v>
      </c>
      <c r="C50" s="9"/>
      <c r="D50" s="9"/>
      <c r="E50" s="7"/>
      <c r="F50" s="131"/>
      <c r="G50" s="132">
        <f>G41-G45-G48</f>
        <v>19956045.04182149</v>
      </c>
      <c r="H50" s="3">
        <f t="shared" si="1"/>
        <v>38</v>
      </c>
      <c r="I50" s="79" t="s">
        <v>42</v>
      </c>
      <c r="J50" s="430">
        <f>+'[1]JHS-22'!M14</f>
        <v>0.002</v>
      </c>
      <c r="K50" s="548">
        <f>+L44*J50</f>
        <v>-10876.168175226901</v>
      </c>
      <c r="L50" s="372"/>
      <c r="AF50" s="133"/>
      <c r="AG50" s="133"/>
      <c r="AH50" s="133"/>
      <c r="AI50" s="133"/>
      <c r="AX50" s="8"/>
      <c r="AY50" s="216"/>
      <c r="AZ50" s="216"/>
      <c r="BA50" s="216"/>
      <c r="BB50" s="216"/>
      <c r="BD50" s="106"/>
      <c r="BH50" s="108"/>
      <c r="BV50" s="8"/>
      <c r="BW50" s="127"/>
      <c r="BX50" s="127"/>
      <c r="BY50" s="127"/>
    </row>
    <row r="51" spans="1:77" ht="13.5">
      <c r="A51" s="3">
        <f t="shared" si="20"/>
        <v>37</v>
      </c>
      <c r="B51" s="9"/>
      <c r="C51" s="9"/>
      <c r="D51" s="9"/>
      <c r="E51" s="7"/>
      <c r="F51" s="131"/>
      <c r="G51" s="131"/>
      <c r="H51" s="3">
        <f t="shared" si="1"/>
        <v>39</v>
      </c>
      <c r="I51" s="323" t="s">
        <v>10</v>
      </c>
      <c r="J51" s="430"/>
      <c r="K51" s="372"/>
      <c r="L51" s="524">
        <f>SUM(K49:K50)</f>
        <v>-35043.01386058107</v>
      </c>
      <c r="AF51" s="111"/>
      <c r="AG51" s="111"/>
      <c r="AH51" s="111"/>
      <c r="AI51" s="111"/>
      <c r="AX51" s="8"/>
      <c r="AY51" s="216"/>
      <c r="AZ51" s="216"/>
      <c r="BA51" s="216"/>
      <c r="BB51" s="216"/>
      <c r="BH51" s="108"/>
      <c r="BV51" s="8"/>
      <c r="BW51" s="127"/>
      <c r="BX51" s="127"/>
      <c r="BY51" s="127"/>
    </row>
    <row r="52" spans="1:77" ht="12.75">
      <c r="A52" s="3">
        <f t="shared" si="20"/>
        <v>38</v>
      </c>
      <c r="B52" s="9" t="s">
        <v>16</v>
      </c>
      <c r="C52" s="9"/>
      <c r="D52" s="9"/>
      <c r="E52" s="44">
        <v>0.35</v>
      </c>
      <c r="F52" s="131"/>
      <c r="G52" s="147">
        <f>ROUND(G50*E52,0)</f>
        <v>6984616</v>
      </c>
      <c r="H52" s="3">
        <f t="shared" si="1"/>
        <v>40</v>
      </c>
      <c r="I52" s="79"/>
      <c r="J52" s="430"/>
      <c r="K52" s="372"/>
      <c r="L52" s="372"/>
      <c r="Z52" s="34"/>
      <c r="AX52" s="8"/>
      <c r="AY52" s="216"/>
      <c r="AZ52" s="216"/>
      <c r="BA52" s="216"/>
      <c r="BB52" s="216"/>
      <c r="BH52" s="108"/>
      <c r="BV52" s="8"/>
      <c r="BW52" s="127"/>
      <c r="BX52" s="127"/>
      <c r="BY52" s="127"/>
    </row>
    <row r="53" spans="1:77" ht="14.25" thickBot="1">
      <c r="A53" s="3">
        <f t="shared" si="20"/>
        <v>39</v>
      </c>
      <c r="B53" s="9" t="s">
        <v>171</v>
      </c>
      <c r="C53" s="9"/>
      <c r="D53" s="9"/>
      <c r="E53" s="7"/>
      <c r="F53" s="131"/>
      <c r="G53" s="431">
        <f>G50-G52</f>
        <v>12971429.041821491</v>
      </c>
      <c r="H53" s="3">
        <f t="shared" si="1"/>
        <v>41</v>
      </c>
      <c r="I53" s="79" t="s">
        <v>43</v>
      </c>
      <c r="J53" s="430">
        <f>+'[1]JHS-22'!M15</f>
        <v>0.038558</v>
      </c>
      <c r="K53" s="548">
        <f>+L44*J53</f>
        <v>-209681.64625019944</v>
      </c>
      <c r="L53" s="372"/>
      <c r="Z53" s="34"/>
      <c r="AX53" s="8"/>
      <c r="AY53" s="216"/>
      <c r="AZ53" s="216"/>
      <c r="BA53" s="216"/>
      <c r="BB53" s="216"/>
      <c r="BH53" s="108"/>
      <c r="BV53" s="127"/>
      <c r="BW53" s="127"/>
      <c r="BX53" s="127"/>
      <c r="BY53" s="127"/>
    </row>
    <row r="54" spans="1:77" ht="14.25" thickTop="1">
      <c r="A54" s="3"/>
      <c r="B54" s="7"/>
      <c r="C54" s="7"/>
      <c r="D54" s="7"/>
      <c r="E54" s="7"/>
      <c r="F54" s="7"/>
      <c r="G54" s="7"/>
      <c r="H54" s="3">
        <f t="shared" si="1"/>
        <v>42</v>
      </c>
      <c r="I54" s="323" t="s">
        <v>11</v>
      </c>
      <c r="J54" s="7"/>
      <c r="K54" s="372"/>
      <c r="L54" s="548">
        <f>SUM(K53:K53)</f>
        <v>-209681.64625019944</v>
      </c>
      <c r="Z54" s="34"/>
      <c r="AX54" s="8"/>
      <c r="AY54" s="216"/>
      <c r="AZ54" s="216"/>
      <c r="BA54" s="216"/>
      <c r="BB54" s="216"/>
      <c r="BH54" s="108"/>
      <c r="BV54" s="194"/>
      <c r="BW54" s="127"/>
      <c r="BX54" s="127"/>
      <c r="BY54" s="127"/>
    </row>
    <row r="55" spans="1:74" ht="12.75">
      <c r="A55" s="194"/>
      <c r="B55" s="7"/>
      <c r="C55" s="7"/>
      <c r="D55" s="7"/>
      <c r="E55" s="7"/>
      <c r="F55" s="128"/>
      <c r="G55" s="7"/>
      <c r="H55" s="3">
        <f t="shared" si="1"/>
        <v>43</v>
      </c>
      <c r="I55" s="9"/>
      <c r="J55" s="7"/>
      <c r="K55" s="372"/>
      <c r="L55" s="372"/>
      <c r="Z55" s="34"/>
      <c r="AX55" s="8"/>
      <c r="AY55" s="216"/>
      <c r="AZ55" s="216"/>
      <c r="BA55" s="216"/>
      <c r="BB55" s="216"/>
      <c r="BH55" s="108"/>
      <c r="BV55" s="127"/>
    </row>
    <row r="56" spans="8:74" ht="13.5">
      <c r="H56" s="3">
        <f t="shared" si="1"/>
        <v>44</v>
      </c>
      <c r="I56" s="9" t="s">
        <v>20</v>
      </c>
      <c r="J56" s="7"/>
      <c r="K56" s="372"/>
      <c r="L56" s="524">
        <f>L44-L47-L51-L54</f>
        <v>2080111.5724973301</v>
      </c>
      <c r="AX56" s="8"/>
      <c r="AY56" s="216"/>
      <c r="AZ56" s="216"/>
      <c r="BA56" s="216"/>
      <c r="BB56" s="216"/>
      <c r="BH56" s="108"/>
      <c r="BL56" s="36"/>
      <c r="BV56" s="127"/>
    </row>
    <row r="57" spans="8:74" ht="13.5">
      <c r="H57" s="3">
        <f t="shared" si="1"/>
        <v>45</v>
      </c>
      <c r="I57" s="9"/>
      <c r="J57" s="7"/>
      <c r="K57" s="372"/>
      <c r="L57" s="524"/>
      <c r="AA57" s="215"/>
      <c r="AB57" s="215"/>
      <c r="AC57" s="215"/>
      <c r="AD57" s="215"/>
      <c r="AX57" s="8"/>
      <c r="AY57" s="216"/>
      <c r="AZ57" s="216"/>
      <c r="BA57" s="216"/>
      <c r="BB57" s="216"/>
      <c r="BH57" s="108"/>
      <c r="BV57" s="127"/>
    </row>
    <row r="58" spans="8:74" ht="13.5">
      <c r="H58" s="3">
        <f t="shared" si="1"/>
        <v>46</v>
      </c>
      <c r="I58" s="9" t="s">
        <v>16</v>
      </c>
      <c r="J58" s="44">
        <v>0.35</v>
      </c>
      <c r="K58" s="372"/>
      <c r="L58" s="554">
        <f>ROUND(L56*J58,0)</f>
        <v>728039</v>
      </c>
      <c r="AA58" s="215"/>
      <c r="AB58" s="215"/>
      <c r="AC58" s="215"/>
      <c r="AD58" s="215"/>
      <c r="AX58" s="8"/>
      <c r="AY58" s="216"/>
      <c r="AZ58" s="216"/>
      <c r="BA58" s="216"/>
      <c r="BB58" s="216"/>
      <c r="BD58" s="215"/>
      <c r="BE58" s="215"/>
      <c r="BF58" s="215"/>
      <c r="BG58" s="215"/>
      <c r="BI58" s="161"/>
      <c r="BV58" s="127"/>
    </row>
    <row r="59" spans="8:74" ht="14.25" thickBot="1">
      <c r="H59" s="3">
        <f t="shared" si="1"/>
        <v>47</v>
      </c>
      <c r="I59" s="9" t="s">
        <v>171</v>
      </c>
      <c r="J59" s="7"/>
      <c r="K59" s="372"/>
      <c r="L59" s="525">
        <f>L56-L58</f>
        <v>1352072.5724973301</v>
      </c>
      <c r="Z59" s="91"/>
      <c r="AA59" s="215"/>
      <c r="AB59" s="215"/>
      <c r="AC59" s="215"/>
      <c r="AD59" s="215"/>
      <c r="AX59" s="8"/>
      <c r="AY59" s="216"/>
      <c r="AZ59" s="216"/>
      <c r="BA59" s="216"/>
      <c r="BB59" s="216"/>
      <c r="BD59" s="215"/>
      <c r="BE59" s="215"/>
      <c r="BF59" s="215"/>
      <c r="BG59" s="215"/>
      <c r="BV59" s="127"/>
    </row>
    <row r="60" spans="12:74" ht="13.5" thickTop="1">
      <c r="L60" s="546"/>
      <c r="Z60" s="91"/>
      <c r="AA60" s="215"/>
      <c r="AB60" s="215"/>
      <c r="AC60" s="215"/>
      <c r="AD60" s="215"/>
      <c r="AX60" s="8"/>
      <c r="AY60" s="216"/>
      <c r="AZ60" s="216"/>
      <c r="BA60" s="216"/>
      <c r="BB60" s="216"/>
      <c r="BD60" s="215"/>
      <c r="BE60" s="215"/>
      <c r="BF60" s="215"/>
      <c r="BG60" s="215"/>
      <c r="BV60" s="127"/>
    </row>
    <row r="61" spans="26:82" ht="12.75">
      <c r="Z61" s="91"/>
      <c r="AA61" s="215"/>
      <c r="AB61" s="215"/>
      <c r="AC61" s="215"/>
      <c r="AD61" s="215"/>
      <c r="AX61" s="8"/>
      <c r="AY61" s="216"/>
      <c r="AZ61" s="216"/>
      <c r="BA61" s="216"/>
      <c r="BB61" s="216"/>
      <c r="BD61" s="215"/>
      <c r="BE61" s="215"/>
      <c r="BF61" s="215"/>
      <c r="BG61" s="215"/>
      <c r="BV61" s="127"/>
      <c r="CD61" s="106"/>
    </row>
    <row r="62" spans="27:74" ht="12.75">
      <c r="AA62" s="215"/>
      <c r="AB62" s="215"/>
      <c r="AC62" s="215"/>
      <c r="AD62" s="215"/>
      <c r="AX62" s="8"/>
      <c r="AY62" s="216"/>
      <c r="AZ62" s="216"/>
      <c r="BA62" s="216"/>
      <c r="BB62" s="216"/>
      <c r="BD62" s="215"/>
      <c r="BE62" s="215"/>
      <c r="BF62" s="215"/>
      <c r="BG62" s="215"/>
      <c r="BV62" s="127"/>
    </row>
    <row r="63" spans="11:74" ht="12.75">
      <c r="K63" s="166"/>
      <c r="AA63" s="215"/>
      <c r="AB63" s="215"/>
      <c r="AC63" s="215"/>
      <c r="AD63" s="215"/>
      <c r="AE63" s="215"/>
      <c r="AX63" s="8"/>
      <c r="AY63" s="216"/>
      <c r="AZ63" s="216"/>
      <c r="BA63" s="216"/>
      <c r="BB63" s="216"/>
      <c r="BD63" s="215"/>
      <c r="BE63" s="215"/>
      <c r="BF63" s="215"/>
      <c r="BG63" s="215"/>
      <c r="BV63" s="127"/>
    </row>
    <row r="64" spans="27:74" ht="12.75">
      <c r="AA64" s="215"/>
      <c r="AB64" s="215"/>
      <c r="AC64" s="215"/>
      <c r="AD64" s="215"/>
      <c r="AE64" s="215"/>
      <c r="AX64" s="8"/>
      <c r="AY64" s="216"/>
      <c r="AZ64" s="216"/>
      <c r="BA64" s="216"/>
      <c r="BB64" s="216"/>
      <c r="BD64" s="215"/>
      <c r="BE64" s="215"/>
      <c r="BF64" s="215"/>
      <c r="BG64" s="215"/>
      <c r="BV64" s="127"/>
    </row>
    <row r="65" spans="31:74" ht="12.75">
      <c r="AE65" s="215"/>
      <c r="AX65" s="8"/>
      <c r="AY65" s="216"/>
      <c r="AZ65" s="216"/>
      <c r="BA65" s="216"/>
      <c r="BB65" s="216"/>
      <c r="BD65" s="215"/>
      <c r="BE65" s="215"/>
      <c r="BF65" s="215"/>
      <c r="BG65" s="215"/>
      <c r="BV65" s="127"/>
    </row>
    <row r="66" spans="10:74" ht="12.75">
      <c r="J66" s="166"/>
      <c r="AE66" s="215"/>
      <c r="AF66" s="215"/>
      <c r="AG66" s="215"/>
      <c r="AH66" s="215"/>
      <c r="AI66" s="215"/>
      <c r="AX66" s="8"/>
      <c r="AY66" s="216"/>
      <c r="AZ66" s="216"/>
      <c r="BA66" s="216"/>
      <c r="BB66" s="216"/>
      <c r="BD66" s="215"/>
      <c r="BE66" s="215"/>
      <c r="BF66" s="215"/>
      <c r="BG66" s="215"/>
      <c r="BV66" s="127"/>
    </row>
    <row r="70" spans="31:59" ht="12.75">
      <c r="AE70" s="215"/>
      <c r="AF70" s="215"/>
      <c r="AG70" s="215"/>
      <c r="AH70" s="215"/>
      <c r="AI70" s="215"/>
      <c r="AX70" s="8"/>
      <c r="AY70" s="216"/>
      <c r="AZ70" s="216"/>
      <c r="BA70" s="216"/>
      <c r="BB70" s="216"/>
      <c r="BD70" s="215"/>
      <c r="BE70" s="215"/>
      <c r="BF70" s="215"/>
      <c r="BG70" s="215"/>
    </row>
    <row r="71" spans="32:59" ht="12.75">
      <c r="AF71" s="215"/>
      <c r="AG71" s="215"/>
      <c r="AH71" s="215"/>
      <c r="AI71" s="215"/>
      <c r="AX71" s="8"/>
      <c r="AY71" s="7"/>
      <c r="AZ71" s="7"/>
      <c r="BA71" s="7"/>
      <c r="BB71" s="7"/>
      <c r="BD71" s="215"/>
      <c r="BE71" s="215"/>
      <c r="BF71" s="215"/>
      <c r="BG71" s="215"/>
    </row>
    <row r="72" spans="32:59" ht="12.75">
      <c r="AF72" s="215"/>
      <c r="AG72" s="215"/>
      <c r="AH72" s="215"/>
      <c r="AI72" s="215"/>
      <c r="AX72" s="8"/>
      <c r="AY72" s="7"/>
      <c r="AZ72" s="7"/>
      <c r="BA72" s="7"/>
      <c r="BB72" s="7"/>
      <c r="BD72" s="215"/>
      <c r="BE72" s="215"/>
      <c r="BF72" s="215"/>
      <c r="BG72" s="215"/>
    </row>
    <row r="73" spans="32:59" ht="12.75">
      <c r="AF73" s="215"/>
      <c r="AG73" s="215"/>
      <c r="AH73" s="215"/>
      <c r="AI73" s="215"/>
      <c r="AX73" s="8"/>
      <c r="AY73" s="7"/>
      <c r="AZ73" s="7"/>
      <c r="BA73" s="7"/>
      <c r="BB73" s="7"/>
      <c r="BD73" s="215"/>
      <c r="BE73" s="215"/>
      <c r="BF73" s="215"/>
      <c r="BG73" s="215"/>
    </row>
    <row r="74" spans="51:59" ht="12.75">
      <c r="AY74" s="216"/>
      <c r="AZ74" s="216"/>
      <c r="BA74" s="216"/>
      <c r="BB74" s="216"/>
      <c r="BD74" s="215"/>
      <c r="BE74" s="215"/>
      <c r="BF74" s="215"/>
      <c r="BG74" s="215"/>
    </row>
    <row r="75" spans="51:59" ht="12.75">
      <c r="AY75" s="216"/>
      <c r="AZ75" s="216"/>
      <c r="BA75" s="216"/>
      <c r="BB75" s="216"/>
      <c r="BD75" s="215"/>
      <c r="BE75" s="215"/>
      <c r="BF75" s="215"/>
      <c r="BG75" s="215"/>
    </row>
    <row r="76" spans="51:59" ht="12.75">
      <c r="AY76" s="216"/>
      <c r="AZ76" s="216"/>
      <c r="BA76" s="216"/>
      <c r="BB76" s="216"/>
      <c r="BD76" s="215"/>
      <c r="BE76" s="215"/>
      <c r="BF76" s="215"/>
      <c r="BG76" s="215"/>
    </row>
    <row r="77" spans="51:59" ht="12.75">
      <c r="AY77" s="216"/>
      <c r="AZ77" s="216"/>
      <c r="BA77" s="216"/>
      <c r="BB77" s="216"/>
      <c r="BD77" s="215"/>
      <c r="BE77" s="215"/>
      <c r="BF77" s="215"/>
      <c r="BG77" s="215"/>
    </row>
    <row r="78" spans="51:59" ht="12.75">
      <c r="AY78" s="216"/>
      <c r="AZ78" s="216"/>
      <c r="BA78" s="216"/>
      <c r="BB78" s="216"/>
      <c r="BD78" s="215"/>
      <c r="BE78" s="215"/>
      <c r="BF78" s="215"/>
      <c r="BG78" s="215"/>
    </row>
    <row r="79" spans="51:59" ht="12.75">
      <c r="AY79" s="216"/>
      <c r="AZ79" s="216"/>
      <c r="BA79" s="216"/>
      <c r="BB79" s="216"/>
      <c r="BD79" s="215"/>
      <c r="BE79" s="215"/>
      <c r="BF79" s="215"/>
      <c r="BG79" s="215"/>
    </row>
    <row r="80" spans="51:60" ht="12.75">
      <c r="AY80" s="216"/>
      <c r="AZ80" s="216"/>
      <c r="BA80" s="216"/>
      <c r="BB80" s="216"/>
      <c r="BD80" s="215"/>
      <c r="BE80" s="215"/>
      <c r="BF80" s="215"/>
      <c r="BG80" s="215"/>
      <c r="BH80" s="164"/>
    </row>
    <row r="81" spans="51:59" ht="12.75">
      <c r="AY81" s="216"/>
      <c r="AZ81" s="216"/>
      <c r="BA81" s="216"/>
      <c r="BB81" s="216"/>
      <c r="BD81" s="215"/>
      <c r="BE81" s="215"/>
      <c r="BF81" s="215"/>
      <c r="BG81" s="215"/>
    </row>
    <row r="82" spans="51:59" ht="12.75">
      <c r="AY82" s="216"/>
      <c r="AZ82" s="216"/>
      <c r="BA82" s="216"/>
      <c r="BB82" s="216"/>
      <c r="BD82" s="215"/>
      <c r="BE82" s="215"/>
      <c r="BF82" s="215"/>
      <c r="BG82" s="215"/>
    </row>
    <row r="83" spans="51:59" ht="12.75">
      <c r="AY83" s="216"/>
      <c r="AZ83" s="216"/>
      <c r="BA83" s="216"/>
      <c r="BB83" s="216"/>
      <c r="BD83" s="163"/>
      <c r="BE83" s="164"/>
      <c r="BG83" s="164"/>
    </row>
    <row r="84" spans="51:54" ht="12.75">
      <c r="AY84" s="216"/>
      <c r="AZ84" s="216"/>
      <c r="BA84" s="216"/>
      <c r="BB84" s="216"/>
    </row>
    <row r="85" spans="51:54" ht="12.75">
      <c r="AY85" s="216"/>
      <c r="AZ85" s="216"/>
      <c r="BA85" s="216"/>
      <c r="BB85" s="216"/>
    </row>
    <row r="86" spans="51:54" ht="12.75">
      <c r="AY86" s="216"/>
      <c r="AZ86" s="216"/>
      <c r="BA86" s="216"/>
      <c r="BB86" s="216"/>
    </row>
    <row r="87" spans="51:54" ht="12.75">
      <c r="AY87" s="216"/>
      <c r="AZ87" s="216"/>
      <c r="BA87" s="216"/>
      <c r="BB87" s="216"/>
    </row>
    <row r="88" spans="51:54" ht="12.75">
      <c r="AY88" s="216"/>
      <c r="AZ88" s="216"/>
      <c r="BA88" s="216"/>
      <c r="BB88" s="216"/>
    </row>
    <row r="89" spans="51:54" ht="12.75">
      <c r="AY89" s="216"/>
      <c r="AZ89" s="216"/>
      <c r="BA89" s="216"/>
      <c r="BB89" s="216"/>
    </row>
    <row r="90" spans="51:54" ht="12.75">
      <c r="AY90" s="216"/>
      <c r="AZ90" s="216"/>
      <c r="BA90" s="216"/>
      <c r="BB90" s="216"/>
    </row>
    <row r="91" spans="51:54" ht="12.75">
      <c r="AY91" s="216"/>
      <c r="AZ91" s="216"/>
      <c r="BA91" s="216"/>
      <c r="BB91" s="216"/>
    </row>
    <row r="92" spans="51:54" ht="12.75">
      <c r="AY92" s="216"/>
      <c r="AZ92" s="216"/>
      <c r="BA92" s="216"/>
      <c r="BB92" s="216"/>
    </row>
    <row r="93" spans="51:54" ht="12.75">
      <c r="AY93" s="216"/>
      <c r="AZ93" s="216"/>
      <c r="BA93" s="216"/>
      <c r="BB93" s="216"/>
    </row>
    <row r="94" spans="51:54" ht="12.75">
      <c r="AY94" s="216"/>
      <c r="AZ94" s="216"/>
      <c r="BA94" s="216"/>
      <c r="BB94" s="216"/>
    </row>
    <row r="95" spans="51:54" ht="12.75">
      <c r="AY95" s="216"/>
      <c r="AZ95" s="216"/>
      <c r="BA95" s="216"/>
      <c r="BB95" s="216"/>
    </row>
    <row r="96" spans="51:54" ht="12.75">
      <c r="AY96" s="216"/>
      <c r="AZ96" s="216"/>
      <c r="BA96" s="216"/>
      <c r="BB96" s="216"/>
    </row>
    <row r="97" spans="51:54" ht="12.75">
      <c r="AY97" s="216"/>
      <c r="AZ97" s="216"/>
      <c r="BA97" s="216"/>
      <c r="BB97" s="216"/>
    </row>
    <row r="98" spans="51:54" ht="12.75">
      <c r="AY98" s="216"/>
      <c r="AZ98" s="216"/>
      <c r="BA98" s="216"/>
      <c r="BB98" s="216"/>
    </row>
    <row r="99" spans="51:54" ht="12.75">
      <c r="AY99" s="216"/>
      <c r="AZ99" s="216"/>
      <c r="BA99" s="216"/>
      <c r="BB99" s="216"/>
    </row>
    <row r="100" spans="51:54" ht="12.75">
      <c r="AY100" s="216"/>
      <c r="AZ100" s="216"/>
      <c r="BA100" s="216"/>
      <c r="BB100" s="216"/>
    </row>
    <row r="101" spans="51:54" ht="12.75">
      <c r="AY101" s="216"/>
      <c r="AZ101" s="216"/>
      <c r="BA101" s="216"/>
      <c r="BB101" s="216"/>
    </row>
    <row r="102" spans="51:54" ht="12.75">
      <c r="AY102" s="216"/>
      <c r="AZ102" s="216"/>
      <c r="BA102" s="216"/>
      <c r="BB102" s="216"/>
    </row>
    <row r="103" spans="51:54" ht="12.75">
      <c r="AY103" s="216"/>
      <c r="AZ103" s="216"/>
      <c r="BA103" s="216"/>
      <c r="BB103" s="216"/>
    </row>
    <row r="104" spans="51:54" ht="12.75">
      <c r="AY104" s="216"/>
      <c r="AZ104" s="216"/>
      <c r="BA104" s="216"/>
      <c r="BB104" s="216"/>
    </row>
    <row r="105" spans="51:54" ht="12.75">
      <c r="AY105" s="216"/>
      <c r="AZ105" s="216"/>
      <c r="BA105" s="216"/>
      <c r="BB105" s="216"/>
    </row>
    <row r="106" spans="51:54" ht="12.75">
      <c r="AY106" s="216"/>
      <c r="AZ106" s="216"/>
      <c r="BA106" s="216"/>
      <c r="BB106" s="216"/>
    </row>
    <row r="107" spans="51:54" ht="12.75">
      <c r="AY107" s="216"/>
      <c r="AZ107" s="216"/>
      <c r="BA107" s="216"/>
      <c r="BB107" s="216"/>
    </row>
    <row r="108" spans="51:54" ht="12.75">
      <c r="AY108" s="216"/>
      <c r="AZ108" s="216"/>
      <c r="BA108" s="216"/>
      <c r="BB108" s="216"/>
    </row>
    <row r="109" spans="51:54" ht="12.75">
      <c r="AY109" s="216"/>
      <c r="AZ109" s="216"/>
      <c r="BA109" s="216"/>
      <c r="BB109" s="216"/>
    </row>
    <row r="110" spans="51:54" ht="12.75">
      <c r="AY110" s="216"/>
      <c r="AZ110" s="216"/>
      <c r="BA110" s="216"/>
      <c r="BB110" s="216"/>
    </row>
    <row r="111" spans="51:54" ht="12.75">
      <c r="AY111" s="216"/>
      <c r="AZ111" s="216"/>
      <c r="BA111" s="216"/>
      <c r="BB111" s="216"/>
    </row>
    <row r="112" spans="51:54" ht="12.75">
      <c r="AY112" s="216"/>
      <c r="AZ112" s="216"/>
      <c r="BA112" s="216"/>
      <c r="BB112" s="216"/>
    </row>
    <row r="113" spans="51:54" ht="12.75">
      <c r="AY113" s="216"/>
      <c r="AZ113" s="216"/>
      <c r="BA113" s="216"/>
      <c r="BB113" s="216"/>
    </row>
  </sheetData>
  <sheetProtection/>
  <mergeCells count="6">
    <mergeCell ref="CI6:CM6"/>
    <mergeCell ref="CD6:CH6"/>
    <mergeCell ref="A6:G6"/>
    <mergeCell ref="M6:Q6"/>
    <mergeCell ref="BM7:BQ7"/>
    <mergeCell ref="BM8:BQ8"/>
  </mergeCells>
  <conditionalFormatting sqref="A1:DG1">
    <cfRule type="cellIs" priority="23" dxfId="7" operator="notEqual" stopIfTrue="1">
      <formula>0</formula>
    </cfRule>
  </conditionalFormatting>
  <conditionalFormatting sqref="DC1:DG1">
    <cfRule type="cellIs" priority="2" dxfId="7" operator="not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87" r:id="rId1"/>
  <headerFooter alignWithMargins="0">
    <oddFooter>&amp;L&amp;"Times New Roman,Bold Italic"&amp;12Amounts presented in bold italic type have changed since PSE's Rebuttal Filing as revised February 16, 2012.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PACCAR.com Job Description</dc:title>
  <dc:subject>TWELVE MOS. ENDED 6/30/95</dc:subject>
  <dc:creator>Janna D. Greif</dc:creator>
  <cp:keywords/>
  <dc:description/>
  <cp:lastModifiedBy>No Name</cp:lastModifiedBy>
  <cp:lastPrinted>2012-05-01T21:45:34Z</cp:lastPrinted>
  <dcterms:created xsi:type="dcterms:W3CDTF">1997-10-13T22:59:17Z</dcterms:created>
  <dcterms:modified xsi:type="dcterms:W3CDTF">2012-05-01T21:46:06Z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