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1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CFF43838-91CC-48ED-81B5-C868EE585E06}" xr6:coauthVersionLast="47" xr6:coauthVersionMax="47" xr10:uidLastSave="{00000000-0000-0000-0000-000000000000}"/>
  <bookViews>
    <workbookView xWindow="28680" yWindow="-120" windowWidth="29040" windowHeight="1599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1" l="1"/>
  <c r="F12" i="101"/>
  <c r="F6" i="101" s="1"/>
  <c r="F9" i="101"/>
  <c r="F8" i="101"/>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<sst xmlns="http://schemas.openxmlformats.org/spreadsheetml/2006/main" count="8202" uniqueCount="3440">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</sst>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5">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80" fillId="0" borderId="0" xfId="96" applyFont="1"/>
    <xf numFmtId="0" fontId="1" fillId="0" borderId="0" xfId="96" applyFont="1"/>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3"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3"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 fillId="0" borderId="0" xfId="96" applyFont="1" applyAlignment="1">
      <alignment horizontal="left"/>
    </xf>
    <xf numFmtId="0" fontId="79" fillId="0" borderId="0" xfId="96" applyFont="1"/>
    <xf numFmtId="0" fontId="52" fillId="0" borderId="0" xfId="96" applyFont="1"/>
    <xf numFmtId="0" fontId="228" fillId="0" borderId="0" xfId="75" applyFont="1" applyAlignment="1">
      <alignment horizontal="right" vertical="top"/>
    </xf>
    <xf numFmtId="0" fontId="106" fillId="0" borderId="0" xfId="96" applyFont="1" applyAlignment="1">
      <alignment horizontal="center"/>
    </xf>
    <xf numFmtId="172" fontId="1" fillId="16" borderId="0" xfId="86" applyNumberFormat="1" applyFont="1" applyFill="1"/>
    <xf numFmtId="0" fontId="171" fillId="0" borderId="0" xfId="96" applyFont="1"/>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228" fillId="0" borderId="0" xfId="75" applyFont="1" applyAlignment="1">
      <alignment horizontal="left" vertical="top"/>
    </xf>
    <xf numFmtId="0" fontId="232" fillId="0" borderId="0" xfId="75" applyFont="1" applyAlignment="1">
      <alignment horizontal="center" vertical="top"/>
    </xf>
    <xf numFmtId="214"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4" fontId="228" fillId="0" borderId="10" xfId="75" applyNumberFormat="1" applyFont="1" applyBorder="1" applyAlignment="1">
      <alignment horizontal="right" vertical="center"/>
    </xf>
    <xf numFmtId="0" fontId="229" fillId="0" borderId="0" xfId="75" applyFont="1" applyAlignment="1">
      <alignment horizontal="left" vertical="top"/>
    </xf>
    <xf numFmtId="214"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233" fillId="0" borderId="0" xfId="96" applyFont="1"/>
    <xf numFmtId="172" fontId="106" fillId="7" borderId="39" xfId="96" applyNumberFormat="1" applyFont="1" applyFill="1" applyBorder="1"/>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80" fillId="0" borderId="0" xfId="96" applyFont="1" applyAlignment="1">
      <alignment vertical="center"/>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5" fontId="8" fillId="0" borderId="0" xfId="96" applyNumberFormat="1"/>
    <xf numFmtId="172" fontId="8" fillId="7" borderId="34" xfId="96" applyNumberFormat="1" applyFill="1" applyBorder="1"/>
    <xf numFmtId="215" fontId="0" fillId="0" borderId="0" xfId="7" applyNumberFormat="1" applyFont="1"/>
    <xf numFmtId="172" fontId="8" fillId="7" borderId="36" xfId="96" applyNumberFormat="1" applyFill="1" applyBorder="1"/>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vertical="top" wrapText="1"/>
    </xf>
    <xf numFmtId="0" fontId="213" fillId="0" borderId="0" xfId="240" applyFont="1"/>
    <xf numFmtId="0" fontId="8" fillId="5" borderId="0" xfId="17" applyFill="1"/>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53" fillId="0" borderId="0" xfId="66" applyNumberFormat="1" applyFont="1"/>
    <xf numFmtId="0" fontId="68" fillId="0" borderId="21" xfId="17" applyFont="1" applyBorder="1" applyAlignment="1">
      <alignment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17"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17"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18"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5"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vertical="top" wrapText="1"/>
    </xf>
    <xf numFmtId="0" fontId="8" fillId="0" borderId="0" xfId="96" applyAlignment="1">
      <alignment horizontal="left"/>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0" fillId="6" borderId="37"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166" fillId="0" borderId="6" xfId="96" applyFont="1" applyBorder="1" applyAlignment="1">
      <alignment vertical="top"/>
    </xf>
    <xf numFmtId="0" fontId="166" fillId="0" borderId="7" xfId="96" applyFont="1" applyBorder="1" applyAlignment="1">
      <alignment vertical="top"/>
    </xf>
    <xf numFmtId="0" fontId="8" fillId="0" borderId="10" xfId="96" applyBorder="1" applyAlignment="1">
      <alignment horizontal="center" vertical="top"/>
    </xf>
    <xf numFmtId="0" fontId="8"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166" fillId="0" borderId="0" xfId="96" applyFont="1" applyAlignment="1">
      <alignment vertical="top" wrapText="1"/>
    </xf>
    <xf numFmtId="43" fontId="0" fillId="0" borderId="0" xfId="1" applyFont="1" applyFill="1" applyAlignment="1">
      <alignment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19"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5"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0" fontId="272" fillId="4" borderId="0" xfId="2" applyNumberFormat="1" applyFont="1" applyFill="1" applyBorder="1"/>
    <xf numFmtId="220"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8" fillId="0" borderId="0" xfId="96" applyNumberFormat="1" applyAlignment="1">
      <alignment vertical="top"/>
    </xf>
    <xf numFmtId="215" fontId="8" fillId="0" borderId="0" xfId="96" applyNumberFormat="1" applyAlignment="1">
      <alignment vertical="top"/>
    </xf>
    <xf numFmtId="178" fontId="8" fillId="0" borderId="7" xfId="96" applyNumberFormat="1" applyBorder="1" applyAlignment="1">
      <alignment vertical="top" wrapText="1"/>
    </xf>
    <xf numFmtId="215"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0" fontId="15" fillId="0" borderId="0" xfId="0" applyFont="1" applyAlignment="1">
      <alignment horizontal="left" wrapText="1"/>
    </xf>
    <xf numFmtId="3" fontId="12" fillId="0" borderId="0" xfId="0" applyNumberFormat="1" applyFont="1" applyAlignment="1">
      <alignment horizontal="center"/>
    </xf>
    <xf numFmtId="3" fontId="16"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13" xfId="102" applyFont="1" applyBorder="1" applyAlignment="1">
      <alignment horizontal="center"/>
    </xf>
    <xf numFmtId="0" fontId="144" fillId="0" borderId="15" xfId="102" applyFont="1" applyBorder="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3" fontId="45" fillId="0" borderId="6" xfId="36" applyNumberFormat="1" applyFont="1" applyBorder="1" applyAlignment="1">
      <alignment horizontal="center"/>
    </xf>
    <xf numFmtId="3" fontId="45" fillId="0" borderId="0" xfId="36" applyNumberFormat="1" applyFont="1" applyAlignment="1">
      <alignment horizontal="center"/>
    </xf>
    <xf numFmtId="0" fontId="80" fillId="0" borderId="0" xfId="0" applyFont="1" applyAlignment="1">
      <alignment horizontal="left" wrapText="1"/>
    </xf>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0" fontId="167" fillId="0" borderId="0" xfId="0" applyFont="1" applyAlignment="1">
      <alignment horizontal="center" wrapText="1"/>
    </xf>
    <xf numFmtId="0" fontId="123" fillId="16" borderId="39" xfId="0" applyFont="1" applyFill="1" applyBorder="1" applyAlignment="1">
      <alignment horizontal="center" vertical="center"/>
    </xf>
    <xf numFmtId="0" fontId="123" fillId="16" borderId="13" xfId="0" applyFont="1" applyFill="1" applyBorder="1" applyAlignment="1">
      <alignment horizontal="center"/>
    </xf>
    <xf numFmtId="0" fontId="123" fillId="16" borderId="15" xfId="0" applyFont="1" applyFill="1" applyBorder="1" applyAlignment="1">
      <alignment horizontal="center"/>
    </xf>
    <xf numFmtId="0" fontId="123" fillId="16" borderId="14" xfId="0" applyFont="1" applyFill="1" applyBorder="1" applyAlignment="1">
      <alignment horizontal="center"/>
    </xf>
    <xf numFmtId="0" fontId="188" fillId="16" borderId="13" xfId="0" applyFont="1" applyFill="1" applyBorder="1" applyAlignment="1">
      <alignment horizontal="center"/>
    </xf>
    <xf numFmtId="0" fontId="188" fillId="16" borderId="15" xfId="0" applyFont="1" applyFill="1" applyBorder="1" applyAlignment="1">
      <alignment horizontal="center"/>
    </xf>
    <xf numFmtId="0" fontId="188" fillId="16" borderId="14" xfId="0" applyFont="1" applyFill="1" applyBorder="1" applyAlignment="1">
      <alignment horizontal="center"/>
    </xf>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106" fillId="0" borderId="39" xfId="96" applyFont="1" applyBorder="1" applyAlignment="1">
      <alignment horizontal="center"/>
    </xf>
    <xf numFmtId="0" fontId="136" fillId="0" borderId="0" xfId="96" applyFont="1" applyAlignment="1">
      <alignment horizontal="center" wrapText="1"/>
    </xf>
    <xf numFmtId="0" fontId="106" fillId="0" borderId="0" xfId="75" applyFont="1" applyAlignment="1">
      <alignment horizontal="left" vertical="top" wrapText="1"/>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106" fillId="0" borderId="0" xfId="96" applyFont="1" applyAlignment="1">
      <alignment horizontal="left" vertical="top" wrapText="1"/>
    </xf>
    <xf numFmtId="172" fontId="179" fillId="0" borderId="0" xfId="96" applyNumberFormat="1" applyFont="1" applyAlignment="1">
      <alignment horizontal="center"/>
    </xf>
    <xf numFmtId="0" fontId="182" fillId="0" borderId="0" xfId="96" applyFont="1" applyAlignment="1">
      <alignment horizontal="left" vertical="top" wrapText="1"/>
    </xf>
    <xf numFmtId="0" fontId="179" fillId="0" borderId="0" xfId="96" applyFont="1" applyAlignment="1">
      <alignment horizontal="center"/>
    </xf>
    <xf numFmtId="0" fontId="208" fillId="26" borderId="123"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208" fillId="26" borderId="121" xfId="96" applyFont="1" applyFill="1" applyBorder="1" applyAlignment="1">
      <alignment horizontal="center" vertical="center" wrapText="1"/>
    </xf>
    <xf numFmtId="0" fontId="208" fillId="26" borderId="125"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124"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0" fontId="68" fillId="0" borderId="0" xfId="17" applyFont="1" applyAlignment="1">
      <alignment horizontal="center" wrapText="1"/>
    </xf>
    <xf numFmtId="0" fontId="204" fillId="0" borderId="0" xfId="17" applyFont="1" applyAlignment="1">
      <alignment horizontal="left" vertical="top" wrapText="1"/>
    </xf>
    <xf numFmtId="0" fontId="182" fillId="0" borderId="0" xfId="240" applyFont="1" applyAlignment="1">
      <alignment horizontal="center"/>
    </xf>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171" fontId="237" fillId="0" borderId="0" xfId="66" applyNumberFormat="1" applyFont="1" applyBorder="1" applyAlignment="1">
      <alignment horizontal="center"/>
    </xf>
    <xf numFmtId="0" fontId="68" fillId="0" borderId="0" xfId="17" applyFont="1" applyAlignment="1">
      <alignment horizontal="center" vertical="top" wrapText="1"/>
    </xf>
    <xf numFmtId="0" fontId="68" fillId="0" borderId="24" xfId="17" applyFont="1" applyBorder="1" applyAlignment="1">
      <alignment horizontal="center" vertical="top" wrapText="1"/>
    </xf>
    <xf numFmtId="0" fontId="204" fillId="0" borderId="22" xfId="17" applyFont="1" applyBorder="1" applyAlignment="1">
      <alignment horizontal="left" vertical="top" wrapText="1"/>
    </xf>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53" fillId="0" borderId="0" xfId="96" applyFont="1" applyAlignment="1">
      <alignment horizontal="right" wrapText="1"/>
    </xf>
    <xf numFmtId="0" fontId="204" fillId="7" borderId="19" xfId="96" applyFont="1" applyFill="1" applyBorder="1" applyAlignment="1">
      <alignment horizontal="center" vertical="center" wrapText="1"/>
    </xf>
    <xf numFmtId="0" fontId="204" fillId="7" borderId="0" xfId="96" applyFont="1" applyFill="1" applyAlignment="1">
      <alignment horizontal="center" vertical="center" wrapText="1"/>
    </xf>
    <xf numFmtId="0" fontId="204" fillId="5" borderId="19" xfId="96" applyFont="1" applyFill="1" applyBorder="1" applyAlignment="1">
      <alignment horizontal="left" vertical="top" wrapText="1"/>
    </xf>
    <xf numFmtId="0" fontId="204" fillId="5" borderId="0" xfId="96" applyFont="1" applyFill="1" applyAlignment="1">
      <alignment horizontal="left" vertical="top" wrapText="1"/>
    </xf>
    <xf numFmtId="0" fontId="179" fillId="0" borderId="0" xfId="241" applyFont="1" applyAlignment="1">
      <alignment horizontal="center" wrapText="1"/>
    </xf>
    <xf numFmtId="0" fontId="179" fillId="0" borderId="0" xfId="241" applyFont="1" applyAlignment="1">
      <alignment horizontal="right" wrapText="1"/>
    </xf>
    <xf numFmtId="0" fontId="37" fillId="0" borderId="18" xfId="0" applyFont="1" applyBorder="1" applyAlignment="1">
      <alignment horizont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0" xfId="0" applyFont="1" applyAlignment="1">
      <alignment horizontal="center"/>
    </xf>
    <xf numFmtId="0" fontId="169" fillId="0" borderId="13" xfId="75" applyFont="1" applyBorder="1" applyAlignment="1">
      <alignment horizontal="center"/>
    </xf>
    <xf numFmtId="0" fontId="169" fillId="0" borderId="14" xfId="75" applyFont="1" applyBorder="1" applyAlignment="1">
      <alignment horizontal="center"/>
    </xf>
    <xf numFmtId="0" fontId="261" fillId="0" borderId="18" xfId="0" applyFont="1" applyBorder="1" applyAlignment="1">
      <alignment horizontal="center"/>
    </xf>
    <xf numFmtId="0" fontId="261" fillId="0" borderId="19" xfId="0" applyFont="1" applyBorder="1" applyAlignment="1">
      <alignment horizontal="center"/>
    </xf>
    <xf numFmtId="0" fontId="261" fillId="0" borderId="20" xfId="0" applyFont="1" applyBorder="1" applyAlignment="1">
      <alignment horizontal="center"/>
    </xf>
    <xf numFmtId="0" fontId="80" fillId="0" borderId="0" xfId="96" applyFont="1" applyAlignment="1">
      <alignment horizontal="center" textRotation="90"/>
    </xf>
    <xf numFmtId="0" fontId="107" fillId="30" borderId="0" xfId="96" applyFont="1" applyFill="1" applyAlignment="1">
      <alignment horizontal="center"/>
    </xf>
    <xf numFmtId="0" fontId="80" fillId="30" borderId="0" xfId="96" applyFont="1" applyFill="1" applyAlignment="1">
      <alignment horizontal="center"/>
    </xf>
    <xf numFmtId="0" fontId="108" fillId="0" borderId="6" xfId="96" applyFont="1" applyBorder="1" applyAlignment="1">
      <alignment horizontal="center"/>
    </xf>
    <xf numFmtId="0" fontId="108" fillId="0" borderId="7" xfId="96" applyFont="1" applyBorder="1" applyAlignment="1">
      <alignment horizontal="center"/>
    </xf>
    <xf numFmtId="0" fontId="16" fillId="0" borderId="0" xfId="96" applyFont="1" applyAlignment="1">
      <alignment horizontal="left" wrapText="1"/>
    </xf>
    <xf numFmtId="0" fontId="16" fillId="0" borderId="0" xfId="96" applyFont="1" applyAlignment="1">
      <alignment horizontal="center"/>
    </xf>
    <xf numFmtId="0" fontId="107" fillId="0" borderId="0" xfId="96" applyFont="1" applyAlignment="1">
      <alignment horizontal="center" vertical="top" wrapText="1"/>
    </xf>
    <xf numFmtId="0" fontId="8" fillId="17" borderId="0" xfId="96" applyFill="1" applyAlignment="1">
      <alignment horizontal="center"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271" fillId="6" borderId="0" xfId="96" applyFont="1" applyFill="1" applyAlignment="1">
      <alignment horizontal="center" vertical="top" wrapText="1"/>
    </xf>
    <xf numFmtId="0" fontId="271" fillId="6" borderId="10" xfId="96" applyFont="1" applyFill="1" applyBorder="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 fillId="0" borderId="3" xfId="96" applyBorder="1" applyAlignment="1">
      <alignment horizontal="center" vertical="top" wrapText="1"/>
    </xf>
    <xf numFmtId="0" fontId="8" fillId="0" borderId="0" xfId="96" applyAlignment="1">
      <alignment horizontal="center" vertical="top" wrapText="1"/>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273" fillId="39" borderId="0" xfId="96" applyFont="1" applyFill="1" applyAlignment="1">
      <alignment horizontal="center" vertical="top"/>
    </xf>
    <xf numFmtId="0" fontId="8" fillId="0" borderId="15" xfId="96" applyBorder="1" applyAlignment="1">
      <alignment horizontal="center" vertical="top"/>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171" fontId="8" fillId="13" borderId="0" xfId="96" applyNumberFormat="1" applyFill="1" applyAlignment="1">
      <alignment horizontal="center" vertical="center" wrapText="1"/>
    </xf>
    <xf numFmtId="0" fontId="8" fillId="0" borderId="0" xfId="96" applyAlignment="1">
      <alignment horizontal="left" vertical="top" wrapText="1"/>
    </xf>
    <xf numFmtId="0" fontId="26" fillId="0" borderId="0" xfId="0" applyFont="1" applyAlignment="1">
      <alignment horizontal="center"/>
    </xf>
    <xf numFmtId="0" fontId="16" fillId="0" borderId="0" xfId="0" applyFont="1" applyFill="1" applyAlignment="1">
      <alignment horizontal="center"/>
    </xf>
    <xf numFmtId="0" fontId="235" fillId="4" borderId="0" xfId="0" applyFont="1" applyFill="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8515625" defaultRowHeight="12.75"/>
  <cols>
    <col min="1" max="16384" width="9.285156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election activeCell="G3" sqref="G3"/>
    </sheetView>
  </sheetViews>
  <sheetFormatPr defaultColWidth="9.28515625" defaultRowHeight="12.75"/>
  <cols>
    <col min="1" max="1" width="4.5703125" style="32" customWidth="1"/>
    <col min="2" max="3" width="1.5703125" style="31" customWidth="1"/>
    <col min="4" max="4" width="2.5703125" style="31" customWidth="1"/>
    <col min="5" max="5" width="22.5703125" style="78" customWidth="1"/>
    <col min="6" max="6" width="8.5703125" style="78" bestFit="1" customWidth="1"/>
    <col min="7" max="7" width="11.28515625" style="78" bestFit="1" customWidth="1"/>
    <col min="8" max="8" width="8.42578125" style="78" bestFit="1" customWidth="1"/>
    <col min="9" max="9" width="11.28515625" style="78" bestFit="1" customWidth="1"/>
    <col min="10" max="10" width="15.85546875" style="78" bestFit="1" customWidth="1"/>
    <col min="11" max="11" width="14.42578125" style="78" customWidth="1"/>
    <col min="12" max="12" width="14.42578125" style="247" customWidth="1"/>
    <col min="13" max="14" width="9" style="247" customWidth="1"/>
    <col min="15" max="17" width="9.28515625" style="247"/>
    <col min="18" max="18" width="11.28515625" style="247" bestFit="1" customWidth="1"/>
    <col min="19" max="16384" width="9.28515625" style="247"/>
  </cols>
  <sheetData>
    <row r="1" spans="1:34" ht="15">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5">
      <c r="A4" s="271" t="str">
        <f>'ROO INPUT 1.00'!A6:C6</f>
        <v xml:space="preserve">(000'S OF DOLLARS)   </v>
      </c>
      <c r="D4" s="32"/>
      <c r="G4" s="399"/>
      <c r="H4" s="399"/>
    </row>
    <row r="5" spans="1:34" ht="15">
      <c r="A5" s="271" t="s">
        <v>641</v>
      </c>
      <c r="D5" s="32"/>
    </row>
    <row r="6" spans="1:34" ht="14.25">
      <c r="D6" s="32"/>
      <c r="F6" s="3722" t="s">
        <v>546</v>
      </c>
      <c r="G6" s="3723"/>
      <c r="H6" s="3723"/>
      <c r="I6" s="3724"/>
      <c r="J6" s="3724"/>
      <c r="K6" s="3724"/>
      <c r="L6" s="3725"/>
      <c r="AE6" s="250"/>
      <c r="AF6" s="250"/>
      <c r="AG6" s="250"/>
      <c r="AH6" s="250"/>
    </row>
    <row r="7" spans="1:34">
      <c r="A7" s="33"/>
      <c r="B7" s="33"/>
      <c r="C7" s="34"/>
      <c r="D7" s="34"/>
      <c r="E7" s="33"/>
      <c r="F7" s="3728" t="s">
        <v>647</v>
      </c>
      <c r="G7" s="3729"/>
      <c r="H7" s="3729"/>
      <c r="I7" s="3729"/>
      <c r="J7" s="3730"/>
      <c r="K7" s="3726" t="s">
        <v>547</v>
      </c>
      <c r="L7" s="3727"/>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5"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5"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28515625" defaultRowHeight="12.75"/>
  <cols>
    <col min="1" max="1" width="4.5703125" style="32" customWidth="1"/>
    <col min="2" max="3" width="1.5703125" style="31" customWidth="1"/>
    <col min="4" max="4" width="2.5703125" style="31" customWidth="1"/>
    <col min="5" max="5" width="22.85546875" style="78" customWidth="1"/>
    <col min="6" max="6" width="9.7109375" style="78" customWidth="1"/>
    <col min="7" max="7" width="11.28515625" style="78" bestFit="1" customWidth="1"/>
    <col min="8" max="8" width="9.7109375" style="78" bestFit="1" customWidth="1"/>
    <col min="9" max="10" width="15.140625" style="78" bestFit="1" customWidth="1"/>
    <col min="11" max="11" width="15.85546875" style="247" bestFit="1" customWidth="1"/>
    <col min="12" max="13" width="9" style="247" customWidth="1"/>
    <col min="14" max="14" width="9.28515625" style="247"/>
    <col min="15" max="15" width="10.28515625" style="247" customWidth="1"/>
    <col min="16" max="16" width="9.28515625" style="247"/>
    <col min="17" max="17" width="11.28515625" style="247" bestFit="1" customWidth="1"/>
    <col min="18" max="16384" width="9.28515625" style="247"/>
  </cols>
  <sheetData>
    <row r="1" spans="1:35" ht="15">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5">
      <c r="A4" s="271" t="str">
        <f>'ROO INPUT 1.00'!A6:C6</f>
        <v xml:space="preserve">(000'S OF DOLLARS)   </v>
      </c>
      <c r="D4" s="32"/>
      <c r="G4" s="399"/>
      <c r="H4" s="399"/>
    </row>
    <row r="5" spans="1:35" ht="15">
      <c r="A5" s="271" t="s">
        <v>644</v>
      </c>
      <c r="D5" s="32"/>
    </row>
    <row r="6" spans="1:35" ht="14.25">
      <c r="D6" s="32"/>
      <c r="F6" s="3722" t="s">
        <v>550</v>
      </c>
      <c r="G6" s="3723"/>
      <c r="H6" s="3723"/>
      <c r="I6" s="3723"/>
      <c r="J6" s="3723"/>
      <c r="K6" s="3731"/>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5"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5"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28515625" defaultRowHeight="15.75"/>
  <cols>
    <col min="1" max="1" width="7.42578125" style="273" customWidth="1"/>
    <col min="2" max="2" width="1.42578125" style="273" customWidth="1"/>
    <col min="3" max="3" width="44.85546875" style="273" customWidth="1"/>
    <col min="4" max="4" width="1.28515625" style="273" customWidth="1"/>
    <col min="5" max="5" width="0.5703125" style="273" hidden="1" customWidth="1"/>
    <col min="6" max="6" width="20.28515625" style="273" customWidth="1"/>
    <col min="7" max="7" width="16.5703125" style="73" customWidth="1"/>
    <col min="8" max="9" width="14.5703125" style="73" customWidth="1"/>
    <col min="10" max="10" width="4.7109375" style="273" customWidth="1"/>
    <col min="11" max="11" width="6.7109375" style="273" customWidth="1"/>
    <col min="12" max="12" width="14.28515625" style="273" customWidth="1"/>
    <col min="13" max="13" width="12.7109375" style="273" customWidth="1"/>
    <col min="14" max="14" width="15.28515625" style="324" customWidth="1"/>
    <col min="15" max="15" width="14.28515625" style="273" customWidth="1"/>
    <col min="16" max="16" width="6.28515625" style="273" customWidth="1"/>
    <col min="17" max="17" width="14.5703125" style="273" customWidth="1"/>
    <col min="18" max="16384" width="9.28515625" style="274"/>
  </cols>
  <sheetData>
    <row r="1" spans="1:25" ht="19.149999999999999" customHeight="1" thickBot="1">
      <c r="A1" s="3738" t="s">
        <v>111</v>
      </c>
      <c r="B1" s="3738"/>
      <c r="C1" s="3738"/>
      <c r="D1" s="3738"/>
      <c r="E1" s="3738"/>
      <c r="F1" s="3738"/>
      <c r="G1" s="3738"/>
      <c r="H1" s="3738"/>
      <c r="I1" s="415"/>
      <c r="J1" s="272"/>
    </row>
    <row r="2" spans="1:25">
      <c r="A2" s="3738" t="s">
        <v>440</v>
      </c>
      <c r="B2" s="3738"/>
      <c r="C2" s="3738"/>
      <c r="D2" s="3738"/>
      <c r="E2" s="3738"/>
      <c r="F2" s="3738"/>
      <c r="G2" s="3738"/>
      <c r="H2" s="3738"/>
      <c r="I2" s="415"/>
      <c r="J2" s="272"/>
      <c r="K2" s="3732" t="s">
        <v>111</v>
      </c>
      <c r="L2" s="3733"/>
      <c r="M2" s="3733"/>
      <c r="N2" s="3733"/>
      <c r="O2" s="3734"/>
      <c r="P2" s="275"/>
      <c r="Q2" s="272"/>
    </row>
    <row r="3" spans="1:25">
      <c r="A3" s="3738" t="s">
        <v>400</v>
      </c>
      <c r="B3" s="3738"/>
      <c r="C3" s="3738"/>
      <c r="D3" s="3738"/>
      <c r="E3" s="3738"/>
      <c r="F3" s="3738"/>
      <c r="G3" s="3738"/>
      <c r="H3" s="3738"/>
      <c r="I3" s="278"/>
      <c r="J3" s="276"/>
      <c r="K3" s="3735" t="s">
        <v>401</v>
      </c>
      <c r="L3" s="3736"/>
      <c r="M3" s="3736"/>
      <c r="N3" s="3736"/>
      <c r="O3" s="3737"/>
      <c r="P3" s="276"/>
      <c r="Q3" s="275"/>
    </row>
    <row r="4" spans="1:25">
      <c r="A4" s="3750" t="str">
        <f>'PROPOSED RATES-12.2024'!A3</f>
        <v>TWELVE MONTHS ENDED JUNE 30, 2023</v>
      </c>
      <c r="B4" s="3750"/>
      <c r="C4" s="3750"/>
      <c r="D4" s="3750"/>
      <c r="E4" s="3750"/>
      <c r="F4" s="3750"/>
      <c r="G4" s="3750"/>
      <c r="H4" s="3750"/>
      <c r="I4" s="416"/>
      <c r="J4" s="277"/>
      <c r="K4" s="3735" t="s">
        <v>400</v>
      </c>
      <c r="L4" s="3736"/>
      <c r="M4" s="3736"/>
      <c r="N4" s="3736"/>
      <c r="O4" s="3737"/>
      <c r="P4" s="276"/>
      <c r="Q4" s="272"/>
    </row>
    <row r="5" spans="1:25" ht="16.5" thickBot="1">
      <c r="A5" s="576"/>
      <c r="B5" s="576"/>
      <c r="C5" s="576"/>
      <c r="D5" s="576"/>
      <c r="E5" s="576"/>
      <c r="F5" s="576"/>
      <c r="G5" s="576"/>
      <c r="H5" s="576"/>
      <c r="I5" s="416"/>
      <c r="J5" s="576"/>
      <c r="K5" s="3741"/>
      <c r="L5" s="3742"/>
      <c r="M5" s="3742"/>
      <c r="N5" s="3742"/>
      <c r="O5" s="3743"/>
      <c r="P5" s="282"/>
      <c r="Q5" s="333"/>
    </row>
    <row r="6" spans="1:25">
      <c r="A6" s="275"/>
      <c r="B6" s="275"/>
      <c r="C6" s="275"/>
      <c r="D6" s="275"/>
      <c r="E6" s="275"/>
      <c r="F6" s="611" t="s">
        <v>437</v>
      </c>
      <c r="G6" s="618" t="s">
        <v>437</v>
      </c>
      <c r="H6" s="3748"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3749"/>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3744" t="s">
        <v>70</v>
      </c>
      <c r="D9" s="3745"/>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3746"/>
      <c r="D10" s="3747"/>
      <c r="E10" s="282"/>
      <c r="F10" s="616" t="s">
        <v>439</v>
      </c>
      <c r="G10" s="621" t="s">
        <v>439</v>
      </c>
      <c r="H10" s="617" t="s">
        <v>439</v>
      </c>
      <c r="I10" s="283"/>
      <c r="J10" s="283"/>
      <c r="K10" s="303"/>
      <c r="L10" s="304"/>
      <c r="M10" s="304"/>
      <c r="N10" s="306"/>
      <c r="O10" s="312"/>
      <c r="P10" s="74"/>
      <c r="Q10" s="130"/>
    </row>
    <row r="11" spans="1:25" ht="16.5"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3739" t="s">
        <v>449</v>
      </c>
      <c r="S12" s="445"/>
    </row>
    <row r="13" spans="1:25">
      <c r="A13" s="286"/>
      <c r="F13" s="288"/>
      <c r="G13" s="288"/>
      <c r="H13" s="420"/>
      <c r="I13" s="420"/>
      <c r="J13" s="288"/>
      <c r="K13" s="303"/>
      <c r="L13" s="308" t="s">
        <v>441</v>
      </c>
      <c r="M13" s="313">
        <v>0.48499999999999999</v>
      </c>
      <c r="N13" s="426">
        <v>0.104</v>
      </c>
      <c r="O13" s="314">
        <f>ROUND(M13*N13,4)</f>
        <v>5.04E-2</v>
      </c>
      <c r="Q13" s="3740"/>
    </row>
    <row r="14" spans="1:25" ht="16.5"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5" thickBot="1">
      <c r="A15" s="286"/>
      <c r="F15" s="290"/>
      <c r="G15" s="290"/>
      <c r="H15" s="421"/>
      <c r="I15" s="421"/>
      <c r="J15" s="290"/>
      <c r="K15" s="303"/>
      <c r="L15" s="308" t="s">
        <v>24</v>
      </c>
      <c r="M15" s="317">
        <f>SUM(M11:M13)</f>
        <v>1</v>
      </c>
      <c r="N15" s="316"/>
      <c r="O15" s="318">
        <f>SUM(O11:O13)</f>
        <v>7.6100000000000001E-2</v>
      </c>
    </row>
    <row r="16" spans="1:25" ht="17.25"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5" thickBot="1">
      <c r="A23" s="286"/>
      <c r="G23" s="294"/>
      <c r="H23" s="273"/>
      <c r="K23" s="75"/>
      <c r="L23" s="552" t="s">
        <v>540</v>
      </c>
      <c r="M23" s="553">
        <f>M22+M21</f>
        <v>1154.8816181160946</v>
      </c>
      <c r="N23" s="553">
        <f>N22+N21</f>
        <v>42.62183353536696</v>
      </c>
      <c r="O23" s="553">
        <f>O22+O21</f>
        <v>1197.5034516514615</v>
      </c>
      <c r="P23" s="129"/>
      <c r="Q23" s="274"/>
    </row>
    <row r="24" spans="1:20" ht="17.25"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5"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8515625" defaultRowHeight="15.75"/>
  <cols>
    <col min="1" max="1" width="9.28515625" style="273"/>
    <col min="2" max="2" width="6.5703125" style="273" customWidth="1"/>
    <col min="3" max="3" width="42" style="273" customWidth="1"/>
    <col min="4" max="4" width="2.7109375" style="273" customWidth="1"/>
    <col min="5" max="5" width="20.28515625" style="589" customWidth="1"/>
    <col min="6" max="6" width="2.5703125" style="273" customWidth="1"/>
    <col min="7" max="8" width="9.28515625" style="273"/>
    <col min="9" max="9" width="19.7109375" style="273" bestFit="1" customWidth="1"/>
    <col min="10" max="10" width="15.5703125" style="273" customWidth="1"/>
    <col min="11" max="16384" width="9.285156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5"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703125" defaultRowHeight="12.75"/>
  <cols>
    <col min="1" max="1" width="4.5703125" style="622" customWidth="1"/>
    <col min="2" max="3" width="1.5703125" style="623" customWidth="1"/>
    <col min="4" max="4" width="33.28515625" style="623" customWidth="1"/>
    <col min="5" max="5" width="13.140625" style="624" customWidth="1"/>
    <col min="6" max="6" width="11.42578125" style="626" customWidth="1"/>
    <col min="7" max="7" width="11.85546875" style="626" customWidth="1"/>
    <col min="8" max="8" width="10.7109375" style="626" customWidth="1"/>
    <col min="9" max="9" width="12" style="626" customWidth="1"/>
    <col min="10" max="10" width="10.28515625" style="626" customWidth="1"/>
    <col min="11" max="11" width="12" style="626" customWidth="1"/>
    <col min="12" max="12" width="12.85546875" style="626" customWidth="1"/>
    <col min="13" max="13" width="13" style="626" customWidth="1"/>
    <col min="14" max="14" width="11.7109375" style="626" customWidth="1"/>
    <col min="15" max="15" width="14.85546875" style="626" customWidth="1"/>
    <col min="16" max="16" width="11" style="626" customWidth="1"/>
    <col min="17" max="17" width="12.5703125" style="626" customWidth="1"/>
    <col min="18" max="18" width="17.28515625" style="626" customWidth="1"/>
    <col min="19" max="19" width="15.5703125" style="626" customWidth="1"/>
    <col min="20" max="20" width="21.28515625" style="627" customWidth="1"/>
    <col min="21" max="21" width="14.5703125" style="628" customWidth="1"/>
    <col min="22" max="22" width="16.5703125" style="626" customWidth="1"/>
    <col min="23" max="23" width="15.85546875" style="626" customWidth="1"/>
    <col min="24" max="24" width="3.7109375" style="628" hidden="1" customWidth="1"/>
    <col min="25" max="25" width="19.28515625" style="629" customWidth="1"/>
    <col min="26" max="26" width="15.140625" style="626" customWidth="1"/>
    <col min="27" max="27" width="20.7109375" style="626" customWidth="1"/>
    <col min="28" max="28" width="12.140625" style="626" customWidth="1"/>
    <col min="29" max="29" width="13.140625" style="626" customWidth="1"/>
    <col min="30" max="30" width="11.42578125" style="630" customWidth="1"/>
    <col min="31" max="31" width="11.140625" style="629" customWidth="1"/>
    <col min="32" max="33" width="12" style="629" customWidth="1"/>
    <col min="34" max="34" width="12.140625" style="629" customWidth="1"/>
    <col min="35" max="35" width="12.28515625" style="626" customWidth="1"/>
    <col min="36" max="36" width="13.85546875" style="626" customWidth="1"/>
    <col min="37" max="37" width="13.28515625" style="626" customWidth="1"/>
    <col min="38" max="38" width="11.85546875" style="626" customWidth="1"/>
    <col min="39" max="39" width="14.7109375" style="626" customWidth="1"/>
    <col min="40" max="40" width="17" style="626" bestFit="1" customWidth="1"/>
    <col min="41" max="41" width="14.85546875" style="626" customWidth="1"/>
    <col min="42" max="42" width="19.7109375" style="626" customWidth="1"/>
    <col min="43" max="43" width="17.140625" style="626" customWidth="1"/>
    <col min="44" max="44" width="16.28515625" style="626" customWidth="1"/>
    <col min="45" max="45" width="11.85546875" style="626" customWidth="1"/>
    <col min="46" max="46" width="18" style="626" customWidth="1"/>
    <col min="47" max="47" width="19.85546875" style="626" customWidth="1"/>
    <col min="48" max="48" width="8.5703125" style="626" hidden="1" customWidth="1"/>
    <col min="49" max="49" width="17.5703125" style="631" customWidth="1"/>
    <col min="50" max="50" width="1.5703125" style="632" hidden="1" customWidth="1"/>
    <col min="51" max="51" width="13.28515625" style="626" hidden="1" customWidth="1"/>
    <col min="52" max="52" width="18.42578125" style="626" customWidth="1"/>
    <col min="53" max="53" width="15.5703125" style="630" customWidth="1"/>
    <col min="54" max="54" width="14.85546875" style="629" customWidth="1"/>
    <col min="55" max="55" width="13.28515625" style="626" customWidth="1"/>
    <col min="56" max="56" width="18.140625" style="626" customWidth="1"/>
    <col min="57" max="57" width="15.140625" style="626" customWidth="1"/>
    <col min="58" max="58" width="18.42578125" style="626" customWidth="1"/>
    <col min="59" max="59" width="20.85546875" style="626" customWidth="1"/>
    <col min="60" max="60" width="17" style="626" hidden="1" customWidth="1"/>
    <col min="61" max="61" width="17.140625" style="629" customWidth="1"/>
    <col min="62" max="62" width="19.28515625" style="626" customWidth="1"/>
    <col min="63" max="63" width="10.5703125" style="633"/>
    <col min="64" max="71" width="10.5703125" style="634"/>
    <col min="72" max="16384" width="10.570312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3751" t="s">
        <v>642</v>
      </c>
      <c r="AX4" s="632"/>
      <c r="AY4" s="648"/>
      <c r="AZ4" s="578"/>
      <c r="BA4" s="642"/>
      <c r="BB4" s="648"/>
      <c r="BC4" s="531"/>
      <c r="BD4" s="637"/>
      <c r="BE4" s="651"/>
      <c r="BF4" s="531"/>
      <c r="BG4" s="638"/>
      <c r="BH4" s="638"/>
      <c r="BI4" s="3751"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3751"/>
      <c r="AX5" s="871"/>
      <c r="AY5" s="648"/>
      <c r="AZ5" s="639"/>
      <c r="BA5" s="659"/>
      <c r="BB5" s="657"/>
      <c r="BC5" s="531"/>
      <c r="BD5" s="637"/>
      <c r="BE5" s="645"/>
      <c r="BF5" s="531"/>
      <c r="BG5" s="657"/>
      <c r="BH5" s="657"/>
      <c r="BI5" s="3751"/>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15"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15"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15"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15"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5"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5"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2578125" defaultRowHeight="12.75" outlineLevelRow="1"/>
  <cols>
    <col min="1" max="1" width="10" style="11" customWidth="1"/>
    <col min="2" max="2" width="12.5703125" style="157" customWidth="1"/>
    <col min="3" max="3" width="41.7109375" style="11" customWidth="1"/>
    <col min="4" max="5" width="11.42578125" style="11" customWidth="1"/>
    <col min="6" max="6" width="11.42578125" style="247" customWidth="1"/>
    <col min="7" max="7" width="8.42578125" style="216" customWidth="1"/>
    <col min="8" max="8" width="8.42578125" style="494" bestFit="1" customWidth="1"/>
    <col min="9" max="9" width="16.28515625" style="25" bestFit="1" customWidth="1"/>
    <col min="10" max="10" width="10.28515625" style="478" bestFit="1" customWidth="1"/>
    <col min="11" max="11" width="8.42578125" customWidth="1"/>
    <col min="12" max="12" width="8.42578125" style="11" customWidth="1"/>
    <col min="13" max="16384" width="11.42578125" style="11"/>
  </cols>
  <sheetData>
    <row r="1" spans="1:13">
      <c r="A1" s="3753" t="str">
        <f>'ADJ DETAIL INPUT'!A2</f>
        <v>AVISTA UTILITIES</v>
      </c>
      <c r="B1" s="3753"/>
      <c r="C1" s="3753"/>
      <c r="D1" s="3753"/>
      <c r="E1" s="3753"/>
      <c r="F1" s="3753"/>
      <c r="G1" s="3753"/>
      <c r="J1" s="497"/>
    </row>
    <row r="2" spans="1:13">
      <c r="A2" s="3754" t="s">
        <v>68</v>
      </c>
      <c r="B2" s="3754"/>
      <c r="C2" s="3754"/>
      <c r="D2" s="3754"/>
      <c r="E2" s="3754"/>
      <c r="F2" s="3754"/>
      <c r="G2" s="3754"/>
      <c r="J2" s="497"/>
    </row>
    <row r="3" spans="1:13" s="18" customFormat="1">
      <c r="A3" s="3755" t="s">
        <v>142</v>
      </c>
      <c r="B3" s="3755"/>
      <c r="C3" s="3755"/>
      <c r="D3" s="3755"/>
      <c r="E3" s="3755"/>
      <c r="F3" s="3755"/>
      <c r="G3" s="3755"/>
      <c r="H3" s="495"/>
      <c r="I3" s="500"/>
      <c r="J3" s="498"/>
      <c r="K3"/>
    </row>
    <row r="4" spans="1:13" s="18" customFormat="1">
      <c r="A4" s="3752" t="str">
        <f>'PROPOSED RATES-12.2024'!A3</f>
        <v>TWELVE MONTHS ENDED JUNE 30, 2023</v>
      </c>
      <c r="B4" s="3752"/>
      <c r="C4" s="3752"/>
      <c r="D4" s="3752"/>
      <c r="E4" s="3752"/>
      <c r="F4" s="3752"/>
      <c r="G4" s="3752"/>
      <c r="H4" s="495"/>
      <c r="I4" s="500"/>
      <c r="J4" s="498"/>
      <c r="K4"/>
    </row>
    <row r="5" spans="1:13" s="18" customFormat="1">
      <c r="A5" s="11"/>
      <c r="B5" s="157"/>
      <c r="C5" s="11"/>
      <c r="D5" s="3756" t="s">
        <v>68</v>
      </c>
      <c r="E5" s="3756"/>
      <c r="F5" s="3756"/>
      <c r="G5" s="450">
        <f>'RR SUMMARY'!O15</f>
        <v>7.6100000000000001E-2</v>
      </c>
      <c r="H5" s="495"/>
      <c r="I5" s="500"/>
      <c r="J5" s="498"/>
      <c r="K5"/>
    </row>
    <row r="6" spans="1:13" ht="25.5">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5"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5"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25" thickTop="1" thickBot="1">
      <c r="C69" s="474" t="s">
        <v>579</v>
      </c>
      <c r="F69" s="456">
        <f>F68-F53</f>
        <v>4564.6205371959586</v>
      </c>
    </row>
    <row r="70" spans="1:12" ht="13.5"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8515625" defaultRowHeight="12.75"/>
  <cols>
    <col min="1" max="1" width="30.7109375" style="387" customWidth="1"/>
    <col min="2" max="3" width="9.28515625" style="387" customWidth="1"/>
    <col min="4" max="4" width="16.5703125" style="387" customWidth="1"/>
    <col min="5" max="5" width="16.28515625" style="387" customWidth="1"/>
    <col min="6" max="9" width="9.28515625" style="387"/>
    <col min="10" max="10" width="9.42578125" style="387" customWidth="1"/>
    <col min="11" max="16384" width="9.285156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757" t="s">
        <v>620</v>
      </c>
      <c r="B33" s="3757"/>
      <c r="C33" s="3757"/>
      <c r="D33" s="3757"/>
      <c r="E33" s="375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8515625" defaultRowHeight="11.25" customHeight="1"/>
  <cols>
    <col min="1" max="1" width="8.42578125" style="224" customWidth="1"/>
    <col min="2" max="2" width="26.28515625" style="224" customWidth="1"/>
    <col min="3" max="3" width="12.42578125" style="224" customWidth="1"/>
    <col min="4" max="4" width="6.5703125" style="224" customWidth="1"/>
    <col min="5" max="5" width="12.42578125" style="341" customWidth="1"/>
    <col min="6" max="6" width="12.42578125" style="342" customWidth="1"/>
    <col min="7" max="7" width="12.42578125" style="341" customWidth="1"/>
    <col min="8" max="8" width="12.7109375" style="224" bestFit="1" customWidth="1"/>
    <col min="9" max="9" width="12.28515625" style="515" bestFit="1" customWidth="1"/>
    <col min="20" max="16384" width="9.28515625" style="7"/>
  </cols>
  <sheetData>
    <row r="1" spans="1:8" ht="16.5" customHeight="1">
      <c r="F1" s="215"/>
    </row>
    <row r="2" spans="1:8" ht="4.5" customHeight="1"/>
    <row r="3" spans="1:8" ht="12.75">
      <c r="A3" s="3758" t="s">
        <v>111</v>
      </c>
      <c r="B3" s="3758"/>
      <c r="C3" s="3758"/>
      <c r="E3" s="343"/>
      <c r="F3" s="344"/>
      <c r="G3" s="343"/>
    </row>
    <row r="4" spans="1:8" ht="12.75">
      <c r="A4" s="345" t="s">
        <v>189</v>
      </c>
      <c r="B4" s="345"/>
      <c r="C4" s="345"/>
      <c r="E4" s="346" t="s">
        <v>75</v>
      </c>
      <c r="F4" s="346"/>
      <c r="G4" s="346"/>
    </row>
    <row r="5" spans="1:8" ht="12.75">
      <c r="A5" s="3758" t="s">
        <v>580</v>
      </c>
      <c r="B5" s="3758"/>
      <c r="C5" s="3758"/>
      <c r="E5" s="346" t="s">
        <v>76</v>
      </c>
      <c r="F5" s="346"/>
      <c r="G5" s="346"/>
    </row>
    <row r="6" spans="1:8" ht="12.75">
      <c r="A6" s="345" t="s">
        <v>77</v>
      </c>
      <c r="B6" s="345"/>
      <c r="C6" s="345"/>
      <c r="E6" s="347"/>
      <c r="F6" s="348" t="s">
        <v>78</v>
      </c>
      <c r="G6" s="347"/>
    </row>
    <row r="7" spans="1:8" ht="12.75">
      <c r="A7" s="340" t="s">
        <v>6</v>
      </c>
      <c r="E7" s="343"/>
      <c r="F7" s="349"/>
      <c r="G7" s="343"/>
    </row>
    <row r="8" spans="1:8" ht="12.75">
      <c r="A8" s="350" t="s">
        <v>15</v>
      </c>
      <c r="B8" s="351" t="s">
        <v>70</v>
      </c>
      <c r="C8" s="351"/>
      <c r="E8" s="352" t="s">
        <v>79</v>
      </c>
      <c r="F8" s="353" t="s">
        <v>80</v>
      </c>
      <c r="G8" s="352" t="s">
        <v>81</v>
      </c>
      <c r="H8" s="8" t="s">
        <v>82</v>
      </c>
    </row>
    <row r="9" spans="1:8" ht="12.75">
      <c r="A9" s="340"/>
      <c r="B9" s="224" t="s">
        <v>31</v>
      </c>
      <c r="E9" s="354"/>
      <c r="F9" s="349"/>
      <c r="G9" s="354"/>
    </row>
    <row r="10" spans="1:8" ht="12.75">
      <c r="A10" s="340"/>
      <c r="B10" s="78"/>
      <c r="E10" s="56"/>
      <c r="F10" s="355"/>
      <c r="G10" s="355"/>
    </row>
    <row r="11" spans="1:8" ht="12.75">
      <c r="A11" s="340"/>
      <c r="B11" s="78"/>
      <c r="E11" s="56"/>
      <c r="F11" s="355"/>
      <c r="G11" s="355"/>
    </row>
    <row r="12" spans="1:8" ht="12.75">
      <c r="A12" s="340"/>
      <c r="E12" s="354"/>
      <c r="F12" s="349"/>
      <c r="G12" s="349"/>
    </row>
    <row r="13" spans="1:8" ht="5.25" customHeight="1">
      <c r="A13" s="340"/>
      <c r="E13" s="354"/>
      <c r="F13" s="349"/>
      <c r="G13" s="349"/>
    </row>
    <row r="14" spans="1:8" ht="12.75">
      <c r="A14" s="340"/>
      <c r="E14" s="354"/>
      <c r="F14" s="349"/>
      <c r="G14" s="349"/>
    </row>
    <row r="15" spans="1:8" ht="12.75">
      <c r="A15" s="340">
        <v>1</v>
      </c>
      <c r="B15" s="224" t="s">
        <v>83</v>
      </c>
      <c r="E15" s="17">
        <f>F15+G15</f>
        <v>246541</v>
      </c>
      <c r="F15" s="256">
        <f>F94</f>
        <v>246541</v>
      </c>
      <c r="G15" s="256">
        <f>G94</f>
        <v>0</v>
      </c>
      <c r="H15" s="356" t="str">
        <f>IF(E15=F15+G15," ","ERROR")</f>
        <v xml:space="preserve"> </v>
      </c>
    </row>
    <row r="16" spans="1:8" ht="12.75">
      <c r="A16" s="340">
        <v>2</v>
      </c>
      <c r="B16" s="224" t="s">
        <v>84</v>
      </c>
      <c r="E16" s="9">
        <f>F16+G16</f>
        <v>5180</v>
      </c>
      <c r="F16" s="357">
        <f>F99</f>
        <v>5180</v>
      </c>
      <c r="G16" s="357">
        <f>G99</f>
        <v>0</v>
      </c>
      <c r="H16" s="356" t="str">
        <f>IF(E16=F16+G16," ","ERROR")</f>
        <v xml:space="preserve"> </v>
      </c>
    </row>
    <row r="17" spans="1:9" ht="12.75">
      <c r="A17" s="340">
        <v>3</v>
      </c>
      <c r="B17" s="224" t="s">
        <v>34</v>
      </c>
      <c r="E17" s="358">
        <f>F17+G17</f>
        <v>37118</v>
      </c>
      <c r="F17" s="359">
        <f>F104-F99</f>
        <v>37118</v>
      </c>
      <c r="G17" s="359">
        <f>G104-G99</f>
        <v>0</v>
      </c>
      <c r="H17" s="356" t="str">
        <f>IF(E17=F17+G17," ","ERROR")</f>
        <v xml:space="preserve"> </v>
      </c>
    </row>
    <row r="18" spans="1:9" ht="12.7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75">
      <c r="A19" s="340"/>
      <c r="E19" s="9"/>
      <c r="F19" s="9"/>
      <c r="G19" s="9"/>
      <c r="H19" s="356"/>
    </row>
    <row r="20" spans="1:9" ht="12.75">
      <c r="A20" s="340"/>
      <c r="B20" s="224" t="s">
        <v>36</v>
      </c>
      <c r="E20" s="9"/>
      <c r="F20" s="9"/>
      <c r="G20" s="9"/>
      <c r="H20" s="356"/>
    </row>
    <row r="21" spans="1:9" ht="12.75">
      <c r="A21" s="340"/>
      <c r="B21" s="224" t="s">
        <v>192</v>
      </c>
      <c r="E21" s="9"/>
      <c r="F21" s="357"/>
      <c r="G21" s="357"/>
      <c r="H21" s="360" t="str">
        <f>IF(E21=F21+G21," ","ERROR")</f>
        <v xml:space="preserve"> </v>
      </c>
    </row>
    <row r="22" spans="1:9" ht="12.75">
      <c r="A22" s="340">
        <v>5</v>
      </c>
      <c r="B22" s="224" t="s">
        <v>86</v>
      </c>
      <c r="E22" s="9">
        <f>F22+G22</f>
        <v>139821</v>
      </c>
      <c r="F22" s="357">
        <f>F108</f>
        <v>139821</v>
      </c>
      <c r="G22" s="357">
        <f>G108</f>
        <v>0</v>
      </c>
      <c r="H22" s="356" t="str">
        <f>IF(E22=F22+G22," ","ERROR")</f>
        <v xml:space="preserve"> </v>
      </c>
    </row>
    <row r="23" spans="1:9" ht="12.75">
      <c r="A23" s="340">
        <v>6</v>
      </c>
      <c r="B23" s="224" t="s">
        <v>87</v>
      </c>
      <c r="E23" s="9">
        <f>F23+G23</f>
        <v>869</v>
      </c>
      <c r="F23" s="357">
        <f>F111+F112-1</f>
        <v>869</v>
      </c>
      <c r="G23" s="357">
        <f>G110+G111+G112</f>
        <v>0</v>
      </c>
      <c r="H23" s="356" t="str">
        <f>IF(E23=F23+G23," ","ERROR")</f>
        <v xml:space="preserve"> </v>
      </c>
    </row>
    <row r="24" spans="1:9" ht="12.75">
      <c r="A24" s="340">
        <v>7</v>
      </c>
      <c r="B24" s="224" t="s">
        <v>88</v>
      </c>
      <c r="E24" s="358">
        <f>F24+G24</f>
        <v>8789</v>
      </c>
      <c r="F24" s="359">
        <f>F109+F110</f>
        <v>8789</v>
      </c>
      <c r="G24" s="359">
        <f>G109</f>
        <v>0</v>
      </c>
      <c r="H24" s="356" t="str">
        <f>IF(E24=F24+G24," ","ERROR")</f>
        <v xml:space="preserve"> </v>
      </c>
    </row>
    <row r="25" spans="1:9" ht="12.75">
      <c r="A25" s="340">
        <v>8</v>
      </c>
      <c r="B25" s="224" t="s">
        <v>89</v>
      </c>
      <c r="E25" s="9">
        <f>SUM(E22:E24)</f>
        <v>149479</v>
      </c>
      <c r="F25" s="9">
        <f>SUM(F22:F24)</f>
        <v>149479</v>
      </c>
      <c r="G25" s="9">
        <f>SUM(G22:G24)</f>
        <v>0</v>
      </c>
      <c r="H25" s="356" t="str">
        <f>IF(E25=F25+G25," ","ERROR")</f>
        <v xml:space="preserve"> </v>
      </c>
      <c r="I25" s="515">
        <f>F25-(SUM(H108:H114)/1000)</f>
        <v>0.3060000000114087</v>
      </c>
    </row>
    <row r="26" spans="1:9" ht="12.75">
      <c r="A26" s="340"/>
      <c r="E26" s="9"/>
      <c r="F26" s="9"/>
      <c r="G26" s="9"/>
      <c r="H26" s="356"/>
    </row>
    <row r="27" spans="1:9" ht="12.75">
      <c r="A27" s="340"/>
      <c r="B27" s="224" t="s">
        <v>41</v>
      </c>
      <c r="E27" s="9"/>
      <c r="F27" s="9"/>
      <c r="G27" s="9"/>
      <c r="H27" s="356"/>
    </row>
    <row r="28" spans="1:9" ht="12.75">
      <c r="A28" s="340">
        <v>9</v>
      </c>
      <c r="B28" s="224" t="s">
        <v>90</v>
      </c>
      <c r="E28" s="9">
        <f>F28+G28</f>
        <v>2062</v>
      </c>
      <c r="F28" s="357">
        <f>F121</f>
        <v>2062</v>
      </c>
      <c r="G28" s="357">
        <f>G121</f>
        <v>0</v>
      </c>
      <c r="H28" s="356" t="str">
        <f>IF(E28=F28+G28," ","ERROR")</f>
        <v xml:space="preserve"> </v>
      </c>
    </row>
    <row r="29" spans="1:9" ht="12.75">
      <c r="A29" s="340">
        <v>10</v>
      </c>
      <c r="B29" s="224" t="s">
        <v>91</v>
      </c>
      <c r="E29" s="9">
        <f>F29+G29</f>
        <v>512</v>
      </c>
      <c r="F29" s="357">
        <f>F123+F124</f>
        <v>512</v>
      </c>
      <c r="G29" s="357">
        <f>G123+G124</f>
        <v>0</v>
      </c>
      <c r="H29" s="356" t="str">
        <f>IF(E29=F29+G29," ","ERROR")</f>
        <v xml:space="preserve"> </v>
      </c>
    </row>
    <row r="30" spans="1:9" ht="12.75">
      <c r="A30" s="340">
        <v>11</v>
      </c>
      <c r="B30" s="224" t="s">
        <v>92</v>
      </c>
      <c r="E30" s="358">
        <f>F30+G30</f>
        <v>161</v>
      </c>
      <c r="F30" s="359">
        <f>F125</f>
        <v>161</v>
      </c>
      <c r="G30" s="359">
        <f>G125</f>
        <v>0</v>
      </c>
      <c r="H30" s="356" t="str">
        <f>IF(E30=F30+G30," ","ERROR")</f>
        <v xml:space="preserve"> </v>
      </c>
    </row>
    <row r="31" spans="1:9" ht="12.7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75">
      <c r="A32" s="340"/>
      <c r="E32" s="9"/>
      <c r="F32" s="357"/>
      <c r="G32" s="357"/>
      <c r="H32" s="356"/>
    </row>
    <row r="33" spans="1:9" ht="12.75">
      <c r="A33" s="340"/>
      <c r="B33" s="224" t="s">
        <v>45</v>
      </c>
      <c r="E33" s="9"/>
      <c r="F33" s="357"/>
      <c r="G33" s="357"/>
      <c r="H33" s="356"/>
    </row>
    <row r="34" spans="1:9" ht="12.75">
      <c r="A34" s="340">
        <v>13</v>
      </c>
      <c r="B34" s="224" t="s">
        <v>90</v>
      </c>
      <c r="E34" s="9">
        <f>F34+G34</f>
        <v>12916</v>
      </c>
      <c r="F34" s="357">
        <f>F152</f>
        <v>12916</v>
      </c>
      <c r="G34" s="357">
        <f>G152</f>
        <v>0</v>
      </c>
      <c r="H34" s="356" t="str">
        <f t="shared" ref="H34:H41" si="0">IF(E34=F34+G34," ","ERROR")</f>
        <v xml:space="preserve"> </v>
      </c>
    </row>
    <row r="35" spans="1:9" ht="12.75">
      <c r="A35" s="340">
        <v>14</v>
      </c>
      <c r="B35" s="224" t="s">
        <v>91</v>
      </c>
      <c r="E35" s="9">
        <f>F35+G35</f>
        <v>16440</v>
      </c>
      <c r="F35" s="357">
        <f>F154</f>
        <v>16440</v>
      </c>
      <c r="G35" s="357">
        <f>G154</f>
        <v>0</v>
      </c>
      <c r="H35" s="356" t="str">
        <f t="shared" si="0"/>
        <v xml:space="preserve"> </v>
      </c>
    </row>
    <row r="36" spans="1:9" ht="12.7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75">
      <c r="A40" s="340">
        <v>18</v>
      </c>
      <c r="B40" s="224" t="s">
        <v>48</v>
      </c>
      <c r="E40" s="9">
        <f>F40+G40</f>
        <v>14067</v>
      </c>
      <c r="F40" s="357">
        <f>F172</f>
        <v>14067</v>
      </c>
      <c r="G40" s="357">
        <f>G172</f>
        <v>0</v>
      </c>
      <c r="H40" s="356" t="str">
        <f t="shared" si="0"/>
        <v xml:space="preserve"> </v>
      </c>
      <c r="I40" s="515">
        <f>F40-(SUM(H169:H171)/1000)</f>
        <v>-9.7999999999956344E-2</v>
      </c>
    </row>
    <row r="41" spans="1:9" ht="12.75">
      <c r="A41" s="340">
        <v>19</v>
      </c>
      <c r="B41" s="224" t="s">
        <v>95</v>
      </c>
      <c r="E41" s="9">
        <f>F41+G41</f>
        <v>0</v>
      </c>
      <c r="F41" s="357">
        <f>F178</f>
        <v>0</v>
      </c>
      <c r="G41" s="357">
        <f>G178</f>
        <v>0</v>
      </c>
      <c r="H41" s="356" t="str">
        <f t="shared" si="0"/>
        <v xml:space="preserve"> </v>
      </c>
      <c r="I41" s="515">
        <f>F41-(SUM(H175:H177)/1000)</f>
        <v>-0.27900000000000003</v>
      </c>
    </row>
    <row r="42" spans="1:9" ht="12.75">
      <c r="A42" s="340"/>
      <c r="E42" s="9"/>
      <c r="F42" s="357"/>
      <c r="G42" s="357"/>
      <c r="H42" s="356"/>
    </row>
    <row r="43" spans="1:9" ht="12.75">
      <c r="A43" s="340"/>
      <c r="B43" s="224" t="s">
        <v>96</v>
      </c>
      <c r="E43" s="9"/>
      <c r="F43" s="357"/>
      <c r="G43" s="357"/>
      <c r="H43" s="356"/>
    </row>
    <row r="44" spans="1:9" ht="12.75">
      <c r="A44" s="340">
        <v>20</v>
      </c>
      <c r="B44" s="224" t="s">
        <v>90</v>
      </c>
      <c r="E44" s="9">
        <f>F44+G44</f>
        <v>24398</v>
      </c>
      <c r="F44" s="357">
        <f>F192</f>
        <v>24398</v>
      </c>
      <c r="G44" s="357">
        <f>G192</f>
        <v>0</v>
      </c>
      <c r="H44" s="356" t="str">
        <f>IF(E44=F44+G44," ","ERROR")</f>
        <v xml:space="preserve"> </v>
      </c>
    </row>
    <row r="45" spans="1:9" ht="12.75">
      <c r="A45" s="340">
        <v>21</v>
      </c>
      <c r="B45" s="224" t="s">
        <v>371</v>
      </c>
      <c r="E45" s="9">
        <f>F45+G45</f>
        <v>12802</v>
      </c>
      <c r="F45" s="357">
        <f>F194+F195+F196+F197</f>
        <v>12802</v>
      </c>
      <c r="G45" s="357">
        <f>G194+G195+G196+G197</f>
        <v>0</v>
      </c>
      <c r="H45" s="356" t="str">
        <f>IF(E45=F45+G45," ","ERROR")</f>
        <v xml:space="preserve"> </v>
      </c>
    </row>
    <row r="46" spans="1:9" ht="12.75">
      <c r="A46" s="340">
        <v>22</v>
      </c>
      <c r="B46" s="224" t="s">
        <v>369</v>
      </c>
      <c r="E46" s="9">
        <f>F46+G46</f>
        <v>1612</v>
      </c>
      <c r="F46" s="357">
        <f>SUM(F198:F217)</f>
        <v>1612</v>
      </c>
      <c r="G46" s="357">
        <f>SUM(G209:G218)</f>
        <v>0</v>
      </c>
      <c r="H46" s="356"/>
    </row>
    <row r="47" spans="1:9" ht="12.75">
      <c r="A47" s="340">
        <v>23</v>
      </c>
      <c r="B47" s="224" t="s">
        <v>92</v>
      </c>
      <c r="E47" s="358">
        <f>F47+G47</f>
        <v>1132</v>
      </c>
      <c r="F47" s="359">
        <f>F218</f>
        <v>1132</v>
      </c>
      <c r="G47" s="359">
        <v>0</v>
      </c>
      <c r="H47" s="356" t="str">
        <f>IF(E47=F47+G47," ","ERROR")</f>
        <v xml:space="preserve"> </v>
      </c>
    </row>
    <row r="48" spans="1:9" ht="12.7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75">
      <c r="A49" s="340">
        <v>25</v>
      </c>
      <c r="B49" s="224" t="s">
        <v>52</v>
      </c>
      <c r="E49" s="358">
        <f>E25+E31+E37+E39+E40+E41+E48</f>
        <v>260577</v>
      </c>
      <c r="F49" s="358">
        <f>F25+F31+F37+F39+F40+F41+F48</f>
        <v>260577</v>
      </c>
      <c r="G49" s="358">
        <f>G25+G31+G37+G39+G40+G41+G48+G21</f>
        <v>0</v>
      </c>
      <c r="H49" s="356" t="str">
        <f>IF(E49=F49+G49," ","ERROR")</f>
        <v xml:space="preserve"> </v>
      </c>
    </row>
    <row r="50" spans="1:9" ht="12.75">
      <c r="A50" s="340"/>
      <c r="E50" s="9"/>
      <c r="F50" s="9"/>
      <c r="G50" s="9"/>
      <c r="H50" s="356"/>
    </row>
    <row r="51" spans="1:9" ht="12.7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75">
      <c r="A54" s="340">
        <v>27</v>
      </c>
      <c r="B54" s="361" t="s">
        <v>100</v>
      </c>
      <c r="D54" s="362">
        <v>0.21</v>
      </c>
      <c r="E54" s="9">
        <f>F54+G54</f>
        <v>-4387</v>
      </c>
      <c r="F54" s="357">
        <f>F227</f>
        <v>-4387</v>
      </c>
      <c r="G54" s="357">
        <f>G227</f>
        <v>0</v>
      </c>
      <c r="H54" s="356" t="str">
        <f>IF(E54=F54+G54," ","ERROR")</f>
        <v xml:space="preserve"> </v>
      </c>
    </row>
    <row r="55" spans="1:9" ht="12.75">
      <c r="A55" s="340">
        <v>28</v>
      </c>
      <c r="B55" s="361" t="s">
        <v>204</v>
      </c>
      <c r="D55" s="362"/>
      <c r="E55" s="9"/>
      <c r="F55" s="357"/>
      <c r="G55" s="357"/>
      <c r="H55" s="356"/>
    </row>
    <row r="56" spans="1:9" ht="12.75">
      <c r="A56" s="340">
        <v>29</v>
      </c>
      <c r="B56" s="224" t="s">
        <v>101</v>
      </c>
      <c r="E56" s="9">
        <f>F56+G56</f>
        <v>-3743</v>
      </c>
      <c r="F56" s="357">
        <f>F228</f>
        <v>-3743</v>
      </c>
      <c r="G56" s="357">
        <f>G228</f>
        <v>0</v>
      </c>
      <c r="H56" s="356" t="str">
        <f>IF(E56=F56+G56," ","ERROR")</f>
        <v xml:space="preserve"> </v>
      </c>
    </row>
    <row r="57" spans="1:9" ht="12.75">
      <c r="A57" s="340">
        <v>30</v>
      </c>
      <c r="B57" s="224" t="s">
        <v>102</v>
      </c>
      <c r="E57" s="358">
        <f>F57+G57</f>
        <v>0</v>
      </c>
      <c r="F57" s="359">
        <f>F229</f>
        <v>0</v>
      </c>
      <c r="G57" s="359">
        <f>G229</f>
        <v>0</v>
      </c>
      <c r="H57" s="356" t="str">
        <f>IF(E57=F57+G57," ","ERROR")</f>
        <v xml:space="preserve"> </v>
      </c>
    </row>
    <row r="58" spans="1:9" ht="12.75">
      <c r="A58" s="340"/>
      <c r="G58" s="342"/>
      <c r="H58" s="356"/>
    </row>
    <row r="59" spans="1:9" ht="13.5" thickBot="1">
      <c r="A59" s="340">
        <v>31</v>
      </c>
      <c r="B59" s="363" t="s">
        <v>58</v>
      </c>
      <c r="E59" s="10">
        <f>E51-(+E54+E56+E57)</f>
        <v>36392</v>
      </c>
      <c r="F59" s="10">
        <f>F51-(F54+F56+F57)</f>
        <v>36392</v>
      </c>
      <c r="G59" s="10">
        <f>G51-(G54+G56+G57)</f>
        <v>0</v>
      </c>
      <c r="H59" s="356" t="str">
        <f>IF(E59=F59+G59," ","ERROR")</f>
        <v xml:space="preserve"> </v>
      </c>
    </row>
    <row r="60" spans="1:9" ht="13.5" thickTop="1">
      <c r="A60" s="340"/>
      <c r="E60" s="349"/>
      <c r="F60" s="349"/>
      <c r="G60" s="349"/>
      <c r="H60" s="356"/>
    </row>
    <row r="61" spans="1:9" ht="12.75">
      <c r="A61" s="340"/>
      <c r="B61" s="361" t="s">
        <v>103</v>
      </c>
      <c r="G61" s="342"/>
      <c r="H61" s="356"/>
    </row>
    <row r="62" spans="1:9" ht="12.75">
      <c r="A62" s="340"/>
      <c r="B62" s="361" t="s">
        <v>104</v>
      </c>
      <c r="G62" s="342"/>
      <c r="H62" s="356"/>
    </row>
    <row r="63" spans="1:9" ht="12.7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7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7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75">
      <c r="A66" s="340">
        <v>35</v>
      </c>
      <c r="B66" s="224" t="s">
        <v>108</v>
      </c>
      <c r="E66" s="9">
        <f>SUM(E63:E65)</f>
        <v>846495.39999999991</v>
      </c>
      <c r="F66" s="357">
        <f>SUM(F63:F65)</f>
        <v>846495.39999999991</v>
      </c>
      <c r="G66" s="357">
        <f>SUM(G63:G65)</f>
        <v>0</v>
      </c>
      <c r="H66" s="356" t="str">
        <f t="shared" si="1"/>
        <v xml:space="preserve"> </v>
      </c>
    </row>
    <row r="67" spans="1:9" ht="12.75">
      <c r="A67" s="340"/>
      <c r="E67" s="9"/>
      <c r="F67" s="357"/>
      <c r="G67" s="357"/>
      <c r="H67" s="356"/>
    </row>
    <row r="68" spans="1:9" ht="12.75">
      <c r="A68" s="340"/>
      <c r="B68" s="224" t="s">
        <v>372</v>
      </c>
      <c r="E68" s="9"/>
      <c r="F68" s="357"/>
      <c r="G68" s="357"/>
      <c r="H68" s="356" t="str">
        <f t="shared" si="1"/>
        <v xml:space="preserve"> </v>
      </c>
    </row>
    <row r="69" spans="1:9" ht="12.75">
      <c r="A69" s="340">
        <v>36</v>
      </c>
      <c r="B69" s="224" t="s">
        <v>105</v>
      </c>
      <c r="E69" s="9">
        <f>F69+G69</f>
        <v>-13149</v>
      </c>
      <c r="F69" s="357">
        <f>F282+F290</f>
        <v>-13149</v>
      </c>
      <c r="G69" s="357">
        <f>G282+G290</f>
        <v>0</v>
      </c>
      <c r="H69" s="356" t="str">
        <f t="shared" si="1"/>
        <v xml:space="preserve"> </v>
      </c>
    </row>
    <row r="70" spans="1:9" ht="12.75">
      <c r="A70" s="340">
        <v>37</v>
      </c>
      <c r="B70" s="224" t="s">
        <v>106</v>
      </c>
      <c r="E70" s="9">
        <f>F70+G70</f>
        <v>-188334</v>
      </c>
      <c r="F70" s="357">
        <f>F283</f>
        <v>-188334</v>
      </c>
      <c r="G70" s="357">
        <f>G283</f>
        <v>0</v>
      </c>
      <c r="H70" s="356" t="str">
        <f t="shared" si="1"/>
        <v xml:space="preserve"> </v>
      </c>
    </row>
    <row r="71" spans="1:9" ht="12.75">
      <c r="A71" s="340">
        <v>38</v>
      </c>
      <c r="B71" s="224" t="s">
        <v>107</v>
      </c>
      <c r="E71" s="358">
        <f>F71+G71</f>
        <v>-62353</v>
      </c>
      <c r="F71" s="359">
        <f>F284+F288+F289+F291</f>
        <v>-62353</v>
      </c>
      <c r="G71" s="359">
        <f>G284+G288+G289+G291</f>
        <v>0</v>
      </c>
      <c r="H71" s="356" t="str">
        <f t="shared" si="1"/>
        <v xml:space="preserve"> </v>
      </c>
    </row>
    <row r="72" spans="1:9" ht="12.75">
      <c r="A72" s="340">
        <v>39</v>
      </c>
      <c r="B72" s="224" t="s">
        <v>373</v>
      </c>
      <c r="E72" s="364">
        <f>SUM(E69:E71)</f>
        <v>-263836</v>
      </c>
      <c r="F72" s="364">
        <f>SUM(F69:F71)</f>
        <v>-263836</v>
      </c>
      <c r="G72" s="364">
        <f>SUM(G69:G71)</f>
        <v>0</v>
      </c>
      <c r="H72" s="356" t="str">
        <f t="shared" si="1"/>
        <v xml:space="preserve"> </v>
      </c>
    </row>
    <row r="73" spans="1:9" ht="12.75">
      <c r="A73" s="340">
        <v>40</v>
      </c>
      <c r="B73" s="224" t="s">
        <v>164</v>
      </c>
      <c r="E73" s="9">
        <f>E66+E72</f>
        <v>582659.39999999991</v>
      </c>
      <c r="F73" s="9">
        <f>F66+F72</f>
        <v>582659.39999999991</v>
      </c>
      <c r="G73" s="9">
        <f>G66+G72</f>
        <v>0</v>
      </c>
      <c r="H73" s="356"/>
    </row>
    <row r="74" spans="1:9" ht="12.75">
      <c r="A74" s="340">
        <v>41</v>
      </c>
      <c r="B74" s="361" t="s">
        <v>109</v>
      </c>
      <c r="E74" s="365">
        <f>F74+G74</f>
        <v>-84772</v>
      </c>
      <c r="F74" s="365">
        <f>F304</f>
        <v>-84772</v>
      </c>
      <c r="G74" s="365">
        <f>G304</f>
        <v>0</v>
      </c>
      <c r="H74" s="356" t="str">
        <f t="shared" si="1"/>
        <v xml:space="preserve"> </v>
      </c>
    </row>
    <row r="75" spans="1:9" ht="12.75">
      <c r="A75" s="340">
        <v>42</v>
      </c>
      <c r="B75" s="120" t="s">
        <v>191</v>
      </c>
      <c r="E75" s="9">
        <f>E73+E74</f>
        <v>497887.39999999991</v>
      </c>
      <c r="F75" s="9">
        <f>F73+F74</f>
        <v>497887.39999999991</v>
      </c>
      <c r="G75" s="9">
        <f>G73+G74</f>
        <v>0</v>
      </c>
      <c r="H75" s="356"/>
    </row>
    <row r="76" spans="1:9" ht="12.75">
      <c r="A76" s="340">
        <v>43</v>
      </c>
      <c r="B76" s="224" t="s">
        <v>65</v>
      </c>
      <c r="E76" s="9">
        <f t="shared" ref="E76:E79" si="2">F76+G76</f>
        <v>19552</v>
      </c>
      <c r="F76" s="9">
        <f>F312+F313+F314</f>
        <v>19552</v>
      </c>
      <c r="G76" s="9">
        <f>G324+G325</f>
        <v>0</v>
      </c>
      <c r="H76" s="356" t="str">
        <f t="shared" si="1"/>
        <v xml:space="preserve"> </v>
      </c>
    </row>
    <row r="77" spans="1:9" ht="12.75">
      <c r="A77" s="340">
        <v>44</v>
      </c>
      <c r="B77" s="361" t="s">
        <v>66</v>
      </c>
      <c r="E77" s="9">
        <f t="shared" si="2"/>
        <v>0</v>
      </c>
      <c r="F77" s="342">
        <v>0</v>
      </c>
      <c r="G77" s="342">
        <f>G310+G311</f>
        <v>0</v>
      </c>
      <c r="H77" s="356" t="str">
        <f>IF(E79=F79+G79," ","ERROR")</f>
        <v xml:space="preserve"> </v>
      </c>
    </row>
    <row r="78" spans="1:9" ht="12.75">
      <c r="A78" s="340">
        <v>45</v>
      </c>
      <c r="B78" s="361" t="s">
        <v>377</v>
      </c>
      <c r="E78" s="9">
        <f t="shared" si="2"/>
        <v>943</v>
      </c>
      <c r="F78" s="342">
        <f>F309+F326+F310+F311+F315+F316+F317+F318+F319+F320+F324+F321+F322+F323</f>
        <v>943</v>
      </c>
      <c r="G78" s="342">
        <f t="shared" ref="G78:G79" si="3">G311+G312</f>
        <v>0</v>
      </c>
      <c r="H78" s="356"/>
    </row>
    <row r="79" spans="1:9" ht="12.7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5"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75">
      <c r="A86" s="504"/>
      <c r="B86" s="505" t="s">
        <v>31</v>
      </c>
      <c r="C86" s="506"/>
      <c r="D86" s="506"/>
      <c r="E86" s="507"/>
      <c r="F86" s="508"/>
      <c r="G86" s="507"/>
      <c r="H86" s="506"/>
      <c r="I86" s="515"/>
      <c r="J86"/>
      <c r="K86"/>
      <c r="L86"/>
      <c r="M86"/>
      <c r="N86"/>
      <c r="O86"/>
      <c r="P86"/>
      <c r="Q86"/>
      <c r="R86"/>
      <c r="S86"/>
    </row>
    <row r="87" spans="1:19" ht="12.75">
      <c r="A87" s="181"/>
      <c r="B87" s="183" t="s">
        <v>205</v>
      </c>
    </row>
    <row r="88" spans="1:19" ht="12.75">
      <c r="A88" s="184">
        <v>480000</v>
      </c>
      <c r="B88" s="183" t="s">
        <v>206</v>
      </c>
      <c r="F88" s="342">
        <f>ROUND(H88/1000,0)</f>
        <v>160653</v>
      </c>
      <c r="H88" s="56">
        <v>160653358</v>
      </c>
    </row>
    <row r="89" spans="1:19" ht="12.75">
      <c r="A89" s="184" t="s">
        <v>207</v>
      </c>
      <c r="B89" s="183" t="s">
        <v>208</v>
      </c>
      <c r="F89" s="342">
        <f t="shared" ref="F89:F156" si="4">ROUND(H89/1000,0)</f>
        <v>83079</v>
      </c>
      <c r="H89" s="56">
        <v>83079107</v>
      </c>
    </row>
    <row r="90" spans="1:19" ht="12.75">
      <c r="A90" s="184" t="s">
        <v>209</v>
      </c>
      <c r="B90" s="183" t="s">
        <v>210</v>
      </c>
      <c r="F90" s="342">
        <f t="shared" si="4"/>
        <v>2465</v>
      </c>
      <c r="H90" s="56">
        <v>2464839</v>
      </c>
    </row>
    <row r="91" spans="1:19" ht="12.75">
      <c r="A91" s="184">
        <v>481400</v>
      </c>
      <c r="B91" s="183" t="s">
        <v>211</v>
      </c>
      <c r="F91" s="342">
        <f t="shared" si="4"/>
        <v>0</v>
      </c>
      <c r="H91" s="56">
        <v>0</v>
      </c>
    </row>
    <row r="92" spans="1:19" ht="12.75">
      <c r="A92" s="184">
        <v>484000</v>
      </c>
      <c r="B92" s="183" t="s">
        <v>214</v>
      </c>
      <c r="F92" s="342">
        <f t="shared" si="4"/>
        <v>444</v>
      </c>
      <c r="H92" s="56">
        <v>443572</v>
      </c>
    </row>
    <row r="93" spans="1:19" ht="12.75">
      <c r="A93" s="181" t="s">
        <v>212</v>
      </c>
      <c r="B93" s="183" t="s">
        <v>213</v>
      </c>
      <c r="F93" s="342">
        <f t="shared" si="4"/>
        <v>-100</v>
      </c>
      <c r="H93" s="56">
        <v>-100104</v>
      </c>
    </row>
    <row r="94" spans="1:19" ht="12.75">
      <c r="A94" s="181"/>
      <c r="B94" s="183" t="s">
        <v>215</v>
      </c>
      <c r="F94" s="342">
        <f t="shared" si="4"/>
        <v>246541</v>
      </c>
      <c r="H94" s="56">
        <v>246540772</v>
      </c>
    </row>
    <row r="95" spans="1:19" ht="12.75">
      <c r="A95" s="181"/>
      <c r="B95" s="183"/>
      <c r="F95" s="342">
        <f t="shared" si="4"/>
        <v>0</v>
      </c>
      <c r="H95" s="56"/>
    </row>
    <row r="96" spans="1:19" ht="12.75">
      <c r="A96" s="181"/>
      <c r="B96" s="183" t="s">
        <v>216</v>
      </c>
      <c r="F96" s="342">
        <f t="shared" si="4"/>
        <v>0</v>
      </c>
      <c r="H96" s="56"/>
    </row>
    <row r="97" spans="1:8" ht="12.75">
      <c r="A97" s="185" t="s">
        <v>581</v>
      </c>
      <c r="B97" s="186" t="s">
        <v>217</v>
      </c>
      <c r="F97" s="342">
        <f t="shared" si="4"/>
        <v>36675</v>
      </c>
      <c r="H97" s="56">
        <v>36674988</v>
      </c>
    </row>
    <row r="98" spans="1:8" ht="12.75">
      <c r="A98" s="184">
        <v>488000</v>
      </c>
      <c r="B98" s="183" t="s">
        <v>218</v>
      </c>
      <c r="F98" s="342">
        <f t="shared" si="4"/>
        <v>3</v>
      </c>
      <c r="H98" s="56">
        <v>3075</v>
      </c>
    </row>
    <row r="99" spans="1:8" ht="12.75">
      <c r="A99" s="184" t="s">
        <v>582</v>
      </c>
      <c r="B99" s="183" t="s">
        <v>219</v>
      </c>
      <c r="F99" s="342">
        <f t="shared" si="4"/>
        <v>5180</v>
      </c>
      <c r="H99" s="56">
        <v>5179561</v>
      </c>
    </row>
    <row r="100" spans="1:8" ht="12.75">
      <c r="A100" s="184">
        <v>493000</v>
      </c>
      <c r="B100" s="183" t="s">
        <v>220</v>
      </c>
      <c r="F100" s="342">
        <f t="shared" si="4"/>
        <v>0</v>
      </c>
      <c r="H100" s="56">
        <v>-209</v>
      </c>
    </row>
    <row r="101" spans="1:8" ht="12.75">
      <c r="A101" s="184" t="s">
        <v>583</v>
      </c>
      <c r="B101" s="183" t="s">
        <v>221</v>
      </c>
      <c r="F101" s="342">
        <f t="shared" si="4"/>
        <v>441</v>
      </c>
      <c r="H101" s="56">
        <v>440555</v>
      </c>
    </row>
    <row r="102" spans="1:8" ht="12.75">
      <c r="A102" s="184">
        <v>496100</v>
      </c>
      <c r="B102" s="183" t="s">
        <v>412</v>
      </c>
      <c r="F102" s="342">
        <f t="shared" si="4"/>
        <v>0</v>
      </c>
      <c r="H102" s="56">
        <v>0</v>
      </c>
    </row>
    <row r="103" spans="1:8" ht="15.75">
      <c r="A103" s="334">
        <v>496110</v>
      </c>
      <c r="B103" s="240" t="s">
        <v>456</v>
      </c>
      <c r="F103" s="342">
        <f t="shared" si="4"/>
        <v>0</v>
      </c>
      <c r="H103" s="56">
        <v>0</v>
      </c>
    </row>
    <row r="104" spans="1:8" ht="12.75">
      <c r="A104" s="181"/>
      <c r="B104" s="183" t="s">
        <v>222</v>
      </c>
      <c r="F104" s="342">
        <f t="shared" si="4"/>
        <v>42298</v>
      </c>
      <c r="H104" s="56">
        <v>42297970</v>
      </c>
    </row>
    <row r="105" spans="1:8" ht="12.75">
      <c r="A105" s="181"/>
      <c r="B105" s="183" t="s">
        <v>223</v>
      </c>
      <c r="F105" s="342">
        <f t="shared" si="4"/>
        <v>288839</v>
      </c>
      <c r="H105" s="56">
        <v>288838742</v>
      </c>
    </row>
    <row r="106" spans="1:8" ht="12.75">
      <c r="A106" s="181"/>
      <c r="B106" s="183"/>
      <c r="F106" s="342">
        <f t="shared" si="4"/>
        <v>0</v>
      </c>
      <c r="H106" s="56"/>
    </row>
    <row r="107" spans="1:8" ht="12.75">
      <c r="A107" s="181"/>
      <c r="B107" s="183" t="s">
        <v>224</v>
      </c>
      <c r="F107" s="342">
        <f t="shared" si="4"/>
        <v>0</v>
      </c>
      <c r="H107" s="56"/>
    </row>
    <row r="108" spans="1:8" ht="12.75">
      <c r="A108" s="187" t="s">
        <v>225</v>
      </c>
      <c r="B108" s="183" t="s">
        <v>37</v>
      </c>
      <c r="F108" s="342">
        <f t="shared" si="4"/>
        <v>139821</v>
      </c>
      <c r="H108" s="56">
        <v>139820536</v>
      </c>
    </row>
    <row r="109" spans="1:8" ht="12.75">
      <c r="A109" s="184" t="s">
        <v>226</v>
      </c>
      <c r="B109" s="183" t="s">
        <v>227</v>
      </c>
      <c r="F109" s="342">
        <f t="shared" si="4"/>
        <v>9133</v>
      </c>
      <c r="H109" s="56">
        <v>9132838</v>
      </c>
    </row>
    <row r="110" spans="1:8" ht="12.75">
      <c r="A110" s="185">
        <v>811000</v>
      </c>
      <c r="B110" s="186" t="s">
        <v>228</v>
      </c>
      <c r="F110" s="342">
        <f t="shared" si="4"/>
        <v>-344</v>
      </c>
      <c r="H110" s="56">
        <v>-343977</v>
      </c>
    </row>
    <row r="111" spans="1:8" ht="12.75">
      <c r="A111" s="184">
        <v>813000</v>
      </c>
      <c r="B111" s="183" t="s">
        <v>229</v>
      </c>
      <c r="F111" s="342">
        <f t="shared" si="4"/>
        <v>781</v>
      </c>
      <c r="H111" s="56">
        <v>780647</v>
      </c>
    </row>
    <row r="112" spans="1:8" ht="12.75">
      <c r="A112" s="184">
        <v>813010</v>
      </c>
      <c r="B112" s="183" t="s">
        <v>230</v>
      </c>
      <c r="F112" s="342">
        <f t="shared" si="4"/>
        <v>89</v>
      </c>
      <c r="H112" s="56">
        <v>88650</v>
      </c>
    </row>
    <row r="113" spans="1:19" s="509" customFormat="1" ht="12.7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7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75">
      <c r="A115" s="181"/>
      <c r="B115" s="183" t="s">
        <v>231</v>
      </c>
      <c r="F115" s="342">
        <f t="shared" si="4"/>
        <v>149479</v>
      </c>
      <c r="H115" s="56">
        <v>149478694</v>
      </c>
    </row>
    <row r="116" spans="1:19" ht="12.75">
      <c r="A116" s="181"/>
      <c r="B116" s="183"/>
      <c r="F116" s="342">
        <f t="shared" si="4"/>
        <v>0</v>
      </c>
      <c r="H116" s="56"/>
    </row>
    <row r="117" spans="1:19" ht="12.75">
      <c r="A117" s="181"/>
      <c r="B117" s="183" t="s">
        <v>232</v>
      </c>
      <c r="F117" s="342">
        <f t="shared" si="4"/>
        <v>0</v>
      </c>
      <c r="H117" s="56"/>
    </row>
    <row r="118" spans="1:19" ht="12.75">
      <c r="A118" s="184">
        <v>814000</v>
      </c>
      <c r="B118" s="183" t="s">
        <v>233</v>
      </c>
      <c r="F118" s="342">
        <f t="shared" si="4"/>
        <v>0</v>
      </c>
      <c r="H118" s="56">
        <v>0</v>
      </c>
    </row>
    <row r="119" spans="1:19" ht="12.75">
      <c r="A119" s="184">
        <v>824000</v>
      </c>
      <c r="B119" s="183" t="s">
        <v>234</v>
      </c>
      <c r="F119" s="342">
        <f t="shared" si="4"/>
        <v>571</v>
      </c>
      <c r="H119" s="56">
        <v>570704</v>
      </c>
    </row>
    <row r="120" spans="1:19" ht="12.75">
      <c r="A120" s="184">
        <v>837000</v>
      </c>
      <c r="B120" s="183" t="s">
        <v>235</v>
      </c>
      <c r="F120" s="342">
        <f t="shared" si="4"/>
        <v>1492</v>
      </c>
      <c r="H120" s="56">
        <v>1491595</v>
      </c>
    </row>
    <row r="121" spans="1:19" ht="12.75">
      <c r="A121" s="181"/>
      <c r="B121" s="183" t="s">
        <v>236</v>
      </c>
      <c r="F121" s="342">
        <f t="shared" si="4"/>
        <v>2062</v>
      </c>
      <c r="H121" s="56">
        <v>2062299</v>
      </c>
    </row>
    <row r="122" spans="1:19" ht="12.75">
      <c r="A122" s="181"/>
      <c r="B122" s="183"/>
      <c r="F122" s="342">
        <f t="shared" si="4"/>
        <v>0</v>
      </c>
      <c r="H122" s="56"/>
    </row>
    <row r="123" spans="1:19" ht="12.75">
      <c r="A123" s="182"/>
      <c r="B123" s="183" t="s">
        <v>237</v>
      </c>
      <c r="F123" s="342">
        <f t="shared" si="4"/>
        <v>512</v>
      </c>
      <c r="H123" s="56">
        <v>511824</v>
      </c>
    </row>
    <row r="124" spans="1:19" ht="12.75">
      <c r="A124" s="182"/>
      <c r="B124" s="183" t="s">
        <v>238</v>
      </c>
      <c r="F124" s="342">
        <f t="shared" si="4"/>
        <v>0</v>
      </c>
      <c r="H124" s="56">
        <v>0</v>
      </c>
    </row>
    <row r="125" spans="1:19" ht="12.75">
      <c r="A125" s="181"/>
      <c r="B125" s="183" t="s">
        <v>239</v>
      </c>
      <c r="F125" s="342">
        <f t="shared" si="4"/>
        <v>161</v>
      </c>
      <c r="H125" s="56">
        <v>160711</v>
      </c>
    </row>
    <row r="126" spans="1:19" ht="12.75">
      <c r="A126" s="181"/>
      <c r="B126" s="183" t="s">
        <v>240</v>
      </c>
      <c r="F126" s="342">
        <f t="shared" si="4"/>
        <v>673</v>
      </c>
      <c r="H126" s="56">
        <v>672535</v>
      </c>
    </row>
    <row r="127" spans="1:19" ht="12.75">
      <c r="A127" s="181"/>
      <c r="B127" s="183"/>
      <c r="F127" s="342">
        <f t="shared" si="4"/>
        <v>0</v>
      </c>
      <c r="H127" s="56"/>
    </row>
    <row r="128" spans="1:19" ht="12.75">
      <c r="A128" s="181"/>
      <c r="B128" s="183" t="s">
        <v>241</v>
      </c>
      <c r="F128" s="342">
        <f t="shared" si="4"/>
        <v>2735</v>
      </c>
      <c r="H128" s="56">
        <v>2734834</v>
      </c>
    </row>
    <row r="129" spans="1:8" ht="12.75">
      <c r="A129" s="181"/>
      <c r="B129" s="183"/>
      <c r="F129" s="342">
        <f t="shared" si="4"/>
        <v>0</v>
      </c>
      <c r="H129" s="56"/>
    </row>
    <row r="130" spans="1:8" ht="12.75">
      <c r="A130" s="181"/>
      <c r="B130" s="183" t="s">
        <v>242</v>
      </c>
      <c r="F130" s="342">
        <f t="shared" si="4"/>
        <v>0</v>
      </c>
      <c r="H130" s="56"/>
    </row>
    <row r="131" spans="1:8" ht="12.75">
      <c r="A131" s="181"/>
      <c r="B131" s="183" t="s">
        <v>243</v>
      </c>
      <c r="F131" s="342">
        <f t="shared" si="4"/>
        <v>0</v>
      </c>
      <c r="H131" s="56"/>
    </row>
    <row r="132" spans="1:8" ht="12.75">
      <c r="A132" s="184">
        <v>870000</v>
      </c>
      <c r="B132" s="183" t="s">
        <v>233</v>
      </c>
      <c r="F132" s="342">
        <f t="shared" si="4"/>
        <v>1610</v>
      </c>
      <c r="H132" s="56">
        <v>1609942</v>
      </c>
    </row>
    <row r="133" spans="1:8" ht="12.75">
      <c r="A133" s="184">
        <v>871000</v>
      </c>
      <c r="B133" s="183" t="s">
        <v>244</v>
      </c>
      <c r="F133" s="342">
        <f t="shared" si="4"/>
        <v>0</v>
      </c>
      <c r="H133" s="56">
        <v>0</v>
      </c>
    </row>
    <row r="134" spans="1:8" ht="12.75">
      <c r="A134" s="184">
        <v>874000</v>
      </c>
      <c r="B134" s="183" t="s">
        <v>245</v>
      </c>
      <c r="F134" s="342">
        <f t="shared" si="4"/>
        <v>3230</v>
      </c>
      <c r="H134" s="56">
        <v>3230198</v>
      </c>
    </row>
    <row r="135" spans="1:8" ht="12.75">
      <c r="A135" s="184">
        <v>875000</v>
      </c>
      <c r="B135" s="183" t="s">
        <v>246</v>
      </c>
      <c r="F135" s="342">
        <f t="shared" si="4"/>
        <v>89</v>
      </c>
      <c r="H135" s="56">
        <v>88889</v>
      </c>
    </row>
    <row r="136" spans="1:8" ht="12.75">
      <c r="A136" s="184">
        <v>876000</v>
      </c>
      <c r="B136" s="183" t="s">
        <v>247</v>
      </c>
      <c r="F136" s="342">
        <f t="shared" si="4"/>
        <v>6</v>
      </c>
      <c r="H136" s="56">
        <v>5860</v>
      </c>
    </row>
    <row r="137" spans="1:8" ht="12.75">
      <c r="A137" s="184">
        <v>877000</v>
      </c>
      <c r="B137" s="183" t="s">
        <v>248</v>
      </c>
      <c r="F137" s="342">
        <f t="shared" si="4"/>
        <v>47</v>
      </c>
      <c r="H137" s="56">
        <v>47365</v>
      </c>
    </row>
    <row r="138" spans="1:8" ht="12.75">
      <c r="A138" s="184">
        <v>878000</v>
      </c>
      <c r="B138" s="183" t="s">
        <v>249</v>
      </c>
      <c r="F138" s="342">
        <f t="shared" si="4"/>
        <v>357</v>
      </c>
      <c r="H138" s="56">
        <v>357349</v>
      </c>
    </row>
    <row r="139" spans="1:8" ht="12.75">
      <c r="A139" s="184">
        <v>879000</v>
      </c>
      <c r="B139" s="183" t="s">
        <v>250</v>
      </c>
      <c r="F139" s="342">
        <f t="shared" si="4"/>
        <v>1412</v>
      </c>
      <c r="H139" s="56">
        <v>1411593</v>
      </c>
    </row>
    <row r="140" spans="1:8" ht="12.75">
      <c r="A140" s="184">
        <v>880000</v>
      </c>
      <c r="B140" s="183" t="s">
        <v>234</v>
      </c>
      <c r="F140" s="342">
        <f t="shared" si="4"/>
        <v>2144</v>
      </c>
      <c r="H140" s="56">
        <v>2143569</v>
      </c>
    </row>
    <row r="141" spans="1:8" ht="12.75">
      <c r="A141" s="184">
        <v>881000</v>
      </c>
      <c r="B141" s="183" t="s">
        <v>251</v>
      </c>
      <c r="F141" s="342">
        <f t="shared" si="4"/>
        <v>-5</v>
      </c>
      <c r="H141" s="56">
        <v>-5121</v>
      </c>
    </row>
    <row r="142" spans="1:8" ht="12.75">
      <c r="A142" s="181"/>
      <c r="B142" s="183"/>
      <c r="F142" s="342">
        <f t="shared" si="4"/>
        <v>0</v>
      </c>
      <c r="H142" s="56"/>
    </row>
    <row r="143" spans="1:8" ht="12.75">
      <c r="A143" s="181"/>
      <c r="B143" s="183" t="s">
        <v>252</v>
      </c>
      <c r="F143" s="342">
        <f t="shared" si="4"/>
        <v>0</v>
      </c>
      <c r="H143" s="56"/>
    </row>
    <row r="144" spans="1:8" ht="12.75">
      <c r="A144" s="184">
        <v>885000</v>
      </c>
      <c r="B144" s="183" t="s">
        <v>233</v>
      </c>
      <c r="F144" s="342">
        <f t="shared" si="4"/>
        <v>15</v>
      </c>
      <c r="H144" s="56">
        <v>14914</v>
      </c>
    </row>
    <row r="145" spans="1:8" ht="12.75">
      <c r="A145" s="184">
        <v>887000</v>
      </c>
      <c r="B145" s="183" t="s">
        <v>253</v>
      </c>
      <c r="F145" s="342">
        <f t="shared" si="4"/>
        <v>982</v>
      </c>
      <c r="H145" s="56">
        <v>982204</v>
      </c>
    </row>
    <row r="146" spans="1:8" ht="12.75">
      <c r="A146" s="184">
        <v>889000</v>
      </c>
      <c r="B146" s="183" t="s">
        <v>246</v>
      </c>
      <c r="F146" s="342">
        <f t="shared" si="4"/>
        <v>212</v>
      </c>
      <c r="H146" s="56">
        <v>211901</v>
      </c>
    </row>
    <row r="147" spans="1:8" ht="12.75">
      <c r="A147" s="184">
        <v>890000</v>
      </c>
      <c r="B147" s="183" t="s">
        <v>247</v>
      </c>
      <c r="F147" s="342">
        <f t="shared" si="4"/>
        <v>8</v>
      </c>
      <c r="H147" s="56">
        <v>7827</v>
      </c>
    </row>
    <row r="148" spans="1:8" ht="12.75">
      <c r="A148" s="184">
        <v>891000</v>
      </c>
      <c r="B148" s="183" t="s">
        <v>248</v>
      </c>
      <c r="F148" s="342">
        <f t="shared" si="4"/>
        <v>83</v>
      </c>
      <c r="H148" s="56">
        <v>83430</v>
      </c>
    </row>
    <row r="149" spans="1:8" ht="12.75">
      <c r="A149" s="184">
        <v>892000</v>
      </c>
      <c r="B149" s="183" t="s">
        <v>254</v>
      </c>
      <c r="F149" s="342">
        <f t="shared" si="4"/>
        <v>1074</v>
      </c>
      <c r="H149" s="56">
        <v>1074003</v>
      </c>
    </row>
    <row r="150" spans="1:8" ht="12.75">
      <c r="A150" s="184">
        <v>893000</v>
      </c>
      <c r="B150" s="183" t="s">
        <v>255</v>
      </c>
      <c r="F150" s="342">
        <f t="shared" si="4"/>
        <v>1531</v>
      </c>
      <c r="H150" s="56">
        <v>1530870</v>
      </c>
    </row>
    <row r="151" spans="1:8" ht="12.75">
      <c r="A151" s="184">
        <v>894000</v>
      </c>
      <c r="B151" s="183" t="s">
        <v>235</v>
      </c>
      <c r="F151" s="342">
        <f t="shared" si="4"/>
        <v>121</v>
      </c>
      <c r="H151" s="56">
        <v>120823</v>
      </c>
    </row>
    <row r="152" spans="1:8" ht="12.75">
      <c r="A152" s="181"/>
      <c r="B152" s="183" t="s">
        <v>256</v>
      </c>
      <c r="F152" s="342">
        <f t="shared" si="4"/>
        <v>12916</v>
      </c>
      <c r="H152" s="56">
        <v>12915616</v>
      </c>
    </row>
    <row r="153" spans="1:8" ht="12.75">
      <c r="A153" s="181"/>
      <c r="B153" s="183"/>
      <c r="F153" s="342">
        <f t="shared" si="4"/>
        <v>0</v>
      </c>
      <c r="H153" s="56"/>
    </row>
    <row r="154" spans="1:8" ht="12.75">
      <c r="A154" s="181"/>
      <c r="B154" s="183" t="s">
        <v>257</v>
      </c>
      <c r="F154" s="342">
        <f t="shared" si="4"/>
        <v>16440</v>
      </c>
      <c r="H154" s="56">
        <v>16440378</v>
      </c>
    </row>
    <row r="155" spans="1:8" ht="12.75">
      <c r="A155" s="181"/>
      <c r="B155" s="183" t="s">
        <v>239</v>
      </c>
      <c r="F155" s="342">
        <f t="shared" si="4"/>
        <v>21003</v>
      </c>
      <c r="H155" s="56">
        <v>21003386</v>
      </c>
    </row>
    <row r="156" spans="1:8" ht="12.75">
      <c r="A156" s="181"/>
      <c r="B156" s="183" t="s">
        <v>258</v>
      </c>
      <c r="F156" s="342">
        <f t="shared" si="4"/>
        <v>37444</v>
      </c>
      <c r="H156" s="56">
        <v>37443764</v>
      </c>
    </row>
    <row r="157" spans="1:8" ht="12.75">
      <c r="A157" s="181"/>
      <c r="B157" s="183"/>
      <c r="F157" s="342">
        <f t="shared" ref="F157:F236" si="5">ROUND(H157/1000,0)</f>
        <v>0</v>
      </c>
      <c r="H157" s="56"/>
    </row>
    <row r="158" spans="1:8" ht="12.75">
      <c r="A158" s="181"/>
      <c r="B158" s="183" t="s">
        <v>259</v>
      </c>
      <c r="F158" s="342">
        <f t="shared" si="5"/>
        <v>50359</v>
      </c>
      <c r="H158" s="56">
        <v>50359380</v>
      </c>
    </row>
    <row r="159" spans="1:8" ht="12.75">
      <c r="A159" s="181"/>
      <c r="B159" s="183"/>
      <c r="F159" s="342">
        <f t="shared" si="5"/>
        <v>0</v>
      </c>
      <c r="H159" s="56"/>
    </row>
    <row r="160" spans="1:8" ht="12.75">
      <c r="A160" s="181"/>
      <c r="B160" s="183" t="s">
        <v>260</v>
      </c>
      <c r="F160" s="342">
        <f t="shared" si="5"/>
        <v>0</v>
      </c>
      <c r="H160" s="56"/>
    </row>
    <row r="161" spans="1:8" ht="12.75">
      <c r="A161" s="184">
        <v>901000</v>
      </c>
      <c r="B161" s="183" t="s">
        <v>261</v>
      </c>
      <c r="F161" s="342">
        <f t="shared" si="5"/>
        <v>56</v>
      </c>
      <c r="H161" s="56">
        <v>56410</v>
      </c>
    </row>
    <row r="162" spans="1:8" ht="12.75">
      <c r="A162" s="184">
        <v>902000</v>
      </c>
      <c r="B162" s="183" t="s">
        <v>262</v>
      </c>
      <c r="F162" s="342">
        <f t="shared" si="5"/>
        <v>334</v>
      </c>
      <c r="H162" s="56">
        <v>334068</v>
      </c>
    </row>
    <row r="163" spans="1:8" ht="12.75">
      <c r="A163" s="184" t="s">
        <v>263</v>
      </c>
      <c r="B163" s="183" t="s">
        <v>264</v>
      </c>
      <c r="F163" s="342">
        <f t="shared" si="5"/>
        <v>3432</v>
      </c>
      <c r="H163" s="56">
        <v>3431676</v>
      </c>
    </row>
    <row r="164" spans="1:8" ht="12.75">
      <c r="A164" s="184">
        <v>904000</v>
      </c>
      <c r="B164" s="183" t="s">
        <v>265</v>
      </c>
      <c r="F164" s="342">
        <f t="shared" si="5"/>
        <v>16</v>
      </c>
      <c r="H164" s="56">
        <v>15712</v>
      </c>
    </row>
    <row r="165" spans="1:8" ht="12.75">
      <c r="A165" s="184">
        <v>905000</v>
      </c>
      <c r="B165" s="183" t="s">
        <v>266</v>
      </c>
      <c r="F165" s="342">
        <f t="shared" si="5"/>
        <v>155</v>
      </c>
      <c r="H165" s="56">
        <v>154636</v>
      </c>
    </row>
    <row r="166" spans="1:8" ht="12.75">
      <c r="A166" s="181"/>
      <c r="B166" s="183" t="s">
        <v>267</v>
      </c>
      <c r="F166" s="342">
        <f t="shared" si="5"/>
        <v>3993</v>
      </c>
      <c r="H166" s="56">
        <v>3992502</v>
      </c>
    </row>
    <row r="167" spans="1:8" ht="12.75">
      <c r="A167" s="181"/>
      <c r="B167" s="183"/>
      <c r="F167" s="342">
        <f t="shared" si="5"/>
        <v>0</v>
      </c>
      <c r="H167" s="56"/>
    </row>
    <row r="168" spans="1:8" ht="12.75">
      <c r="A168" s="181"/>
      <c r="B168" s="183" t="s">
        <v>268</v>
      </c>
      <c r="F168" s="342">
        <f t="shared" si="5"/>
        <v>0</v>
      </c>
      <c r="H168" s="56"/>
    </row>
    <row r="169" spans="1:8" ht="12.75">
      <c r="A169" s="184" t="s">
        <v>269</v>
      </c>
      <c r="B169" s="183" t="s">
        <v>270</v>
      </c>
      <c r="F169" s="342">
        <f t="shared" si="5"/>
        <v>13606</v>
      </c>
      <c r="H169" s="56">
        <v>13605984</v>
      </c>
    </row>
    <row r="170" spans="1:8" ht="12.75">
      <c r="A170" s="184">
        <v>909000</v>
      </c>
      <c r="B170" s="183" t="s">
        <v>271</v>
      </c>
      <c r="F170" s="342">
        <f t="shared" si="5"/>
        <v>358</v>
      </c>
      <c r="H170" s="56">
        <v>358346</v>
      </c>
    </row>
    <row r="171" spans="1:8" ht="12.75">
      <c r="A171" s="184">
        <v>910000</v>
      </c>
      <c r="B171" s="183" t="s">
        <v>272</v>
      </c>
      <c r="F171" s="342">
        <f t="shared" si="5"/>
        <v>103</v>
      </c>
      <c r="H171" s="56">
        <v>102768</v>
      </c>
    </row>
    <row r="172" spans="1:8" ht="12.75">
      <c r="A172" s="181"/>
      <c r="B172" s="183" t="s">
        <v>273</v>
      </c>
      <c r="F172" s="342">
        <f t="shared" si="5"/>
        <v>14067</v>
      </c>
      <c r="H172" s="56">
        <v>14067098</v>
      </c>
    </row>
    <row r="173" spans="1:8" ht="12.75">
      <c r="A173" s="181"/>
      <c r="B173" s="183"/>
      <c r="F173" s="342">
        <f t="shared" si="5"/>
        <v>0</v>
      </c>
      <c r="H173" s="56"/>
    </row>
    <row r="174" spans="1:8" ht="12.75">
      <c r="A174" s="181"/>
      <c r="B174" s="183" t="s">
        <v>274</v>
      </c>
      <c r="F174" s="342">
        <f t="shared" si="5"/>
        <v>0</v>
      </c>
      <c r="H174" s="56"/>
    </row>
    <row r="175" spans="1:8" ht="12.75">
      <c r="A175" s="184">
        <v>912000</v>
      </c>
      <c r="B175" s="183" t="s">
        <v>275</v>
      </c>
      <c r="F175" s="342">
        <f t="shared" si="5"/>
        <v>0</v>
      </c>
      <c r="H175" s="56">
        <v>0</v>
      </c>
    </row>
    <row r="176" spans="1:8" ht="12.75">
      <c r="A176" s="184">
        <v>913000</v>
      </c>
      <c r="B176" s="183" t="s">
        <v>271</v>
      </c>
      <c r="F176" s="342">
        <f t="shared" si="5"/>
        <v>0</v>
      </c>
      <c r="H176" s="56">
        <v>0</v>
      </c>
    </row>
    <row r="177" spans="1:8" ht="12.75">
      <c r="A177" s="184">
        <v>916000</v>
      </c>
      <c r="B177" s="183" t="s">
        <v>276</v>
      </c>
      <c r="F177" s="342">
        <f t="shared" si="5"/>
        <v>0</v>
      </c>
      <c r="H177" s="56">
        <v>279</v>
      </c>
    </row>
    <row r="178" spans="1:8" ht="12.75">
      <c r="A178" s="181"/>
      <c r="B178" s="183" t="s">
        <v>277</v>
      </c>
      <c r="F178" s="342">
        <f t="shared" si="5"/>
        <v>0</v>
      </c>
      <c r="H178" s="56">
        <v>279</v>
      </c>
    </row>
    <row r="179" spans="1:8" ht="12.75">
      <c r="A179" s="181"/>
      <c r="B179" s="183"/>
      <c r="F179" s="342">
        <f t="shared" si="5"/>
        <v>0</v>
      </c>
      <c r="H179" s="56"/>
    </row>
    <row r="180" spans="1:8" ht="12.75">
      <c r="A180" s="181"/>
      <c r="B180" s="183" t="s">
        <v>278</v>
      </c>
      <c r="F180" s="342">
        <f t="shared" si="5"/>
        <v>0</v>
      </c>
      <c r="H180" s="56"/>
    </row>
    <row r="181" spans="1:8" ht="12.75">
      <c r="A181" s="184">
        <v>920000</v>
      </c>
      <c r="B181" s="183" t="s">
        <v>279</v>
      </c>
      <c r="F181" s="342">
        <f t="shared" si="5"/>
        <v>6401</v>
      </c>
      <c r="H181" s="56">
        <v>6401276</v>
      </c>
    </row>
    <row r="182" spans="1:8" ht="12.75">
      <c r="A182" s="184">
        <v>921000</v>
      </c>
      <c r="B182" s="183" t="s">
        <v>280</v>
      </c>
      <c r="F182" s="342">
        <f t="shared" si="5"/>
        <v>856</v>
      </c>
      <c r="H182" s="56">
        <v>855551</v>
      </c>
    </row>
    <row r="183" spans="1:8" ht="12.75">
      <c r="A183" s="184">
        <v>922000</v>
      </c>
      <c r="B183" s="183" t="s">
        <v>281</v>
      </c>
      <c r="F183" s="342">
        <f t="shared" si="5"/>
        <v>-14</v>
      </c>
      <c r="H183" s="56">
        <v>-13733</v>
      </c>
    </row>
    <row r="184" spans="1:8" ht="12.75">
      <c r="A184" s="184">
        <v>923000</v>
      </c>
      <c r="B184" s="183" t="s">
        <v>282</v>
      </c>
      <c r="F184" s="342">
        <f t="shared" si="5"/>
        <v>3098</v>
      </c>
      <c r="H184" s="56">
        <v>3098211</v>
      </c>
    </row>
    <row r="185" spans="1:8" ht="12.75">
      <c r="A185" s="184">
        <v>924000</v>
      </c>
      <c r="B185" s="183" t="s">
        <v>283</v>
      </c>
      <c r="F185" s="342">
        <f t="shared" si="5"/>
        <v>445</v>
      </c>
      <c r="H185" s="56">
        <v>445161</v>
      </c>
    </row>
    <row r="186" spans="1:8" ht="12.75">
      <c r="A186" s="181" t="s">
        <v>284</v>
      </c>
      <c r="B186" s="183" t="s">
        <v>285</v>
      </c>
      <c r="F186" s="342">
        <f t="shared" si="5"/>
        <v>1297</v>
      </c>
      <c r="H186" s="56">
        <v>1296904</v>
      </c>
    </row>
    <row r="187" spans="1:8" ht="12.75">
      <c r="A187" s="181" t="s">
        <v>286</v>
      </c>
      <c r="B187" s="183" t="s">
        <v>287</v>
      </c>
      <c r="F187" s="342">
        <f t="shared" si="5"/>
        <v>6987</v>
      </c>
      <c r="H187" s="56">
        <v>6986558</v>
      </c>
    </row>
    <row r="188" spans="1:8" ht="12.75">
      <c r="A188" s="184">
        <v>928000</v>
      </c>
      <c r="B188" s="183" t="s">
        <v>288</v>
      </c>
      <c r="F188" s="342">
        <f t="shared" si="5"/>
        <v>901</v>
      </c>
      <c r="H188" s="56">
        <v>901022</v>
      </c>
    </row>
    <row r="189" spans="1:8" ht="12.75">
      <c r="A189" s="184">
        <v>930000</v>
      </c>
      <c r="B189" s="183" t="s">
        <v>289</v>
      </c>
      <c r="F189" s="342">
        <f t="shared" si="5"/>
        <v>1217</v>
      </c>
      <c r="H189" s="56">
        <v>1217285</v>
      </c>
    </row>
    <row r="190" spans="1:8" ht="12.75">
      <c r="A190" s="184">
        <v>931000</v>
      </c>
      <c r="B190" s="183" t="s">
        <v>251</v>
      </c>
      <c r="F190" s="342">
        <f t="shared" si="5"/>
        <v>103</v>
      </c>
      <c r="H190" s="56">
        <v>102766</v>
      </c>
    </row>
    <row r="191" spans="1:8" ht="12.75">
      <c r="A191" s="184">
        <v>935000</v>
      </c>
      <c r="B191" s="183" t="s">
        <v>290</v>
      </c>
      <c r="F191" s="342">
        <f t="shared" si="5"/>
        <v>3107</v>
      </c>
      <c r="H191" s="56">
        <v>3107468</v>
      </c>
    </row>
    <row r="192" spans="1:8" ht="12.75">
      <c r="A192" s="181"/>
      <c r="B192" s="183" t="s">
        <v>291</v>
      </c>
      <c r="F192" s="342">
        <f t="shared" si="5"/>
        <v>24398</v>
      </c>
      <c r="H192" s="56">
        <v>24398469</v>
      </c>
    </row>
    <row r="193" spans="1:19" ht="12.75">
      <c r="A193" s="181"/>
      <c r="B193" s="183"/>
      <c r="F193" s="342">
        <f t="shared" si="5"/>
        <v>0</v>
      </c>
      <c r="H193" s="56"/>
    </row>
    <row r="194" spans="1:19" ht="12.75">
      <c r="A194" s="181"/>
      <c r="B194" s="183" t="s">
        <v>292</v>
      </c>
      <c r="F194" s="342">
        <f t="shared" si="5"/>
        <v>5143</v>
      </c>
      <c r="H194" s="56">
        <v>5143287</v>
      </c>
    </row>
    <row r="195" spans="1:19" ht="12.75">
      <c r="A195" s="181"/>
      <c r="B195" s="183" t="s">
        <v>293</v>
      </c>
      <c r="F195" s="342">
        <f t="shared" si="5"/>
        <v>88</v>
      </c>
      <c r="H195" s="56">
        <v>88089</v>
      </c>
    </row>
    <row r="196" spans="1:19" ht="12.75">
      <c r="A196" s="181"/>
      <c r="B196" s="183" t="s">
        <v>294</v>
      </c>
      <c r="F196" s="342">
        <f t="shared" si="5"/>
        <v>7571</v>
      </c>
      <c r="H196" s="56">
        <v>7570602</v>
      </c>
    </row>
    <row r="197" spans="1:19" ht="12.75">
      <c r="A197" s="182"/>
      <c r="B197" s="183" t="s">
        <v>295</v>
      </c>
      <c r="F197" s="342">
        <f t="shared" si="5"/>
        <v>0</v>
      </c>
      <c r="H197" s="56">
        <v>0</v>
      </c>
    </row>
    <row r="198" spans="1:19" s="509" customFormat="1" ht="15.75">
      <c r="A198" s="510">
        <v>407230</v>
      </c>
      <c r="B198" s="241" t="s">
        <v>450</v>
      </c>
      <c r="C198" s="506"/>
      <c r="D198" s="506"/>
      <c r="E198" s="507"/>
      <c r="F198" s="508">
        <f t="shared" si="5"/>
        <v>-31</v>
      </c>
      <c r="G198" s="507"/>
      <c r="H198" s="411">
        <v>-30596</v>
      </c>
      <c r="I198" s="515"/>
      <c r="J198"/>
      <c r="K198"/>
      <c r="L198"/>
      <c r="M198"/>
      <c r="N198"/>
      <c r="O198"/>
      <c r="P198"/>
      <c r="Q198"/>
      <c r="R198"/>
      <c r="S198"/>
    </row>
    <row r="199" spans="1:19" ht="15.75">
      <c r="A199" s="334">
        <v>407302</v>
      </c>
      <c r="B199" s="240" t="s">
        <v>451</v>
      </c>
      <c r="F199" s="342">
        <f t="shared" si="5"/>
        <v>2037</v>
      </c>
      <c r="H199" s="56">
        <v>2037268</v>
      </c>
    </row>
    <row r="200" spans="1:19" ht="15.75">
      <c r="A200" s="334">
        <v>407305</v>
      </c>
      <c r="B200" s="240" t="s">
        <v>463</v>
      </c>
      <c r="F200" s="342">
        <f t="shared" si="5"/>
        <v>0</v>
      </c>
      <c r="H200" s="56">
        <v>0</v>
      </c>
    </row>
    <row r="201" spans="1:19" ht="15.75">
      <c r="A201" s="334">
        <v>407306</v>
      </c>
      <c r="B201" s="240" t="s">
        <v>586</v>
      </c>
      <c r="F201" s="342">
        <f t="shared" si="5"/>
        <v>847</v>
      </c>
      <c r="H201" s="56">
        <v>846808</v>
      </c>
    </row>
    <row r="202" spans="1:19" ht="15.75">
      <c r="A202" s="334">
        <v>407307</v>
      </c>
      <c r="B202" s="240" t="s">
        <v>587</v>
      </c>
      <c r="F202" s="342">
        <f t="shared" si="5"/>
        <v>338</v>
      </c>
      <c r="H202" s="56">
        <v>337810</v>
      </c>
    </row>
    <row r="203" spans="1:19" ht="15.75">
      <c r="A203" s="334">
        <v>407311</v>
      </c>
      <c r="B203" s="240" t="s">
        <v>452</v>
      </c>
      <c r="F203" s="342">
        <f t="shared" si="5"/>
        <v>208</v>
      </c>
      <c r="H203" s="56">
        <v>207898</v>
      </c>
    </row>
    <row r="204" spans="1:19" ht="15.75">
      <c r="A204" s="334">
        <v>407314</v>
      </c>
      <c r="B204" s="240" t="s">
        <v>501</v>
      </c>
      <c r="F204" s="342">
        <f t="shared" si="5"/>
        <v>0</v>
      </c>
      <c r="H204" s="56">
        <v>0</v>
      </c>
    </row>
    <row r="205" spans="1:19" ht="15.75">
      <c r="A205" s="334">
        <v>407319</v>
      </c>
      <c r="B205" s="240" t="s">
        <v>453</v>
      </c>
      <c r="F205" s="342">
        <f t="shared" si="5"/>
        <v>0</v>
      </c>
      <c r="H205" s="56">
        <v>0</v>
      </c>
    </row>
    <row r="206" spans="1:19" ht="15.75">
      <c r="A206" s="334">
        <v>407332</v>
      </c>
      <c r="B206" s="240" t="s">
        <v>454</v>
      </c>
      <c r="F206" s="342">
        <f t="shared" si="5"/>
        <v>0</v>
      </c>
      <c r="H206" s="56">
        <v>0</v>
      </c>
    </row>
    <row r="207" spans="1:19" ht="15.75">
      <c r="A207" s="334" t="s">
        <v>502</v>
      </c>
      <c r="B207" s="240" t="s">
        <v>503</v>
      </c>
      <c r="F207" s="342">
        <f t="shared" si="5"/>
        <v>0</v>
      </c>
      <c r="H207" s="56">
        <v>0</v>
      </c>
    </row>
    <row r="208" spans="1:19" ht="15.75">
      <c r="A208" s="242" t="s">
        <v>588</v>
      </c>
      <c r="B208" s="240" t="s">
        <v>589</v>
      </c>
      <c r="F208" s="342">
        <f t="shared" si="5"/>
        <v>48</v>
      </c>
      <c r="H208" s="56">
        <v>48374</v>
      </c>
    </row>
    <row r="209" spans="1:8" ht="15.75">
      <c r="A209" s="242" t="s">
        <v>504</v>
      </c>
      <c r="B209" s="240" t="s">
        <v>505</v>
      </c>
      <c r="F209" s="342">
        <f t="shared" si="5"/>
        <v>0</v>
      </c>
      <c r="H209" s="56">
        <v>0</v>
      </c>
    </row>
    <row r="210" spans="1:8" ht="15.75">
      <c r="A210" s="242" t="s">
        <v>506</v>
      </c>
      <c r="B210" s="240" t="s">
        <v>507</v>
      </c>
      <c r="F210" s="342">
        <f t="shared" si="5"/>
        <v>-49</v>
      </c>
      <c r="H210" s="56">
        <v>-48910</v>
      </c>
    </row>
    <row r="211" spans="1:8" ht="15.75">
      <c r="A211" s="242" t="s">
        <v>455</v>
      </c>
      <c r="B211" s="240" t="s">
        <v>464</v>
      </c>
      <c r="F211" s="342">
        <f t="shared" si="5"/>
        <v>0</v>
      </c>
      <c r="H211" s="56">
        <v>0</v>
      </c>
    </row>
    <row r="212" spans="1:8" ht="15.75">
      <c r="A212" s="242" t="s">
        <v>590</v>
      </c>
      <c r="B212" s="240" t="s">
        <v>591</v>
      </c>
      <c r="F212" s="342">
        <f t="shared" si="5"/>
        <v>-279</v>
      </c>
      <c r="H212" s="56">
        <v>-278685</v>
      </c>
    </row>
    <row r="213" spans="1:8" ht="15.75">
      <c r="A213" s="242" t="s">
        <v>508</v>
      </c>
      <c r="B213" s="240" t="s">
        <v>509</v>
      </c>
      <c r="F213" s="342">
        <f t="shared" si="5"/>
        <v>304</v>
      </c>
      <c r="H213" s="56">
        <v>303710</v>
      </c>
    </row>
    <row r="214" spans="1:8" ht="15.75">
      <c r="A214" s="242" t="s">
        <v>592</v>
      </c>
      <c r="B214" s="240" t="s">
        <v>593</v>
      </c>
      <c r="F214" s="342">
        <f t="shared" si="5"/>
        <v>-38</v>
      </c>
      <c r="H214" s="56">
        <v>-37628</v>
      </c>
    </row>
    <row r="215" spans="1:8" ht="15.75">
      <c r="A215" s="242" t="s">
        <v>594</v>
      </c>
      <c r="B215" s="240" t="s">
        <v>595</v>
      </c>
      <c r="F215" s="342">
        <f t="shared" si="5"/>
        <v>-1731</v>
      </c>
      <c r="H215" s="56">
        <v>-1731369</v>
      </c>
    </row>
    <row r="216" spans="1:8" ht="15.75">
      <c r="A216" s="242" t="s">
        <v>596</v>
      </c>
      <c r="B216" s="240" t="s">
        <v>597</v>
      </c>
      <c r="F216" s="342">
        <f t="shared" si="5"/>
        <v>-8</v>
      </c>
      <c r="H216" s="56">
        <v>-8413</v>
      </c>
    </row>
    <row r="217" spans="1:8" ht="15.75">
      <c r="A217" s="242" t="s">
        <v>510</v>
      </c>
      <c r="B217" s="240" t="s">
        <v>598</v>
      </c>
      <c r="F217" s="342">
        <f t="shared" si="5"/>
        <v>-34</v>
      </c>
      <c r="H217" s="56">
        <v>-34010</v>
      </c>
    </row>
    <row r="218" spans="1:8" ht="15.75">
      <c r="A218" s="408"/>
      <c r="B218" s="240" t="s">
        <v>511</v>
      </c>
      <c r="F218" s="342">
        <f t="shared" si="5"/>
        <v>1132</v>
      </c>
      <c r="H218" s="56">
        <v>1131675</v>
      </c>
    </row>
    <row r="219" spans="1:8" ht="12.75">
      <c r="A219" s="181"/>
      <c r="B219" s="183" t="s">
        <v>296</v>
      </c>
      <c r="F219" s="342">
        <f t="shared" si="5"/>
        <v>15546</v>
      </c>
      <c r="H219" s="56">
        <v>15545910</v>
      </c>
    </row>
    <row r="220" spans="1:8" ht="12.75">
      <c r="A220" s="181"/>
      <c r="B220" s="183"/>
      <c r="F220" s="342">
        <f t="shared" si="5"/>
        <v>0</v>
      </c>
      <c r="H220" s="56"/>
    </row>
    <row r="221" spans="1:8" ht="12.75">
      <c r="A221" s="184"/>
      <c r="B221" s="183" t="s">
        <v>297</v>
      </c>
      <c r="F221" s="342">
        <f t="shared" si="5"/>
        <v>39944</v>
      </c>
      <c r="H221" s="56">
        <v>39944379</v>
      </c>
    </row>
    <row r="222" spans="1:8" ht="12.75">
      <c r="A222" s="184"/>
      <c r="B222" s="183"/>
      <c r="F222" s="342">
        <f t="shared" si="5"/>
        <v>0</v>
      </c>
      <c r="H222" s="56"/>
    </row>
    <row r="223" spans="1:8" ht="12.75">
      <c r="A223" s="184"/>
      <c r="B223" s="183" t="s">
        <v>298</v>
      </c>
      <c r="F223" s="342">
        <f t="shared" si="5"/>
        <v>260577</v>
      </c>
      <c r="H223" s="56">
        <v>260577166</v>
      </c>
    </row>
    <row r="224" spans="1:8" ht="12.75">
      <c r="A224" s="184"/>
      <c r="B224" s="183"/>
      <c r="F224" s="342">
        <f t="shared" si="5"/>
        <v>0</v>
      </c>
      <c r="H224" s="56"/>
    </row>
    <row r="225" spans="1:19" ht="12.75">
      <c r="A225" s="184"/>
      <c r="B225" s="183" t="s">
        <v>299</v>
      </c>
      <c r="F225" s="342">
        <f t="shared" si="5"/>
        <v>28262</v>
      </c>
      <c r="H225" s="56">
        <v>28261576</v>
      </c>
    </row>
    <row r="226" spans="1:19" ht="12.75">
      <c r="A226" s="184"/>
      <c r="B226" s="183"/>
      <c r="F226" s="342">
        <f t="shared" si="5"/>
        <v>0</v>
      </c>
      <c r="H226" s="56"/>
    </row>
    <row r="227" spans="1:19" ht="12.75">
      <c r="A227" s="184"/>
      <c r="B227" s="183" t="s">
        <v>54</v>
      </c>
      <c r="F227" s="342">
        <f t="shared" si="5"/>
        <v>-4387</v>
      </c>
      <c r="H227" s="56">
        <v>-4386873</v>
      </c>
    </row>
    <row r="228" spans="1:19" ht="12.75">
      <c r="A228" s="184"/>
      <c r="B228" s="183" t="s">
        <v>300</v>
      </c>
      <c r="F228" s="342">
        <f t="shared" si="5"/>
        <v>-3743</v>
      </c>
      <c r="H228" s="56">
        <v>-3743490</v>
      </c>
    </row>
    <row r="229" spans="1:19" ht="12.75">
      <c r="A229" s="184"/>
      <c r="B229" s="183" t="s">
        <v>301</v>
      </c>
      <c r="F229" s="342">
        <f t="shared" si="5"/>
        <v>0</v>
      </c>
      <c r="H229" s="56">
        <v>0</v>
      </c>
    </row>
    <row r="230" spans="1:19" s="509" customFormat="1" ht="12.75">
      <c r="A230" s="504"/>
      <c r="B230" s="186" t="s">
        <v>302</v>
      </c>
      <c r="C230" s="506"/>
      <c r="D230" s="506"/>
      <c r="E230" s="507"/>
      <c r="F230" s="508">
        <f t="shared" si="5"/>
        <v>36392</v>
      </c>
      <c r="G230" s="507"/>
      <c r="H230" s="411">
        <v>36391939</v>
      </c>
      <c r="I230" s="515"/>
      <c r="J230"/>
      <c r="K230"/>
      <c r="L230"/>
      <c r="M230"/>
      <c r="N230"/>
      <c r="O230"/>
      <c r="P230"/>
      <c r="Q230"/>
      <c r="R230"/>
      <c r="S230"/>
    </row>
    <row r="231" spans="1:19" ht="12.75"/>
    <row r="232" spans="1:19" s="509" customFormat="1" ht="12.75">
      <c r="A232" s="512"/>
      <c r="B232" s="191" t="s">
        <v>104</v>
      </c>
      <c r="C232" s="506"/>
      <c r="D232" s="506"/>
      <c r="E232" s="507"/>
      <c r="F232" s="508"/>
      <c r="G232" s="507"/>
      <c r="H232" s="506"/>
      <c r="I232" s="515"/>
      <c r="J232"/>
      <c r="K232"/>
      <c r="L232" s="511"/>
      <c r="M232" s="511"/>
      <c r="N232" s="511"/>
      <c r="O232" s="511"/>
      <c r="P232" s="511"/>
      <c r="Q232" s="511"/>
      <c r="R232" s="511"/>
      <c r="S232" s="511"/>
    </row>
    <row r="233" spans="1:19" ht="12.75">
      <c r="A233" s="188"/>
      <c r="B233" s="189" t="s">
        <v>303</v>
      </c>
    </row>
    <row r="234" spans="1:19" ht="12.75">
      <c r="A234" s="190">
        <v>303000</v>
      </c>
      <c r="B234" s="191" t="s">
        <v>304</v>
      </c>
      <c r="F234" s="342">
        <f t="shared" si="5"/>
        <v>1979</v>
      </c>
      <c r="H234" s="56">
        <v>1978903</v>
      </c>
    </row>
    <row r="235" spans="1:19" ht="12.75">
      <c r="A235" s="192" t="s">
        <v>305</v>
      </c>
      <c r="B235" s="189" t="s">
        <v>306</v>
      </c>
      <c r="F235" s="342">
        <f t="shared" si="5"/>
        <v>47323</v>
      </c>
      <c r="H235" s="56">
        <v>47322733</v>
      </c>
    </row>
    <row r="236" spans="1:19" ht="12.75">
      <c r="A236" s="193"/>
      <c r="B236" s="189" t="s">
        <v>307</v>
      </c>
      <c r="F236" s="342">
        <f t="shared" si="5"/>
        <v>49302</v>
      </c>
      <c r="H236" s="56">
        <v>49301636</v>
      </c>
    </row>
    <row r="237" spans="1:19" ht="12.75">
      <c r="A237" s="193"/>
      <c r="B237" s="189"/>
      <c r="F237" s="342">
        <f t="shared" ref="F237:F302" si="6">ROUND(H237/1000,0)</f>
        <v>0</v>
      </c>
      <c r="H237" s="56"/>
    </row>
    <row r="238" spans="1:19" ht="12.75">
      <c r="A238" s="193"/>
      <c r="B238" s="189" t="s">
        <v>308</v>
      </c>
      <c r="F238" s="342">
        <f t="shared" si="6"/>
        <v>0</v>
      </c>
      <c r="H238" s="56"/>
    </row>
    <row r="239" spans="1:19" ht="12.75">
      <c r="A239" s="194" t="s">
        <v>309</v>
      </c>
      <c r="B239" s="189" t="s">
        <v>310</v>
      </c>
      <c r="F239" s="342">
        <f t="shared" si="6"/>
        <v>911</v>
      </c>
      <c r="H239" s="56">
        <v>911162</v>
      </c>
    </row>
    <row r="240" spans="1:19" ht="12.75">
      <c r="A240" s="194" t="s">
        <v>311</v>
      </c>
      <c r="B240" s="189" t="s">
        <v>312</v>
      </c>
      <c r="F240" s="342">
        <f t="shared" si="6"/>
        <v>1926</v>
      </c>
      <c r="H240" s="56">
        <v>1925739</v>
      </c>
    </row>
    <row r="241" spans="1:8" ht="12.75">
      <c r="A241" s="194" t="s">
        <v>313</v>
      </c>
      <c r="B241" s="189" t="s">
        <v>314</v>
      </c>
      <c r="F241" s="342">
        <f t="shared" si="6"/>
        <v>16041</v>
      </c>
      <c r="H241" s="56">
        <v>16040909</v>
      </c>
    </row>
    <row r="242" spans="1:8" ht="12.75">
      <c r="A242" s="194">
        <v>353000</v>
      </c>
      <c r="B242" s="189" t="s">
        <v>315</v>
      </c>
      <c r="F242" s="342">
        <f t="shared" si="6"/>
        <v>1409</v>
      </c>
      <c r="H242" s="56">
        <v>1409241</v>
      </c>
    </row>
    <row r="243" spans="1:8" ht="12.75">
      <c r="A243" s="194">
        <v>354000</v>
      </c>
      <c r="B243" s="189" t="s">
        <v>316</v>
      </c>
      <c r="F243" s="342">
        <f t="shared" si="6"/>
        <v>10493</v>
      </c>
      <c r="H243" s="56">
        <v>10492782</v>
      </c>
    </row>
    <row r="244" spans="1:8" ht="12.75">
      <c r="A244" s="194">
        <v>355000</v>
      </c>
      <c r="B244" s="189" t="s">
        <v>317</v>
      </c>
      <c r="F244" s="342">
        <f t="shared" si="6"/>
        <v>1326</v>
      </c>
      <c r="H244" s="56">
        <v>1326369</v>
      </c>
    </row>
    <row r="245" spans="1:8" ht="12.75">
      <c r="A245" s="194">
        <v>356000</v>
      </c>
      <c r="B245" s="189" t="s">
        <v>318</v>
      </c>
      <c r="F245" s="342">
        <f t="shared" si="6"/>
        <v>373</v>
      </c>
      <c r="H245" s="56">
        <v>373150</v>
      </c>
    </row>
    <row r="246" spans="1:8" ht="12.75">
      <c r="A246" s="194">
        <v>357000</v>
      </c>
      <c r="B246" s="189" t="s">
        <v>235</v>
      </c>
      <c r="F246" s="342">
        <f t="shared" si="6"/>
        <v>2020</v>
      </c>
      <c r="H246" s="56">
        <v>2020365</v>
      </c>
    </row>
    <row r="247" spans="1:8" ht="12.75">
      <c r="A247" s="194"/>
      <c r="B247" s="189" t="s">
        <v>319</v>
      </c>
      <c r="F247" s="342">
        <f t="shared" si="6"/>
        <v>34500</v>
      </c>
      <c r="H247" s="56">
        <v>34499717</v>
      </c>
    </row>
    <row r="248" spans="1:8" ht="12.75">
      <c r="A248" s="194"/>
      <c r="B248" s="189"/>
      <c r="F248" s="342">
        <f t="shared" si="6"/>
        <v>0</v>
      </c>
      <c r="H248" s="56"/>
    </row>
    <row r="249" spans="1:8" ht="12.75">
      <c r="A249" s="194"/>
      <c r="B249" s="189" t="s">
        <v>320</v>
      </c>
      <c r="F249" s="342">
        <f t="shared" si="6"/>
        <v>0</v>
      </c>
      <c r="H249" s="56"/>
    </row>
    <row r="250" spans="1:8" ht="12.75">
      <c r="A250" s="194">
        <v>374200</v>
      </c>
      <c r="B250" s="189" t="s">
        <v>310</v>
      </c>
      <c r="F250" s="342">
        <f t="shared" si="6"/>
        <v>64</v>
      </c>
      <c r="H250" s="56">
        <v>63925</v>
      </c>
    </row>
    <row r="251" spans="1:8" ht="12.75">
      <c r="A251" s="194">
        <v>374400</v>
      </c>
      <c r="B251" s="189" t="s">
        <v>310</v>
      </c>
      <c r="F251" s="342">
        <f t="shared" si="6"/>
        <v>510</v>
      </c>
      <c r="H251" s="56">
        <v>510460</v>
      </c>
    </row>
    <row r="252" spans="1:8" ht="12.75">
      <c r="A252" s="194">
        <v>375000</v>
      </c>
      <c r="B252" s="189" t="s">
        <v>312</v>
      </c>
      <c r="F252" s="342">
        <f t="shared" si="6"/>
        <v>931</v>
      </c>
      <c r="H252" s="56">
        <v>930542</v>
      </c>
    </row>
    <row r="253" spans="1:8" ht="12.75">
      <c r="A253" s="194">
        <v>376000</v>
      </c>
      <c r="B253" s="195" t="s">
        <v>253</v>
      </c>
      <c r="F253" s="342">
        <f t="shared" si="6"/>
        <v>320529</v>
      </c>
      <c r="H253" s="56">
        <v>320529216</v>
      </c>
    </row>
    <row r="254" spans="1:8" ht="12.75">
      <c r="A254" s="194">
        <v>378000</v>
      </c>
      <c r="B254" s="189" t="s">
        <v>321</v>
      </c>
      <c r="F254" s="342">
        <f t="shared" si="6"/>
        <v>4781</v>
      </c>
      <c r="H254" s="56">
        <v>4781446</v>
      </c>
    </row>
    <row r="255" spans="1:8" ht="12.75">
      <c r="A255" s="194">
        <v>379000</v>
      </c>
      <c r="B255" s="189" t="s">
        <v>322</v>
      </c>
      <c r="F255" s="342">
        <f t="shared" si="6"/>
        <v>1945</v>
      </c>
      <c r="H255" s="56">
        <v>1944601</v>
      </c>
    </row>
    <row r="256" spans="1:8" ht="12.75">
      <c r="A256" s="194">
        <v>380000</v>
      </c>
      <c r="B256" s="189" t="s">
        <v>254</v>
      </c>
      <c r="F256" s="342">
        <f t="shared" si="6"/>
        <v>232926</v>
      </c>
      <c r="H256" s="56">
        <v>232926317</v>
      </c>
    </row>
    <row r="257" spans="1:8" ht="12.75">
      <c r="A257" s="194" t="s">
        <v>599</v>
      </c>
      <c r="B257" s="189" t="s">
        <v>323</v>
      </c>
      <c r="F257" s="342">
        <f t="shared" si="6"/>
        <v>85804</v>
      </c>
      <c r="H257" s="56">
        <v>85803781</v>
      </c>
    </row>
    <row r="258" spans="1:8" ht="12.75">
      <c r="A258" s="194">
        <v>382000</v>
      </c>
      <c r="B258" s="189" t="s">
        <v>324</v>
      </c>
      <c r="F258" s="342">
        <f t="shared" si="6"/>
        <v>0</v>
      </c>
      <c r="H258" s="56">
        <v>0</v>
      </c>
    </row>
    <row r="259" spans="1:8" ht="12.75">
      <c r="A259" s="194">
        <v>383000</v>
      </c>
      <c r="B259" s="189" t="s">
        <v>325</v>
      </c>
      <c r="F259" s="342">
        <f t="shared" si="6"/>
        <v>0</v>
      </c>
      <c r="H259" s="56">
        <v>0</v>
      </c>
    </row>
    <row r="260" spans="1:8" ht="12.75">
      <c r="A260" s="194">
        <v>384000</v>
      </c>
      <c r="B260" s="189" t="s">
        <v>326</v>
      </c>
      <c r="F260" s="342">
        <f t="shared" si="6"/>
        <v>0</v>
      </c>
      <c r="H260" s="56">
        <v>0</v>
      </c>
    </row>
    <row r="261" spans="1:8" ht="12.75">
      <c r="A261" s="194">
        <v>385000</v>
      </c>
      <c r="B261" s="189" t="s">
        <v>327</v>
      </c>
      <c r="F261" s="342">
        <f t="shared" si="6"/>
        <v>3032</v>
      </c>
      <c r="H261" s="56">
        <v>3032271</v>
      </c>
    </row>
    <row r="262" spans="1:8" ht="12.75">
      <c r="A262" s="194">
        <v>387000</v>
      </c>
      <c r="B262" s="189" t="s">
        <v>235</v>
      </c>
      <c r="F262" s="342">
        <f t="shared" si="6"/>
        <v>0</v>
      </c>
      <c r="H262" s="56">
        <v>0</v>
      </c>
    </row>
    <row r="263" spans="1:8" ht="12.75">
      <c r="A263" s="194"/>
      <c r="B263" s="189" t="s">
        <v>328</v>
      </c>
      <c r="F263" s="342">
        <f t="shared" si="6"/>
        <v>650523</v>
      </c>
      <c r="H263" s="56">
        <v>650522559</v>
      </c>
    </row>
    <row r="264" spans="1:8" ht="12.75">
      <c r="A264" s="194"/>
      <c r="B264" s="189"/>
      <c r="F264" s="342">
        <f t="shared" si="6"/>
        <v>0</v>
      </c>
      <c r="H264" s="56"/>
    </row>
    <row r="265" spans="1:8" ht="12.75">
      <c r="A265" s="194"/>
      <c r="B265" s="189" t="s">
        <v>329</v>
      </c>
      <c r="F265" s="342">
        <f t="shared" si="6"/>
        <v>0</v>
      </c>
      <c r="H265" s="56"/>
    </row>
    <row r="266" spans="1:8" ht="12.75">
      <c r="A266" s="194" t="s">
        <v>330</v>
      </c>
      <c r="B266" s="189" t="s">
        <v>310</v>
      </c>
      <c r="F266" s="342">
        <f t="shared" si="6"/>
        <v>5185</v>
      </c>
      <c r="H266" s="56">
        <v>5184912</v>
      </c>
    </row>
    <row r="267" spans="1:8" ht="12.75">
      <c r="A267" s="192" t="s">
        <v>331</v>
      </c>
      <c r="B267" s="189" t="s">
        <v>312</v>
      </c>
      <c r="F267" s="342">
        <f t="shared" si="6"/>
        <v>48957</v>
      </c>
      <c r="H267" s="56">
        <v>48956705</v>
      </c>
    </row>
    <row r="268" spans="1:8" ht="12.75">
      <c r="A268" s="192" t="s">
        <v>332</v>
      </c>
      <c r="B268" s="189" t="s">
        <v>333</v>
      </c>
      <c r="F268" s="342">
        <f t="shared" si="6"/>
        <v>12141</v>
      </c>
      <c r="H268" s="56">
        <v>12140749</v>
      </c>
    </row>
    <row r="269" spans="1:8" ht="12.75">
      <c r="A269" s="192" t="s">
        <v>334</v>
      </c>
      <c r="B269" s="189" t="s">
        <v>335</v>
      </c>
      <c r="F269" s="342">
        <f t="shared" si="6"/>
        <v>14284</v>
      </c>
      <c r="H269" s="56">
        <v>14284031</v>
      </c>
    </row>
    <row r="270" spans="1:8" ht="12.75">
      <c r="A270" s="194">
        <v>393000</v>
      </c>
      <c r="B270" s="189" t="s">
        <v>336</v>
      </c>
      <c r="F270" s="342">
        <f t="shared" si="6"/>
        <v>1127</v>
      </c>
      <c r="H270" s="56">
        <v>1126701</v>
      </c>
    </row>
    <row r="271" spans="1:8" ht="12.75">
      <c r="A271" s="194">
        <v>394000</v>
      </c>
      <c r="B271" s="189" t="s">
        <v>337</v>
      </c>
      <c r="F271" s="342">
        <f t="shared" si="6"/>
        <v>8317</v>
      </c>
      <c r="H271" s="56">
        <v>8316971</v>
      </c>
    </row>
    <row r="272" spans="1:8" ht="12.75">
      <c r="A272" s="194" t="s">
        <v>600</v>
      </c>
      <c r="B272" s="189" t="s">
        <v>338</v>
      </c>
      <c r="F272" s="342">
        <f t="shared" si="6"/>
        <v>500</v>
      </c>
      <c r="H272" s="56">
        <v>499663</v>
      </c>
    </row>
    <row r="273" spans="1:8" ht="12.75">
      <c r="A273" s="194" t="s">
        <v>339</v>
      </c>
      <c r="B273" s="189" t="s">
        <v>340</v>
      </c>
      <c r="F273" s="342">
        <f t="shared" si="6"/>
        <v>3377</v>
      </c>
      <c r="H273" s="56">
        <v>3376866</v>
      </c>
    </row>
    <row r="274" spans="1:8" ht="12.75">
      <c r="A274" s="194" t="s">
        <v>341</v>
      </c>
      <c r="B274" s="189" t="s">
        <v>342</v>
      </c>
      <c r="F274" s="342">
        <f t="shared" si="6"/>
        <v>18164</v>
      </c>
      <c r="H274" s="56">
        <v>18163808</v>
      </c>
    </row>
    <row r="275" spans="1:8" ht="12.75">
      <c r="A275" s="194">
        <v>398000</v>
      </c>
      <c r="B275" s="189" t="s">
        <v>343</v>
      </c>
      <c r="F275" s="342">
        <f t="shared" si="6"/>
        <v>121</v>
      </c>
      <c r="H275" s="56">
        <v>121030</v>
      </c>
    </row>
    <row r="276" spans="1:8" ht="12.75">
      <c r="A276" s="194"/>
      <c r="B276" s="189" t="s">
        <v>344</v>
      </c>
      <c r="F276" s="342">
        <f t="shared" si="6"/>
        <v>112171</v>
      </c>
      <c r="H276" s="56">
        <v>112171436</v>
      </c>
    </row>
    <row r="277" spans="1:8" ht="12.75">
      <c r="A277" s="194"/>
      <c r="B277" s="189"/>
      <c r="F277" s="342">
        <f t="shared" si="6"/>
        <v>0</v>
      </c>
      <c r="H277" s="56"/>
    </row>
    <row r="278" spans="1:8" ht="12.75">
      <c r="A278" s="194"/>
      <c r="B278" s="189" t="s">
        <v>345</v>
      </c>
      <c r="F278" s="342">
        <f t="shared" si="6"/>
        <v>846495</v>
      </c>
      <c r="H278" s="56">
        <v>846495348</v>
      </c>
    </row>
    <row r="279" spans="1:8" ht="12.75">
      <c r="A279" s="194"/>
      <c r="B279" s="189"/>
      <c r="F279" s="342">
        <f t="shared" si="6"/>
        <v>0</v>
      </c>
      <c r="H279" s="56"/>
    </row>
    <row r="280" spans="1:8" ht="12.75">
      <c r="A280" s="194"/>
      <c r="B280" s="189"/>
      <c r="F280" s="342">
        <f t="shared" si="6"/>
        <v>0</v>
      </c>
      <c r="H280" s="56"/>
    </row>
    <row r="281" spans="1:8" ht="12.75">
      <c r="A281" s="192"/>
      <c r="B281" s="189" t="s">
        <v>63</v>
      </c>
      <c r="F281" s="342">
        <f t="shared" si="6"/>
        <v>0</v>
      </c>
      <c r="H281" s="56"/>
    </row>
    <row r="282" spans="1:8" ht="12.75">
      <c r="A282" s="192"/>
      <c r="B282" s="189" t="s">
        <v>41</v>
      </c>
      <c r="F282" s="342">
        <f t="shared" si="6"/>
        <v>-13149</v>
      </c>
      <c r="H282" s="56">
        <v>-13149497</v>
      </c>
    </row>
    <row r="283" spans="1:8" ht="12.75">
      <c r="A283" s="192"/>
      <c r="B283" s="189" t="s">
        <v>60</v>
      </c>
      <c r="F283" s="342">
        <f t="shared" si="6"/>
        <v>-188334</v>
      </c>
      <c r="H283" s="56">
        <v>-188333960</v>
      </c>
    </row>
    <row r="284" spans="1:8" ht="12.75">
      <c r="A284" s="192"/>
      <c r="B284" s="189" t="s">
        <v>61</v>
      </c>
      <c r="F284" s="342">
        <f t="shared" si="6"/>
        <v>-35836</v>
      </c>
      <c r="H284" s="56">
        <v>-35836236</v>
      </c>
    </row>
    <row r="285" spans="1:8" ht="12.75">
      <c r="A285" s="188"/>
      <c r="B285" s="189" t="s">
        <v>346</v>
      </c>
      <c r="F285" s="342">
        <f t="shared" si="6"/>
        <v>-237320</v>
      </c>
      <c r="H285" s="56">
        <v>-237319693</v>
      </c>
    </row>
    <row r="286" spans="1:8" ht="12.75">
      <c r="A286" s="188"/>
      <c r="B286" s="189"/>
      <c r="F286" s="342">
        <f t="shared" si="6"/>
        <v>0</v>
      </c>
      <c r="H286" s="56"/>
    </row>
    <row r="287" spans="1:8" ht="12.75">
      <c r="A287" s="188"/>
      <c r="B287" s="189" t="s">
        <v>347</v>
      </c>
      <c r="F287" s="342">
        <f t="shared" si="6"/>
        <v>0</v>
      </c>
      <c r="H287" s="56"/>
    </row>
    <row r="288" spans="1:8" ht="12.75">
      <c r="A288" s="192"/>
      <c r="B288" s="189" t="s">
        <v>348</v>
      </c>
      <c r="F288" s="342">
        <f t="shared" si="6"/>
        <v>-1088</v>
      </c>
      <c r="H288" s="56">
        <v>-1087622</v>
      </c>
    </row>
    <row r="289" spans="1:8" ht="12.75">
      <c r="A289" s="192"/>
      <c r="B289" s="189" t="s">
        <v>349</v>
      </c>
      <c r="F289" s="342">
        <f t="shared" si="6"/>
        <v>-25429</v>
      </c>
      <c r="H289" s="56">
        <v>-25429065</v>
      </c>
    </row>
    <row r="290" spans="1:8" ht="12.75">
      <c r="A290" s="192"/>
      <c r="B290" s="189" t="s">
        <v>41</v>
      </c>
      <c r="F290" s="342">
        <f t="shared" si="6"/>
        <v>0</v>
      </c>
      <c r="H290" s="56">
        <v>0</v>
      </c>
    </row>
    <row r="291" spans="1:8" ht="12.75">
      <c r="A291" s="192"/>
      <c r="B291" s="189" t="s">
        <v>350</v>
      </c>
      <c r="F291" s="342">
        <f t="shared" si="6"/>
        <v>0</v>
      </c>
      <c r="H291" s="56">
        <v>0</v>
      </c>
    </row>
    <row r="292" spans="1:8" ht="12.75">
      <c r="A292" s="192"/>
      <c r="B292" s="189" t="s">
        <v>351</v>
      </c>
      <c r="F292" s="342">
        <f t="shared" si="6"/>
        <v>-26517</v>
      </c>
      <c r="H292" s="56">
        <v>-26516687</v>
      </c>
    </row>
    <row r="293" spans="1:8" ht="12.75">
      <c r="A293" s="192"/>
      <c r="B293" s="189"/>
      <c r="F293" s="342">
        <f t="shared" si="6"/>
        <v>0</v>
      </c>
      <c r="H293" s="56"/>
    </row>
    <row r="294" spans="1:8" ht="12.75">
      <c r="A294" s="192"/>
      <c r="B294" s="189" t="s">
        <v>352</v>
      </c>
      <c r="F294" s="342">
        <f t="shared" si="6"/>
        <v>-263836</v>
      </c>
      <c r="H294" s="56">
        <v>-263836380</v>
      </c>
    </row>
    <row r="295" spans="1:8" ht="12.75">
      <c r="A295" s="192"/>
      <c r="B295" s="189"/>
      <c r="F295" s="342">
        <f t="shared" si="6"/>
        <v>0</v>
      </c>
      <c r="H295" s="56"/>
    </row>
    <row r="296" spans="1:8" ht="12.75">
      <c r="A296" s="188"/>
      <c r="B296" s="189" t="s">
        <v>353</v>
      </c>
      <c r="F296" s="342">
        <f t="shared" si="6"/>
        <v>582659</v>
      </c>
      <c r="H296" s="56">
        <v>582658968</v>
      </c>
    </row>
    <row r="297" spans="1:8" ht="12.75">
      <c r="A297" s="188"/>
      <c r="B297" s="189"/>
      <c r="F297" s="342">
        <f t="shared" si="6"/>
        <v>0</v>
      </c>
      <c r="H297" s="56"/>
    </row>
    <row r="298" spans="1:8" ht="12.75">
      <c r="A298" s="196"/>
      <c r="B298" s="197" t="s">
        <v>354</v>
      </c>
      <c r="F298" s="342">
        <f t="shared" si="6"/>
        <v>0</v>
      </c>
      <c r="H298" s="56"/>
    </row>
    <row r="299" spans="1:8" ht="12.75">
      <c r="A299" s="198">
        <v>282900</v>
      </c>
      <c r="B299" s="197" t="s">
        <v>355</v>
      </c>
      <c r="F299" s="342">
        <f t="shared" si="6"/>
        <v>-72787</v>
      </c>
      <c r="H299" s="56">
        <v>-72787102</v>
      </c>
    </row>
    <row r="300" spans="1:8" ht="12.75">
      <c r="A300" s="198">
        <v>282900</v>
      </c>
      <c r="B300" s="197" t="s">
        <v>356</v>
      </c>
      <c r="F300" s="342">
        <f t="shared" si="6"/>
        <v>-11027</v>
      </c>
      <c r="H300" s="56">
        <v>-11027362</v>
      </c>
    </row>
    <row r="301" spans="1:8" ht="15.75">
      <c r="A301" s="264">
        <v>282919</v>
      </c>
      <c r="B301" s="245" t="s">
        <v>457</v>
      </c>
      <c r="F301" s="342">
        <f t="shared" si="6"/>
        <v>-789</v>
      </c>
      <c r="H301" s="56">
        <v>-789176</v>
      </c>
    </row>
    <row r="302" spans="1:8" ht="12.75">
      <c r="A302" s="198">
        <v>283750</v>
      </c>
      <c r="B302" s="197" t="s">
        <v>393</v>
      </c>
      <c r="F302" s="342">
        <f t="shared" si="6"/>
        <v>29</v>
      </c>
      <c r="H302" s="56">
        <v>29187</v>
      </c>
    </row>
    <row r="303" spans="1:8" ht="12.75">
      <c r="A303" s="198">
        <v>283850</v>
      </c>
      <c r="B303" s="197" t="s">
        <v>357</v>
      </c>
      <c r="F303" s="342">
        <f t="shared" ref="F303:F329" si="7">ROUND(H303/1000,0)</f>
        <v>-197</v>
      </c>
      <c r="H303" s="56">
        <v>-197140</v>
      </c>
    </row>
    <row r="304" spans="1:8" ht="12.75">
      <c r="A304" s="192"/>
      <c r="B304" s="189" t="s">
        <v>358</v>
      </c>
      <c r="F304" s="342">
        <f t="shared" si="7"/>
        <v>-84772</v>
      </c>
      <c r="H304" s="56">
        <v>-84771593</v>
      </c>
    </row>
    <row r="305" spans="1:19" ht="12.75">
      <c r="A305" s="188"/>
      <c r="B305" s="189"/>
      <c r="F305" s="342">
        <f t="shared" si="7"/>
        <v>0</v>
      </c>
      <c r="H305" s="56"/>
    </row>
    <row r="306" spans="1:19" ht="12.75">
      <c r="A306" s="188"/>
      <c r="B306" s="189" t="s">
        <v>359</v>
      </c>
      <c r="F306" s="342">
        <f t="shared" si="7"/>
        <v>497887</v>
      </c>
      <c r="H306" s="56">
        <v>497887375</v>
      </c>
    </row>
    <row r="307" spans="1:19" ht="12.75"/>
    <row r="308" spans="1:19" s="509" customFormat="1" ht="12.7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75">
      <c r="A309" s="371">
        <v>108121</v>
      </c>
      <c r="B309" s="243" t="s">
        <v>465</v>
      </c>
      <c r="F309" s="342">
        <f t="shared" si="7"/>
        <v>0</v>
      </c>
      <c r="H309" s="224">
        <v>0</v>
      </c>
    </row>
    <row r="310" spans="1:19" ht="15.75">
      <c r="A310" s="371">
        <v>182332</v>
      </c>
      <c r="B310" s="243" t="s">
        <v>458</v>
      </c>
      <c r="F310" s="342">
        <f t="shared" si="7"/>
        <v>2412</v>
      </c>
      <c r="H310" s="56">
        <v>2412130</v>
      </c>
    </row>
    <row r="311" spans="1:19" ht="15.75">
      <c r="A311" s="371">
        <v>182318</v>
      </c>
      <c r="B311" s="243" t="s">
        <v>459</v>
      </c>
      <c r="F311" s="342">
        <f t="shared" si="7"/>
        <v>-818</v>
      </c>
      <c r="H311" s="56">
        <v>-817758</v>
      </c>
    </row>
    <row r="312" spans="1:19" ht="15.75">
      <c r="A312" s="264">
        <v>117100</v>
      </c>
      <c r="B312" s="245" t="s">
        <v>361</v>
      </c>
      <c r="F312" s="342">
        <f t="shared" si="7"/>
        <v>3923</v>
      </c>
      <c r="H312" s="56">
        <v>3922913</v>
      </c>
    </row>
    <row r="313" spans="1:19" ht="15.75">
      <c r="A313" s="264">
        <v>164100</v>
      </c>
      <c r="B313" s="245" t="s">
        <v>362</v>
      </c>
      <c r="F313" s="342">
        <f t="shared" si="7"/>
        <v>15608</v>
      </c>
      <c r="H313" s="56">
        <v>15608258</v>
      </c>
    </row>
    <row r="314" spans="1:19" ht="15.75">
      <c r="A314" s="264">
        <v>164115</v>
      </c>
      <c r="B314" s="245" t="s">
        <v>512</v>
      </c>
      <c r="F314" s="342">
        <f t="shared" si="7"/>
        <v>21</v>
      </c>
      <c r="H314" s="56">
        <v>20637</v>
      </c>
    </row>
    <row r="315" spans="1:19" ht="15.75">
      <c r="A315" s="264">
        <v>182331</v>
      </c>
      <c r="B315" s="245" t="s">
        <v>601</v>
      </c>
      <c r="F315" s="342">
        <f t="shared" si="7"/>
        <v>3398</v>
      </c>
      <c r="H315" s="56">
        <v>3397513</v>
      </c>
    </row>
    <row r="316" spans="1:19" ht="15.75">
      <c r="A316" s="264">
        <v>182337</v>
      </c>
      <c r="B316" s="243" t="s">
        <v>602</v>
      </c>
      <c r="F316" s="342">
        <f t="shared" si="7"/>
        <v>8075</v>
      </c>
      <c r="H316" s="56">
        <v>8074705</v>
      </c>
    </row>
    <row r="317" spans="1:19" ht="15.75">
      <c r="A317" s="264">
        <v>283436</v>
      </c>
      <c r="B317" s="245" t="s">
        <v>603</v>
      </c>
      <c r="F317" s="342">
        <f t="shared" si="7"/>
        <v>-2014</v>
      </c>
      <c r="H317" s="56">
        <v>-2013859</v>
      </c>
    </row>
    <row r="318" spans="1:19" ht="15.75">
      <c r="A318" s="264">
        <v>252000</v>
      </c>
      <c r="B318" s="246" t="s">
        <v>363</v>
      </c>
      <c r="F318" s="342">
        <f t="shared" si="7"/>
        <v>0</v>
      </c>
      <c r="H318" s="56">
        <v>0</v>
      </c>
    </row>
    <row r="319" spans="1:19" ht="15.75">
      <c r="A319" s="264">
        <v>254393</v>
      </c>
      <c r="B319" s="246" t="s">
        <v>513</v>
      </c>
      <c r="F319" s="342">
        <f t="shared" si="7"/>
        <v>-17132</v>
      </c>
      <c r="H319" s="56">
        <v>-17131511</v>
      </c>
    </row>
    <row r="320" spans="1:19" ht="15.75">
      <c r="A320" s="264">
        <v>190393</v>
      </c>
      <c r="B320" s="246" t="s">
        <v>514</v>
      </c>
      <c r="F320" s="342">
        <f t="shared" si="7"/>
        <v>3598</v>
      </c>
      <c r="H320" s="56">
        <v>3597617</v>
      </c>
    </row>
    <row r="321" spans="1:19" ht="15.75">
      <c r="A321" s="264">
        <v>235199</v>
      </c>
      <c r="B321" s="246" t="s">
        <v>364</v>
      </c>
      <c r="F321" s="342">
        <f t="shared" si="7"/>
        <v>-1</v>
      </c>
      <c r="H321" s="56">
        <v>-1377</v>
      </c>
      <c r="J321" s="477"/>
      <c r="K321" s="477"/>
      <c r="L321" s="477"/>
      <c r="M321" s="477"/>
      <c r="N321" s="477"/>
      <c r="O321" s="477"/>
      <c r="P321" s="477"/>
      <c r="Q321" s="477"/>
      <c r="R321" s="477"/>
      <c r="S321" s="477"/>
    </row>
    <row r="322" spans="1:19" ht="15.75">
      <c r="A322" s="264">
        <v>254911</v>
      </c>
      <c r="B322" s="246" t="s">
        <v>460</v>
      </c>
      <c r="F322" s="342">
        <f t="shared" si="7"/>
        <v>0</v>
      </c>
      <c r="H322" s="56">
        <v>0</v>
      </c>
      <c r="J322" s="477"/>
      <c r="K322" s="477"/>
      <c r="L322" s="477"/>
      <c r="M322" s="477"/>
      <c r="N322" s="477"/>
      <c r="O322" s="477"/>
      <c r="P322" s="477"/>
      <c r="Q322" s="477"/>
      <c r="R322" s="477"/>
      <c r="S322" s="477"/>
    </row>
    <row r="323" spans="1:19" ht="15.75">
      <c r="A323" s="264">
        <v>182302</v>
      </c>
      <c r="B323" s="246" t="s">
        <v>422</v>
      </c>
      <c r="F323" s="342">
        <f t="shared" si="7"/>
        <v>4336</v>
      </c>
      <c r="H323" s="56">
        <v>4336499</v>
      </c>
      <c r="J323" s="477"/>
      <c r="K323" s="477"/>
      <c r="L323" s="477"/>
      <c r="M323" s="477"/>
      <c r="N323" s="477"/>
      <c r="O323" s="477"/>
      <c r="P323" s="477"/>
      <c r="Q323" s="477"/>
      <c r="R323" s="477"/>
      <c r="S323" s="477"/>
    </row>
    <row r="324" spans="1:19" ht="15.75">
      <c r="A324" s="264">
        <v>283302</v>
      </c>
      <c r="B324" s="246" t="s">
        <v>461</v>
      </c>
      <c r="F324" s="342">
        <f t="shared" si="7"/>
        <v>-911</v>
      </c>
      <c r="H324" s="56">
        <v>-910665</v>
      </c>
    </row>
    <row r="325" spans="1:19" ht="15.75">
      <c r="A325" s="244"/>
      <c r="B325" s="246" t="s">
        <v>365</v>
      </c>
      <c r="F325" s="342">
        <f t="shared" si="7"/>
        <v>15047</v>
      </c>
      <c r="H325" s="56">
        <v>15046912</v>
      </c>
    </row>
    <row r="326" spans="1:19" ht="15.75">
      <c r="A326" s="264">
        <v>186710</v>
      </c>
      <c r="B326" s="245" t="s">
        <v>366</v>
      </c>
      <c r="F326" s="342">
        <f t="shared" si="7"/>
        <v>0</v>
      </c>
      <c r="H326" s="56">
        <v>0</v>
      </c>
    </row>
    <row r="327" spans="1:19" ht="12.75">
      <c r="A327" s="200"/>
      <c r="B327" s="199" t="s">
        <v>367</v>
      </c>
      <c r="F327" s="342">
        <f t="shared" si="7"/>
        <v>35542</v>
      </c>
      <c r="H327" s="56">
        <v>35542014</v>
      </c>
    </row>
    <row r="328" spans="1:19" ht="12.75">
      <c r="A328" s="200"/>
      <c r="B328" s="199"/>
      <c r="F328" s="342">
        <f t="shared" si="7"/>
        <v>0</v>
      </c>
      <c r="H328" s="56"/>
    </row>
    <row r="329" spans="1:19" ht="12.75">
      <c r="A329" s="200"/>
      <c r="B329" s="199" t="s">
        <v>368</v>
      </c>
      <c r="F329" s="342">
        <f t="shared" si="7"/>
        <v>533429</v>
      </c>
      <c r="H329" s="56">
        <v>533429389</v>
      </c>
    </row>
    <row r="330" spans="1:19" ht="12.75"/>
    <row r="331" spans="1:19" ht="12.75"/>
    <row r="332" spans="1:19" ht="12.75"/>
    <row r="333" spans="1:19" ht="12.75"/>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2.75"/>
  <cols>
    <col min="1" max="1" width="23.42578125" style="477" customWidth="1"/>
    <col min="2" max="2" width="19.85546875" style="477" customWidth="1"/>
    <col min="3" max="3" width="6" style="477" customWidth="1"/>
    <col min="4" max="6" width="13.7109375" style="477" customWidth="1"/>
    <col min="7" max="7" width="3" style="477" customWidth="1"/>
    <col min="8" max="8" width="30.85546875" style="477" customWidth="1"/>
    <col min="9" max="9" width="15.85546875" style="477" bestFit="1" customWidth="1"/>
    <col min="10" max="10" width="11.42578125" style="477"/>
    <col min="12" max="12" width="1.7109375" style="972" customWidth="1"/>
    <col min="14" max="14" width="25.7109375" style="477" customWidth="1"/>
    <col min="15" max="15" width="14.140625" style="477" customWidth="1"/>
    <col min="16" max="16" width="2.42578125" style="477" customWidth="1"/>
    <col min="17" max="20" width="13.7109375" style="477" customWidth="1"/>
    <col min="21" max="21" width="8.85546875" style="477"/>
    <col min="22" max="22" width="1.7109375" style="972" customWidth="1"/>
    <col min="24" max="24" width="17.28515625" style="477" customWidth="1"/>
    <col min="25" max="26" width="14.85546875" style="477" bestFit="1" customWidth="1"/>
    <col min="27" max="27" width="14.42578125" style="477" customWidth="1"/>
    <col min="28" max="28" width="1.28515625" style="477" customWidth="1"/>
    <col min="29" max="29" width="13.85546875" style="477" bestFit="1" customWidth="1"/>
    <col min="30" max="31" width="15.85546875" style="477" customWidth="1"/>
    <col min="32" max="32" width="14" style="477" customWidth="1"/>
    <col min="33" max="33" width="0.85546875" style="477" customWidth="1"/>
    <col min="34" max="34" width="14" style="477" bestFit="1" customWidth="1"/>
    <col min="35" max="35" width="11.7109375" style="477" bestFit="1" customWidth="1"/>
    <col min="36" max="36" width="0.85546875" style="477" customWidth="1"/>
    <col min="37" max="37" width="13.85546875" style="477" bestFit="1" customWidth="1"/>
    <col min="38" max="38" width="13.85546875" style="477" customWidth="1"/>
    <col min="39" max="39" width="13.5703125" style="477" bestFit="1" customWidth="1"/>
    <col min="40" max="40" width="14.5703125" style="477" bestFit="1" customWidth="1"/>
    <col min="41" max="41" width="11.5703125" style="477" bestFit="1" customWidth="1"/>
    <col min="42" max="42" width="1.7109375" style="972" customWidth="1"/>
    <col min="43" max="43" width="6.28515625" style="199" customWidth="1"/>
    <col min="44" max="44" width="27" style="199" customWidth="1"/>
    <col min="45" max="45" width="17.85546875" style="199" customWidth="1"/>
    <col min="46" max="46" width="3.140625" style="199" customWidth="1"/>
    <col min="47" max="47" width="16.5703125" style="199" customWidth="1"/>
    <col min="48" max="48" width="24.28515625" style="199" bestFit="1" customWidth="1"/>
    <col min="49" max="49" width="24.140625" style="199" bestFit="1" customWidth="1"/>
    <col min="51" max="51" width="1.7109375" style="972" customWidth="1"/>
    <col min="53" max="53" width="10.28515625" style="477" customWidth="1"/>
    <col min="54" max="54" width="25.85546875" style="477" customWidth="1"/>
    <col min="55" max="55" width="16.85546875" style="477" bestFit="1" customWidth="1"/>
    <col min="56" max="56" width="16.85546875" style="477" customWidth="1"/>
    <col min="57" max="57" width="14.5703125" style="477" customWidth="1"/>
    <col min="58" max="58" width="16.28515625" style="477" bestFit="1" customWidth="1"/>
    <col min="60" max="60" width="1.7109375" style="972" customWidth="1"/>
    <col min="61" max="61" width="9" customWidth="1"/>
    <col min="62" max="62" width="10.28515625" style="477" customWidth="1"/>
    <col min="63" max="63" width="25.85546875" style="477" customWidth="1"/>
    <col min="64" max="64" width="16.85546875" style="477" bestFit="1" customWidth="1"/>
    <col min="65" max="65" width="16.85546875" style="477" customWidth="1"/>
    <col min="66" max="66" width="14.5703125" style="477" customWidth="1"/>
    <col min="67" max="67" width="16.28515625" style="477" bestFit="1" customWidth="1"/>
    <col min="68" max="68" width="14.28515625" style="477" customWidth="1"/>
    <col min="69" max="69" width="14.7109375" style="477" customWidth="1"/>
    <col min="71" max="71" width="1.7109375" style="972" customWidth="1"/>
    <col min="73" max="73" width="10.28515625" style="477" customWidth="1"/>
    <col min="74" max="74" width="25.85546875" style="477" customWidth="1"/>
    <col min="75" max="75" width="16.85546875" style="477" bestFit="1" customWidth="1"/>
    <col min="76" max="76" width="16.85546875" style="477" customWidth="1"/>
    <col min="77" max="77" width="14.5703125" style="477" customWidth="1"/>
    <col min="78" max="78" width="16.28515625" style="477" bestFit="1" customWidth="1"/>
    <col min="79" max="79" width="14.28515625" style="477" customWidth="1"/>
    <col min="80" max="80" width="14.7109375" style="477" customWidth="1"/>
    <col min="81" max="81" width="14.5703125" style="477" bestFit="1" customWidth="1"/>
    <col min="83" max="83" width="1.7109375" style="972" customWidth="1"/>
    <col min="85" max="85" width="27.42578125" style="477" customWidth="1"/>
    <col min="86" max="86" width="5.7109375" style="477" customWidth="1"/>
    <col min="87" max="87" width="9.7109375" style="477" customWidth="1"/>
    <col min="88" max="88" width="15.140625" style="477" customWidth="1"/>
    <col min="89" max="89" width="14.7109375" style="477" customWidth="1"/>
    <col min="90" max="90" width="14.140625" style="477" customWidth="1"/>
    <col min="91" max="91" width="17.28515625" style="477" bestFit="1" customWidth="1"/>
    <col min="92" max="92" width="16.5703125" style="477" bestFit="1" customWidth="1"/>
    <col min="93" max="93" width="14.140625" style="477" customWidth="1"/>
    <col min="94" max="94" width="1.7109375" style="477" customWidth="1"/>
    <col min="95" max="95" width="32.140625" style="477" bestFit="1" customWidth="1"/>
    <col min="96" max="96" width="19.5703125" style="477" customWidth="1"/>
    <col min="97" max="97" width="2.42578125" style="477" customWidth="1"/>
    <col min="98" max="98" width="13.140625" style="477" bestFit="1" customWidth="1"/>
    <col min="99" max="99" width="1.7109375" style="972" customWidth="1"/>
    <col min="101" max="101" width="7" style="478" bestFit="1" customWidth="1"/>
    <col min="102" max="102" width="40.5703125" style="478" bestFit="1" customWidth="1"/>
    <col min="103" max="104" width="13.7109375" style="478" bestFit="1" customWidth="1"/>
    <col min="105" max="105" width="14.42578125" style="478" bestFit="1" customWidth="1"/>
    <col min="106" max="106" width="0.5703125" style="478" customWidth="1"/>
    <col min="107" max="107" width="14" style="478" customWidth="1"/>
    <col min="108" max="109" width="13.7109375" style="478" bestFit="1" customWidth="1"/>
    <col min="110" max="110" width="0.7109375" style="478" customWidth="1"/>
    <col min="111" max="112" width="12.28515625" style="478" bestFit="1" customWidth="1"/>
    <col min="113" max="113" width="13.7109375" style="478" bestFit="1" customWidth="1"/>
    <col min="115" max="115" width="1.7109375" style="972" customWidth="1"/>
    <col min="117" max="117" width="7" style="478" bestFit="1" customWidth="1"/>
    <col min="118" max="118" width="40.5703125" style="478" bestFit="1" customWidth="1"/>
    <col min="119" max="121" width="13.7109375" style="478" bestFit="1" customWidth="1"/>
    <col min="122" max="122" width="0.5703125" style="478" customWidth="1"/>
    <col min="123" max="123" width="12.28515625" style="478" bestFit="1" customWidth="1"/>
    <col min="124" max="125" width="13.7109375" style="478" bestFit="1" customWidth="1"/>
    <col min="126" max="126" width="0.7109375" style="478" customWidth="1"/>
    <col min="127" max="128" width="12.28515625" style="478" bestFit="1" customWidth="1"/>
    <col min="129" max="129" width="13.7109375" style="478" bestFit="1" customWidth="1"/>
  </cols>
  <sheetData>
    <row r="1" spans="1:129" ht="26.25" thickBot="1">
      <c r="C1" s="880" t="s">
        <v>111</v>
      </c>
      <c r="Q1" s="880" t="s">
        <v>111</v>
      </c>
      <c r="AK1" s="890" t="s">
        <v>766</v>
      </c>
      <c r="AL1" s="477" t="s">
        <v>745</v>
      </c>
      <c r="AM1" s="944" t="s">
        <v>765</v>
      </c>
      <c r="AN1" s="944" t="s">
        <v>764</v>
      </c>
      <c r="AR1" s="3762" t="s">
        <v>111</v>
      </c>
      <c r="AS1" s="3763"/>
      <c r="AT1" s="3763"/>
      <c r="AU1" s="3763"/>
      <c r="AV1" s="3763"/>
      <c r="AW1" s="953"/>
      <c r="CG1" s="477" t="s">
        <v>111</v>
      </c>
      <c r="CR1" s="477" t="s">
        <v>763</v>
      </c>
    </row>
    <row r="2" spans="1:129" ht="39" thickBot="1">
      <c r="C2" s="880" t="s">
        <v>788</v>
      </c>
      <c r="Q2" s="880" t="s">
        <v>759</v>
      </c>
      <c r="AB2" s="959" t="s">
        <v>111</v>
      </c>
      <c r="AC2" s="959"/>
      <c r="AK2" s="958" t="s">
        <v>762</v>
      </c>
      <c r="AL2" s="973">
        <v>-776128265.72060001</v>
      </c>
      <c r="AR2" s="3762" t="s">
        <v>761</v>
      </c>
      <c r="AS2" s="3763"/>
      <c r="AT2" s="3763"/>
      <c r="AU2" s="3763"/>
      <c r="AV2" s="3763"/>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3759" t="s">
        <v>79</v>
      </c>
      <c r="CZ2" s="3760"/>
      <c r="DA2" s="3761"/>
      <c r="DC2" s="3759" t="s">
        <v>763</v>
      </c>
      <c r="DD2" s="3760"/>
      <c r="DE2" s="3761"/>
      <c r="DG2" s="3759" t="s">
        <v>683</v>
      </c>
      <c r="DH2" s="3760"/>
      <c r="DI2" s="3761"/>
      <c r="DO2" s="3759" t="s">
        <v>79</v>
      </c>
      <c r="DP2" s="3760"/>
      <c r="DQ2" s="3761"/>
      <c r="DS2" s="3759" t="s">
        <v>763</v>
      </c>
      <c r="DT2" s="3760"/>
      <c r="DU2" s="3761"/>
      <c r="DW2" s="3759" t="s">
        <v>683</v>
      </c>
      <c r="DX2" s="3760"/>
      <c r="DY2" s="3761"/>
    </row>
    <row r="3" spans="1:129">
      <c r="C3" s="892" t="s">
        <v>754</v>
      </c>
      <c r="Q3" s="892" t="s">
        <v>754</v>
      </c>
      <c r="AB3" s="880" t="s">
        <v>759</v>
      </c>
      <c r="AC3" s="880"/>
      <c r="AK3" s="890" t="s">
        <v>758</v>
      </c>
      <c r="AL3" s="973">
        <v>-773849913</v>
      </c>
      <c r="AM3" s="888">
        <f>AL3-AL2</f>
        <v>2278352.720600009</v>
      </c>
      <c r="AN3" s="888">
        <f>AM3/12</f>
        <v>189862.72671666741</v>
      </c>
      <c r="AR3" s="3764" t="s">
        <v>754</v>
      </c>
      <c r="AS3" s="3764"/>
      <c r="AT3" s="3764"/>
      <c r="AU3" s="3764"/>
      <c r="AV3" s="3764"/>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8.25">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5"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5"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5"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5"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5"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5"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5"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25"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5"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25"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5"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5"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5"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5"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5"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5"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5"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5"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5"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5"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2.75"/>
  <cols>
    <col min="1" max="1" width="35.5703125" style="477" customWidth="1"/>
    <col min="2" max="2" width="11.140625" style="477" customWidth="1"/>
    <col min="3" max="3" width="12.28515625" style="477" bestFit="1" customWidth="1"/>
    <col min="4" max="5" width="11.42578125" style="477" customWidth="1"/>
    <col min="6" max="6" width="4.140625" style="880" customWidth="1"/>
    <col min="7" max="7" width="11.5703125" style="477" customWidth="1"/>
    <col min="8" max="8" width="11.42578125" style="477" customWidth="1"/>
    <col min="9" max="9" width="11.5703125" style="477" customWidth="1"/>
    <col min="10" max="10" width="10.5703125" style="477" customWidth="1"/>
    <col min="11" max="11" width="11.42578125" style="880" customWidth="1"/>
    <col min="12" max="12" width="11.42578125" style="477" bestFit="1" customWidth="1"/>
    <col min="13" max="13" width="1.7109375" style="1008" customWidth="1"/>
    <col min="14" max="14" width="8.140625" style="477" customWidth="1"/>
    <col min="15" max="15" width="15.5703125" style="478" customWidth="1"/>
    <col min="16" max="16" width="12" style="581" customWidth="1"/>
    <col min="17" max="17" width="12.5703125" style="478" bestFit="1" customWidth="1"/>
    <col min="18" max="18" width="12" style="1012" customWidth="1"/>
    <col min="19" max="19" width="11.140625" style="1012" customWidth="1"/>
    <col min="20" max="20" width="12.42578125" style="478" customWidth="1"/>
    <col min="21" max="21" width="11.85546875" style="478" customWidth="1"/>
    <col min="22" max="22" width="12.7109375" style="478" customWidth="1"/>
    <col min="23" max="23" width="12.5703125" style="478" customWidth="1"/>
    <col min="24" max="24" width="11.5703125" style="478" customWidth="1"/>
    <col min="25" max="25" width="1.7109375" style="1008" customWidth="1"/>
    <col min="26" max="26" width="8.85546875" style="477"/>
    <col min="27" max="27" width="14.42578125" style="1009" customWidth="1"/>
    <col min="28" max="28" width="12.28515625" style="1009" bestFit="1" customWidth="1"/>
    <col min="29" max="29" width="11.85546875" style="1009" customWidth="1"/>
    <col min="30" max="30" width="12.42578125" style="1009" customWidth="1"/>
    <col min="31" max="31" width="6.5703125" style="1011" customWidth="1"/>
    <col min="32" max="32" width="15.5703125" style="1010" customWidth="1"/>
    <col min="33" max="33" width="12" style="1010" customWidth="1"/>
    <col min="34" max="34" width="13.140625" style="1009" customWidth="1"/>
    <col min="35" max="35" width="12.42578125" style="1009" customWidth="1"/>
    <col min="36" max="36" width="8.85546875" style="477"/>
    <col min="37" max="37" width="1.7109375" style="1008" customWidth="1"/>
    <col min="38" max="38" width="8.85546875" style="477"/>
    <col min="39" max="39" width="12.5703125" style="477" customWidth="1"/>
    <col min="40" max="40" width="15.7109375" style="1007" bestFit="1" customWidth="1"/>
    <col min="41" max="41" width="17.28515625" style="1007" customWidth="1"/>
    <col min="42" max="42" width="9.7109375" style="477" customWidth="1"/>
    <col min="43" max="43" width="16.5703125" style="477" customWidth="1"/>
    <col min="44" max="44" width="9.28515625" style="477" bestFit="1" customWidth="1"/>
    <col min="45" max="45" width="19.5703125" style="477" customWidth="1"/>
    <col min="46" max="46" width="3.42578125" style="477" customWidth="1"/>
  </cols>
  <sheetData>
    <row r="1" spans="1:46">
      <c r="A1" s="3763" t="s">
        <v>111</v>
      </c>
      <c r="B1" s="3763"/>
      <c r="C1" s="3763"/>
      <c r="D1" s="3763"/>
      <c r="E1" s="3763"/>
      <c r="F1" s="3763"/>
      <c r="G1" s="3763"/>
      <c r="H1" s="3763"/>
      <c r="I1" s="3763"/>
      <c r="J1" s="3763"/>
      <c r="O1" s="3753" t="s">
        <v>111</v>
      </c>
      <c r="P1" s="3753"/>
      <c r="Q1" s="3753"/>
      <c r="R1" s="3753"/>
      <c r="S1" s="3753"/>
      <c r="T1" s="3753"/>
      <c r="U1" s="3753"/>
      <c r="V1" s="3753"/>
      <c r="W1" s="3753"/>
      <c r="X1" s="1044"/>
      <c r="AA1" s="477"/>
      <c r="AB1" s="477"/>
      <c r="AC1" s="477"/>
      <c r="AD1" s="477"/>
      <c r="AF1" s="477"/>
      <c r="AG1" s="477"/>
      <c r="AH1" s="477"/>
      <c r="AI1" s="477"/>
      <c r="AM1" s="531" t="s">
        <v>111</v>
      </c>
    </row>
    <row r="2" spans="1:46">
      <c r="A2" s="3763" t="s">
        <v>895</v>
      </c>
      <c r="B2" s="3763"/>
      <c r="C2" s="3763"/>
      <c r="D2" s="3763"/>
      <c r="E2" s="3763"/>
      <c r="F2" s="3763"/>
      <c r="G2" s="3763"/>
      <c r="H2" s="3763"/>
      <c r="I2" s="3763"/>
      <c r="J2" s="3763"/>
      <c r="O2" s="3753" t="s">
        <v>894</v>
      </c>
      <c r="P2" s="3753"/>
      <c r="Q2" s="3753"/>
      <c r="R2" s="3753"/>
      <c r="S2" s="3753"/>
      <c r="T2" s="3753"/>
      <c r="U2" s="3753"/>
      <c r="V2" s="3753"/>
      <c r="W2" s="3753"/>
      <c r="X2" s="1044"/>
      <c r="AA2" s="477"/>
      <c r="AB2" s="477"/>
      <c r="AC2" s="477"/>
      <c r="AD2" s="477"/>
      <c r="AF2" s="477"/>
      <c r="AG2" s="477"/>
      <c r="AH2" s="477"/>
      <c r="AI2" s="477"/>
      <c r="AM2" s="531" t="s">
        <v>893</v>
      </c>
    </row>
    <row r="3" spans="1:46">
      <c r="A3" s="3763" t="s">
        <v>580</v>
      </c>
      <c r="B3" s="3763"/>
      <c r="C3" s="3763"/>
      <c r="D3" s="3763"/>
      <c r="E3" s="3763"/>
      <c r="F3" s="3763"/>
      <c r="G3" s="3763"/>
      <c r="H3" s="3763"/>
      <c r="I3" s="3763"/>
      <c r="J3" s="3763"/>
      <c r="O3" s="3765" t="s">
        <v>580</v>
      </c>
      <c r="P3" s="3765"/>
      <c r="Q3" s="3765"/>
      <c r="R3" s="3765"/>
      <c r="S3" s="3765"/>
      <c r="T3" s="3765"/>
      <c r="U3" s="3765"/>
      <c r="V3" s="3765"/>
      <c r="W3" s="3765"/>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5.5">
      <c r="B5" s="3766" t="s">
        <v>18</v>
      </c>
      <c r="C5" s="3767"/>
      <c r="D5" s="3768"/>
      <c r="G5" s="3766" t="s">
        <v>11</v>
      </c>
      <c r="H5" s="3767"/>
      <c r="I5" s="3768"/>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5.5">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5"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3773" t="s">
        <v>819</v>
      </c>
      <c r="S8" s="3774"/>
      <c r="T8" s="1059"/>
      <c r="U8" s="1164" t="s">
        <v>198</v>
      </c>
      <c r="V8" s="3773" t="s">
        <v>78</v>
      </c>
      <c r="W8" s="3774"/>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5"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3771" t="s">
        <v>872</v>
      </c>
      <c r="AR12" s="3772"/>
      <c r="AS12" s="3772"/>
    </row>
    <row r="13" spans="1:46" ht="14.25"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3772"/>
      <c r="AR13" s="3772"/>
      <c r="AS13" s="3772"/>
    </row>
    <row r="14" spans="1:46" ht="13.5"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3772"/>
      <c r="AR14" s="3772"/>
      <c r="AS14" s="3772"/>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3772"/>
      <c r="AR15" s="3772"/>
      <c r="AS15" s="3772"/>
    </row>
    <row r="16" spans="1:46" ht="15">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3772"/>
      <c r="AR16" s="3772"/>
      <c r="AS16" s="3772"/>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3772"/>
      <c r="AR17" s="3772"/>
      <c r="AS17" s="3772"/>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3772"/>
      <c r="AR18" s="3772"/>
      <c r="AS18" s="3772"/>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3772"/>
      <c r="AR19" s="3772"/>
      <c r="AS19" s="3772"/>
    </row>
    <row r="20" spans="1:45" ht="13.5"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3772"/>
      <c r="AR20" s="3772"/>
      <c r="AS20" s="3772"/>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3772"/>
      <c r="AR21" s="3772"/>
      <c r="AS21" s="3772"/>
    </row>
    <row r="22" spans="1:45" ht="15.7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3772"/>
      <c r="AR22" s="3772"/>
      <c r="AS22" s="3772"/>
    </row>
    <row r="23" spans="1:45">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3772"/>
      <c r="AR23" s="3772"/>
      <c r="AS23" s="3772"/>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3772"/>
      <c r="AR24" s="3772"/>
      <c r="AS24" s="3772"/>
    </row>
    <row r="25" spans="1:45" ht="25.5">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3772"/>
      <c r="AR25" s="3772"/>
      <c r="AS25" s="3772"/>
    </row>
    <row r="26" spans="1:45" ht="13.5"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3770"/>
      <c r="AR26" s="3770"/>
      <c r="AS26" s="3770"/>
    </row>
    <row r="27" spans="1:45" ht="14.25"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3769" t="s">
        <v>859</v>
      </c>
      <c r="AR27" s="3769"/>
      <c r="AS27" s="1136" t="s">
        <v>858</v>
      </c>
    </row>
    <row r="28" spans="1:45" ht="13.5"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5"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5"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5.5">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5" thickBot="1">
      <c r="T81" s="1012"/>
      <c r="U81" s="1012"/>
      <c r="V81" s="1012"/>
    </row>
    <row r="82" spans="15:23" ht="15">
      <c r="O82" s="1043"/>
      <c r="P82" s="1042"/>
      <c r="Q82" s="1040" t="s">
        <v>819</v>
      </c>
      <c r="R82" s="1041"/>
      <c r="S82" s="1040" t="s">
        <v>78</v>
      </c>
      <c r="T82" s="1039"/>
    </row>
    <row r="83" spans="15:23" ht="15">
      <c r="O83" s="1038" t="s">
        <v>818</v>
      </c>
      <c r="P83" s="1037"/>
      <c r="Q83" s="1035"/>
      <c r="R83" s="1036"/>
      <c r="S83" s="1035"/>
      <c r="T83" s="1034"/>
    </row>
    <row r="84" spans="15:23" ht="15">
      <c r="O84" s="1033" t="s">
        <v>817</v>
      </c>
      <c r="P84" s="1032" t="s">
        <v>198</v>
      </c>
      <c r="Q84" s="1030" t="s">
        <v>80</v>
      </c>
      <c r="R84" s="1031" t="s">
        <v>81</v>
      </c>
      <c r="S84" s="1030" t="s">
        <v>80</v>
      </c>
      <c r="T84" s="1029" t="s">
        <v>81</v>
      </c>
    </row>
    <row r="85" spans="15:23" ht="15">
      <c r="O85" s="1021"/>
      <c r="P85" s="477"/>
      <c r="Q85" s="477"/>
      <c r="R85" s="477"/>
      <c r="S85" s="477"/>
      <c r="T85" s="1028"/>
    </row>
    <row r="86" spans="15:23" ht="15">
      <c r="O86" s="1027" t="s">
        <v>816</v>
      </c>
      <c r="P86" s="1026">
        <f>SUM(Q86:T86)</f>
        <v>0</v>
      </c>
      <c r="Q86" s="1026">
        <f>'G-1.02 Def DR-CR'!R63</f>
        <v>0</v>
      </c>
      <c r="R86" s="1026">
        <f>'G-1.02 Def DR-CR'!S63</f>
        <v>0</v>
      </c>
      <c r="S86" s="1026">
        <f>'G-1.02 Def DR-CR'!T63</f>
        <v>0</v>
      </c>
      <c r="T86" s="1025">
        <f>'G-1.02 Def DR-CR'!U63</f>
        <v>0</v>
      </c>
    </row>
    <row r="87" spans="15:23" ht="15">
      <c r="O87" s="1027" t="s">
        <v>815</v>
      </c>
      <c r="P87" s="1026">
        <f>SUM(Q87:T87)</f>
        <v>-4143263.9229166661</v>
      </c>
      <c r="Q87" s="1026">
        <f>'G-1.02 Def DR-CR'!R34</f>
        <v>-1285488.125</v>
      </c>
      <c r="R87" s="1026">
        <f>'G-1.02 Def DR-CR'!S34</f>
        <v>-2857775.7979166661</v>
      </c>
      <c r="S87" s="1026"/>
      <c r="T87" s="1025"/>
    </row>
    <row r="88" spans="15:23" ht="15">
      <c r="O88" s="1027" t="s">
        <v>814</v>
      </c>
      <c r="P88" s="1026">
        <f>SUM(Q88:T88)</f>
        <v>0</v>
      </c>
      <c r="Q88" s="1026"/>
      <c r="R88" s="1026"/>
      <c r="S88" s="1026">
        <f>'G-1.02 Def DR-CR'!V34</f>
        <v>0</v>
      </c>
      <c r="T88" s="1025">
        <f>'G-1.02 Def DR-CR'!W34</f>
        <v>0</v>
      </c>
    </row>
    <row r="89" spans="15:23" ht="15">
      <c r="O89" s="1024"/>
      <c r="P89" s="1023"/>
      <c r="Q89" s="1023"/>
      <c r="R89" s="1023"/>
      <c r="S89" s="1023"/>
      <c r="T89" s="1022"/>
    </row>
    <row r="90" spans="15:23" ht="15.75" thickBot="1">
      <c r="O90" s="1021"/>
      <c r="P90" s="1020"/>
      <c r="Q90" s="1020"/>
      <c r="R90" s="1020"/>
      <c r="S90" s="1020"/>
      <c r="T90" s="1019"/>
    </row>
    <row r="91" spans="15:23" ht="15.75" thickBot="1">
      <c r="O91" s="1018" t="s">
        <v>813</v>
      </c>
      <c r="P91" s="1017">
        <f>SUM(P86:P88)</f>
        <v>-4143263.9229166661</v>
      </c>
      <c r="Q91" s="1015">
        <f>SUM(Q86:Q88)</f>
        <v>-1285488.125</v>
      </c>
      <c r="R91" s="1016">
        <f>SUM(R86:R88)</f>
        <v>-2857775.7979166661</v>
      </c>
      <c r="S91" s="1015">
        <f>SUM(S86:S88)</f>
        <v>0</v>
      </c>
      <c r="T91" s="1014">
        <f>SUM(T86:T88)</f>
        <v>0</v>
      </c>
    </row>
    <row r="92" spans="15:23" ht="15.75">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5546875" defaultRowHeight="12.75"/>
  <cols>
    <col min="1" max="1" width="7.7109375" style="1187" customWidth="1"/>
    <col min="2" max="2" width="8.140625" style="1187" customWidth="1"/>
    <col min="3" max="3" width="7.7109375" style="1187" customWidth="1"/>
    <col min="4" max="4" width="6.42578125" style="1187" customWidth="1"/>
    <col min="5" max="5" width="7" style="1187" customWidth="1"/>
    <col min="6" max="6" width="7.140625" style="1187" customWidth="1"/>
    <col min="7" max="7" width="7" style="1187" customWidth="1"/>
    <col min="8" max="8" width="7.42578125" style="1187" customWidth="1"/>
    <col min="9" max="9" width="17.28515625" style="890" customWidth="1"/>
    <col min="10" max="10" width="19.42578125" style="880" customWidth="1"/>
    <col min="11" max="11" width="15" style="531" customWidth="1"/>
    <col min="12" max="12" width="14.5703125" style="477" customWidth="1"/>
    <col min="13" max="13" width="14.7109375" style="1199" customWidth="1"/>
    <col min="14" max="14" width="1.42578125" style="477" customWidth="1"/>
    <col min="15" max="15" width="8.85546875" style="477"/>
    <col min="16" max="16" width="10.7109375" style="477" customWidth="1"/>
    <col min="17" max="17" width="9.7109375" style="477" customWidth="1"/>
    <col min="18" max="18" width="1.140625" style="477" customWidth="1"/>
    <col min="19" max="23" width="8.7109375" style="477" customWidth="1"/>
    <col min="24" max="24" width="0.85546875" style="477" customWidth="1"/>
    <col min="25" max="29" width="8.5703125" style="477" customWidth="1"/>
    <col min="30" max="30" width="1.5703125" style="477" customWidth="1"/>
    <col min="31" max="34" width="14.140625" style="1199" customWidth="1"/>
    <col min="35" max="35" width="14.140625" style="1235" customWidth="1"/>
    <col min="36" max="36" width="8.85546875" style="477"/>
    <col min="37" max="37" width="1.7109375" style="1008" customWidth="1"/>
    <col min="38" max="38" width="8.85546875" style="477"/>
    <col min="39" max="39" width="7" style="477" bestFit="1" customWidth="1"/>
    <col min="40" max="40" width="16.5703125" style="477" bestFit="1" customWidth="1"/>
    <col min="41" max="41" width="14.28515625" style="477" bestFit="1" customWidth="1"/>
    <col min="42" max="42" width="19.42578125" style="477" customWidth="1"/>
    <col min="43" max="43" width="12.42578125" style="477" customWidth="1"/>
    <col min="44" max="45" width="12.42578125" style="515" customWidth="1"/>
    <col min="46" max="46" width="2" style="477" customWidth="1"/>
    <col min="47" max="47" width="13.7109375" style="477" bestFit="1" customWidth="1"/>
    <col min="48" max="48" width="14.28515625" style="477" bestFit="1" customWidth="1"/>
    <col min="49" max="49" width="19.42578125" style="477" customWidth="1"/>
    <col min="50" max="50" width="8.85546875" style="477"/>
    <col min="51" max="51" width="14" style="515" customWidth="1"/>
    <col min="52" max="52" width="11.28515625" style="515" bestFit="1" customWidth="1"/>
    <col min="53" max="53" width="9.28515625" style="477" customWidth="1"/>
    <col min="54" max="54" width="1.7109375" style="1008" customWidth="1"/>
    <col min="55" max="56" width="8.85546875" style="477"/>
    <col min="57" max="57" width="17.5703125" style="477" customWidth="1"/>
    <col min="58" max="58" width="4" style="477" customWidth="1"/>
    <col min="59" max="59" width="15.7109375" style="477" customWidth="1"/>
    <col min="60" max="60" width="11.85546875" style="477" bestFit="1" customWidth="1"/>
    <col min="61" max="61" width="10.28515625" style="477" bestFit="1" customWidth="1"/>
    <col min="62" max="62" width="13.140625" style="477" bestFit="1" customWidth="1"/>
    <col min="63" max="16384" width="8.85546875" style="477"/>
  </cols>
  <sheetData>
    <row r="1" spans="1:62" ht="13.5"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3776" t="s">
        <v>907</v>
      </c>
      <c r="AO1" s="3777"/>
      <c r="AP1" s="3777"/>
      <c r="AQ1" s="3777"/>
      <c r="AR1" s="3777"/>
      <c r="AS1" s="3778"/>
      <c r="AU1" s="3776" t="s">
        <v>908</v>
      </c>
      <c r="AV1" s="3777"/>
      <c r="AW1" s="3777"/>
      <c r="AX1" s="3777"/>
      <c r="AY1" s="3777"/>
      <c r="AZ1" s="3778"/>
    </row>
    <row r="2" spans="1:62" ht="60">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5">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3779" t="s">
        <v>917</v>
      </c>
      <c r="BE4" s="3779"/>
      <c r="BF4" s="3779"/>
      <c r="BG4" s="3779"/>
      <c r="BH4" s="3779"/>
      <c r="BI4" s="3779"/>
      <c r="BJ4" s="3779"/>
    </row>
    <row r="5" spans="1:62" ht="18.75">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3780" t="s">
        <v>918</v>
      </c>
      <c r="BE5" s="3780"/>
      <c r="BF5" s="3780"/>
      <c r="BG5" s="3780"/>
      <c r="BH5" s="3780"/>
      <c r="BI5" s="3780"/>
      <c r="BJ5" s="3780"/>
    </row>
    <row r="6" spans="1:62" ht="13.5"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7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3781" t="s">
        <v>921</v>
      </c>
      <c r="BH7" s="3782"/>
      <c r="BI7" s="3782"/>
      <c r="BJ7" s="3783"/>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5">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5">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5"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3775" t="s">
        <v>955</v>
      </c>
      <c r="AV19" s="3775"/>
      <c r="AW19" s="3775"/>
      <c r="AX19" s="3775"/>
      <c r="AY19" s="3775"/>
      <c r="AZ19" s="3775"/>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3775"/>
      <c r="AV20" s="3775"/>
      <c r="AW20" s="3775"/>
      <c r="AX20" s="3775"/>
      <c r="AY20" s="3775"/>
      <c r="AZ20" s="3775"/>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5"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5"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6.5"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25"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6.5"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5"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5">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5">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5"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5"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5" thickBot="1"/>
    <row r="63" spans="1:35" ht="14.25" thickTop="1" thickBot="1">
      <c r="Y63" s="477" t="s">
        <v>982</v>
      </c>
      <c r="AE63" s="1237">
        <f>AE59-AE61</f>
        <v>-3239070.6104544699</v>
      </c>
      <c r="AG63" s="1237">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2.75"/>
  <cols>
    <col min="1" max="1" width="22.7109375" style="478" customWidth="1"/>
    <col min="2" max="2" width="9.28515625" style="478" customWidth="1"/>
    <col min="3" max="3" width="15.7109375" style="478" customWidth="1"/>
    <col min="4" max="4" width="8.42578125" style="1239" customWidth="1"/>
    <col min="5" max="5" width="16.42578125" style="1238" bestFit="1" customWidth="1"/>
    <col min="6" max="6" width="13" style="478" bestFit="1" customWidth="1"/>
    <col min="7" max="7" width="1.42578125" style="478" hidden="1" customWidth="1"/>
    <col min="8" max="8" width="0.85546875" style="478" customWidth="1"/>
    <col min="9" max="21" width="9.85546875" style="478" customWidth="1"/>
    <col min="24" max="24" width="35.140625" style="224" customWidth="1"/>
    <col min="25" max="25" width="6.28515625" style="224" customWidth="1"/>
    <col min="26" max="26" width="6.5703125" style="1272" customWidth="1"/>
    <col min="27" max="27" width="11" style="224" customWidth="1"/>
    <col min="28" max="28" width="6.5703125" style="1272" customWidth="1"/>
    <col min="29" max="29" width="13.28515625" style="78" customWidth="1"/>
    <col min="30" max="30" width="12" style="224" customWidth="1"/>
    <col min="32" max="32" width="1.7109375" style="1008" customWidth="1"/>
    <col min="34" max="35" width="8.85546875" style="1009"/>
    <col min="36" max="36" width="13" style="1009" customWidth="1"/>
    <col min="37" max="37" width="15" style="1009" customWidth="1"/>
    <col min="38" max="45" width="13.28515625" style="1009" bestFit="1" customWidth="1"/>
    <col min="46" max="46" width="13.42578125" style="1009" bestFit="1" customWidth="1"/>
    <col min="47" max="49" width="13.7109375" style="1009" bestFit="1" customWidth="1"/>
    <col min="50" max="50" width="15.140625" style="1009" bestFit="1" customWidth="1"/>
    <col min="51" max="51" width="8.85546875" style="1009"/>
    <col min="52" max="52" width="1.7109375" style="1008" customWidth="1"/>
    <col min="54" max="57" width="8.85546875" style="1009"/>
    <col min="58" max="62" width="8.140625" style="1009" bestFit="1" customWidth="1"/>
    <col min="63" max="68" width="9.7109375" style="1009" bestFit="1" customWidth="1"/>
    <col min="69" max="69" width="8.140625" style="1009" bestFit="1" customWidth="1"/>
    <col min="70" max="70" width="15.42578125" style="1197" bestFit="1" customWidth="1"/>
    <col min="71" max="71" width="8.85546875" style="1009"/>
    <col min="72" max="72" width="1.7109375" style="1008" customWidth="1"/>
    <col min="74" max="74" width="9.85546875" style="1009" customWidth="1"/>
    <col min="75" max="75" width="9.28515625" style="1009" customWidth="1"/>
    <col min="76" max="76" width="15.7109375" style="1009" customWidth="1"/>
    <col min="77" max="77" width="20" style="1321" customWidth="1"/>
    <col min="78" max="78" width="7.7109375" style="1322" customWidth="1"/>
    <col min="79" max="79" width="15.7109375" style="1321" customWidth="1"/>
    <col min="80" max="80" width="15.28515625" style="1321" customWidth="1"/>
    <col min="81" max="81" width="13.28515625" style="1321" customWidth="1"/>
    <col min="82" max="83" width="8.85546875" style="1009"/>
  </cols>
  <sheetData>
    <row r="1" spans="1:83">
      <c r="A1" s="3753" t="s">
        <v>111</v>
      </c>
      <c r="B1" s="3753"/>
      <c r="C1" s="3753"/>
      <c r="D1" s="3753"/>
      <c r="E1" s="3753"/>
      <c r="X1" s="3785" t="s">
        <v>111</v>
      </c>
      <c r="Y1" s="3785"/>
      <c r="Z1" s="3785"/>
      <c r="AA1" s="3785"/>
      <c r="AB1" s="3785"/>
      <c r="AC1" s="3785"/>
      <c r="AD1" s="3785"/>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3753" t="s">
        <v>1001</v>
      </c>
      <c r="B2" s="3753"/>
      <c r="C2" s="3753"/>
      <c r="D2" s="3753"/>
      <c r="E2" s="3753"/>
      <c r="X2" s="3785" t="s">
        <v>1026</v>
      </c>
      <c r="Y2" s="3785"/>
      <c r="Z2" s="3785"/>
      <c r="AA2" s="3785"/>
      <c r="AB2" s="3785"/>
      <c r="AC2" s="3785"/>
      <c r="AD2" s="3785"/>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3786" t="s">
        <v>1060</v>
      </c>
      <c r="B3" s="3753"/>
      <c r="C3" s="3753"/>
      <c r="D3" s="3753"/>
      <c r="E3" s="3753"/>
      <c r="X3" s="3785" t="s">
        <v>1060</v>
      </c>
      <c r="Y3" s="3785"/>
      <c r="Z3" s="3785"/>
      <c r="AA3" s="3785"/>
      <c r="AB3" s="3785"/>
      <c r="AC3" s="3785"/>
      <c r="AD3" s="3785"/>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3753" t="s">
        <v>1000</v>
      </c>
      <c r="B4" s="3753"/>
      <c r="C4" s="3753"/>
      <c r="D4" s="3753"/>
      <c r="E4" s="3753"/>
      <c r="X4" s="3785" t="s">
        <v>1000</v>
      </c>
      <c r="Y4" s="3785"/>
      <c r="Z4" s="3785"/>
      <c r="AA4" s="3785"/>
      <c r="AB4" s="3785"/>
      <c r="AC4" s="3785"/>
      <c r="AD4" s="3785"/>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5"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5"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5"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5"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5"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25"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25"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5"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25"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25"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5"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5"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5"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25"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5"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5"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25"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25"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5" thickBot="1">
      <c r="A33" s="3784" t="s">
        <v>983</v>
      </c>
      <c r="B33" s="3784"/>
      <c r="C33" s="3784"/>
      <c r="D33" s="3784"/>
      <c r="E33" s="3784"/>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5"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5"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5"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5"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5"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5"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5" thickBot="1">
      <c r="CA64" s="1323">
        <f>SUM(CA52:CA63)</f>
        <v>20839250.420000002</v>
      </c>
      <c r="CB64" s="1323">
        <f>SUM(CB52:CB63)</f>
        <v>8702810.4400000013</v>
      </c>
    </row>
    <row r="70" spans="24:24">
      <c r="X70" s="1273"/>
    </row>
    <row r="72" spans="24:24">
      <c r="X72" s="1273"/>
    </row>
    <row r="73" spans="24:24">
      <c r="X73" s="1273"/>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ColWidth="8.85546875" defaultRowHeight="15"/>
  <cols>
    <col min="1" max="1" width="17.140625" style="1361" customWidth="1"/>
    <col min="2" max="2" width="13.28515625" style="1362" bestFit="1" customWidth="1"/>
    <col min="3" max="3" width="10.5703125" style="1362" bestFit="1" customWidth="1"/>
    <col min="4" max="4" width="8.7109375" style="1362" bestFit="1" customWidth="1"/>
    <col min="5" max="5" width="10.5703125" style="1362" bestFit="1" customWidth="1"/>
    <col min="6" max="6" width="12.28515625" style="1362" customWidth="1"/>
    <col min="7" max="7" width="1.7109375" style="1362" customWidth="1"/>
    <col min="8" max="8" width="13.7109375" style="1362" customWidth="1"/>
    <col min="9" max="9" width="10.5703125" style="1362" bestFit="1" customWidth="1"/>
    <col min="10" max="10" width="12.7109375" style="1362" bestFit="1" customWidth="1"/>
    <col min="11" max="11" width="11.5703125" style="1362" bestFit="1" customWidth="1"/>
    <col min="12" max="12" width="9.140625" style="1362"/>
    <col min="13" max="13" width="1.7109375" style="1008" customWidth="1"/>
    <col min="14" max="14" width="8.85546875" style="477"/>
    <col min="15" max="15" width="16.85546875" style="477" customWidth="1"/>
    <col min="16" max="16" width="34.28515625" style="477" bestFit="1" customWidth="1"/>
    <col min="17" max="17" width="7.28515625" style="477" bestFit="1" customWidth="1"/>
    <col min="18" max="21" width="12.85546875" style="477" bestFit="1" customWidth="1"/>
    <col min="22" max="22" width="11.42578125" style="477" customWidth="1"/>
    <col min="23" max="23" width="2.28515625" style="477" customWidth="1"/>
    <col min="24" max="24" width="11.28515625" style="477" bestFit="1" customWidth="1"/>
    <col min="25" max="26" width="14" style="477" bestFit="1" customWidth="1"/>
    <col min="27" max="27" width="10.42578125" style="477" customWidth="1"/>
    <col min="28" max="28" width="1.85546875" style="477" customWidth="1"/>
    <col min="29" max="29" width="11.42578125" style="477" bestFit="1" customWidth="1"/>
    <col min="30" max="16384" width="8.85546875" style="477"/>
  </cols>
  <sheetData>
    <row r="1" spans="1:29" ht="15.75" thickBot="1">
      <c r="O1" s="531" t="s">
        <v>1062</v>
      </c>
    </row>
    <row r="2" spans="1:29" ht="15.75" thickBot="1">
      <c r="B2" s="3790" t="s">
        <v>1097</v>
      </c>
      <c r="C2" s="3791"/>
      <c r="D2" s="3791"/>
      <c r="E2" s="3791"/>
      <c r="F2" s="3792"/>
      <c r="H2" s="3790" t="s">
        <v>1061</v>
      </c>
      <c r="I2" s="3791"/>
      <c r="J2" s="3791"/>
      <c r="K2" s="3792"/>
      <c r="Q2" s="3787" t="s">
        <v>681</v>
      </c>
      <c r="R2" s="3788"/>
      <c r="S2" s="3788"/>
      <c r="T2" s="3788"/>
      <c r="U2" s="3788"/>
      <c r="V2" s="3789"/>
      <c r="W2" s="1117"/>
      <c r="X2" s="3787" t="s">
        <v>680</v>
      </c>
      <c r="Y2" s="3788"/>
      <c r="Z2" s="3788"/>
      <c r="AA2" s="3789"/>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30">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7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7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75" thickBot="1">
      <c r="B11" s="1399"/>
      <c r="C11" s="1399"/>
      <c r="D11" s="1399"/>
      <c r="E11" s="1399"/>
      <c r="Q11" s="3787" t="s">
        <v>681</v>
      </c>
      <c r="R11" s="3788"/>
      <c r="S11" s="3788"/>
      <c r="T11" s="3788"/>
      <c r="U11" s="3788"/>
      <c r="V11" s="3789"/>
      <c r="W11" s="1117"/>
      <c r="X11" s="3787" t="s">
        <v>680</v>
      </c>
      <c r="Y11" s="3788"/>
      <c r="Z11" s="3788"/>
      <c r="AA11" s="3789"/>
      <c r="AB11" s="1117"/>
      <c r="AC11" s="1117" t="s">
        <v>978</v>
      </c>
    </row>
    <row r="12" spans="1:29" ht="15.7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7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30.75"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75" thickBot="1">
      <c r="A19" s="1385"/>
      <c r="B19" s="1384"/>
      <c r="C19" s="1384"/>
      <c r="D19" s="1384"/>
      <c r="E19" s="1384"/>
      <c r="F19" s="1384"/>
      <c r="G19" s="1384"/>
      <c r="H19" s="1384"/>
      <c r="I19" s="1384"/>
      <c r="J19" s="1384"/>
      <c r="K19" s="1383"/>
      <c r="O19" s="531" t="s">
        <v>1080</v>
      </c>
    </row>
    <row r="20" spans="1:29" ht="15.75" thickBot="1">
      <c r="A20" s="1385" t="s">
        <v>1094</v>
      </c>
      <c r="B20" s="1384"/>
      <c r="C20" s="1384"/>
      <c r="D20" s="1384"/>
      <c r="E20" s="1384"/>
      <c r="F20" s="1384"/>
      <c r="G20" s="1384"/>
      <c r="H20" s="1384"/>
      <c r="I20" s="1384"/>
      <c r="J20" s="1384"/>
      <c r="K20" s="1383"/>
      <c r="Q20" s="3787" t="s">
        <v>681</v>
      </c>
      <c r="R20" s="3788"/>
      <c r="S20" s="3788"/>
      <c r="T20" s="3788"/>
      <c r="U20" s="3788"/>
      <c r="V20" s="3789"/>
      <c r="W20" s="1117"/>
      <c r="X20" s="3787" t="s">
        <v>680</v>
      </c>
      <c r="Y20" s="3788"/>
      <c r="Z20" s="3788"/>
      <c r="AA20" s="3789"/>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7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75" thickBot="1">
      <c r="A27" s="1379"/>
      <c r="B27" s="1378"/>
      <c r="C27" s="1378"/>
      <c r="D27" s="1378"/>
      <c r="E27" s="1378"/>
      <c r="F27" s="1378"/>
      <c r="G27" s="1378"/>
      <c r="H27" s="1378"/>
      <c r="I27" s="1378"/>
      <c r="J27" s="1378"/>
      <c r="K27" s="1377"/>
    </row>
    <row r="28" spans="1:29" ht="15.75" thickBot="1">
      <c r="O28" s="531" t="s">
        <v>1081</v>
      </c>
    </row>
    <row r="29" spans="1:29" ht="15.75" thickBot="1">
      <c r="A29" s="1347" t="s">
        <v>1082</v>
      </c>
      <c r="B29" s="1376"/>
      <c r="C29" s="1376"/>
      <c r="D29" s="1376"/>
      <c r="E29" s="1376"/>
      <c r="F29" s="1376"/>
      <c r="G29" s="1376"/>
      <c r="H29" s="1376"/>
      <c r="I29" s="1376"/>
      <c r="J29" s="1376"/>
      <c r="K29" s="1375"/>
      <c r="Q29" s="3787" t="s">
        <v>681</v>
      </c>
      <c r="R29" s="3788"/>
      <c r="S29" s="3788"/>
      <c r="T29" s="3788"/>
      <c r="U29" s="3788"/>
      <c r="V29" s="3789"/>
      <c r="W29" s="1117"/>
      <c r="X29" s="3787" t="s">
        <v>680</v>
      </c>
      <c r="Y29" s="3788"/>
      <c r="Z29" s="3788"/>
      <c r="AA29" s="3789"/>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7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6.5"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75" thickBot="1">
      <c r="A37" s="1365"/>
      <c r="B37" s="1364"/>
      <c r="C37" s="1364"/>
      <c r="D37" s="1364"/>
      <c r="E37" s="1364"/>
      <c r="F37" s="1364"/>
      <c r="G37" s="1364"/>
      <c r="H37" s="1364"/>
      <c r="I37" s="1364"/>
      <c r="J37" s="1364"/>
      <c r="K37" s="1363"/>
      <c r="O37" s="531" t="s">
        <v>1083</v>
      </c>
    </row>
    <row r="38" spans="1:29" ht="15.75" thickBot="1">
      <c r="Q38" s="3787" t="s">
        <v>681</v>
      </c>
      <c r="R38" s="3788"/>
      <c r="S38" s="3788"/>
      <c r="T38" s="3788"/>
      <c r="U38" s="3788"/>
      <c r="V38" s="3789"/>
      <c r="W38" s="1117"/>
      <c r="X38" s="3787" t="s">
        <v>680</v>
      </c>
      <c r="Y38" s="3788"/>
      <c r="Z38" s="3788"/>
      <c r="AA38" s="3789"/>
      <c r="AB38" s="1117"/>
      <c r="AC38" s="1117" t="s">
        <v>978</v>
      </c>
    </row>
    <row r="39" spans="1:29" ht="15.7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30.75"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7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7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75" thickBot="1">
      <c r="A49" s="1379"/>
      <c r="B49" s="1378"/>
      <c r="C49" s="1378"/>
      <c r="D49" s="1378"/>
      <c r="E49" s="1378"/>
      <c r="F49" s="1378"/>
      <c r="G49" s="1378"/>
      <c r="H49" s="1378"/>
      <c r="I49" s="1378"/>
      <c r="J49" s="1378"/>
      <c r="K49" s="1377"/>
      <c r="P49" s="1350" t="s">
        <v>82</v>
      </c>
      <c r="Q49" s="1351"/>
      <c r="R49" s="1351"/>
      <c r="S49" s="1351"/>
      <c r="T49" s="1352"/>
    </row>
    <row r="50" spans="1:20" ht="15.7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7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75" thickBot="1">
      <c r="A57" s="1369"/>
      <c r="B57" s="1368"/>
      <c r="C57" s="1368"/>
      <c r="D57" s="1368"/>
      <c r="E57" s="1368"/>
      <c r="F57" s="1368"/>
      <c r="K57" s="1370"/>
    </row>
    <row r="58" spans="1:20" ht="16.5"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75" thickBot="1">
      <c r="A59" s="1365"/>
      <c r="B59" s="1364"/>
      <c r="C59" s="1364"/>
      <c r="D59" s="1364"/>
      <c r="E59" s="1364"/>
      <c r="F59" s="1364"/>
      <c r="G59" s="1364"/>
      <c r="H59" s="1364"/>
      <c r="I59" s="1364"/>
      <c r="J59" s="1364"/>
      <c r="K59" s="1363"/>
    </row>
    <row r="61" spans="1:20" ht="15.75" thickBot="1"/>
    <row r="62" spans="1:20" ht="30.75"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7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75" thickBot="1">
      <c r="A71" s="1379"/>
      <c r="B71" s="1378"/>
      <c r="C71" s="1378"/>
      <c r="D71" s="1378"/>
      <c r="E71" s="1378"/>
      <c r="F71" s="1378"/>
      <c r="G71" s="1378"/>
      <c r="H71" s="1378"/>
      <c r="I71" s="1378"/>
      <c r="J71" s="1378"/>
      <c r="K71" s="1377"/>
    </row>
    <row r="72" spans="1:11" ht="15.7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75" thickBot="1">
      <c r="A79" s="1369"/>
      <c r="B79" s="1368"/>
      <c r="C79" s="1368"/>
      <c r="D79" s="1368"/>
      <c r="E79" s="1368"/>
      <c r="F79" s="1368"/>
      <c r="K79" s="1370"/>
    </row>
    <row r="80" spans="1:11" ht="16.5"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7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5546875" defaultRowHeight="12.75"/>
  <cols>
    <col min="1" max="1" width="22" style="1402" customWidth="1"/>
    <col min="2" max="2" width="11.140625" style="1402" customWidth="1"/>
    <col min="3" max="3" width="16.28515625" style="1402" customWidth="1"/>
    <col min="4" max="4" width="8.5703125" style="1402" customWidth="1"/>
    <col min="5" max="5" width="13.28515625" style="1402" customWidth="1"/>
    <col min="6" max="6" width="5.28515625" style="1402" customWidth="1"/>
    <col min="7" max="8" width="11.140625" style="1402" customWidth="1"/>
    <col min="9" max="9" width="1.5703125" style="1008" customWidth="1"/>
    <col min="10" max="11" width="8.85546875" style="477"/>
    <col min="12" max="14" width="11.140625" style="477" customWidth="1"/>
    <col min="15" max="15" width="12.85546875" style="477" bestFit="1" customWidth="1"/>
    <col min="16" max="25" width="11.140625" style="477" customWidth="1"/>
    <col min="26" max="26" width="2.28515625" style="477" customWidth="1"/>
    <col min="27" max="27" width="10.28515625" style="477" bestFit="1" customWidth="1"/>
    <col min="28" max="32" width="14.5703125" style="477" customWidth="1"/>
    <col min="33" max="33" width="13.140625" style="477" bestFit="1" customWidth="1"/>
    <col min="34" max="34" width="10.28515625" style="477" bestFit="1" customWidth="1"/>
    <col min="35" max="35" width="8.85546875" style="477"/>
    <col min="36" max="36" width="1.7109375" style="1008" customWidth="1"/>
    <col min="37" max="37" width="8.85546875" style="477"/>
    <col min="38" max="38" width="9" style="477" bestFit="1" customWidth="1"/>
    <col min="39" max="40" width="15.85546875" style="477" bestFit="1" customWidth="1"/>
    <col min="41" max="41" width="14.85546875" style="477" bestFit="1" customWidth="1"/>
    <col min="42" max="42" width="13.85546875" style="477" bestFit="1" customWidth="1"/>
    <col min="43" max="43" width="12.28515625" style="477" bestFit="1" customWidth="1"/>
    <col min="44" max="44" width="11.7109375" style="477" bestFit="1" customWidth="1"/>
    <col min="45" max="45" width="14" style="477" bestFit="1" customWidth="1"/>
    <col min="46" max="46" width="1.28515625" style="477" customWidth="1"/>
    <col min="47" max="47" width="9" style="477" bestFit="1" customWidth="1"/>
    <col min="48" max="48" width="13.28515625" style="477" bestFit="1" customWidth="1"/>
    <col min="49" max="50" width="12.85546875" style="477" bestFit="1" customWidth="1"/>
    <col min="51" max="51" width="11.7109375" style="477" bestFit="1" customWidth="1"/>
    <col min="52" max="52" width="9.7109375" style="477" bestFit="1" customWidth="1"/>
    <col min="53" max="53" width="11.140625" style="477" bestFit="1" customWidth="1"/>
    <col min="54" max="55" width="9.28515625" style="477" bestFit="1" customWidth="1"/>
    <col min="56" max="56" width="11.140625" style="477" customWidth="1"/>
    <col min="57" max="57" width="14" style="477" bestFit="1" customWidth="1"/>
    <col min="58" max="58" width="8.85546875" style="477"/>
    <col min="59" max="59" width="1.7109375" style="1008" customWidth="1"/>
    <col min="60" max="60" width="8.85546875" style="477"/>
    <col min="61" max="61" width="6" style="477" customWidth="1"/>
    <col min="62" max="62" width="21.5703125" style="477" bestFit="1" customWidth="1"/>
    <col min="63" max="63" width="14.85546875" style="477" bestFit="1" customWidth="1"/>
    <col min="64" max="64" width="12.85546875" style="477" bestFit="1" customWidth="1"/>
    <col min="65" max="65" width="13.5703125" style="477" bestFit="1" customWidth="1"/>
    <col min="66" max="66" width="11.85546875" style="477" bestFit="1" customWidth="1"/>
    <col min="67" max="67" width="13.42578125" style="477" bestFit="1" customWidth="1"/>
    <col min="68" max="68" width="2.42578125" style="477" customWidth="1"/>
    <col min="69" max="69" width="11.85546875" style="477" bestFit="1" customWidth="1"/>
    <col min="70" max="70" width="1.7109375" style="1008" customWidth="1"/>
    <col min="71" max="71" width="8.85546875" style="477"/>
    <col min="72" max="72" width="2.28515625" style="1009" customWidth="1"/>
    <col min="73" max="73" width="13.5703125" style="1009" bestFit="1" customWidth="1"/>
    <col min="74" max="76" width="15.85546875" style="1009" customWidth="1"/>
    <col min="77" max="77" width="23.28515625" style="1009" bestFit="1" customWidth="1"/>
    <col min="78" max="78" width="13.7109375" style="1009" bestFit="1" customWidth="1"/>
    <col min="79" max="79" width="14.28515625" style="1009" bestFit="1" customWidth="1"/>
    <col min="80" max="83" width="15.7109375" style="1009" customWidth="1"/>
    <col min="84" max="84" width="13.85546875" style="1009" customWidth="1"/>
    <col min="85" max="85" width="20.28515625" style="1009" bestFit="1" customWidth="1"/>
    <col min="86" max="86" width="14.42578125" style="1009" customWidth="1"/>
    <col min="87" max="16384" width="8.85546875" style="477"/>
  </cols>
  <sheetData>
    <row r="1" spans="1:85">
      <c r="A1" s="1401" t="s">
        <v>111</v>
      </c>
      <c r="K1" s="1401" t="s">
        <v>111</v>
      </c>
      <c r="AL1" s="1401" t="s">
        <v>111</v>
      </c>
      <c r="AU1" s="1401" t="s">
        <v>111</v>
      </c>
      <c r="BI1" s="634" t="s">
        <v>1098</v>
      </c>
      <c r="BJ1" s="634" t="s">
        <v>1099</v>
      </c>
      <c r="BT1" s="1403" t="s">
        <v>1100</v>
      </c>
    </row>
    <row r="2" spans="1:85" ht="15.75" thickBot="1">
      <c r="A2" s="1401" t="s">
        <v>1101</v>
      </c>
      <c r="K2" s="1401" t="s">
        <v>1101</v>
      </c>
      <c r="AL2" s="1401" t="s">
        <v>1101</v>
      </c>
      <c r="AU2" s="1401" t="s">
        <v>1101</v>
      </c>
      <c r="BU2" s="3795" t="s">
        <v>1102</v>
      </c>
      <c r="BV2" s="3795"/>
      <c r="BW2" s="3795"/>
      <c r="BX2" s="3795"/>
      <c r="BY2" s="3795"/>
      <c r="BZ2" s="3795"/>
      <c r="CA2" s="3795"/>
      <c r="CB2" s="3795"/>
      <c r="CC2" s="3795"/>
      <c r="CD2" s="3795"/>
      <c r="CE2" s="3795"/>
      <c r="CF2" s="3795"/>
      <c r="CG2" s="3795"/>
    </row>
    <row r="3" spans="1:85" ht="15">
      <c r="A3" s="1401" t="s">
        <v>580</v>
      </c>
      <c r="K3" s="1401" t="s">
        <v>580</v>
      </c>
      <c r="AL3" s="1401" t="s">
        <v>580</v>
      </c>
      <c r="AU3" s="1401" t="s">
        <v>580</v>
      </c>
      <c r="BU3" s="1404" t="s">
        <v>1103</v>
      </c>
      <c r="BV3" s="3796" t="s">
        <v>538</v>
      </c>
      <c r="BW3" s="3797"/>
      <c r="BX3" s="3797"/>
      <c r="BY3" s="3797"/>
      <c r="BZ3" s="3797"/>
      <c r="CA3" s="3798"/>
      <c r="CB3" s="3796" t="s">
        <v>1104</v>
      </c>
      <c r="CC3" s="3797"/>
      <c r="CD3" s="3797"/>
      <c r="CE3" s="3797"/>
      <c r="CF3" s="3797"/>
      <c r="CG3" s="3798"/>
    </row>
    <row r="4" spans="1:85" ht="45">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5"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5" thickBot="1">
      <c r="L6" s="3799"/>
      <c r="M6" s="3799"/>
      <c r="N6" s="3799"/>
      <c r="O6" s="3799"/>
      <c r="P6" s="3799"/>
      <c r="Q6" s="3799"/>
      <c r="R6" s="3799"/>
      <c r="S6" s="3799"/>
      <c r="T6" s="880"/>
      <c r="U6" s="880"/>
      <c r="V6" s="880"/>
      <c r="W6" s="880"/>
      <c r="X6" s="880"/>
      <c r="Y6" s="880"/>
      <c r="AB6" s="3800" t="s">
        <v>1114</v>
      </c>
      <c r="AC6" s="3801"/>
      <c r="AD6" s="3801"/>
      <c r="AE6" s="3801"/>
      <c r="AF6" s="3802"/>
      <c r="BU6" s="1409">
        <v>44013</v>
      </c>
      <c r="BV6" s="1410"/>
      <c r="BW6" s="1411"/>
      <c r="BX6" s="1411"/>
      <c r="BY6" s="1411"/>
      <c r="BZ6" s="1411"/>
      <c r="CA6" s="1412">
        <f t="shared" si="0"/>
        <v>0</v>
      </c>
      <c r="CB6" s="1410"/>
      <c r="CC6" s="1411"/>
      <c r="CD6" s="1411"/>
      <c r="CE6" s="1411"/>
      <c r="CF6" s="1411"/>
      <c r="CG6" s="1412">
        <f t="shared" si="1"/>
        <v>0</v>
      </c>
    </row>
    <row r="7" spans="1:85" ht="13.5" thickBot="1">
      <c r="A7" s="1401" t="s">
        <v>1115</v>
      </c>
      <c r="L7" s="3803" t="s">
        <v>1116</v>
      </c>
      <c r="M7" s="3804"/>
      <c r="N7" s="3804"/>
      <c r="O7" s="3805"/>
      <c r="P7" s="3803" t="s">
        <v>1117</v>
      </c>
      <c r="Q7" s="3804"/>
      <c r="R7" s="3804"/>
      <c r="S7" s="3805"/>
      <c r="T7" s="3803" t="s">
        <v>1118</v>
      </c>
      <c r="U7" s="3804"/>
      <c r="V7" s="3804"/>
      <c r="W7" s="3804"/>
      <c r="X7" s="3804"/>
      <c r="Y7" s="3805"/>
      <c r="AB7" s="3800" t="s">
        <v>1119</v>
      </c>
      <c r="AC7" s="3801"/>
      <c r="AD7" s="3801"/>
      <c r="AE7" s="3801"/>
      <c r="AF7" s="3802"/>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7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5"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5"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5"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5"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5"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7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7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5"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5"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3793" t="s">
        <v>1147</v>
      </c>
      <c r="M33" s="3793"/>
      <c r="N33" s="3793"/>
      <c r="O33" s="1471" t="s">
        <v>1148</v>
      </c>
      <c r="P33" s="3794" t="s">
        <v>1149</v>
      </c>
      <c r="Q33" s="3793"/>
      <c r="R33" s="3793"/>
      <c r="S33" s="1471" t="s">
        <v>1148</v>
      </c>
      <c r="T33" s="3770"/>
      <c r="U33" s="3770"/>
      <c r="V33" s="3770"/>
      <c r="W33" s="3770"/>
      <c r="X33" s="3770"/>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7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5"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7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5"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7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7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7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7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25"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5"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2.75"/>
  <cols>
    <col min="1" max="1" width="33.140625" style="1515" customWidth="1"/>
    <col min="2" max="3" width="13.140625" style="1515" customWidth="1"/>
    <col min="4" max="4" width="11.85546875" style="1515" customWidth="1"/>
    <col min="6" max="6" width="1.5703125" style="1008" customWidth="1"/>
    <col min="8" max="8" width="5.140625" style="1525" customWidth="1"/>
    <col min="9" max="9" width="9.85546875" style="1525" customWidth="1"/>
    <col min="10" max="10" width="10.85546875" style="1525" customWidth="1"/>
    <col min="11" max="11" width="13.140625" style="1525" customWidth="1"/>
    <col min="12" max="12" width="14.140625" style="1525" customWidth="1"/>
    <col min="13" max="14" width="13.140625" style="1525" customWidth="1"/>
    <col min="16" max="16" width="1.5703125" style="1008" customWidth="1"/>
    <col min="18" max="28" width="8.85546875" style="477"/>
    <col min="29" max="29" width="11.7109375" style="477" customWidth="1"/>
    <col min="30" max="30" width="13.140625" style="477" customWidth="1"/>
    <col min="31" max="31" width="11.28515625" style="477" bestFit="1" customWidth="1"/>
    <col min="32" max="32" width="8.85546875" style="477"/>
    <col min="33" max="33" width="10.28515625" style="477" bestFit="1" customWidth="1"/>
    <col min="34" max="34" width="8.85546875" style="477"/>
    <col min="35" max="35" width="11.28515625" style="477" bestFit="1" customWidth="1"/>
    <col min="36" max="36" width="8.85546875" style="477"/>
    <col min="37" max="37" width="1.7109375" style="1008" customWidth="1"/>
    <col min="38" max="38" width="8.85546875" style="477"/>
    <col min="39" max="39" width="13.42578125" style="511" bestFit="1" customWidth="1"/>
    <col min="40" max="40" width="10.140625" style="511" bestFit="1" customWidth="1"/>
    <col min="41" max="41" width="19.42578125" style="511" bestFit="1" customWidth="1"/>
    <col min="42" max="44" width="12.28515625" style="511" bestFit="1" customWidth="1"/>
    <col min="45" max="50" width="13.5703125" style="511" bestFit="1" customWidth="1"/>
    <col min="51" max="52" width="12.28515625" style="511" bestFit="1" customWidth="1"/>
    <col min="53" max="53" width="17" style="511" customWidth="1"/>
  </cols>
  <sheetData>
    <row r="1" spans="1:53" ht="15.75">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75">
      <c r="A2" s="1524" t="s">
        <v>1203</v>
      </c>
      <c r="B2" s="1523"/>
      <c r="C2" s="1523"/>
      <c r="D2" s="1523"/>
      <c r="H2" s="1546" t="s">
        <v>1231</v>
      </c>
      <c r="I2" s="1544"/>
      <c r="J2" s="1544"/>
      <c r="K2" s="1544"/>
      <c r="L2" s="1544"/>
      <c r="M2" s="1544"/>
      <c r="N2" s="1544"/>
      <c r="AV2" s="1583">
        <v>-1</v>
      </c>
    </row>
    <row r="3" spans="1:53" ht="15.75">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75">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25">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25">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25">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25">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25">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25">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25">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25">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25">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ht="14.25">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25">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25">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25">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25">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25">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75"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25">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25">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25">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25">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25">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7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25">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25">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25">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25">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25">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25">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25">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25">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25">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25">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25">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ht="14.25">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3.5" thickBot="1">
      <c r="AB44" s="890" t="s">
        <v>1268</v>
      </c>
      <c r="AC44" s="1116">
        <f>AD40</f>
        <v>2941444.1699999995</v>
      </c>
      <c r="BA44" s="1596">
        <f>SUM(BA42,BA29,BA14)</f>
        <v>508682485.86000001</v>
      </c>
    </row>
    <row r="45" spans="8:53" ht="13.5" thickBot="1">
      <c r="AD45" s="1578">
        <f>AC43+AC44</f>
        <v>3863425.1699999995</v>
      </c>
    </row>
    <row r="46" spans="8:53">
      <c r="AB46" s="890"/>
      <c r="AD46" s="1576"/>
    </row>
    <row r="47" spans="8:53" ht="13.5" thickBot="1">
      <c r="AB47" s="890"/>
      <c r="AC47" s="890" t="s">
        <v>1270</v>
      </c>
      <c r="AD47" s="1579">
        <f>AD45-AD41</f>
        <v>274310</v>
      </c>
    </row>
    <row r="48" spans="8:53" ht="13.5" thickTop="1"/>
    <row r="51" spans="18:30" ht="15">
      <c r="R51" s="1580" t="s">
        <v>1271</v>
      </c>
    </row>
    <row r="52" spans="18:30" ht="15">
      <c r="R52" s="3806" t="s">
        <v>1272</v>
      </c>
      <c r="S52" s="3806"/>
      <c r="T52" s="3806"/>
      <c r="U52" s="3806"/>
      <c r="V52" s="3806"/>
      <c r="W52" s="3806"/>
      <c r="X52" s="3806"/>
      <c r="Y52" s="3806"/>
      <c r="Z52" s="3806"/>
      <c r="AA52" s="3806"/>
      <c r="AB52" s="3806"/>
      <c r="AC52" s="3806"/>
      <c r="AD52" s="3806"/>
    </row>
    <row r="53" spans="18:30" ht="15.75" thickBot="1">
      <c r="R53" s="1580" t="s">
        <v>1273</v>
      </c>
    </row>
    <row r="54" spans="18:30" ht="15.7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75"/>
  <cols>
    <col min="1" max="1" width="32.42578125" style="477" customWidth="1"/>
    <col min="2" max="2" width="8.85546875" style="477"/>
    <col min="3" max="3" width="9.28515625" style="477" bestFit="1" customWidth="1"/>
    <col min="4" max="4" width="10.7109375" style="477" bestFit="1" customWidth="1"/>
    <col min="5" max="6" width="8.85546875" style="477"/>
    <col min="8" max="8" width="1.7109375" style="1008" customWidth="1"/>
    <col min="9" max="9" width="8.85546875" style="477"/>
    <col min="10" max="10" width="20.140625" style="477" customWidth="1"/>
    <col min="11" max="11" width="9.28515625" style="477" bestFit="1" customWidth="1"/>
    <col min="12" max="17" width="8.85546875" style="477"/>
    <col min="18" max="18" width="1.7109375" style="1008" customWidth="1"/>
    <col min="19" max="19" width="8.85546875" style="477"/>
    <col min="20" max="20" width="10" style="477" customWidth="1"/>
    <col min="21" max="21" width="12.85546875" style="477" customWidth="1"/>
    <col min="22" max="22" width="11.85546875" style="477" bestFit="1" customWidth="1"/>
    <col min="23" max="23" width="13" style="477" customWidth="1"/>
    <col min="24" max="24" width="1.28515625" style="477" customWidth="1"/>
    <col min="25" max="25" width="10.140625" style="477" customWidth="1"/>
    <col min="26" max="26" width="10.7109375" style="477" customWidth="1"/>
    <col min="27" max="27" width="8.85546875" style="477"/>
    <col min="28" max="28" width="8.85546875" style="477" bestFit="1"/>
    <col min="29" max="29" width="11.140625" style="477" bestFit="1" customWidth="1"/>
    <col min="30" max="30" width="12.5703125" style="477" customWidth="1"/>
    <col min="31" max="31" width="8.85546875" style="477"/>
    <col min="32" max="32" width="9.28515625" style="477" bestFit="1" customWidth="1"/>
    <col min="33" max="33" width="8.85546875" style="477"/>
    <col min="34" max="34" width="1.7109375" style="1008" customWidth="1"/>
    <col min="35" max="35" width="8.85546875" style="477"/>
    <col min="36" max="36" width="22.7109375" style="477" bestFit="1" customWidth="1"/>
    <col min="37" max="37" width="16.140625" style="477" bestFit="1" customWidth="1"/>
    <col min="38" max="38" width="11.5703125" style="477" bestFit="1" customWidth="1"/>
    <col min="39" max="39" width="12.42578125" style="477" customWidth="1"/>
    <col min="40" max="40" width="10.7109375" style="477" customWidth="1"/>
    <col min="41" max="41" width="9.85546875" style="477" customWidth="1"/>
    <col min="42" max="42" width="11.7109375" style="477" customWidth="1"/>
  </cols>
  <sheetData>
    <row r="1" spans="1:42" ht="13.5" thickBot="1">
      <c r="A1" s="3807" t="s">
        <v>1204</v>
      </c>
      <c r="B1" s="3807"/>
      <c r="C1" s="3807"/>
      <c r="D1" s="3807"/>
      <c r="E1" s="3807"/>
      <c r="F1" s="3807"/>
      <c r="J1" s="3811" t="s">
        <v>1282</v>
      </c>
      <c r="K1" s="3811"/>
      <c r="L1" s="3811"/>
      <c r="M1" s="3811"/>
      <c r="N1" s="3811"/>
      <c r="O1" s="3811"/>
      <c r="P1" s="3811"/>
    </row>
    <row r="2" spans="1:42" ht="13.5" thickBot="1">
      <c r="A2" s="3807" t="s">
        <v>1314</v>
      </c>
      <c r="B2" s="3807"/>
      <c r="C2" s="3807"/>
      <c r="D2" s="3807"/>
      <c r="E2" s="3807"/>
      <c r="F2" s="3807"/>
      <c r="J2" s="3811" t="s">
        <v>1283</v>
      </c>
      <c r="K2" s="3811"/>
      <c r="L2" s="3811"/>
      <c r="M2" s="3811"/>
      <c r="N2" s="3811"/>
      <c r="O2" s="3811"/>
      <c r="P2" s="3811"/>
      <c r="U2" s="3812" t="s">
        <v>1284</v>
      </c>
      <c r="V2" s="3813"/>
      <c r="W2" s="3814"/>
      <c r="Y2" s="3812" t="s">
        <v>1285</v>
      </c>
      <c r="Z2" s="3813"/>
      <c r="AA2" s="3813"/>
      <c r="AB2" s="3813"/>
      <c r="AC2" s="3813"/>
      <c r="AD2" s="3814"/>
    </row>
    <row r="3" spans="1:42">
      <c r="A3" s="3807" t="s">
        <v>1283</v>
      </c>
      <c r="B3" s="3807"/>
      <c r="C3" s="3807"/>
      <c r="D3" s="3807"/>
      <c r="E3" s="3807"/>
      <c r="F3" s="3807"/>
      <c r="J3" s="3811" t="s">
        <v>1060</v>
      </c>
      <c r="K3" s="3811"/>
      <c r="L3" s="3811"/>
      <c r="M3" s="3811"/>
      <c r="N3" s="3811"/>
      <c r="O3" s="3811"/>
      <c r="P3" s="3811"/>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3807" t="s">
        <v>1313</v>
      </c>
      <c r="B4" s="3807"/>
      <c r="C4" s="3807"/>
      <c r="D4" s="3807"/>
      <c r="E4" s="3807"/>
      <c r="F4" s="3807"/>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5">
      <c r="A5" s="3808" t="s">
        <v>1060</v>
      </c>
      <c r="B5" s="3808"/>
      <c r="C5" s="3808"/>
      <c r="D5" s="3808"/>
      <c r="E5" s="3808"/>
      <c r="F5" s="3808"/>
      <c r="J5" s="3809" t="s">
        <v>1286</v>
      </c>
      <c r="K5" s="3810"/>
      <c r="L5" s="3810"/>
      <c r="M5" s="3810"/>
      <c r="N5" s="3810"/>
      <c r="O5" s="3810"/>
      <c r="P5" s="3810"/>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3807"/>
      <c r="D7" s="3807"/>
      <c r="E7" s="3807"/>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5"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25"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5"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5"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5"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75"/>
  <cols>
    <col min="1" max="1" width="1.85546875" style="477" customWidth="1"/>
    <col min="2" max="2" width="4.5703125" style="1654" customWidth="1"/>
    <col min="3" max="3" width="20" style="477" customWidth="1"/>
    <col min="4" max="4" width="12.7109375" style="477" customWidth="1"/>
    <col min="5" max="5" width="12.140625" style="477" customWidth="1"/>
    <col min="6" max="6" width="11.7109375" style="477" customWidth="1"/>
    <col min="7" max="7" width="11.85546875" style="477" customWidth="1"/>
    <col min="9" max="9" width="1.7109375" style="1008" customWidth="1"/>
    <col min="11" max="11" width="4.28515625" style="1654" customWidth="1"/>
    <col min="12" max="12" width="15" style="477" customWidth="1"/>
    <col min="13" max="13" width="12.7109375" style="477" customWidth="1"/>
    <col min="14" max="14" width="12" style="477" customWidth="1"/>
    <col min="15" max="15" width="1.7109375" style="477" customWidth="1"/>
    <col min="16" max="16" width="17.85546875" style="477" customWidth="1"/>
    <col min="17" max="17" width="10.85546875" style="477" customWidth="1"/>
    <col min="18" max="19" width="12.28515625" style="477" bestFit="1" customWidth="1"/>
    <col min="20" max="20" width="4.85546875" style="880" customWidth="1"/>
    <col min="21" max="22" width="11.42578125" style="477"/>
    <col min="23" max="23" width="12.28515625" style="477" bestFit="1" customWidth="1"/>
    <col min="24" max="24" width="8.85546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3763" t="s">
        <v>1327</v>
      </c>
      <c r="B3" s="3763"/>
      <c r="C3" s="3763"/>
      <c r="D3" s="3763"/>
      <c r="E3" s="3763"/>
      <c r="F3" s="3763"/>
      <c r="G3" s="3763"/>
      <c r="K3" s="3763" t="str">
        <f>'G-2.06 FIT'!A3</f>
        <v>For the Twelve Months Ended June 30, 2023</v>
      </c>
      <c r="L3" s="3763"/>
      <c r="M3" s="3763"/>
      <c r="N3" s="3763"/>
      <c r="O3" s="3763"/>
      <c r="P3" s="3763"/>
      <c r="Q3" s="3763"/>
      <c r="R3" s="3763"/>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3763" t="s">
        <v>1335</v>
      </c>
      <c r="S6" s="3763"/>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3816" t="s">
        <v>1340</v>
      </c>
      <c r="M8" s="3816"/>
      <c r="N8" s="3816"/>
      <c r="Q8" s="890" t="s">
        <v>1339</v>
      </c>
      <c r="R8" s="1693">
        <v>-35256496</v>
      </c>
      <c r="S8" s="1693">
        <v>-13120066</v>
      </c>
      <c r="T8" s="880">
        <v>10</v>
      </c>
      <c r="U8" s="1678">
        <f t="shared" si="0"/>
        <v>0</v>
      </c>
      <c r="V8" s="1695"/>
      <c r="W8" s="1695"/>
    </row>
    <row r="9" spans="1:23">
      <c r="A9" s="1655"/>
      <c r="B9" s="1665" t="s">
        <v>1325</v>
      </c>
      <c r="D9" s="1672"/>
      <c r="E9" s="1655"/>
      <c r="F9" s="1655"/>
      <c r="G9" s="1655"/>
      <c r="L9" s="3816"/>
      <c r="M9" s="3816"/>
      <c r="N9" s="3816"/>
      <c r="Q9" s="890" t="s">
        <v>1338</v>
      </c>
      <c r="R9" s="1690">
        <f>-R8*0.21</f>
        <v>7403864.1600000001</v>
      </c>
      <c r="S9" s="1690">
        <f>-S8*0.21</f>
        <v>2755213.86</v>
      </c>
      <c r="T9" s="880">
        <v>11</v>
      </c>
      <c r="U9" s="1678">
        <f t="shared" si="0"/>
        <v>0</v>
      </c>
      <c r="V9" s="1695"/>
      <c r="W9" s="1695"/>
    </row>
    <row r="10" spans="1:23">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5" thickBot="1">
      <c r="A19" s="1655"/>
      <c r="B19" s="1671"/>
      <c r="C19" s="1655"/>
      <c r="D19" s="1672"/>
      <c r="E19" s="1655"/>
      <c r="F19" s="1655"/>
      <c r="G19" s="1655"/>
      <c r="L19" s="477" t="s">
        <v>763</v>
      </c>
      <c r="M19" s="879">
        <f>R9+R10+R11-R12</f>
        <v>-100520.6031576572</v>
      </c>
      <c r="N19" s="1678"/>
      <c r="Q19" s="1684"/>
      <c r="R19" s="1683"/>
    </row>
    <row r="20" spans="1:19" ht="14.25"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5" thickTop="1">
      <c r="A21" s="1655"/>
      <c r="M21" s="199"/>
      <c r="N21" s="1678"/>
      <c r="Q21" s="1680"/>
      <c r="R21" s="1679"/>
    </row>
    <row r="22" spans="1:19">
      <c r="B22" s="477"/>
      <c r="E22" s="1655"/>
      <c r="F22" s="1655"/>
      <c r="G22" s="1668"/>
      <c r="R22" s="3763" t="s">
        <v>1335</v>
      </c>
      <c r="S22" s="3763"/>
    </row>
    <row r="23" spans="1:19">
      <c r="B23" s="477"/>
      <c r="E23" s="1667" t="s">
        <v>79</v>
      </c>
      <c r="F23" s="1667" t="s">
        <v>80</v>
      </c>
      <c r="G23" s="1667" t="s">
        <v>81</v>
      </c>
      <c r="K23" s="1654">
        <v>2</v>
      </c>
      <c r="L23" s="1694" t="s">
        <v>1334</v>
      </c>
      <c r="R23" s="936" t="s">
        <v>763</v>
      </c>
      <c r="S23" s="936" t="s">
        <v>683</v>
      </c>
    </row>
    <row r="24" spans="1:19">
      <c r="B24" s="1666" t="s">
        <v>1317</v>
      </c>
      <c r="E24" s="1655"/>
      <c r="F24" s="1655"/>
      <c r="G24" s="1655"/>
      <c r="L24" s="3815"/>
      <c r="M24" s="3815"/>
      <c r="N24" s="3815"/>
      <c r="O24" s="3815"/>
      <c r="P24" s="1692"/>
      <c r="Q24" s="477" t="s">
        <v>1333</v>
      </c>
      <c r="R24" s="1693">
        <v>0</v>
      </c>
      <c r="S24" s="1693">
        <v>0</v>
      </c>
    </row>
    <row r="25" spans="1:19">
      <c r="E25" s="1655"/>
      <c r="F25" s="1655"/>
      <c r="G25" s="1655"/>
      <c r="L25" s="3815"/>
      <c r="M25" s="3815"/>
      <c r="N25" s="3815"/>
      <c r="O25" s="3815"/>
      <c r="P25" s="1692"/>
      <c r="Q25" s="477" t="s">
        <v>1329</v>
      </c>
      <c r="R25" s="1690">
        <f>R24*-0.21</f>
        <v>0</v>
      </c>
      <c r="S25" s="1690">
        <f>S24*-0.21</f>
        <v>0</v>
      </c>
    </row>
    <row r="26" spans="1:19">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5" thickBot="1">
      <c r="C29" s="1655"/>
      <c r="E29" s="1655"/>
      <c r="F29" s="1655"/>
      <c r="G29" s="1655"/>
      <c r="L29" s="1687" t="s">
        <v>1330</v>
      </c>
      <c r="M29" s="1686">
        <v>0</v>
      </c>
      <c r="N29" s="1685">
        <v>99</v>
      </c>
      <c r="R29" s="1689"/>
    </row>
    <row r="30" spans="1:19" ht="14.25"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5" thickTop="1">
      <c r="E31" s="1655"/>
      <c r="F31" s="1655"/>
      <c r="G31" s="1655"/>
      <c r="L31" s="477" t="s">
        <v>683</v>
      </c>
      <c r="M31" s="879"/>
      <c r="N31" s="1678">
        <f>VLOOKUP(N29,factors,4)</f>
        <v>0</v>
      </c>
      <c r="R31" s="1683"/>
    </row>
    <row r="32" spans="1:19" ht="13.5" thickBot="1">
      <c r="C32" s="1659" t="s">
        <v>1315</v>
      </c>
      <c r="D32" s="1658"/>
      <c r="E32" s="1657">
        <f>E20+E30</f>
        <v>-25725.475278202211</v>
      </c>
      <c r="F32" s="1657">
        <f>F20+F30</f>
        <v>-100520.6031576572</v>
      </c>
      <c r="G32" s="1657">
        <f>G20+G30</f>
        <v>74795.127879454987</v>
      </c>
      <c r="M32" s="199"/>
      <c r="N32" s="1678"/>
      <c r="R32" s="1688"/>
    </row>
    <row r="33" spans="5:18" ht="13.5"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5546875" defaultRowHeight="12.75"/>
  <cols>
    <col min="1" max="1" width="26.5703125" style="1699" customWidth="1"/>
    <col min="2" max="2" width="16.28515625" style="1699" customWidth="1"/>
    <col min="3" max="3" width="7.42578125" style="1700" customWidth="1"/>
    <col min="4" max="4" width="11.140625" style="1699" customWidth="1"/>
    <col min="5" max="5" width="1.28515625" style="1700" customWidth="1"/>
    <col min="6" max="6" width="11.140625" style="1699" customWidth="1"/>
    <col min="7" max="7" width="1.28515625" style="1700" customWidth="1"/>
    <col min="8" max="8" width="11.140625" style="1699" customWidth="1"/>
    <col min="9" max="9" width="1.28515625" style="1700" customWidth="1"/>
    <col min="10" max="10" width="8.85546875" style="1699"/>
    <col min="11" max="11" width="8.85546875" style="477"/>
    <col min="12" max="12" width="1.7109375" style="1008" customWidth="1"/>
    <col min="13" max="13" width="8.85546875" style="477"/>
    <col min="14" max="14" width="21.28515625" style="478" customWidth="1"/>
    <col min="15" max="15" width="8.85546875" style="478"/>
    <col min="16" max="16" width="10.140625" style="478" bestFit="1" customWidth="1"/>
    <col min="17" max="17" width="2.7109375" style="478" customWidth="1"/>
    <col min="18" max="18" width="13.85546875" style="478" bestFit="1" customWidth="1"/>
    <col min="19" max="19" width="2.7109375" style="478" customWidth="1"/>
    <col min="20" max="20" width="11.28515625" style="478" bestFit="1" customWidth="1"/>
    <col min="21" max="21" width="8.85546875" style="478"/>
    <col min="22" max="22" width="8.85546875" style="477"/>
    <col min="23" max="23" width="1.7109375" style="1008" customWidth="1"/>
    <col min="24" max="25" width="8.85546875" style="477"/>
    <col min="26" max="26" width="19.28515625" style="477" customWidth="1"/>
    <col min="27" max="27" width="12.5703125" style="477" bestFit="1" customWidth="1"/>
    <col min="28" max="16384" width="8.85546875" style="477"/>
  </cols>
  <sheetData>
    <row r="1" spans="1:28">
      <c r="A1" s="3819" t="s">
        <v>111</v>
      </c>
      <c r="B1" s="3819"/>
      <c r="C1" s="3819"/>
      <c r="D1" s="3819"/>
      <c r="E1" s="3819"/>
      <c r="F1" s="3819"/>
      <c r="G1" s="3819"/>
      <c r="H1" s="3819"/>
      <c r="I1" s="3819"/>
      <c r="J1" s="3819"/>
      <c r="N1" s="3820" t="s">
        <v>111</v>
      </c>
      <c r="O1" s="3820"/>
      <c r="P1" s="3820"/>
      <c r="Q1" s="3820"/>
      <c r="R1" s="3820"/>
      <c r="S1" s="3820"/>
      <c r="T1" s="3820"/>
      <c r="U1" s="3820"/>
      <c r="Y1" s="477">
        <v>2022</v>
      </c>
    </row>
    <row r="2" spans="1:28">
      <c r="A2" s="3820" t="s">
        <v>1345</v>
      </c>
      <c r="B2" s="3820"/>
      <c r="C2" s="3820"/>
      <c r="D2" s="3820"/>
      <c r="E2" s="3820"/>
      <c r="F2" s="3820"/>
      <c r="G2" s="3820"/>
      <c r="H2" s="3820"/>
      <c r="I2" s="3820"/>
      <c r="J2" s="3820"/>
      <c r="N2" s="3820" t="s">
        <v>1345</v>
      </c>
      <c r="O2" s="3820"/>
      <c r="P2" s="3820"/>
      <c r="Q2" s="3820"/>
      <c r="R2" s="3820"/>
      <c r="S2" s="3820"/>
      <c r="T2" s="3820"/>
      <c r="U2" s="3820"/>
      <c r="Y2" s="1414"/>
      <c r="Z2" s="1414" t="s">
        <v>1346</v>
      </c>
      <c r="AA2" s="1414" t="s">
        <v>1347</v>
      </c>
      <c r="AB2" s="1414" t="s">
        <v>24</v>
      </c>
    </row>
    <row r="3" spans="1:28">
      <c r="A3" s="3820" t="s">
        <v>580</v>
      </c>
      <c r="B3" s="3820"/>
      <c r="C3" s="3820"/>
      <c r="D3" s="3820"/>
      <c r="E3" s="3820"/>
      <c r="F3" s="3820"/>
      <c r="G3" s="3820"/>
      <c r="H3" s="3820"/>
      <c r="I3" s="3820"/>
      <c r="J3" s="3820"/>
      <c r="N3" s="3820" t="str">
        <f>A3</f>
        <v>TWELVE MONTHS ENDED JUNE 30, 2023</v>
      </c>
      <c r="O3" s="3820"/>
      <c r="P3" s="3820"/>
      <c r="Q3" s="3820"/>
      <c r="R3" s="3820"/>
      <c r="S3" s="3820"/>
      <c r="T3" s="3820"/>
      <c r="U3" s="3820"/>
      <c r="Y3" s="477" t="s">
        <v>1348</v>
      </c>
      <c r="Z3" s="1698">
        <v>2202</v>
      </c>
      <c r="AA3" s="1698">
        <v>8773</v>
      </c>
      <c r="AB3" s="1698">
        <v>10975</v>
      </c>
    </row>
    <row r="4" spans="1:28">
      <c r="N4" s="3817"/>
      <c r="O4" s="3817"/>
      <c r="P4" s="3817"/>
      <c r="Q4" s="3817"/>
      <c r="R4" s="3817"/>
      <c r="S4" s="3817"/>
      <c r="T4" s="3817"/>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5"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5"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25" thickTop="1" thickBot="1">
      <c r="P17" s="1727">
        <f>(P11*P13*P14)+(P11*P15)</f>
        <v>97658.16546061117</v>
      </c>
      <c r="R17" s="478" t="s">
        <v>1367</v>
      </c>
      <c r="T17" s="540"/>
    </row>
    <row r="18" spans="1:28" ht="14.25" thickTop="1" thickBot="1">
      <c r="A18" s="1699" t="s">
        <v>1368</v>
      </c>
      <c r="F18" s="1176">
        <f>-F16</f>
        <v>-33058.470821229013</v>
      </c>
      <c r="G18" s="1711"/>
      <c r="H18" s="1176">
        <f>-H16</f>
        <v>-10464.562669723424</v>
      </c>
      <c r="P18" s="1728"/>
      <c r="T18" s="540"/>
      <c r="Y18" s="634" t="s">
        <v>1369</v>
      </c>
    </row>
    <row r="19" spans="1:28" ht="13.5"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5"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5" thickBot="1">
      <c r="P29" s="1727">
        <f>(P23*P25*P26)+(P23*P27)</f>
        <v>19523.601735167675</v>
      </c>
      <c r="R29" s="478" t="s">
        <v>1367</v>
      </c>
    </row>
    <row r="30" spans="1:28" ht="13.5" thickTop="1">
      <c r="P30" s="1728"/>
    </row>
    <row r="31" spans="1:28">
      <c r="P31" s="1730">
        <f>P29+P17</f>
        <v>117181.76719577884</v>
      </c>
      <c r="R31" s="1044" t="s">
        <v>1374</v>
      </c>
      <c r="S31" s="1044"/>
    </row>
    <row r="32" spans="1:28">
      <c r="N32" s="478" t="s">
        <v>1375</v>
      </c>
      <c r="P32" s="1731">
        <v>-46747.3</v>
      </c>
      <c r="R32" s="478" t="s">
        <v>1376</v>
      </c>
      <c r="S32" s="1044"/>
    </row>
    <row r="33" spans="14:21" ht="13.5"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3818" t="s">
        <v>1379</v>
      </c>
      <c r="O38" s="3818"/>
      <c r="P38" s="3818"/>
      <c r="Q38" s="3818"/>
      <c r="R38" s="3818"/>
      <c r="S38" s="3818"/>
      <c r="T38" s="3818"/>
      <c r="U38" s="3818"/>
    </row>
    <row r="39" spans="14:21">
      <c r="N39" s="3818" t="s">
        <v>1380</v>
      </c>
      <c r="O39" s="3818"/>
      <c r="P39" s="3818"/>
      <c r="Q39" s="3818"/>
      <c r="R39" s="3818"/>
      <c r="S39" s="3818"/>
      <c r="T39" s="3818"/>
      <c r="U39" s="3818"/>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5546875" defaultRowHeight="15"/>
  <cols>
    <col min="1" max="1" width="11" style="387" customWidth="1"/>
    <col min="2" max="2" width="42.7109375" style="387" customWidth="1"/>
    <col min="3" max="3" width="8.42578125" style="1750" customWidth="1"/>
    <col min="4" max="4" width="11.5703125" style="387" bestFit="1" customWidth="1"/>
    <col min="5" max="5" width="8.42578125" style="1750" customWidth="1"/>
    <col min="6" max="6" width="11.28515625" style="387" bestFit="1" customWidth="1"/>
    <col min="7" max="7" width="2.7109375" style="387" customWidth="1"/>
    <col min="8" max="8" width="1.7109375" style="1008" customWidth="1"/>
    <col min="9" max="9" width="8.85546875" style="477"/>
    <col min="10" max="10" width="8.7109375" style="1009" customWidth="1"/>
    <col min="11" max="11" width="11.85546875" style="1009" customWidth="1"/>
    <col min="12" max="12" width="10.5703125" style="1009" customWidth="1"/>
    <col min="13" max="13" width="48.140625" style="1009" bestFit="1" customWidth="1"/>
    <col min="14" max="14" width="21.85546875" style="1765" bestFit="1" customWidth="1"/>
    <col min="15" max="15" width="18.42578125" style="515" bestFit="1" customWidth="1"/>
    <col min="16" max="16" width="20.85546875" style="515" bestFit="1" customWidth="1"/>
    <col min="17" max="17" width="21.140625" style="515" bestFit="1" customWidth="1"/>
    <col min="18" max="18" width="8.85546875" style="477"/>
    <col min="19" max="19" width="1.7109375" style="1008" customWidth="1"/>
    <col min="20" max="20" width="8.85546875" style="477"/>
    <col min="21" max="22" width="8.85546875" style="1009"/>
    <col min="23" max="23" width="10" style="1009" customWidth="1"/>
    <col min="24" max="24" width="42.28515625" style="1009" bestFit="1" customWidth="1"/>
    <col min="25" max="25" width="6.28515625" style="1009" customWidth="1"/>
    <col min="26" max="29" width="18.28515625" style="1742" customWidth="1"/>
    <col min="30" max="30" width="8.85546875" style="477"/>
    <col min="31" max="31" width="1.7109375" style="1008" customWidth="1"/>
    <col min="32" max="32" width="8.85546875" style="477"/>
    <col min="33" max="33" width="23" style="477" customWidth="1"/>
    <col min="34" max="34" width="9.5703125" style="477" customWidth="1"/>
    <col min="35" max="35" width="13.85546875" style="477" customWidth="1"/>
    <col min="36" max="36" width="16" style="477" bestFit="1" customWidth="1"/>
    <col min="37" max="41" width="14.28515625" style="477" bestFit="1" customWidth="1"/>
    <col min="42" max="47" width="13.140625" style="477" bestFit="1" customWidth="1"/>
    <col min="48" max="16384" width="8.85546875" style="477"/>
  </cols>
  <sheetData>
    <row r="1" spans="1:47" ht="18.75">
      <c r="A1" s="3821" t="s">
        <v>1204</v>
      </c>
      <c r="B1" s="3821"/>
      <c r="C1" s="3821"/>
      <c r="D1" s="3821"/>
      <c r="E1" s="3821"/>
      <c r="F1" s="3821"/>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75">
      <c r="A2" s="3821" t="s">
        <v>1384</v>
      </c>
      <c r="B2" s="3821"/>
      <c r="C2" s="3821"/>
      <c r="D2" s="3821"/>
      <c r="E2" s="3821"/>
      <c r="F2" s="3821"/>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75">
      <c r="A3" s="3821" t="s">
        <v>580</v>
      </c>
      <c r="B3" s="3821"/>
      <c r="C3" s="3821"/>
      <c r="D3" s="3821"/>
      <c r="E3" s="3821"/>
      <c r="F3" s="3821"/>
      <c r="G3" s="1740"/>
      <c r="J3" s="1197"/>
      <c r="K3" s="1197"/>
      <c r="L3" s="1197"/>
      <c r="M3" s="1197"/>
      <c r="N3" s="1741" t="s">
        <v>1059</v>
      </c>
      <c r="O3" s="1741" t="s">
        <v>1386</v>
      </c>
      <c r="P3" s="1741" t="s">
        <v>1387</v>
      </c>
      <c r="Q3" s="1741" t="s">
        <v>1388</v>
      </c>
      <c r="Z3" s="1742" t="s">
        <v>1059</v>
      </c>
      <c r="AA3" s="1742" t="s">
        <v>1386</v>
      </c>
      <c r="AB3" s="1742" t="s">
        <v>1387</v>
      </c>
      <c r="AC3" s="1742" t="s">
        <v>1388</v>
      </c>
    </row>
    <row r="4" spans="1:47" ht="12.75">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7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5"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7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7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7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7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75" thickTop="1">
      <c r="A25" s="3822" t="s">
        <v>1429</v>
      </c>
      <c r="B25" s="3822"/>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2.75">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5"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7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7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7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6.5"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7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7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7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3823" t="s">
        <v>1449</v>
      </c>
      <c r="B46" s="3823"/>
      <c r="C46" s="3823"/>
      <c r="D46" s="3823"/>
      <c r="E46" s="3823"/>
      <c r="F46" s="382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5546875" defaultRowHeight="12.75"/>
  <cols>
    <col min="1" max="1" width="8.85546875" style="1197"/>
    <col min="2" max="2" width="10.5703125" style="1197" customWidth="1"/>
    <col min="3" max="11" width="9.140625" style="1197" hidden="1" customWidth="1"/>
    <col min="12" max="22" width="8.85546875" style="1197"/>
    <col min="23" max="23" width="10.140625" style="1197" bestFit="1" customWidth="1"/>
    <col min="24" max="29" width="8.85546875" style="1197"/>
    <col min="30" max="37" width="9.140625" style="1197" hidden="1" customWidth="1"/>
    <col min="38" max="38" width="9.5703125" style="1197" bestFit="1" customWidth="1"/>
    <col min="39" max="39" width="8.85546875" style="477"/>
    <col min="40" max="40" width="1.7109375" style="1008" customWidth="1"/>
    <col min="41" max="41" width="8.85546875" style="477"/>
    <col min="42" max="42" width="3.5703125" style="1009" customWidth="1"/>
    <col min="43" max="43" width="39.85546875" style="1009" customWidth="1"/>
    <col min="44" max="44" width="8.85546875" style="1778" customWidth="1"/>
    <col min="45" max="45" width="12.42578125" style="1009" customWidth="1"/>
    <col min="46" max="46" width="12.42578125" style="1009" hidden="1" customWidth="1"/>
    <col min="47" max="47" width="7.42578125" style="1851" customWidth="1"/>
    <col min="48" max="50" width="12.42578125" style="1009" customWidth="1"/>
    <col min="51" max="51" width="2.5703125" style="1009" customWidth="1"/>
    <col min="52" max="54" width="12.42578125" style="1009" customWidth="1"/>
    <col min="55" max="55" width="2.5703125" style="1009" customWidth="1"/>
    <col min="56" max="57" width="12.42578125" style="1009" customWidth="1"/>
    <col min="58" max="58" width="8.85546875" style="477"/>
    <col min="59" max="59" width="1.7109375" style="1008" customWidth="1"/>
    <col min="60" max="60" width="8.85546875" style="477"/>
    <col min="61" max="61" width="3.7109375" style="1852" customWidth="1"/>
    <col min="62" max="62" width="3.140625" style="1852" bestFit="1" customWidth="1"/>
    <col min="63" max="63" width="33.85546875" style="1852" bestFit="1" customWidth="1"/>
    <col min="64" max="64" width="2.7109375" style="1852" bestFit="1" customWidth="1"/>
    <col min="65" max="65" width="31.85546875" style="1852" customWidth="1"/>
    <col min="66" max="66" width="3.140625" style="1852" customWidth="1"/>
    <col min="67" max="67" width="6.85546875" style="1852" bestFit="1" customWidth="1"/>
    <col min="68" max="68" width="13.7109375" style="1852" customWidth="1"/>
    <col min="69" max="69" width="13.28515625" style="1852" bestFit="1" customWidth="1"/>
    <col min="70" max="70" width="11.28515625" style="1852" bestFit="1" customWidth="1"/>
    <col min="71" max="71" width="1.7109375" style="1008" customWidth="1"/>
    <col min="72" max="72" width="8.85546875" style="477"/>
    <col min="73" max="73" width="3.7109375" style="1852" customWidth="1"/>
    <col min="74" max="74" width="3.140625" style="1852" bestFit="1" customWidth="1"/>
    <col min="75" max="75" width="33.85546875" style="1852" bestFit="1" customWidth="1"/>
    <col min="76" max="76" width="2.7109375" style="1852" bestFit="1" customWidth="1"/>
    <col min="77" max="77" width="31.85546875" style="1852" customWidth="1"/>
    <col min="78" max="78" width="3.140625" style="1852" customWidth="1"/>
    <col min="79" max="79" width="6.85546875" style="1852" bestFit="1" customWidth="1"/>
    <col min="80" max="80" width="13.7109375" style="1852" customWidth="1"/>
    <col min="81" max="81" width="13.28515625" style="1852" bestFit="1" customWidth="1"/>
    <col min="82" max="82" width="11.28515625" style="1852" bestFit="1" customWidth="1"/>
    <col min="83" max="83" width="11.140625" style="1852" customWidth="1"/>
    <col min="84" max="16384" width="8.85546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3826" t="s">
        <v>1450</v>
      </c>
      <c r="BJ1" s="3826"/>
      <c r="BK1" s="3826"/>
      <c r="BL1" s="3826"/>
      <c r="BM1" s="3826"/>
      <c r="BN1" s="3826"/>
      <c r="BO1" s="3826"/>
      <c r="BU1" s="3826" t="s">
        <v>1450</v>
      </c>
      <c r="BV1" s="3826"/>
      <c r="BW1" s="3826"/>
      <c r="BX1" s="3826"/>
      <c r="BY1" s="3826"/>
      <c r="BZ1" s="3826"/>
      <c r="CA1" s="3826"/>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3826" t="s">
        <v>1452</v>
      </c>
      <c r="BJ2" s="3826"/>
      <c r="BK2" s="3826"/>
      <c r="BL2" s="3826"/>
      <c r="BM2" s="3826"/>
      <c r="BN2" s="3826"/>
      <c r="BO2" s="3826"/>
      <c r="BU2" s="3826" t="s">
        <v>1453</v>
      </c>
      <c r="BV2" s="3826"/>
      <c r="BW2" s="3826"/>
      <c r="BX2" s="3826"/>
      <c r="BY2" s="3826"/>
      <c r="BZ2" s="3826"/>
      <c r="CA2" s="3826"/>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3827" t="s">
        <v>1454</v>
      </c>
      <c r="AQ3" s="3827"/>
      <c r="AR3" s="3827"/>
      <c r="AS3" s="3827"/>
      <c r="AT3" s="3827"/>
      <c r="AU3" s="3827"/>
      <c r="AV3" s="3827"/>
      <c r="AW3" s="3827"/>
      <c r="BI3" s="3828" t="s">
        <v>1455</v>
      </c>
      <c r="BJ3" s="3828"/>
      <c r="BK3" s="3828"/>
      <c r="BL3" s="3828"/>
      <c r="BM3" s="3828"/>
      <c r="BN3" s="3828"/>
      <c r="BO3" s="3828"/>
      <c r="BU3" s="3828" t="s">
        <v>1455</v>
      </c>
      <c r="BV3" s="3828"/>
      <c r="BW3" s="3828"/>
      <c r="BX3" s="3828"/>
      <c r="BY3" s="3828"/>
      <c r="BZ3" s="3828"/>
      <c r="CA3" s="3828"/>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3824" t="s">
        <v>1463</v>
      </c>
      <c r="D6" s="3825"/>
      <c r="E6" s="3825"/>
      <c r="F6" s="3825"/>
      <c r="G6" s="3825"/>
      <c r="H6" s="3825"/>
      <c r="I6" s="3825"/>
      <c r="J6" s="3825"/>
      <c r="K6" s="3825"/>
      <c r="L6" s="3825"/>
      <c r="M6" s="3825"/>
      <c r="N6" s="3825"/>
      <c r="O6" s="3825"/>
      <c r="P6" s="3825"/>
      <c r="Q6" s="3825"/>
      <c r="R6" s="3825"/>
      <c r="S6" s="3825"/>
      <c r="T6" s="3825"/>
      <c r="U6" s="3825"/>
      <c r="V6" s="3825"/>
      <c r="W6" s="3825"/>
      <c r="X6" s="3825"/>
      <c r="Y6" s="3825"/>
      <c r="Z6" s="3825"/>
      <c r="AA6" s="3825"/>
      <c r="AB6" s="3825"/>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3.5"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3.5"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3824" t="s">
        <v>1463</v>
      </c>
      <c r="D40" s="3825"/>
      <c r="E40" s="3825"/>
      <c r="F40" s="3825"/>
      <c r="G40" s="3825"/>
      <c r="H40" s="3825"/>
      <c r="I40" s="3825"/>
      <c r="J40" s="3825"/>
      <c r="K40" s="3825"/>
      <c r="L40" s="3825"/>
      <c r="M40" s="3825"/>
      <c r="N40" s="3825"/>
      <c r="O40" s="3825"/>
      <c r="P40" s="3825"/>
      <c r="Q40" s="3825"/>
      <c r="R40" s="3825"/>
      <c r="S40" s="3825"/>
      <c r="T40" s="3825"/>
      <c r="U40" s="3825"/>
      <c r="V40" s="3825"/>
      <c r="W40" s="3825"/>
      <c r="X40" s="3825"/>
      <c r="Y40" s="3825"/>
      <c r="Z40" s="3825"/>
      <c r="AA40" s="3825"/>
      <c r="AB40" s="3825"/>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3.5"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3.5"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J37" sqref="J37:J40"/>
    </sheetView>
  </sheetViews>
  <sheetFormatPr defaultRowHeight="12.75"/>
  <cols>
    <col min="1" max="1" width="1.42578125" style="1923" customWidth="1"/>
    <col min="2" max="2" width="14.140625" style="1923" customWidth="1"/>
    <col min="3" max="3" width="12" style="1923" customWidth="1"/>
    <col min="4" max="4" width="16.140625" style="1923" customWidth="1"/>
    <col min="5" max="5" width="10.7109375" style="1923" bestFit="1" customWidth="1"/>
    <col min="6" max="6" width="10.140625" style="1923" customWidth="1"/>
    <col min="7" max="7" width="11.42578125" style="1923" bestFit="1" customWidth="1"/>
    <col min="8" max="8" width="11.140625" style="1923" bestFit="1" customWidth="1"/>
    <col min="9" max="9" width="10.7109375" style="1923" bestFit="1" customWidth="1"/>
    <col min="10" max="10" width="26" style="1923" bestFit="1" customWidth="1"/>
    <col min="11" max="11" width="9.28515625" style="1923" bestFit="1" customWidth="1"/>
    <col min="12" max="12" width="10.140625" style="1923" customWidth="1"/>
    <col min="13" max="14" width="10.7109375" style="1923" bestFit="1" customWidth="1"/>
    <col min="15" max="16" width="11.42578125" style="1923" bestFit="1" customWidth="1"/>
    <col min="17" max="18" width="8" style="1923"/>
    <col min="19" max="19" width="5.85546875" style="1923" bestFit="1" customWidth="1"/>
  </cols>
  <sheetData>
    <row r="1" spans="2:16" ht="13.5" thickBot="1">
      <c r="B1" s="3994" t="s">
        <v>3438</v>
      </c>
    </row>
    <row r="2" spans="2:16" ht="15.75">
      <c r="B2" s="1987" t="s">
        <v>1550</v>
      </c>
      <c r="C2" s="1962"/>
      <c r="D2" s="1962"/>
      <c r="E2" s="1962"/>
      <c r="F2" s="1962"/>
      <c r="G2" s="1962"/>
      <c r="H2" s="1962"/>
      <c r="I2" s="1962"/>
      <c r="J2" s="1962"/>
      <c r="K2" s="1962"/>
      <c r="L2" s="1962"/>
      <c r="M2" s="1962"/>
      <c r="N2" s="1962"/>
      <c r="O2" s="1962"/>
      <c r="P2" s="1961"/>
    </row>
    <row r="3" spans="2:16" ht="15.75">
      <c r="B3" s="1986" t="s">
        <v>1549</v>
      </c>
      <c r="P3" s="1959"/>
    </row>
    <row r="4" spans="2:16" ht="15.75">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5"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25"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5"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5"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25" thickTop="1" thickBot="1">
      <c r="B21" s="1938" t="s">
        <v>1543</v>
      </c>
      <c r="D21" s="1974">
        <f>-(D19+D20)</f>
        <v>-126683.12268988186</v>
      </c>
      <c r="E21" s="1965"/>
      <c r="F21" s="1965"/>
      <c r="G21" s="1965"/>
      <c r="H21" s="1965"/>
      <c r="I21" s="1965"/>
      <c r="J21" s="1965"/>
      <c r="K21" s="1965"/>
      <c r="L21" s="1965"/>
      <c r="M21" s="1971"/>
      <c r="N21" s="1971"/>
      <c r="O21" s="1971"/>
      <c r="P21" s="1970"/>
    </row>
    <row r="22" spans="2:16" ht="13.5"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5"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25"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25"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25"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5"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5"/>
  <cols>
    <col min="1" max="1" width="6.140625" style="1988" customWidth="1"/>
    <col min="2" max="2" width="5.28515625" style="1988" customWidth="1"/>
    <col min="3" max="3" width="23.85546875" style="1988" customWidth="1"/>
    <col min="4" max="4" width="11.28515625" style="1988" customWidth="1"/>
    <col min="5" max="5" width="13.140625" style="1989" customWidth="1"/>
    <col min="6" max="6" width="11.28515625" style="1989" customWidth="1"/>
    <col min="7" max="7" width="13.28515625" style="1989" customWidth="1"/>
    <col min="8" max="8" width="12.42578125" style="1989" customWidth="1"/>
    <col min="9" max="9" width="12.7109375" style="1989" customWidth="1"/>
    <col min="10" max="11" width="11.7109375" style="1989" customWidth="1"/>
    <col min="12" max="12" width="15.7109375" style="1989" bestFit="1" customWidth="1"/>
    <col min="13" max="14" width="12.140625" style="1989" customWidth="1"/>
    <col min="15" max="15" width="12.7109375" style="1988" customWidth="1"/>
    <col min="16" max="16" width="12.5703125" style="1988" customWidth="1"/>
    <col min="17" max="17" width="14.28515625" style="1988" customWidth="1"/>
    <col min="18" max="18" width="12.42578125" style="1988" customWidth="1"/>
    <col min="19" max="19" width="1.7109375" style="1008" customWidth="1"/>
    <col min="21" max="21" width="19.28515625" style="477" customWidth="1"/>
    <col min="22" max="22" width="49.42578125" style="477" customWidth="1"/>
    <col min="23" max="23" width="16.28515625" style="477" customWidth="1"/>
    <col min="24" max="24" width="4.28515625" style="477" customWidth="1"/>
    <col min="25" max="25" width="68.5703125" style="477" bestFit="1" customWidth="1"/>
    <col min="26" max="26" width="14.7109375" style="477" customWidth="1"/>
    <col min="28" max="28" width="1.7109375" style="1008" customWidth="1"/>
    <col min="30" max="31" width="8.85546875" style="477"/>
    <col min="32" max="32" width="12" style="477" customWidth="1"/>
    <col min="33" max="33" width="15.7109375" style="477" customWidth="1"/>
    <col min="34" max="34" width="14" style="477" bestFit="1" customWidth="1"/>
    <col min="35" max="35" width="14.28515625" style="477" bestFit="1" customWidth="1"/>
    <col min="36" max="37" width="14" style="477" bestFit="1" customWidth="1"/>
    <col min="38" max="38" width="15" style="477" bestFit="1" customWidth="1"/>
    <col min="39" max="39" width="11.5703125" style="477" bestFit="1" customWidth="1"/>
    <col min="40" max="40" width="14.28515625" style="477" bestFit="1" customWidth="1"/>
    <col min="41" max="41" width="8.85546875" style="477"/>
    <col min="42" max="42" width="15" style="477" bestFit="1" customWidth="1"/>
    <col min="43" max="44" width="14" style="477" customWidth="1"/>
    <col min="45" max="45" width="14" style="477" bestFit="1" customWidth="1"/>
    <col min="46" max="46" width="12.28515625" style="477" bestFit="1" customWidth="1"/>
    <col min="47" max="47" width="8.85546875" style="477"/>
    <col min="49" max="49" width="1.28515625" style="1008" customWidth="1"/>
    <col min="51" max="52" width="8.85546875" style="477"/>
    <col min="53" max="53" width="12" style="477" customWidth="1"/>
    <col min="54" max="55" width="14" style="477" bestFit="1" customWidth="1"/>
    <col min="56" max="56" width="13.28515625" style="477" bestFit="1" customWidth="1"/>
    <col min="57" max="58" width="14" style="477" bestFit="1" customWidth="1"/>
    <col min="59" max="59" width="15" style="477" bestFit="1" customWidth="1"/>
    <col min="60" max="60" width="11.5703125" style="477" bestFit="1" customWidth="1"/>
    <col min="61" max="61" width="14.28515625" style="477" bestFit="1" customWidth="1"/>
    <col min="62" max="62" width="8.85546875" style="477"/>
    <col min="63" max="63" width="14" style="477" bestFit="1" customWidth="1"/>
    <col min="64" max="65" width="14" style="477" customWidth="1"/>
    <col min="66" max="66" width="14" style="477" bestFit="1" customWidth="1"/>
    <col min="67" max="67" width="12.28515625" style="477" bestFit="1" customWidth="1"/>
    <col min="68" max="68" width="8.85546875" style="477"/>
    <col min="69" max="69" width="1.28515625" style="1008" customWidth="1"/>
    <col min="71" max="71" width="16.42578125" style="477" customWidth="1"/>
    <col min="72" max="72" width="41.42578125" style="477" customWidth="1"/>
    <col min="73" max="76" width="16" style="477" bestFit="1" customWidth="1"/>
    <col min="77" max="78" width="15.42578125" style="477" customWidth="1"/>
    <col min="79" max="79" width="8.85546875" style="477"/>
    <col min="80" max="80" width="15" style="477" bestFit="1" customWidth="1"/>
    <col min="81" max="82" width="14.28515625" style="477" bestFit="1" customWidth="1"/>
    <col min="83" max="84" width="15" style="477" bestFit="1" customWidth="1"/>
    <col min="85" max="85" width="8.85546875" style="477"/>
    <col min="86" max="86" width="14.28515625" style="477" bestFit="1" customWidth="1"/>
    <col min="87" max="87" width="14" style="477" bestFit="1" customWidth="1"/>
    <col min="88" max="89" width="14.28515625" style="477" bestFit="1" customWidth="1"/>
    <col min="90" max="90" width="15" style="477" bestFit="1" customWidth="1"/>
    <col min="91" max="91" width="8.85546875" style="477"/>
  </cols>
  <sheetData>
    <row r="1" spans="1:90">
      <c r="A1" s="1988" t="s">
        <v>1204</v>
      </c>
      <c r="U1" s="477" t="s">
        <v>1647</v>
      </c>
      <c r="Y1" s="2067"/>
      <c r="Z1" s="2067"/>
      <c r="BS1" s="1570" t="s">
        <v>1702</v>
      </c>
      <c r="BT1" s="1570" t="s">
        <v>1701</v>
      </c>
    </row>
    <row r="2" spans="1:90">
      <c r="A2" s="1988" t="s">
        <v>1579</v>
      </c>
      <c r="U2" s="2067" t="s">
        <v>1646</v>
      </c>
      <c r="V2" s="2067" t="s">
        <v>1645</v>
      </c>
      <c r="W2" s="3829" t="s">
        <v>1644</v>
      </c>
      <c r="X2" s="3829"/>
    </row>
    <row r="3" spans="1:90" ht="45">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3779" t="s">
        <v>880</v>
      </c>
      <c r="CC4" s="3779"/>
      <c r="CD4" s="3779"/>
      <c r="CE4" s="3779"/>
      <c r="CF4" s="3779"/>
      <c r="CH4" s="3779" t="s">
        <v>878</v>
      </c>
      <c r="CI4" s="3779"/>
      <c r="CJ4" s="3779"/>
      <c r="CK4" s="3779"/>
      <c r="CL4" s="3779"/>
    </row>
    <row r="5" spans="1:90">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90">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c r="A9" s="2011"/>
      <c r="B9" s="960" t="s">
        <v>31</v>
      </c>
      <c r="C9" s="960"/>
      <c r="D9" s="960"/>
      <c r="U9" s="2062">
        <v>407419</v>
      </c>
      <c r="V9" s="2063" t="s">
        <v>1639</v>
      </c>
      <c r="W9" s="2056">
        <f>'G-2.11 EAS'!BW29</f>
        <v>-48909.859999999986</v>
      </c>
      <c r="Y9" s="3831" t="s">
        <v>1638</v>
      </c>
      <c r="Z9" s="3832"/>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3831" t="s">
        <v>1636</v>
      </c>
      <c r="Z10" s="3832"/>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c r="A11" s="2003">
        <v>2</v>
      </c>
      <c r="B11" s="2002" t="s">
        <v>33</v>
      </c>
      <c r="C11" s="2002"/>
      <c r="D11" s="2002"/>
      <c r="G11" s="1989">
        <f>E11+F11</f>
        <v>0</v>
      </c>
      <c r="O11" s="2000"/>
      <c r="P11" s="2000">
        <f t="shared" si="15"/>
        <v>0</v>
      </c>
      <c r="U11" s="2062" t="s">
        <v>1635</v>
      </c>
      <c r="V11" s="2061" t="s">
        <v>1634</v>
      </c>
      <c r="W11" s="2056">
        <f>'G-2.11 EAS'!BW31</f>
        <v>17780658.899999999</v>
      </c>
      <c r="Y11" s="3833" t="s">
        <v>1633</v>
      </c>
      <c r="Z11" s="3834"/>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3833" t="s">
        <v>1630</v>
      </c>
      <c r="Z12" s="3834"/>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3833" t="s">
        <v>1629</v>
      </c>
      <c r="Z13" s="3834"/>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c r="A14" s="2003"/>
      <c r="B14" s="2002"/>
      <c r="C14" s="2002"/>
      <c r="D14" s="2002"/>
      <c r="P14" s="2000">
        <f t="shared" si="15"/>
        <v>0</v>
      </c>
      <c r="U14" s="2058">
        <v>495311</v>
      </c>
      <c r="V14" s="2059" t="s">
        <v>1628</v>
      </c>
      <c r="W14" s="2056">
        <f>'G-2.11 EAS'!BW34</f>
        <v>0</v>
      </c>
      <c r="Y14" s="3835" t="s">
        <v>1627</v>
      </c>
      <c r="Z14" s="3836"/>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c r="A15" s="2003"/>
      <c r="B15" s="2002" t="s">
        <v>36</v>
      </c>
      <c r="C15" s="2002"/>
      <c r="D15" s="2002"/>
      <c r="P15" s="2000">
        <f t="shared" si="15"/>
        <v>0</v>
      </c>
      <c r="U15" s="2058">
        <v>495329</v>
      </c>
      <c r="V15" s="2057" t="s">
        <v>1626</v>
      </c>
      <c r="W15" s="2056">
        <f>'G-2.11 EAS'!BW35</f>
        <v>4884734.74</v>
      </c>
      <c r="Y15" s="3837" t="s">
        <v>1625</v>
      </c>
      <c r="Z15" s="3838"/>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3837" t="s">
        <v>1623</v>
      </c>
      <c r="Z16" s="3838"/>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c r="A24" s="2003">
        <v>10</v>
      </c>
      <c r="B24" s="2002"/>
      <c r="C24" s="2002" t="s">
        <v>188</v>
      </c>
      <c r="D24" s="2002"/>
      <c r="G24" s="2005">
        <f>E24+F24</f>
        <v>0</v>
      </c>
      <c r="O24" s="2000"/>
      <c r="P24" s="2000">
        <f t="shared" si="15"/>
        <v>0</v>
      </c>
      <c r="U24" s="2050" t="s">
        <v>225</v>
      </c>
      <c r="V24" s="1141" t="s">
        <v>37</v>
      </c>
      <c r="W24" s="2049">
        <v>139820536</v>
      </c>
      <c r="Y24" s="3830" t="s">
        <v>1616</v>
      </c>
      <c r="Z24" s="3830"/>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60">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7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7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2.75">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2.75">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2.75">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2.75">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2.75">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2.75">
      <c r="A57" s="477"/>
      <c r="B57" s="477"/>
      <c r="C57" s="477"/>
      <c r="D57" s="477"/>
      <c r="E57" s="477"/>
      <c r="F57" s="477"/>
      <c r="G57" s="477"/>
      <c r="H57" s="477"/>
      <c r="I57" s="1992"/>
      <c r="J57" s="1994"/>
      <c r="K57" s="1994"/>
      <c r="L57" s="1994"/>
      <c r="M57" s="515"/>
      <c r="N57" s="515"/>
      <c r="O57" s="477"/>
      <c r="P57" s="888"/>
      <c r="Q57" s="477"/>
      <c r="R57" s="477"/>
    </row>
    <row r="58" spans="1:84" ht="12.75">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2.75">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2.75">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2.75">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2.75">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2.75">
      <c r="A63" s="477"/>
      <c r="B63" s="477"/>
      <c r="C63" s="477"/>
      <c r="D63" s="477"/>
      <c r="E63" s="477"/>
      <c r="F63" s="477"/>
      <c r="G63" s="477"/>
      <c r="H63" s="890"/>
      <c r="I63" s="477"/>
      <c r="J63" s="477"/>
      <c r="K63" s="477"/>
      <c r="L63" s="477"/>
      <c r="M63" s="477"/>
      <c r="N63" s="477"/>
      <c r="O63" s="477"/>
      <c r="P63" s="929"/>
      <c r="Q63" s="477"/>
      <c r="R63" s="477"/>
    </row>
    <row r="64" spans="1:84" ht="12.75">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ht="12.75">
      <c r="A65" s="477"/>
      <c r="B65" s="477"/>
      <c r="C65" s="477"/>
      <c r="D65" s="477"/>
      <c r="E65" s="477"/>
      <c r="F65" s="477"/>
      <c r="G65" s="477"/>
      <c r="H65" s="1991"/>
      <c r="I65" s="477"/>
      <c r="J65" s="477"/>
      <c r="K65" s="477"/>
      <c r="L65" s="477"/>
      <c r="M65" s="477"/>
      <c r="N65" s="477"/>
      <c r="O65" s="477"/>
      <c r="P65" s="929"/>
      <c r="Q65" s="477"/>
      <c r="R65" s="477"/>
      <c r="U65" s="1556"/>
    </row>
    <row r="66" spans="1:26" ht="12.75">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ht="12.75">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ht="14.25">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ht="14.25">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ht="14.25">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2.75">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2.75">
      <c r="A72" s="477"/>
      <c r="B72" s="477"/>
      <c r="C72" s="477"/>
      <c r="D72" s="477"/>
      <c r="E72" s="477"/>
      <c r="F72" s="477"/>
      <c r="G72" s="477"/>
      <c r="H72" s="477"/>
      <c r="I72" s="477"/>
      <c r="J72" s="477"/>
      <c r="K72" s="477"/>
      <c r="L72" s="477"/>
      <c r="M72" s="477"/>
      <c r="N72" s="477"/>
      <c r="O72" s="477"/>
      <c r="P72" s="477"/>
      <c r="Q72" s="515"/>
      <c r="R72" s="477"/>
      <c r="Z72" s="2019"/>
    </row>
    <row r="73" spans="1:26" ht="12.75">
      <c r="A73" s="477"/>
      <c r="B73" s="477"/>
      <c r="C73" s="477"/>
      <c r="D73" s="477"/>
      <c r="E73" s="477"/>
      <c r="F73" s="477"/>
      <c r="G73" s="477"/>
      <c r="H73" s="477"/>
      <c r="I73" s="477"/>
      <c r="J73" s="477"/>
      <c r="K73" s="477"/>
      <c r="L73" s="477"/>
      <c r="M73" s="477"/>
      <c r="N73" s="477"/>
      <c r="O73" s="477"/>
      <c r="P73" s="477"/>
      <c r="Q73" s="515"/>
      <c r="R73" s="477"/>
    </row>
    <row r="74" spans="1:26" ht="12.75">
      <c r="A74" s="477"/>
      <c r="B74" s="477"/>
      <c r="C74" s="477"/>
      <c r="D74" s="477"/>
      <c r="E74" s="477"/>
      <c r="F74" s="477"/>
      <c r="G74" s="477"/>
      <c r="H74" s="477"/>
      <c r="I74" s="477"/>
      <c r="J74" s="477"/>
      <c r="K74" s="477"/>
      <c r="L74" s="477"/>
      <c r="M74" s="477"/>
      <c r="N74" s="477"/>
      <c r="O74" s="477"/>
      <c r="P74" s="477"/>
      <c r="Q74" s="477"/>
      <c r="R74" s="477"/>
    </row>
    <row r="75" spans="1:26" ht="12.75">
      <c r="A75" s="477"/>
      <c r="B75" s="477"/>
      <c r="C75" s="477"/>
      <c r="D75" s="477"/>
      <c r="E75" s="477"/>
      <c r="F75" s="477"/>
      <c r="G75" s="477"/>
      <c r="H75" s="477"/>
      <c r="I75" s="477"/>
      <c r="J75" s="477"/>
      <c r="K75" s="477"/>
      <c r="L75" s="477"/>
      <c r="M75" s="477"/>
      <c r="N75" s="477"/>
      <c r="O75" s="477"/>
      <c r="P75" s="477"/>
      <c r="Q75" s="477"/>
      <c r="R75" s="477"/>
    </row>
    <row r="76" spans="1:26" ht="12.75">
      <c r="A76" s="477"/>
      <c r="B76" s="477"/>
      <c r="C76" s="477"/>
      <c r="D76" s="477"/>
      <c r="E76" s="477"/>
      <c r="F76" s="477"/>
      <c r="G76" s="477"/>
      <c r="H76" s="477"/>
      <c r="I76" s="477"/>
      <c r="J76" s="477"/>
      <c r="K76" s="477"/>
      <c r="L76" s="477"/>
      <c r="M76" s="477"/>
      <c r="N76" s="477"/>
      <c r="O76" s="477"/>
      <c r="P76" s="477"/>
      <c r="Q76" s="477"/>
      <c r="R76" s="477"/>
    </row>
    <row r="77" spans="1:26" ht="12.7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ColWidth="8.85546875" defaultRowHeight="15"/>
  <cols>
    <col min="1" max="1" width="48.28515625" style="2088" bestFit="1" customWidth="1"/>
    <col min="2" max="2" width="7.28515625" style="2088" bestFit="1" customWidth="1"/>
    <col min="3" max="3" width="16.85546875" style="2088" customWidth="1"/>
    <col min="4" max="4" width="7.5703125" style="2088" bestFit="1" customWidth="1"/>
    <col min="5" max="5" width="14.140625" style="2088" customWidth="1"/>
    <col min="6" max="6" width="9.140625"/>
    <col min="7" max="7" width="1.7109375" style="1008" customWidth="1"/>
    <col min="8" max="8" width="8.85546875" style="477"/>
    <col min="9" max="9" width="12" style="1362" bestFit="1" customWidth="1"/>
    <col min="10" max="10" width="14.42578125" style="2118" customWidth="1"/>
    <col min="11" max="11" width="16.140625" style="2118" bestFit="1" customWidth="1"/>
    <col min="12" max="12" width="11" style="2118" bestFit="1" customWidth="1"/>
    <col min="13" max="13" width="16.140625" style="2118" bestFit="1" customWidth="1"/>
    <col min="14" max="14" width="10" style="1362" bestFit="1" customWidth="1"/>
    <col min="15" max="15" width="14.85546875" style="1362" bestFit="1" customWidth="1"/>
    <col min="16" max="16" width="14.85546875" style="2118" bestFit="1" customWidth="1"/>
    <col min="17" max="17" width="12.85546875" style="1362" customWidth="1"/>
    <col min="18" max="18" width="11.5703125" style="1362" bestFit="1" customWidth="1"/>
    <col min="19" max="19" width="12.5703125" style="1362" bestFit="1" customWidth="1"/>
    <col min="20" max="20" width="18.42578125" style="2119" customWidth="1"/>
    <col min="21" max="22" width="9.140625" style="1362" customWidth="1"/>
    <col min="23" max="16384" width="8.85546875" style="477"/>
  </cols>
  <sheetData>
    <row r="1" spans="1:22">
      <c r="A1" s="1230" t="s">
        <v>1282</v>
      </c>
      <c r="I1" s="1339" t="s">
        <v>1733</v>
      </c>
      <c r="J1" s="2135"/>
      <c r="R1" s="1339"/>
    </row>
    <row r="2" spans="1:22" ht="30.75"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7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7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7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7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7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75" thickTop="1">
      <c r="I32" s="2129">
        <v>535000</v>
      </c>
      <c r="J32" s="2128"/>
      <c r="K32" s="2128"/>
      <c r="L32" s="2128"/>
      <c r="M32" s="2096">
        <v>23.82</v>
      </c>
      <c r="N32" s="2128"/>
      <c r="O32" s="2128"/>
      <c r="P32" s="2128"/>
      <c r="Q32" s="2099">
        <f t="shared" si="3"/>
        <v>23.82</v>
      </c>
      <c r="R32" s="2130">
        <f t="shared" si="0"/>
        <v>535000</v>
      </c>
      <c r="S32" s="2100"/>
      <c r="T32" s="1370"/>
    </row>
    <row r="33" spans="9:20" ht="15.75" thickBot="1">
      <c r="I33" s="2129">
        <v>426500</v>
      </c>
      <c r="J33" s="2128"/>
      <c r="K33" s="2128"/>
      <c r="L33" s="2128"/>
      <c r="M33" s="2096"/>
      <c r="N33" s="2128"/>
      <c r="O33" s="2128"/>
      <c r="P33" s="2128"/>
      <c r="Q33" s="2106">
        <f t="shared" si="3"/>
        <v>0</v>
      </c>
      <c r="R33" s="2127">
        <f t="shared" si="0"/>
        <v>426500</v>
      </c>
      <c r="S33" s="2108"/>
      <c r="T33" s="1363"/>
    </row>
    <row r="34" spans="9:20" ht="15.7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5546875" defaultRowHeight="15"/>
  <cols>
    <col min="1" max="1" width="30.140625" style="2139" customWidth="1"/>
    <col min="2" max="2" width="12.5703125" style="2137" bestFit="1" customWidth="1"/>
    <col min="3" max="3" width="13.5703125" style="2138" customWidth="1"/>
    <col min="4" max="4" width="12.5703125" style="2139" bestFit="1" customWidth="1"/>
    <col min="5" max="5" width="12.5703125" style="2137" bestFit="1" customWidth="1"/>
    <col min="6" max="6" width="14.28515625" style="2137" bestFit="1" customWidth="1"/>
    <col min="7" max="7" width="12.5703125" style="2137" bestFit="1" customWidth="1"/>
    <col min="8" max="8" width="5.140625" style="2137" customWidth="1"/>
    <col min="9" max="9" width="16.140625" style="2140" customWidth="1"/>
    <col min="10" max="10" width="15.28515625" style="2140" bestFit="1" customWidth="1"/>
    <col min="11" max="11" width="15.28515625" style="2140" customWidth="1"/>
    <col min="12" max="12" width="8.85546875" style="2141"/>
    <col min="13" max="13" width="1.7109375" style="2142" customWidth="1"/>
    <col min="14" max="14" width="8.85546875" style="2141"/>
    <col min="15" max="15" width="32.28515625" style="2143" customWidth="1"/>
    <col min="16" max="16" width="30.28515625" style="2143" customWidth="1"/>
    <col min="17" max="17" width="17.5703125" style="2143" customWidth="1"/>
    <col min="18" max="18" width="19" style="2143" customWidth="1"/>
    <col min="19" max="19" width="8.85546875" style="2141"/>
    <col min="20" max="20" width="1.7109375" style="2142" customWidth="1"/>
    <col min="21" max="21" width="8.85546875" style="2141"/>
    <col min="22" max="22" width="47.7109375" style="2143" bestFit="1" customWidth="1"/>
    <col min="23" max="28" width="20.28515625" style="2143" customWidth="1"/>
    <col min="29" max="29" width="9.42578125" style="2143" customWidth="1"/>
    <col min="30" max="16384" width="8.85546875" style="2141"/>
  </cols>
  <sheetData>
    <row r="1" spans="1:29">
      <c r="A1" s="2136" t="s">
        <v>1734</v>
      </c>
      <c r="O1" s="3839" t="s">
        <v>1735</v>
      </c>
      <c r="P1" s="3840"/>
      <c r="Q1" s="3840"/>
      <c r="R1" s="3840"/>
      <c r="V1" s="2143" t="s">
        <v>1736</v>
      </c>
    </row>
    <row r="2" spans="1:29">
      <c r="A2" s="2136" t="s">
        <v>1737</v>
      </c>
      <c r="O2" s="3839" t="s">
        <v>1738</v>
      </c>
      <c r="P2" s="3840"/>
      <c r="Q2" s="3840"/>
      <c r="R2" s="3840"/>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30">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7.25">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30">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7.25">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3841" t="s">
        <v>1760</v>
      </c>
      <c r="J21" s="3842"/>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7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6.5"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6.5"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6.5"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6.5"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7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75" thickBot="1">
      <c r="V49" s="2158"/>
      <c r="W49" s="2159"/>
      <c r="X49" s="2159"/>
      <c r="Y49" s="2159"/>
      <c r="Z49" s="2159"/>
      <c r="AA49" s="2159"/>
      <c r="AB49" s="2159"/>
    </row>
    <row r="50" spans="22:29" ht="16.5"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7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703125" defaultRowHeight="12.75" outlineLevelRow="1"/>
  <cols>
    <col min="1" max="1" width="8.42578125" style="147" customWidth="1"/>
    <col min="2" max="2" width="18.5703125" style="148" customWidth="1"/>
    <col min="3" max="4" width="10.5703125" style="141" customWidth="1"/>
    <col min="5" max="5" width="10.28515625" style="141" customWidth="1"/>
    <col min="6" max="6" width="14.5703125" style="149" customWidth="1"/>
    <col min="7" max="7" width="11.28515625" style="141" bestFit="1" customWidth="1"/>
    <col min="8" max="8" width="2.28515625" style="141" customWidth="1"/>
    <col min="9" max="9" width="14.28515625" style="141" customWidth="1"/>
    <col min="10" max="10" width="19.28515625" style="141" customWidth="1"/>
    <col min="11" max="16384" width="10.5703125" style="141"/>
  </cols>
  <sheetData>
    <row r="1" spans="1:9">
      <c r="A1" s="3846" t="s">
        <v>111</v>
      </c>
      <c r="B1" s="3846"/>
      <c r="C1" s="3846"/>
      <c r="D1" s="3846"/>
      <c r="E1" s="3846"/>
      <c r="F1" s="3846"/>
      <c r="G1" s="3846"/>
      <c r="H1" s="3846"/>
    </row>
    <row r="2" spans="1:9">
      <c r="A2" s="3846" t="s">
        <v>122</v>
      </c>
      <c r="B2" s="3846"/>
      <c r="C2" s="3846"/>
      <c r="D2" s="3846"/>
      <c r="E2" s="3846"/>
      <c r="F2" s="3846"/>
      <c r="G2" s="3846"/>
      <c r="H2" s="3846"/>
    </row>
    <row r="3" spans="1:9">
      <c r="A3" s="3846" t="s">
        <v>200</v>
      </c>
      <c r="B3" s="3846"/>
      <c r="C3" s="3846"/>
      <c r="D3" s="3846"/>
      <c r="E3" s="3846"/>
      <c r="F3" s="3846"/>
      <c r="G3" s="3846"/>
      <c r="H3" s="3846"/>
    </row>
    <row r="4" spans="1:9">
      <c r="A4" s="3847" t="str">
        <f>'ROO INPUT 1.00'!A5:C5</f>
        <v>TWELVE MONTHS ENDED JUNE 30, 2023</v>
      </c>
      <c r="B4" s="3847"/>
      <c r="C4" s="3847"/>
      <c r="D4" s="3847"/>
      <c r="E4" s="3847"/>
      <c r="F4" s="3847"/>
      <c r="G4" s="3847"/>
      <c r="H4" s="3847"/>
    </row>
    <row r="5" spans="1:9">
      <c r="A5" s="3848" t="s">
        <v>114</v>
      </c>
      <c r="B5" s="3848"/>
      <c r="C5" s="3848"/>
      <c r="D5" s="3848"/>
      <c r="E5" s="3848"/>
      <c r="F5" s="3848"/>
      <c r="G5" s="3848"/>
      <c r="H5" s="3848"/>
    </row>
    <row r="6" spans="1:9" ht="13.5" thickBot="1">
      <c r="A6" s="142"/>
      <c r="B6" s="143"/>
      <c r="C6" s="144"/>
      <c r="D6" s="145"/>
      <c r="E6" s="145"/>
      <c r="F6" s="145"/>
      <c r="I6" s="146" t="s">
        <v>194</v>
      </c>
    </row>
    <row r="7" spans="1:9" ht="13.5" thickBot="1">
      <c r="C7" s="149"/>
      <c r="D7" s="149"/>
      <c r="E7" s="3843" t="s">
        <v>122</v>
      </c>
      <c r="F7" s="3844"/>
      <c r="G7" s="384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2.75" outlineLevelCol="1"/>
  <cols>
    <col min="1" max="1" width="38.140625" style="2201" customWidth="1"/>
    <col min="2" max="2" width="15.85546875" style="2201" customWidth="1" outlineLevel="1"/>
    <col min="3" max="3" width="14.42578125" style="2201" customWidth="1"/>
    <col min="4" max="4" width="1" style="2201" customWidth="1"/>
    <col min="5" max="5" width="17.42578125" style="2201" customWidth="1" outlineLevel="1"/>
    <col min="6" max="6" width="1.140625" style="2201" customWidth="1"/>
    <col min="7" max="7" width="14.42578125" style="2201" customWidth="1" outlineLevel="1"/>
    <col min="8" max="8" width="17.7109375" style="2201" customWidth="1" outlineLevel="1"/>
    <col min="9" max="9" width="14.42578125" style="2201" customWidth="1" outlineLevel="1"/>
    <col min="10" max="10" width="14.42578125" style="2201" customWidth="1"/>
    <col min="11" max="11" width="1" style="2201" customWidth="1" outlineLevel="1"/>
    <col min="12" max="12" width="17.42578125" style="2201" customWidth="1" outlineLevel="1"/>
    <col min="13" max="13" width="1.140625" style="2201" customWidth="1"/>
    <col min="14" max="16" width="15.140625" style="2201" customWidth="1" outlineLevel="1"/>
    <col min="17" max="17" width="19.140625" style="2201" customWidth="1"/>
    <col min="18" max="18" width="1" style="2201" customWidth="1"/>
    <col min="19" max="19" width="14.42578125" style="2201" customWidth="1" outlineLevel="1"/>
    <col min="20" max="20" width="17.7109375" style="2201" customWidth="1" outlineLevel="1"/>
    <col min="21" max="21" width="14.42578125" style="2201" customWidth="1" outlineLevel="1"/>
    <col min="22" max="22" width="14.42578125" style="2201" customWidth="1"/>
    <col min="23" max="23" width="1.140625" style="2201" customWidth="1" outlineLevel="1"/>
    <col min="24" max="24" width="17.42578125" style="2201" customWidth="1" outlineLevel="1"/>
    <col min="25" max="25" width="1.140625" style="2201" customWidth="1"/>
    <col min="26" max="26" width="14.42578125" style="2201" customWidth="1" outlineLevel="1"/>
    <col min="27" max="27" width="17.7109375" style="2201" customWidth="1" outlineLevel="1"/>
    <col min="28" max="28" width="14.42578125" style="2201" customWidth="1" outlineLevel="1"/>
    <col min="29" max="29" width="17.42578125" style="2201" customWidth="1"/>
    <col min="30" max="30" width="2.28515625" style="2201" customWidth="1"/>
    <col min="31" max="31" width="17.42578125" style="2201" customWidth="1" outlineLevel="1"/>
    <col min="32" max="32" width="2.28515625" style="2201" customWidth="1"/>
    <col min="33" max="33" width="14.42578125" style="2201" customWidth="1" outlineLevel="1"/>
    <col min="34" max="34" width="17.7109375" style="2201" customWidth="1" outlineLevel="1"/>
    <col min="35" max="35" width="14.42578125" style="2201" customWidth="1" outlineLevel="1"/>
    <col min="36" max="36" width="17.42578125" style="2201" customWidth="1"/>
    <col min="37" max="37" width="2.28515625" style="2201" customWidth="1"/>
    <col min="38" max="38" width="17.42578125" style="2201" customWidth="1" outlineLevel="1"/>
    <col min="39" max="39" width="2.28515625" style="2201" customWidth="1"/>
    <col min="40" max="40" width="10" style="2201" customWidth="1"/>
    <col min="41" max="41" width="8.5703125" style="2201" customWidth="1"/>
    <col min="42" max="48" width="8.85546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5"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5" thickBot="1">
      <c r="B4" s="3853" t="s">
        <v>1830</v>
      </c>
      <c r="C4" s="3854"/>
      <c r="E4" s="2261" t="s">
        <v>1824</v>
      </c>
      <c r="G4" s="3850" t="s">
        <v>1829</v>
      </c>
      <c r="H4" s="3851"/>
      <c r="I4" s="3851"/>
      <c r="J4" s="3852"/>
      <c r="L4" s="2260" t="s">
        <v>1824</v>
      </c>
      <c r="N4" s="3850" t="s">
        <v>1828</v>
      </c>
      <c r="O4" s="3851"/>
      <c r="P4" s="3851"/>
      <c r="Q4" s="3852"/>
      <c r="S4" s="3850" t="s">
        <v>1827</v>
      </c>
      <c r="T4" s="3851"/>
      <c r="U4" s="3851"/>
      <c r="V4" s="3852"/>
      <c r="X4" s="2260" t="s">
        <v>1824</v>
      </c>
      <c r="Z4" s="3850" t="s">
        <v>1826</v>
      </c>
      <c r="AA4" s="3851"/>
      <c r="AB4" s="3851"/>
      <c r="AC4" s="3852"/>
      <c r="AE4" s="2260" t="s">
        <v>1824</v>
      </c>
      <c r="AG4" s="3850" t="s">
        <v>1825</v>
      </c>
      <c r="AH4" s="3851"/>
      <c r="AI4" s="3851"/>
      <c r="AJ4" s="3852"/>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39"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5"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3849" t="s">
        <v>1795</v>
      </c>
      <c r="AQ26" s="3849"/>
      <c r="AR26" s="3849"/>
      <c r="AS26" s="3849"/>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3849"/>
      <c r="AQ27" s="3849"/>
      <c r="AR27" s="3849"/>
      <c r="AS27" s="3849"/>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3849"/>
      <c r="AQ28" s="3849"/>
      <c r="AR28" s="3849"/>
      <c r="AS28" s="3849"/>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3849"/>
      <c r="AQ29" s="3849"/>
      <c r="AR29" s="3849"/>
      <c r="AS29" s="3849"/>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3849"/>
      <c r="AQ30" s="3849"/>
      <c r="AR30" s="3849"/>
      <c r="AS30" s="3849"/>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5"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5"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5"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election activeCell="F6" sqref="F6"/>
    </sheetView>
  </sheetViews>
  <sheetFormatPr defaultRowHeight="12.75"/>
  <cols>
    <col min="1" max="1" width="2.28515625" style="477" customWidth="1"/>
    <col min="2" max="2" width="35.28515625" style="477" customWidth="1"/>
    <col min="3" max="3" width="10.140625" style="477" customWidth="1"/>
    <col min="4" max="5" width="11.7109375" style="477" customWidth="1"/>
    <col min="6" max="6" width="10.140625" style="477" customWidth="1"/>
    <col min="7" max="7" width="11.7109375" style="477" customWidth="1"/>
    <col min="8" max="8" width="12.5703125" style="477" customWidth="1"/>
    <col min="9" max="9" width="9.28515625" style="477" customWidth="1"/>
    <col min="10" max="10" width="32.7109375" style="477" customWidth="1"/>
    <col min="11" max="11" width="2.28515625" style="477" customWidth="1"/>
    <col min="12" max="12" width="1.7109375" style="2142" customWidth="1"/>
    <col min="14" max="14" width="3.140625" style="477" customWidth="1"/>
    <col min="15" max="15" width="41" style="477" customWidth="1"/>
    <col min="16" max="16" width="11.140625" style="477" bestFit="1" customWidth="1"/>
    <col min="17" max="18" width="11.7109375" style="477" customWidth="1"/>
    <col min="19" max="19" width="13.85546875" style="477" customWidth="1"/>
    <col min="20" max="22" width="11.7109375" style="477" customWidth="1"/>
    <col min="23" max="23" width="17.140625" style="477" customWidth="1"/>
    <col min="24" max="24" width="10.28515625" style="477" customWidth="1"/>
    <col min="25" max="25" width="22.85546875" style="477" customWidth="1"/>
    <col min="26" max="26" width="1.28515625" style="477" customWidth="1"/>
    <col min="27" max="27" width="1.7109375" style="2142" customWidth="1"/>
    <col min="29" max="29" width="9.140625" style="2331" customWidth="1"/>
    <col min="30" max="30" width="26" style="2318" customWidth="1"/>
    <col min="31" max="31" width="11" style="2318" customWidth="1"/>
    <col min="32" max="32" width="11.85546875" style="2318" bestFit="1" customWidth="1"/>
    <col min="33" max="33" width="14.140625" style="2318" bestFit="1" customWidth="1"/>
    <col min="34" max="34" width="14.140625" style="2318" hidden="1" customWidth="1"/>
    <col min="35" max="36" width="11.42578125" style="2318" customWidth="1"/>
    <col min="37" max="37" width="12" style="2318" customWidth="1"/>
    <col min="38" max="38" width="12.5703125" style="2318" customWidth="1"/>
    <col min="39" max="39" width="10.7109375" style="2318" customWidth="1"/>
    <col min="40" max="40" width="3.7109375" style="2318" customWidth="1"/>
    <col min="41" max="41" width="13.28515625" style="2318" customWidth="1"/>
    <col min="42" max="42" width="3.7109375" style="2318" customWidth="1"/>
    <col min="43" max="44" width="10.7109375" style="2318" customWidth="1"/>
    <col min="45" max="45" width="35.7109375" style="2318" customWidth="1"/>
    <col min="46" max="47" width="10.7109375" style="2318"/>
  </cols>
  <sheetData>
    <row r="1" spans="1:47">
      <c r="A1" s="531" t="s">
        <v>1871</v>
      </c>
      <c r="N1" s="531" t="s">
        <v>1944</v>
      </c>
    </row>
    <row r="2" spans="1:47" ht="18">
      <c r="A2" s="3994" t="s">
        <v>3439</v>
      </c>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ROUND(AE143/1000,)-F12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385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859"/>
      <c r="AU6" s="3859"/>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3859"/>
      <c r="AT7" s="3859"/>
      <c r="AU7" s="3859"/>
    </row>
    <row r="8" spans="1:47">
      <c r="B8" s="634" t="s">
        <v>1862</v>
      </c>
      <c r="C8" s="2287" t="s">
        <v>1847</v>
      </c>
      <c r="D8" s="2286">
        <f>'G-3.01 PF Rev Norm'!W8</f>
        <v>87.828711031590274</v>
      </c>
      <c r="E8" s="2287" t="s">
        <v>1859</v>
      </c>
      <c r="F8" s="2299">
        <f>ROUND(AE139/1000,)</f>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3856" t="s">
        <v>1931</v>
      </c>
      <c r="Y8" s="3830"/>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3859"/>
      <c r="AT8" s="3859"/>
      <c r="AU8" s="3859"/>
    </row>
    <row r="9" spans="1:47">
      <c r="B9" s="477" t="s">
        <v>213</v>
      </c>
      <c r="C9" s="2287" t="s">
        <v>1847</v>
      </c>
      <c r="D9" s="2286">
        <f>'G-3.01 PF Rev Norm'!W18</f>
        <v>-102</v>
      </c>
      <c r="E9" s="2287" t="s">
        <v>1859</v>
      </c>
      <c r="F9" s="2299">
        <f>ROUND(AE128/1000,)</f>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3857"/>
      <c r="Y9" s="3830"/>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3859"/>
      <c r="AT9" s="3859"/>
      <c r="AU9" s="3859"/>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3857"/>
      <c r="Y10" s="3830"/>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3859"/>
      <c r="AT10" s="3859"/>
      <c r="AU10" s="3859"/>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3857"/>
      <c r="Y11" s="3830"/>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3859"/>
      <c r="AT11" s="3859"/>
      <c r="AU11" s="3859"/>
    </row>
    <row r="12" spans="1:47">
      <c r="B12" s="2300" t="s">
        <v>1860</v>
      </c>
      <c r="C12" s="2287" t="s">
        <v>1847</v>
      </c>
      <c r="D12" s="2286">
        <f>'G-3.01 PF Rev Norm'!W21</f>
        <v>5060</v>
      </c>
      <c r="E12" s="2287" t="s">
        <v>1859</v>
      </c>
      <c r="F12" s="2299">
        <f>ROUND(SUM(AJ121:AL121)/1000,)</f>
        <v>5393</v>
      </c>
      <c r="G12" s="2286">
        <f>F12-D12</f>
        <v>333</v>
      </c>
      <c r="H12" s="2282">
        <f>G12</f>
        <v>333</v>
      </c>
      <c r="O12" s="477" t="s">
        <v>1905</v>
      </c>
      <c r="P12" s="2323" t="s">
        <v>1896</v>
      </c>
      <c r="Q12" s="2309">
        <v>-51</v>
      </c>
      <c r="R12" s="2266"/>
      <c r="S12" s="2266"/>
      <c r="T12" s="2286">
        <f>-Q12</f>
        <v>51</v>
      </c>
      <c r="U12" s="2325"/>
      <c r="V12" s="2286">
        <f t="shared" si="0"/>
        <v>51</v>
      </c>
      <c r="W12" s="2282">
        <f t="shared" si="1"/>
        <v>0</v>
      </c>
      <c r="X12" s="3857"/>
      <c r="Y12" s="3830"/>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3857"/>
      <c r="Y13" s="3830"/>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3857"/>
      <c r="Y14" s="3830"/>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3857"/>
      <c r="Y15" s="3830"/>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3857"/>
      <c r="Y16" s="3830"/>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3858" t="s">
        <v>1916</v>
      </c>
      <c r="Y32" s="3771"/>
      <c r="AD32" s="2318" t="s">
        <v>1991</v>
      </c>
      <c r="AE32" s="2366"/>
      <c r="AF32" s="2366">
        <v>55549613.811489999</v>
      </c>
      <c r="AG32" s="2366">
        <v>18294954.25451</v>
      </c>
      <c r="AH32" s="2366" t="s">
        <v>2033</v>
      </c>
      <c r="AI32" s="2366">
        <v>640871.58799999999</v>
      </c>
      <c r="AJ32" s="2366">
        <v>7083974</v>
      </c>
      <c r="AK32" s="2366">
        <v>5164136</v>
      </c>
      <c r="AL32" s="2366">
        <v>0</v>
      </c>
    </row>
    <row r="33" spans="2:38" ht="13.5"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3858"/>
      <c r="Y33" s="3771"/>
      <c r="AD33" s="2318" t="s">
        <v>1990</v>
      </c>
      <c r="AE33" s="2366"/>
      <c r="AF33" s="2366">
        <v>0</v>
      </c>
      <c r="AG33" s="2366">
        <v>31380403.08151</v>
      </c>
      <c r="AH33" s="2366"/>
      <c r="AI33" s="2366">
        <v>684750.42000000016</v>
      </c>
      <c r="AJ33" s="2366">
        <v>13394294</v>
      </c>
      <c r="AK33" s="2366">
        <v>0</v>
      </c>
      <c r="AL33" s="2366">
        <v>0</v>
      </c>
    </row>
    <row r="34" spans="2:38" ht="13.5"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3858"/>
      <c r="Y34" s="3771"/>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3858"/>
      <c r="Y35" s="3771"/>
      <c r="AD35" s="2318" t="s">
        <v>1988</v>
      </c>
      <c r="AE35" s="2366"/>
      <c r="AF35" s="2366">
        <v>0</v>
      </c>
      <c r="AG35" s="2366">
        <v>3945932.3859999999</v>
      </c>
      <c r="AH35" s="2366"/>
      <c r="AI35" s="2366">
        <v>0</v>
      </c>
      <c r="AJ35" s="2366">
        <v>1772268</v>
      </c>
      <c r="AK35" s="2366">
        <v>10047176</v>
      </c>
      <c r="AL35" s="2366">
        <v>0</v>
      </c>
    </row>
    <row r="36" spans="2:38">
      <c r="B36" s="3855" t="s">
        <v>1839</v>
      </c>
      <c r="C36" s="378"/>
      <c r="D36" s="2073"/>
      <c r="E36" s="2275"/>
      <c r="F36" s="2274">
        <f>ROUND(SUM(AK121:AL121)/1000,)</f>
        <v>1659</v>
      </c>
      <c r="I36" s="2273">
        <f>I29</f>
        <v>4.7280160023783213E-2</v>
      </c>
      <c r="J36" s="477" t="s">
        <v>1838</v>
      </c>
      <c r="P36" s="2318"/>
      <c r="Q36" s="199"/>
      <c r="R36" s="199"/>
      <c r="S36" s="199"/>
      <c r="T36" s="199"/>
      <c r="U36" s="199"/>
      <c r="V36" s="199"/>
      <c r="W36" s="2282"/>
      <c r="X36" s="3858"/>
      <c r="Y36" s="3771"/>
      <c r="AE36" s="2400"/>
      <c r="AF36" s="2400"/>
      <c r="AG36" s="2400"/>
      <c r="AH36" s="2400"/>
      <c r="AI36" s="2400"/>
      <c r="AJ36" s="2400"/>
      <c r="AK36" s="2400"/>
      <c r="AL36" s="2400"/>
    </row>
    <row r="37" spans="2:38">
      <c r="B37" s="3855"/>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ht="13.5">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ht="13.5">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ht="13.5">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ht="13.5">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ht="13.5">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ht="13.5">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ht="13.5">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2.75"/>
  <cols>
    <col min="1" max="1" width="35.5703125" style="477" customWidth="1"/>
    <col min="2" max="2" width="11.5703125" style="477" customWidth="1"/>
    <col min="3" max="3" width="11.140625" style="477" customWidth="1"/>
    <col min="4" max="4" width="12.28515625" style="477" bestFit="1" customWidth="1"/>
    <col min="5" max="6" width="11.42578125" style="477" customWidth="1"/>
    <col min="7" max="7" width="4.140625" style="954" customWidth="1"/>
    <col min="8" max="8" width="11.5703125" style="477" customWidth="1"/>
    <col min="9" max="9" width="11.42578125" style="477" customWidth="1"/>
    <col min="10" max="10" width="11.5703125" style="477" customWidth="1"/>
    <col min="11" max="11" width="10.5703125" style="477" customWidth="1"/>
    <col min="12" max="12" width="11.42578125" style="954" customWidth="1"/>
    <col min="13" max="13" width="11.42578125" style="477" bestFit="1" customWidth="1"/>
    <col min="14" max="14" width="4.85546875" style="477" customWidth="1"/>
    <col min="15" max="15" width="1.7109375" style="2142" customWidth="1"/>
    <col min="17" max="17" width="8.85546875" style="2412"/>
    <col min="18" max="18" width="9.5703125" style="2412" customWidth="1"/>
    <col min="19" max="19" width="9.7109375" style="2414" customWidth="1"/>
    <col min="20" max="20" width="9.42578125" style="2413" customWidth="1"/>
    <col min="21" max="21" width="18.140625" style="2413" customWidth="1"/>
    <col min="22" max="22" width="14.42578125" style="2413" customWidth="1"/>
    <col min="23" max="23" width="13.140625" style="2413" customWidth="1"/>
    <col min="24" max="29" width="12.7109375" style="2412" customWidth="1"/>
    <col min="30" max="32" width="12.7109375" style="2412" hidden="1" customWidth="1"/>
    <col min="33" max="35" width="8" style="2412"/>
    <col min="36" max="36" width="12.28515625" style="2412" customWidth="1"/>
    <col min="37" max="37" width="8.85546875" style="2412"/>
  </cols>
  <sheetData>
    <row r="1" spans="1:37" ht="15.75">
      <c r="A1" s="3763" t="s">
        <v>111</v>
      </c>
      <c r="B1" s="3763"/>
      <c r="C1" s="3763"/>
      <c r="D1" s="3763"/>
      <c r="E1" s="3763"/>
      <c r="F1" s="3763"/>
      <c r="G1" s="3763"/>
      <c r="H1" s="3763"/>
      <c r="I1" s="3763"/>
      <c r="J1" s="3763"/>
      <c r="K1" s="3763"/>
      <c r="S1" s="2418"/>
      <c r="T1" s="2419"/>
      <c r="U1" s="2417"/>
      <c r="V1" s="2416"/>
      <c r="W1" s="2416"/>
      <c r="X1" s="2444"/>
      <c r="Y1" s="2444"/>
      <c r="Z1" s="2444"/>
      <c r="AA1" s="2444"/>
      <c r="AB1" s="2444"/>
      <c r="AC1" s="2444"/>
      <c r="AD1" s="2444"/>
      <c r="AE1" s="2444"/>
      <c r="AF1" s="2444"/>
      <c r="AJ1" s="2415"/>
      <c r="AK1" s="2415"/>
    </row>
    <row r="2" spans="1:37" ht="15.75">
      <c r="A2" s="3763" t="s">
        <v>895</v>
      </c>
      <c r="B2" s="3763"/>
      <c r="C2" s="3763"/>
      <c r="D2" s="3763"/>
      <c r="E2" s="3763"/>
      <c r="F2" s="3763"/>
      <c r="G2" s="3763"/>
      <c r="H2" s="3763"/>
      <c r="I2" s="3763"/>
      <c r="J2" s="3763"/>
      <c r="K2" s="3763"/>
      <c r="S2" s="2418"/>
      <c r="T2" s="2419"/>
      <c r="U2" s="2417"/>
      <c r="V2" s="2416"/>
      <c r="W2" s="2416"/>
      <c r="X2" s="2444"/>
      <c r="Y2" s="2444"/>
      <c r="Z2" s="2444"/>
      <c r="AA2" s="2444"/>
      <c r="AB2" s="2444"/>
      <c r="AC2" s="2444"/>
      <c r="AD2" s="2444"/>
      <c r="AE2" s="2444"/>
      <c r="AF2" s="2444"/>
      <c r="AJ2" s="2415"/>
      <c r="AK2" s="2415"/>
    </row>
    <row r="3" spans="1:37" ht="15.75">
      <c r="A3" s="3763" t="s">
        <v>580</v>
      </c>
      <c r="B3" s="3763"/>
      <c r="C3" s="3763"/>
      <c r="D3" s="3763"/>
      <c r="E3" s="3763"/>
      <c r="F3" s="3763"/>
      <c r="G3" s="3763"/>
      <c r="H3" s="3763"/>
      <c r="I3" s="3763"/>
      <c r="J3" s="3763"/>
      <c r="K3" s="3763"/>
      <c r="S3" s="2457" t="s">
        <v>2079</v>
      </c>
      <c r="T3" s="2456"/>
      <c r="U3" s="2455"/>
      <c r="V3" s="2454"/>
      <c r="W3" s="2453" t="s">
        <v>2078</v>
      </c>
      <c r="X3" s="2444"/>
      <c r="Y3" s="2444"/>
      <c r="Z3" s="2444" t="s">
        <v>111</v>
      </c>
      <c r="AA3" s="2444"/>
      <c r="AB3" s="2444"/>
      <c r="AC3" s="2444"/>
      <c r="AD3" s="2444"/>
      <c r="AE3" s="2444"/>
      <c r="AF3" s="2444"/>
      <c r="AJ3" s="2415"/>
      <c r="AK3" s="2415"/>
    </row>
    <row r="4" spans="1:37" ht="15.75">
      <c r="S4" s="2452" t="s">
        <v>2077</v>
      </c>
      <c r="T4" s="2451"/>
      <c r="U4" s="2450"/>
      <c r="V4" s="2449"/>
      <c r="W4" s="2448" t="s">
        <v>2080</v>
      </c>
      <c r="X4" s="2444" t="s">
        <v>2081</v>
      </c>
      <c r="Y4" s="2444"/>
      <c r="Z4" s="2444"/>
      <c r="AA4" s="2444"/>
      <c r="AB4" s="2444"/>
      <c r="AC4" s="2444"/>
      <c r="AD4" s="2444"/>
      <c r="AE4" s="2444"/>
      <c r="AF4" s="2444"/>
      <c r="AJ4" s="2415"/>
      <c r="AK4" s="2415"/>
    </row>
    <row r="5" spans="1:37" ht="15.75">
      <c r="C5" s="3766" t="s">
        <v>18</v>
      </c>
      <c r="D5" s="3767"/>
      <c r="E5" s="3768"/>
      <c r="H5" s="3766" t="s">
        <v>11</v>
      </c>
      <c r="I5" s="3767"/>
      <c r="J5" s="3768"/>
      <c r="S5" s="2447" t="s">
        <v>2082</v>
      </c>
      <c r="T5" s="2416"/>
      <c r="U5" s="2416"/>
      <c r="V5" s="2446"/>
      <c r="W5" s="2445"/>
      <c r="X5" s="2444"/>
      <c r="Y5" s="2444"/>
      <c r="Z5" s="2444"/>
      <c r="AA5" s="2444"/>
      <c r="AB5" s="2444"/>
      <c r="AC5" s="2444"/>
      <c r="AD5" s="2444"/>
      <c r="AE5" s="2444"/>
      <c r="AF5" s="2444"/>
      <c r="AJ5" s="2415"/>
      <c r="AK5" s="2415"/>
    </row>
    <row r="6" spans="1:37" ht="26.25">
      <c r="A6" s="477" t="s">
        <v>70</v>
      </c>
      <c r="B6" s="944" t="s">
        <v>2065</v>
      </c>
      <c r="C6" s="1166" t="s">
        <v>2064</v>
      </c>
      <c r="D6" s="944" t="s">
        <v>887</v>
      </c>
      <c r="E6" s="1167" t="s">
        <v>19</v>
      </c>
      <c r="F6" s="944" t="s">
        <v>904</v>
      </c>
      <c r="G6" s="944"/>
      <c r="H6" s="1166" t="s">
        <v>2063</v>
      </c>
      <c r="I6" s="944" t="s">
        <v>885</v>
      </c>
      <c r="J6" s="1165" t="s">
        <v>19</v>
      </c>
      <c r="K6" s="944" t="s">
        <v>883</v>
      </c>
      <c r="M6" s="944" t="s">
        <v>882</v>
      </c>
      <c r="S6" s="2443" t="s">
        <v>916</v>
      </c>
      <c r="T6" s="2439"/>
      <c r="U6" s="2437"/>
      <c r="V6" s="2442"/>
      <c r="W6" s="2441"/>
      <c r="X6" s="3860" t="s">
        <v>2076</v>
      </c>
      <c r="Y6" s="3861"/>
      <c r="Z6" s="3861"/>
      <c r="AA6" s="3861" t="s">
        <v>2075</v>
      </c>
      <c r="AB6" s="3861"/>
      <c r="AC6" s="3861"/>
      <c r="AD6" s="3861" t="s">
        <v>2074</v>
      </c>
      <c r="AE6" s="3861"/>
      <c r="AF6" s="3861"/>
      <c r="AJ6" s="2415"/>
      <c r="AK6" s="2415"/>
    </row>
    <row r="7" spans="1:37" ht="15.75">
      <c r="C7" s="948"/>
      <c r="E7" s="946"/>
      <c r="H7" s="948"/>
      <c r="J7" s="946"/>
      <c r="M7" s="954"/>
      <c r="S7" s="2440" t="s">
        <v>2073</v>
      </c>
      <c r="T7" s="2439" t="s">
        <v>818</v>
      </c>
      <c r="U7" s="2438" t="s">
        <v>70</v>
      </c>
      <c r="V7" s="2437"/>
      <c r="W7" s="2437"/>
      <c r="X7" s="2436" t="s">
        <v>686</v>
      </c>
      <c r="Y7" s="2436" t="s">
        <v>809</v>
      </c>
      <c r="Z7" s="2436" t="s">
        <v>24</v>
      </c>
      <c r="AA7" s="2436" t="s">
        <v>686</v>
      </c>
      <c r="AB7" s="2436" t="s">
        <v>809</v>
      </c>
      <c r="AC7" s="2436" t="s">
        <v>24</v>
      </c>
      <c r="AD7" s="2436" t="s">
        <v>686</v>
      </c>
      <c r="AE7" s="2436" t="s">
        <v>809</v>
      </c>
      <c r="AF7" s="2436" t="s">
        <v>24</v>
      </c>
      <c r="AJ7" s="2415"/>
      <c r="AK7" s="2415"/>
    </row>
    <row r="8" spans="1:37" ht="15.75">
      <c r="C8" s="948"/>
      <c r="E8" s="946"/>
      <c r="H8" s="948"/>
      <c r="J8" s="946"/>
      <c r="M8" s="954"/>
      <c r="Q8" s="2412">
        <v>434726</v>
      </c>
      <c r="R8" s="2412">
        <v>434731</v>
      </c>
      <c r="S8" s="2418">
        <v>99</v>
      </c>
      <c r="T8" s="2423">
        <v>407230</v>
      </c>
      <c r="U8" s="2417" t="s">
        <v>450</v>
      </c>
      <c r="V8" s="2416"/>
      <c r="W8" s="2416"/>
      <c r="X8" s="2420">
        <f t="shared" ref="X8:X27" si="0">AA8+AD8</f>
        <v>-30596</v>
      </c>
      <c r="Y8" s="2422">
        <v>0</v>
      </c>
      <c r="Z8" s="2421">
        <f t="shared" ref="Z8:Z27" si="1">X8+Y8</f>
        <v>-30596</v>
      </c>
      <c r="AA8" s="2427">
        <v>-30596</v>
      </c>
      <c r="AB8" s="2427">
        <v>0</v>
      </c>
      <c r="AC8" s="2428">
        <f t="shared" ref="AC8:AC27" si="2">AA8+AB8</f>
        <v>-30596</v>
      </c>
      <c r="AD8" s="2427">
        <v>0</v>
      </c>
      <c r="AE8" s="2427">
        <v>0</v>
      </c>
      <c r="AF8" s="2420">
        <f t="shared" ref="AF8:AF27" si="3">AD8+AE8</f>
        <v>0</v>
      </c>
      <c r="AG8" s="2426" t="s">
        <v>2066</v>
      </c>
      <c r="AH8" s="2425"/>
      <c r="AI8" s="2425"/>
      <c r="AJ8" s="2415"/>
      <c r="AK8" s="2415"/>
    </row>
    <row r="9" spans="1:37" ht="15.75">
      <c r="A9" s="477" t="s">
        <v>363</v>
      </c>
      <c r="B9" s="954">
        <v>10</v>
      </c>
      <c r="C9" s="1186">
        <v>0</v>
      </c>
      <c r="D9" s="1181">
        <v>0</v>
      </c>
      <c r="E9" s="1185">
        <f>C9-D9</f>
        <v>0</v>
      </c>
      <c r="F9" s="515" t="s">
        <v>876</v>
      </c>
      <c r="G9" s="1180"/>
      <c r="H9" s="1186">
        <v>0</v>
      </c>
      <c r="I9" s="1181">
        <v>0</v>
      </c>
      <c r="J9" s="1185">
        <f>H9-I9</f>
        <v>0</v>
      </c>
      <c r="M9" s="954" t="s">
        <v>903</v>
      </c>
      <c r="Q9" s="2412">
        <v>439679</v>
      </c>
      <c r="R9" s="2412">
        <v>439684</v>
      </c>
      <c r="S9" s="2418">
        <v>99</v>
      </c>
      <c r="T9" s="2423">
        <v>407302</v>
      </c>
      <c r="U9" s="2417" t="s">
        <v>451</v>
      </c>
      <c r="V9" s="2416"/>
      <c r="W9" s="2416"/>
      <c r="X9" s="2420">
        <f t="shared" si="0"/>
        <v>2037268</v>
      </c>
      <c r="Y9" s="2422">
        <v>0</v>
      </c>
      <c r="Z9" s="2421">
        <f t="shared" si="1"/>
        <v>2037268</v>
      </c>
      <c r="AA9" s="2427">
        <v>2037268</v>
      </c>
      <c r="AB9" s="2427">
        <v>0</v>
      </c>
      <c r="AC9" s="2428">
        <f t="shared" si="2"/>
        <v>2037268</v>
      </c>
      <c r="AD9" s="2433">
        <v>0</v>
      </c>
      <c r="AE9" s="2433">
        <v>0</v>
      </c>
      <c r="AF9" s="2432">
        <f t="shared" si="3"/>
        <v>0</v>
      </c>
      <c r="AG9" s="2426" t="s">
        <v>2066</v>
      </c>
      <c r="AH9" s="2425"/>
      <c r="AI9" s="2425"/>
      <c r="AJ9" s="2415"/>
      <c r="AK9" s="2415"/>
    </row>
    <row r="10" spans="1:37" ht="15.75">
      <c r="B10" s="954"/>
      <c r="C10" s="1186"/>
      <c r="D10" s="1181"/>
      <c r="E10" s="1185"/>
      <c r="F10" s="515"/>
      <c r="G10" s="1180"/>
      <c r="H10" s="1186"/>
      <c r="I10" s="1181"/>
      <c r="J10" s="1185"/>
      <c r="M10" s="954"/>
      <c r="Q10" s="2412">
        <v>451710</v>
      </c>
      <c r="R10" s="2412">
        <v>451715</v>
      </c>
      <c r="S10" s="2418">
        <v>99</v>
      </c>
      <c r="T10" s="2423">
        <v>407305</v>
      </c>
      <c r="U10" s="2417" t="s">
        <v>463</v>
      </c>
      <c r="V10" s="2416"/>
      <c r="W10" s="2416"/>
      <c r="X10" s="2420">
        <f t="shared" si="0"/>
        <v>0</v>
      </c>
      <c r="Y10" s="2422">
        <v>0</v>
      </c>
      <c r="Z10" s="2421">
        <f t="shared" si="1"/>
        <v>0</v>
      </c>
      <c r="AA10" s="2427">
        <v>0</v>
      </c>
      <c r="AB10" s="2427">
        <v>0</v>
      </c>
      <c r="AC10" s="2421">
        <f t="shared" si="2"/>
        <v>0</v>
      </c>
      <c r="AD10" s="2427">
        <v>0</v>
      </c>
      <c r="AE10" s="2427">
        <v>0</v>
      </c>
      <c r="AF10" s="2420">
        <f t="shared" si="3"/>
        <v>0</v>
      </c>
      <c r="AJ10" s="2415"/>
      <c r="AK10" s="2415"/>
    </row>
    <row r="11" spans="1:37" ht="15.75">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412">
        <v>465294</v>
      </c>
      <c r="R11" s="2412">
        <v>465299</v>
      </c>
      <c r="S11" s="2418">
        <v>99</v>
      </c>
      <c r="T11" s="2423">
        <v>407306</v>
      </c>
      <c r="U11" s="2417" t="s">
        <v>586</v>
      </c>
      <c r="V11" s="2416"/>
      <c r="W11" s="2416"/>
      <c r="X11" s="2420">
        <f t="shared" si="0"/>
        <v>846808</v>
      </c>
      <c r="Y11" s="2422">
        <f>AB11+AE11</f>
        <v>0</v>
      </c>
      <c r="Z11" s="2421">
        <f t="shared" si="1"/>
        <v>846808</v>
      </c>
      <c r="AA11" s="2427">
        <v>846808</v>
      </c>
      <c r="AB11" s="2427">
        <v>0</v>
      </c>
      <c r="AC11" s="2421">
        <f t="shared" si="2"/>
        <v>846808</v>
      </c>
      <c r="AD11" s="2427">
        <v>0</v>
      </c>
      <c r="AE11" s="2427">
        <v>0</v>
      </c>
      <c r="AF11" s="2420">
        <f t="shared" si="3"/>
        <v>0</v>
      </c>
      <c r="AG11" s="2412" t="s">
        <v>2070</v>
      </c>
      <c r="AJ11" s="2415"/>
      <c r="AK11" s="2415"/>
    </row>
    <row r="12" spans="1:37" ht="15.75">
      <c r="B12" s="954"/>
      <c r="C12" s="1186"/>
      <c r="D12" s="1181"/>
      <c r="E12" s="1185"/>
      <c r="F12" s="515"/>
      <c r="G12" s="1180"/>
      <c r="H12" s="1186"/>
      <c r="I12" s="1181"/>
      <c r="J12" s="1185"/>
      <c r="M12" s="954"/>
      <c r="Q12" s="2412">
        <v>465280</v>
      </c>
      <c r="R12" s="2412">
        <v>465285</v>
      </c>
      <c r="S12" s="2418">
        <v>99</v>
      </c>
      <c r="T12" s="2423">
        <v>407307</v>
      </c>
      <c r="U12" s="2417" t="s">
        <v>587</v>
      </c>
      <c r="V12" s="2416"/>
      <c r="W12" s="2416"/>
      <c r="X12" s="2420">
        <f t="shared" si="0"/>
        <v>337810</v>
      </c>
      <c r="Y12" s="2422">
        <f>AB12+AE12</f>
        <v>0</v>
      </c>
      <c r="Z12" s="2421">
        <f t="shared" si="1"/>
        <v>337810</v>
      </c>
      <c r="AA12" s="2427">
        <v>337810</v>
      </c>
      <c r="AB12" s="2427">
        <v>0</v>
      </c>
      <c r="AC12" s="2421">
        <f t="shared" si="2"/>
        <v>337810</v>
      </c>
      <c r="AD12" s="2427">
        <v>0</v>
      </c>
      <c r="AE12" s="2427">
        <v>0</v>
      </c>
      <c r="AF12" s="2420">
        <f t="shared" si="3"/>
        <v>0</v>
      </c>
      <c r="AG12" s="2412" t="s">
        <v>2070</v>
      </c>
      <c r="AJ12" s="2415"/>
      <c r="AK12" s="2415"/>
    </row>
    <row r="13" spans="1:37" ht="15.75">
      <c r="A13" s="2102" t="s">
        <v>2062</v>
      </c>
      <c r="B13" s="954"/>
      <c r="C13" s="1186"/>
      <c r="D13" s="1181"/>
      <c r="E13" s="1185"/>
      <c r="F13" s="515"/>
      <c r="G13" s="1180"/>
      <c r="H13" s="1186"/>
      <c r="I13" s="1181"/>
      <c r="J13" s="1185"/>
      <c r="M13" s="954"/>
      <c r="Q13" s="2412">
        <v>445084</v>
      </c>
      <c r="R13" s="2412">
        <v>445089</v>
      </c>
      <c r="S13" s="2418">
        <v>99</v>
      </c>
      <c r="T13" s="2423">
        <v>407311</v>
      </c>
      <c r="U13" s="2417" t="s">
        <v>452</v>
      </c>
      <c r="V13" s="2416"/>
      <c r="W13" s="2416"/>
      <c r="X13" s="2420">
        <f t="shared" si="0"/>
        <v>59647</v>
      </c>
      <c r="Y13" s="2422">
        <f>AB13+AE13</f>
        <v>225445</v>
      </c>
      <c r="Z13" s="2421">
        <f t="shared" si="1"/>
        <v>285092</v>
      </c>
      <c r="AA13" s="2427">
        <v>47548</v>
      </c>
      <c r="AB13" s="2427">
        <v>160350</v>
      </c>
      <c r="AC13" s="2421">
        <f t="shared" si="2"/>
        <v>207898</v>
      </c>
      <c r="AD13" s="2427">
        <v>12099</v>
      </c>
      <c r="AE13" s="2427">
        <v>65095</v>
      </c>
      <c r="AF13" s="2420">
        <f t="shared" si="3"/>
        <v>77194</v>
      </c>
      <c r="AG13" s="2434" t="s">
        <v>2072</v>
      </c>
      <c r="AJ13" s="2415"/>
      <c r="AK13" s="2415"/>
    </row>
    <row r="14" spans="1:37" ht="15.75">
      <c r="A14" s="477" t="s">
        <v>2061</v>
      </c>
      <c r="B14" s="954"/>
      <c r="C14" s="1186"/>
      <c r="D14" s="1181"/>
      <c r="E14" s="1185"/>
      <c r="F14" s="515"/>
      <c r="G14" s="1180"/>
      <c r="H14" s="1186">
        <v>0</v>
      </c>
      <c r="I14" s="1181">
        <f>'G-3.02 PF Def DR&amp;CR'!AC8</f>
        <v>-30596</v>
      </c>
      <c r="J14" s="1185">
        <f t="shared" ref="J14:J20" si="4">H14-I14</f>
        <v>30596</v>
      </c>
      <c r="K14" s="477">
        <v>407230</v>
      </c>
      <c r="M14" s="954"/>
      <c r="Q14" s="2412">
        <v>452690</v>
      </c>
      <c r="R14" s="2412">
        <v>452695</v>
      </c>
      <c r="S14" s="2418">
        <v>99</v>
      </c>
      <c r="T14" s="2423">
        <v>407314</v>
      </c>
      <c r="U14" s="2417" t="s">
        <v>501</v>
      </c>
      <c r="V14" s="2416"/>
      <c r="W14" s="2416"/>
      <c r="X14" s="2420">
        <f t="shared" si="0"/>
        <v>158334</v>
      </c>
      <c r="Y14" s="2422">
        <f>AB14+AE14</f>
        <v>0</v>
      </c>
      <c r="Z14" s="2421">
        <f t="shared" si="1"/>
        <v>158334</v>
      </c>
      <c r="AA14" s="2427">
        <v>0</v>
      </c>
      <c r="AB14" s="2427">
        <v>0</v>
      </c>
      <c r="AC14" s="2421">
        <f t="shared" si="2"/>
        <v>0</v>
      </c>
      <c r="AD14" s="2427">
        <v>158334</v>
      </c>
      <c r="AE14" s="2427">
        <v>0</v>
      </c>
      <c r="AF14" s="2420">
        <f t="shared" si="3"/>
        <v>158334</v>
      </c>
      <c r="AJ14" s="2415"/>
      <c r="AK14" s="2415"/>
    </row>
    <row r="15" spans="1:37" ht="15.75">
      <c r="A15" s="477" t="s">
        <v>2060</v>
      </c>
      <c r="B15" s="954"/>
      <c r="C15" s="1186"/>
      <c r="D15" s="1181"/>
      <c r="E15" s="1185"/>
      <c r="F15" s="515"/>
      <c r="G15" s="1180"/>
      <c r="H15" s="1186">
        <v>0</v>
      </c>
      <c r="I15" s="1181">
        <f>'G-3.02 PF Def DR&amp;CR'!AC9</f>
        <v>2037268</v>
      </c>
      <c r="J15" s="1185">
        <f t="shared" si="4"/>
        <v>-2037268</v>
      </c>
      <c r="K15" s="477">
        <v>407302</v>
      </c>
      <c r="M15" s="954"/>
      <c r="Q15" s="2412">
        <v>445070</v>
      </c>
      <c r="R15" s="2412">
        <v>445075</v>
      </c>
      <c r="S15" s="2418">
        <v>99</v>
      </c>
      <c r="T15" s="2423">
        <v>407319</v>
      </c>
      <c r="U15" s="2417" t="s">
        <v>453</v>
      </c>
      <c r="V15" s="2416"/>
      <c r="W15" s="2416"/>
      <c r="X15" s="2420">
        <f t="shared" si="0"/>
        <v>0</v>
      </c>
      <c r="Y15" s="2422">
        <v>0</v>
      </c>
      <c r="Z15" s="2421">
        <f t="shared" si="1"/>
        <v>0</v>
      </c>
      <c r="AA15" s="2427">
        <v>0</v>
      </c>
      <c r="AB15" s="2427">
        <v>0</v>
      </c>
      <c r="AC15" s="2421">
        <f t="shared" si="2"/>
        <v>0</v>
      </c>
      <c r="AD15" s="2427">
        <v>0</v>
      </c>
      <c r="AE15" s="2427">
        <v>0</v>
      </c>
      <c r="AF15" s="2420">
        <f t="shared" si="3"/>
        <v>0</v>
      </c>
      <c r="AJ15" s="2415"/>
      <c r="AK15" s="2415"/>
    </row>
    <row r="16" spans="1:37" ht="15.75">
      <c r="A16" s="477" t="s">
        <v>2059</v>
      </c>
      <c r="B16" s="954"/>
      <c r="C16" s="1186"/>
      <c r="D16" s="1181"/>
      <c r="E16" s="1185"/>
      <c r="F16" s="515"/>
      <c r="G16" s="1180"/>
      <c r="H16" s="1186">
        <v>0</v>
      </c>
      <c r="I16" s="1181">
        <f>'G-3.02 PF Def DR&amp;CR'!AC18</f>
        <v>48374</v>
      </c>
      <c r="J16" s="1185">
        <f t="shared" si="4"/>
        <v>-48374</v>
      </c>
      <c r="K16" s="477">
        <v>407381</v>
      </c>
      <c r="M16" s="954"/>
      <c r="Q16" s="2412">
        <v>442081</v>
      </c>
      <c r="R16" s="2412">
        <v>442086</v>
      </c>
      <c r="S16" s="2418">
        <v>99</v>
      </c>
      <c r="T16" s="2423">
        <v>407332</v>
      </c>
      <c r="U16" s="2417" t="s">
        <v>454</v>
      </c>
      <c r="V16" s="2416"/>
      <c r="W16" s="2416"/>
      <c r="X16" s="2420">
        <f t="shared" si="0"/>
        <v>0</v>
      </c>
      <c r="Y16" s="2422">
        <v>0</v>
      </c>
      <c r="Z16" s="2421">
        <f t="shared" si="1"/>
        <v>0</v>
      </c>
      <c r="AA16" s="2427">
        <v>0</v>
      </c>
      <c r="AB16" s="2427">
        <v>0</v>
      </c>
      <c r="AC16" s="2421">
        <f t="shared" si="2"/>
        <v>0</v>
      </c>
      <c r="AD16" s="2427">
        <v>0</v>
      </c>
      <c r="AE16" s="2427">
        <v>0</v>
      </c>
      <c r="AF16" s="2420">
        <f t="shared" si="3"/>
        <v>0</v>
      </c>
      <c r="AJ16" s="2415"/>
      <c r="AK16" s="2415"/>
    </row>
    <row r="17" spans="1:37" ht="15.75">
      <c r="A17" s="477" t="s">
        <v>2058</v>
      </c>
      <c r="B17" s="954"/>
      <c r="C17" s="1186"/>
      <c r="D17" s="1181"/>
      <c r="E17" s="1185"/>
      <c r="F17" s="515"/>
      <c r="G17" s="1180"/>
      <c r="H17" s="1186">
        <v>0</v>
      </c>
      <c r="I17" s="1181">
        <f>'G-3.02 PF Def DR&amp;CR'!AC24</f>
        <v>-37628</v>
      </c>
      <c r="J17" s="1185">
        <f t="shared" si="4"/>
        <v>37628</v>
      </c>
      <c r="K17" s="477">
        <v>407452</v>
      </c>
      <c r="M17" s="954"/>
      <c r="Q17" s="2412">
        <v>459519</v>
      </c>
      <c r="R17" s="2412">
        <v>459524</v>
      </c>
      <c r="S17" s="2418">
        <v>99</v>
      </c>
      <c r="T17" s="2429" t="s">
        <v>502</v>
      </c>
      <c r="U17" s="2417" t="s">
        <v>503</v>
      </c>
      <c r="V17" s="2416"/>
      <c r="W17" s="2416"/>
      <c r="X17" s="2420">
        <f t="shared" si="0"/>
        <v>0</v>
      </c>
      <c r="Y17" s="2422">
        <f t="shared" ref="Y17:Y27" si="5">AB17+AE17</f>
        <v>0</v>
      </c>
      <c r="Z17" s="2421">
        <f t="shared" si="1"/>
        <v>0</v>
      </c>
      <c r="AA17" s="2427">
        <v>0</v>
      </c>
      <c r="AB17" s="2427">
        <v>0</v>
      </c>
      <c r="AC17" s="2421">
        <f t="shared" si="2"/>
        <v>0</v>
      </c>
      <c r="AD17" s="2427">
        <v>0</v>
      </c>
      <c r="AE17" s="2427">
        <v>0</v>
      </c>
      <c r="AF17" s="2420">
        <f t="shared" si="3"/>
        <v>0</v>
      </c>
      <c r="AJ17" s="2415"/>
      <c r="AK17" s="2415"/>
    </row>
    <row r="18" spans="1:37" ht="15.75">
      <c r="A18" s="477" t="s">
        <v>2057</v>
      </c>
      <c r="B18" s="954"/>
      <c r="C18" s="1186"/>
      <c r="D18" s="1181"/>
      <c r="E18" s="1185"/>
      <c r="F18" s="515"/>
      <c r="G18" s="1180"/>
      <c r="H18" s="1186">
        <v>0</v>
      </c>
      <c r="I18" s="1181">
        <f>'G-3.02 PF Def DR&amp;CR'!AC26</f>
        <v>-8413</v>
      </c>
      <c r="J18" s="1185">
        <f t="shared" si="4"/>
        <v>8413</v>
      </c>
      <c r="K18" s="477">
        <v>407459</v>
      </c>
      <c r="M18" s="954"/>
      <c r="Q18" s="2412">
        <v>470870</v>
      </c>
      <c r="R18" s="2412">
        <v>470875</v>
      </c>
      <c r="S18" s="2418">
        <v>99</v>
      </c>
      <c r="T18" s="2429" t="s">
        <v>588</v>
      </c>
      <c r="U18" s="2417" t="s">
        <v>589</v>
      </c>
      <c r="V18" s="2416"/>
      <c r="W18" s="2416"/>
      <c r="X18" s="2420">
        <f t="shared" si="0"/>
        <v>53773</v>
      </c>
      <c r="Y18" s="2422">
        <f t="shared" si="5"/>
        <v>0</v>
      </c>
      <c r="Z18" s="2421">
        <f t="shared" si="1"/>
        <v>53773</v>
      </c>
      <c r="AA18" s="2427">
        <v>48374</v>
      </c>
      <c r="AB18" s="2427">
        <v>0</v>
      </c>
      <c r="AC18" s="2428">
        <f t="shared" si="2"/>
        <v>48374</v>
      </c>
      <c r="AD18" s="2435">
        <v>5399</v>
      </c>
      <c r="AE18" s="2435">
        <v>0</v>
      </c>
      <c r="AF18" s="2435">
        <f t="shared" si="3"/>
        <v>5399</v>
      </c>
      <c r="AG18" s="2426" t="s">
        <v>2066</v>
      </c>
      <c r="AH18" s="2425"/>
      <c r="AI18" s="2425"/>
      <c r="AJ18" s="2415"/>
      <c r="AK18" s="2415"/>
    </row>
    <row r="19" spans="1:37" ht="15.75">
      <c r="A19" s="477" t="s">
        <v>2056</v>
      </c>
      <c r="B19" s="954"/>
      <c r="C19" s="1186"/>
      <c r="D19" s="1181"/>
      <c r="E19" s="1185"/>
      <c r="F19" s="515"/>
      <c r="G19" s="1180"/>
      <c r="H19" s="1186">
        <v>0</v>
      </c>
      <c r="I19" s="1181">
        <f>'G-3.02 PF Def DR&amp;CR'!AC27</f>
        <v>-34010</v>
      </c>
      <c r="J19" s="1185">
        <f t="shared" si="4"/>
        <v>34010</v>
      </c>
      <c r="K19" s="477">
        <v>407493</v>
      </c>
      <c r="M19" s="954"/>
      <c r="Q19" s="2412">
        <v>464884</v>
      </c>
      <c r="R19" s="2412">
        <v>464889</v>
      </c>
      <c r="S19" s="2418">
        <v>99</v>
      </c>
      <c r="T19" s="2429" t="s">
        <v>504</v>
      </c>
      <c r="U19" s="2417" t="s">
        <v>505</v>
      </c>
      <c r="V19" s="2416"/>
      <c r="W19" s="2416"/>
      <c r="X19" s="2420">
        <f t="shared" si="0"/>
        <v>-23742</v>
      </c>
      <c r="Y19" s="2422">
        <f t="shared" si="5"/>
        <v>0</v>
      </c>
      <c r="Z19" s="2421">
        <f t="shared" si="1"/>
        <v>-23742</v>
      </c>
      <c r="AA19" s="2427">
        <v>0</v>
      </c>
      <c r="AB19" s="2427">
        <v>0</v>
      </c>
      <c r="AC19" s="2421">
        <f t="shared" si="2"/>
        <v>0</v>
      </c>
      <c r="AD19" s="2427">
        <v>-23742</v>
      </c>
      <c r="AE19" s="2427">
        <v>0</v>
      </c>
      <c r="AF19" s="2420">
        <f t="shared" si="3"/>
        <v>-23742</v>
      </c>
      <c r="AG19" s="2434" t="s">
        <v>2071</v>
      </c>
      <c r="AJ19" s="2415"/>
      <c r="AK19" s="2415"/>
    </row>
    <row r="20" spans="1:37" ht="15.75">
      <c r="A20" s="477" t="s">
        <v>2055</v>
      </c>
      <c r="B20" s="954"/>
      <c r="C20" s="1186"/>
      <c r="D20" s="1181"/>
      <c r="E20" s="1185"/>
      <c r="F20" s="516"/>
      <c r="G20" s="2411"/>
      <c r="H20" s="1186">
        <v>0</v>
      </c>
      <c r="I20" s="1181">
        <f>'G-3.02 PF Def DR&amp;CR'!AC25</f>
        <v>-1731369</v>
      </c>
      <c r="J20" s="1185">
        <f t="shared" si="4"/>
        <v>1731369</v>
      </c>
      <c r="K20" s="477">
        <v>407454</v>
      </c>
      <c r="L20" s="3862" t="s">
        <v>2054</v>
      </c>
      <c r="M20" s="3862"/>
      <c r="Q20" s="2412">
        <v>464898</v>
      </c>
      <c r="R20" s="2412">
        <v>464903</v>
      </c>
      <c r="S20" s="2418">
        <v>99</v>
      </c>
      <c r="T20" s="2429" t="s">
        <v>506</v>
      </c>
      <c r="U20" s="2417" t="s">
        <v>507</v>
      </c>
      <c r="V20" s="2416"/>
      <c r="W20" s="2416"/>
      <c r="X20" s="2420">
        <f t="shared" si="0"/>
        <v>-119254</v>
      </c>
      <c r="Y20" s="2422">
        <f t="shared" si="5"/>
        <v>0</v>
      </c>
      <c r="Z20" s="2421">
        <f t="shared" si="1"/>
        <v>-119254</v>
      </c>
      <c r="AA20" s="2427">
        <v>-48910</v>
      </c>
      <c r="AB20" s="2427">
        <v>0</v>
      </c>
      <c r="AC20" s="2421">
        <f t="shared" si="2"/>
        <v>-48910</v>
      </c>
      <c r="AD20" s="2427">
        <v>-70344</v>
      </c>
      <c r="AE20" s="2427">
        <v>0</v>
      </c>
      <c r="AF20" s="2420">
        <f t="shared" si="3"/>
        <v>-70344</v>
      </c>
      <c r="AG20" s="2434" t="s">
        <v>2071</v>
      </c>
      <c r="AJ20" s="2415"/>
      <c r="AK20" s="2415"/>
    </row>
    <row r="21" spans="1:37" ht="16.5" thickBot="1">
      <c r="C21" s="2410"/>
      <c r="D21" s="1183"/>
      <c r="E21" s="1177"/>
      <c r="F21" s="515"/>
      <c r="G21" s="1180"/>
      <c r="H21" s="2410"/>
      <c r="I21" s="2409"/>
      <c r="J21" s="1185"/>
      <c r="L21" s="3862"/>
      <c r="M21" s="3862"/>
      <c r="Q21" s="2412">
        <v>433084</v>
      </c>
      <c r="R21" s="2412">
        <v>433089</v>
      </c>
      <c r="S21" s="2418">
        <v>99</v>
      </c>
      <c r="T21" s="2429" t="s">
        <v>455</v>
      </c>
      <c r="U21" s="2417" t="s">
        <v>464</v>
      </c>
      <c r="V21" s="2416"/>
      <c r="W21" s="2416"/>
      <c r="X21" s="2420">
        <f t="shared" si="0"/>
        <v>0</v>
      </c>
      <c r="Y21" s="2422">
        <f t="shared" si="5"/>
        <v>0</v>
      </c>
      <c r="Z21" s="2421">
        <f t="shared" si="1"/>
        <v>0</v>
      </c>
      <c r="AA21" s="2427">
        <v>0</v>
      </c>
      <c r="AB21" s="2427">
        <v>0</v>
      </c>
      <c r="AC21" s="2421">
        <f t="shared" si="2"/>
        <v>0</v>
      </c>
      <c r="AD21" s="2427">
        <v>0</v>
      </c>
      <c r="AE21" s="2427">
        <v>0</v>
      </c>
      <c r="AF21" s="2420">
        <f t="shared" si="3"/>
        <v>0</v>
      </c>
      <c r="AG21" s="2412" t="s">
        <v>2070</v>
      </c>
      <c r="AJ21" s="2415"/>
      <c r="AK21" s="2415"/>
    </row>
    <row r="22" spans="1:37" ht="17.25"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3862"/>
      <c r="M22" s="3862"/>
      <c r="Q22" s="2412">
        <v>455686</v>
      </c>
      <c r="R22" s="2412">
        <v>455691</v>
      </c>
      <c r="S22" s="2418">
        <v>99</v>
      </c>
      <c r="T22" s="2429" t="s">
        <v>590</v>
      </c>
      <c r="U22" s="2417" t="s">
        <v>591</v>
      </c>
      <c r="V22" s="2416"/>
      <c r="W22" s="2416"/>
      <c r="X22" s="2420">
        <f t="shared" si="0"/>
        <v>-278685</v>
      </c>
      <c r="Y22" s="2422">
        <f t="shared" si="5"/>
        <v>0</v>
      </c>
      <c r="Z22" s="2421">
        <f t="shared" si="1"/>
        <v>-278685</v>
      </c>
      <c r="AA22" s="2427">
        <v>-278685</v>
      </c>
      <c r="AB22" s="2427">
        <v>0</v>
      </c>
      <c r="AC22" s="2421">
        <f t="shared" si="2"/>
        <v>-278685</v>
      </c>
      <c r="AD22" s="2427">
        <v>0</v>
      </c>
      <c r="AE22" s="2427">
        <v>0</v>
      </c>
      <c r="AF22" s="2420">
        <f t="shared" si="3"/>
        <v>0</v>
      </c>
      <c r="AG22" s="2434" t="s">
        <v>2069</v>
      </c>
      <c r="AJ22" s="2415"/>
      <c r="AK22" s="2415"/>
    </row>
    <row r="23" spans="1:37" ht="16.5" thickTop="1">
      <c r="Q23" s="2412">
        <v>457523</v>
      </c>
      <c r="R23" s="2412">
        <v>457528</v>
      </c>
      <c r="S23" s="2418">
        <v>99</v>
      </c>
      <c r="T23" s="2429" t="s">
        <v>508</v>
      </c>
      <c r="U23" s="2417" t="s">
        <v>509</v>
      </c>
      <c r="V23" s="2416"/>
      <c r="W23" s="2416"/>
      <c r="X23" s="2420">
        <f t="shared" si="0"/>
        <v>303710</v>
      </c>
      <c r="Y23" s="2422">
        <f t="shared" si="5"/>
        <v>0</v>
      </c>
      <c r="Z23" s="2421">
        <f t="shared" si="1"/>
        <v>303710</v>
      </c>
      <c r="AA23" s="2427">
        <v>303710</v>
      </c>
      <c r="AB23" s="2427">
        <v>0</v>
      </c>
      <c r="AC23" s="2421">
        <f t="shared" si="2"/>
        <v>303710</v>
      </c>
      <c r="AD23" s="2427">
        <v>0</v>
      </c>
      <c r="AE23" s="2427">
        <v>0</v>
      </c>
      <c r="AF23" s="2420">
        <f t="shared" si="3"/>
        <v>0</v>
      </c>
      <c r="AG23" s="2434" t="s">
        <v>2068</v>
      </c>
      <c r="AJ23" s="2415"/>
      <c r="AK23" s="2415"/>
    </row>
    <row r="24" spans="1:37" ht="15.75">
      <c r="A24" s="477" t="s">
        <v>901</v>
      </c>
      <c r="B24" s="954">
        <v>3</v>
      </c>
      <c r="D24" s="516">
        <v>3425834</v>
      </c>
      <c r="Q24" s="2412">
        <v>475712</v>
      </c>
      <c r="R24" s="2412">
        <v>475717</v>
      </c>
      <c r="S24" s="2418">
        <v>99</v>
      </c>
      <c r="T24" s="2429" t="s">
        <v>592</v>
      </c>
      <c r="U24" s="2417" t="s">
        <v>593</v>
      </c>
      <c r="V24" s="2416"/>
      <c r="W24" s="2416"/>
      <c r="X24" s="2420">
        <f t="shared" si="0"/>
        <v>-37628</v>
      </c>
      <c r="Y24" s="2422">
        <f t="shared" si="5"/>
        <v>0</v>
      </c>
      <c r="Z24" s="2421">
        <f t="shared" si="1"/>
        <v>-37628</v>
      </c>
      <c r="AA24" s="2427">
        <v>-37628</v>
      </c>
      <c r="AB24" s="2427">
        <v>0</v>
      </c>
      <c r="AC24" s="2428">
        <f t="shared" si="2"/>
        <v>-37628</v>
      </c>
      <c r="AD24" s="2433">
        <v>0</v>
      </c>
      <c r="AE24" s="2433">
        <v>0</v>
      </c>
      <c r="AF24" s="2432">
        <f t="shared" si="3"/>
        <v>0</v>
      </c>
      <c r="AG24" s="2426" t="s">
        <v>2066</v>
      </c>
      <c r="AH24" s="2425"/>
      <c r="AI24" s="2425"/>
      <c r="AJ24" s="2415"/>
      <c r="AK24" s="2415"/>
    </row>
    <row r="25" spans="1:37" ht="15.75">
      <c r="A25" s="477" t="s">
        <v>900</v>
      </c>
      <c r="B25" s="954">
        <v>1</v>
      </c>
      <c r="C25" s="515"/>
      <c r="D25" s="1175">
        <v>3922913</v>
      </c>
      <c r="J25" s="888"/>
      <c r="Q25" s="2412">
        <v>471885</v>
      </c>
      <c r="R25" s="2412">
        <v>471890</v>
      </c>
      <c r="S25" s="2418">
        <v>99</v>
      </c>
      <c r="T25" s="2429" t="s">
        <v>594</v>
      </c>
      <c r="U25" s="2417" t="s">
        <v>595</v>
      </c>
      <c r="V25" s="2416"/>
      <c r="W25" s="2416"/>
      <c r="X25" s="2420">
        <f t="shared" si="0"/>
        <v>-2392484</v>
      </c>
      <c r="Y25" s="2422">
        <f t="shared" si="5"/>
        <v>0</v>
      </c>
      <c r="Z25" s="2421">
        <f t="shared" si="1"/>
        <v>-2392484</v>
      </c>
      <c r="AA25" s="2427">
        <v>-1731369</v>
      </c>
      <c r="AB25" s="2427">
        <v>0</v>
      </c>
      <c r="AC25" s="2428">
        <f t="shared" si="2"/>
        <v>-1731369</v>
      </c>
      <c r="AD25" s="2427">
        <v>-661115</v>
      </c>
      <c r="AE25" s="2427">
        <v>0</v>
      </c>
      <c r="AF25" s="2420">
        <f t="shared" si="3"/>
        <v>-661115</v>
      </c>
      <c r="AG25" s="2431" t="s">
        <v>2067</v>
      </c>
      <c r="AH25" s="2430"/>
      <c r="AI25" s="2430"/>
      <c r="AJ25" s="2415"/>
      <c r="AK25" s="2415"/>
    </row>
    <row r="26" spans="1:37" ht="15.75">
      <c r="A26" s="477" t="s">
        <v>899</v>
      </c>
      <c r="B26" s="954">
        <v>2</v>
      </c>
      <c r="C26" s="515"/>
      <c r="D26" s="516">
        <v>15628895</v>
      </c>
      <c r="J26" s="888"/>
      <c r="Q26" s="2412">
        <v>473084</v>
      </c>
      <c r="R26" s="2412">
        <v>473089</v>
      </c>
      <c r="S26" s="2418">
        <v>99</v>
      </c>
      <c r="T26" s="2429" t="s">
        <v>596</v>
      </c>
      <c r="U26" s="2417" t="s">
        <v>597</v>
      </c>
      <c r="V26" s="2416"/>
      <c r="W26" s="2416"/>
      <c r="X26" s="2420">
        <f t="shared" si="0"/>
        <v>-8413</v>
      </c>
      <c r="Y26" s="2422">
        <f t="shared" si="5"/>
        <v>0</v>
      </c>
      <c r="Z26" s="2421">
        <f t="shared" si="1"/>
        <v>-8413</v>
      </c>
      <c r="AA26" s="2427">
        <v>-8413</v>
      </c>
      <c r="AB26" s="2427">
        <v>0</v>
      </c>
      <c r="AC26" s="2428">
        <f t="shared" si="2"/>
        <v>-8413</v>
      </c>
      <c r="AD26" s="2427">
        <v>0</v>
      </c>
      <c r="AE26" s="2427">
        <v>0</v>
      </c>
      <c r="AF26" s="2420">
        <f t="shared" si="3"/>
        <v>0</v>
      </c>
      <c r="AG26" s="2426" t="s">
        <v>2066</v>
      </c>
      <c r="AH26" s="2425"/>
      <c r="AI26" s="2425"/>
      <c r="AJ26" s="2415"/>
      <c r="AK26" s="2415"/>
    </row>
    <row r="27" spans="1:37" ht="15.75">
      <c r="A27" s="477" t="s">
        <v>869</v>
      </c>
      <c r="B27" s="954"/>
      <c r="C27" s="515"/>
      <c r="D27" s="516">
        <v>-13533894</v>
      </c>
      <c r="J27" s="888"/>
      <c r="Q27" s="2412">
        <v>456298</v>
      </c>
      <c r="R27" s="2412">
        <v>456303</v>
      </c>
      <c r="S27" s="2418">
        <v>99</v>
      </c>
      <c r="T27" s="2429" t="s">
        <v>510</v>
      </c>
      <c r="U27" s="2417" t="s">
        <v>598</v>
      </c>
      <c r="V27" s="2416"/>
      <c r="W27" s="2416"/>
      <c r="X27" s="2420">
        <f t="shared" si="0"/>
        <v>-34010</v>
      </c>
      <c r="Y27" s="2422">
        <f t="shared" si="5"/>
        <v>0</v>
      </c>
      <c r="Z27" s="2421">
        <f t="shared" si="1"/>
        <v>-34010</v>
      </c>
      <c r="AA27" s="2427">
        <v>-34010</v>
      </c>
      <c r="AB27" s="2427">
        <v>0</v>
      </c>
      <c r="AC27" s="2428">
        <f t="shared" si="2"/>
        <v>-34010</v>
      </c>
      <c r="AD27" s="2427">
        <v>0</v>
      </c>
      <c r="AE27" s="2427">
        <v>0</v>
      </c>
      <c r="AF27" s="2420">
        <f t="shared" si="3"/>
        <v>0</v>
      </c>
      <c r="AG27" s="2426" t="s">
        <v>2066</v>
      </c>
      <c r="AH27" s="2425"/>
      <c r="AI27" s="2425"/>
      <c r="AJ27" s="2415"/>
      <c r="AK27" s="2415"/>
    </row>
    <row r="28" spans="1:37">
      <c r="A28" s="477" t="s">
        <v>365</v>
      </c>
      <c r="B28" s="954">
        <v>12</v>
      </c>
      <c r="C28" s="515"/>
      <c r="D28" s="516">
        <v>15046912</v>
      </c>
      <c r="J28" s="888"/>
      <c r="AJ28" s="2415"/>
      <c r="AK28" s="2415"/>
    </row>
    <row r="29" spans="1:37">
      <c r="A29" s="477" t="s">
        <v>870</v>
      </c>
      <c r="B29" s="954"/>
      <c r="D29" s="516">
        <v>1594372</v>
      </c>
      <c r="J29" s="888"/>
      <c r="AJ29" s="2415"/>
      <c r="AK29" s="2415"/>
    </row>
    <row r="30" spans="1:37">
      <c r="A30" s="182" t="s">
        <v>898</v>
      </c>
      <c r="B30" s="954"/>
      <c r="C30" s="954"/>
      <c r="D30" s="516">
        <v>9458359</v>
      </c>
      <c r="J30" s="888"/>
      <c r="AA30" s="2415"/>
      <c r="AJ30" s="2415"/>
      <c r="AK30" s="2415"/>
    </row>
    <row r="31" spans="1:37" ht="15">
      <c r="A31" s="477" t="s">
        <v>897</v>
      </c>
      <c r="B31" s="954"/>
      <c r="D31" s="1174">
        <f>SUM(D22:D30)</f>
        <v>35542014</v>
      </c>
      <c r="AJ31" s="2415"/>
      <c r="AK31" s="2415"/>
    </row>
    <row r="32" spans="1:37">
      <c r="D32" s="888"/>
      <c r="AJ32" s="2415"/>
      <c r="AK32" s="2415"/>
    </row>
    <row r="33" spans="9:37">
      <c r="AJ33" s="2415"/>
      <c r="AK33" s="2415"/>
    </row>
    <row r="34" spans="9:37">
      <c r="J34" s="888"/>
      <c r="AJ34" s="2415"/>
      <c r="AK34" s="2415"/>
    </row>
    <row r="35" spans="9:37">
      <c r="I35" s="1144"/>
      <c r="J35" s="888"/>
      <c r="AJ35" s="2415"/>
      <c r="AK35" s="2415"/>
    </row>
    <row r="36" spans="9:37">
      <c r="AJ36" s="2415"/>
      <c r="AK36" s="2415"/>
    </row>
    <row r="37" spans="9:37">
      <c r="J37" s="888"/>
      <c r="AJ37" s="2415"/>
      <c r="AK37" s="2415"/>
    </row>
    <row r="38" spans="9:37">
      <c r="AJ38" s="2415"/>
      <c r="AK38" s="2415"/>
    </row>
    <row r="39" spans="9:37">
      <c r="AJ39" s="2415"/>
      <c r="AK39" s="2415"/>
    </row>
    <row r="40" spans="9:37">
      <c r="AJ40" s="2415"/>
      <c r="AK40" s="2415"/>
    </row>
    <row r="41" spans="9:37">
      <c r="AJ41" s="2415"/>
      <c r="AK41" s="2415"/>
    </row>
    <row r="42" spans="9:37">
      <c r="AJ42" s="2415"/>
      <c r="AK42" s="2415"/>
    </row>
    <row r="43" spans="9:37">
      <c r="AJ43" s="2415"/>
      <c r="AK43" s="2415"/>
    </row>
    <row r="44" spans="9:37">
      <c r="AJ44" s="2415"/>
      <c r="AK44" s="2415"/>
    </row>
    <row r="45" spans="9:37">
      <c r="AJ45" s="2415"/>
      <c r="AK45" s="2415"/>
    </row>
    <row r="46" spans="9:37">
      <c r="AJ46" s="2415"/>
      <c r="AK46" s="2415"/>
    </row>
    <row r="47" spans="9:37">
      <c r="AJ47" s="2415"/>
      <c r="AK47" s="2415"/>
    </row>
    <row r="48" spans="9:37">
      <c r="AJ48" s="2415"/>
      <c r="AK48" s="2415"/>
    </row>
    <row r="49" spans="36:37">
      <c r="AJ49" s="2415"/>
      <c r="AK49" s="2415"/>
    </row>
    <row r="50" spans="36:37">
      <c r="AJ50" s="2415"/>
      <c r="AK50" s="2415"/>
    </row>
    <row r="51" spans="36:37">
      <c r="AJ51" s="2415"/>
      <c r="AK51" s="2415"/>
    </row>
    <row r="52" spans="36:37">
      <c r="AJ52" s="2415"/>
      <c r="AK52" s="2415"/>
    </row>
    <row r="53" spans="36:37">
      <c r="AJ53" s="2415"/>
      <c r="AK53" s="2415"/>
    </row>
    <row r="54" spans="36:37">
      <c r="AJ54" s="2415"/>
      <c r="AK54" s="2415"/>
    </row>
    <row r="55" spans="36:37">
      <c r="AJ55" s="2415"/>
      <c r="AK55" s="2415"/>
    </row>
    <row r="56" spans="36:37">
      <c r="AJ56" s="2415"/>
      <c r="AK56" s="2415"/>
    </row>
    <row r="57" spans="36:37">
      <c r="AJ57" s="2415"/>
      <c r="AK57" s="2415"/>
    </row>
    <row r="58" spans="36:37">
      <c r="AJ58" s="2415"/>
      <c r="AK58" s="2415"/>
    </row>
    <row r="59" spans="36:37">
      <c r="AJ59" s="2415"/>
      <c r="AK59" s="2415"/>
    </row>
    <row r="60" spans="36:37">
      <c r="AJ60" s="2415"/>
      <c r="AK60" s="2415"/>
    </row>
    <row r="61" spans="36:37">
      <c r="AJ61" s="2415"/>
      <c r="AK61" s="2415"/>
    </row>
    <row r="62" spans="36:37">
      <c r="AJ62" s="2415"/>
      <c r="AK62" s="2415"/>
    </row>
    <row r="63" spans="36:37">
      <c r="AJ63" s="2415"/>
      <c r="AK63" s="2415"/>
    </row>
    <row r="64" spans="36:37">
      <c r="AJ64" s="2415"/>
      <c r="AK64" s="2415"/>
    </row>
    <row r="65" spans="36:37">
      <c r="AJ65" s="2415"/>
      <c r="AK65" s="2415"/>
    </row>
    <row r="66" spans="36:37">
      <c r="AJ66" s="2415"/>
      <c r="AK66" s="2415"/>
    </row>
    <row r="67" spans="36:37">
      <c r="AJ67" s="2415"/>
      <c r="AK67" s="2415"/>
    </row>
    <row r="68" spans="36:37">
      <c r="AJ68" s="2415"/>
      <c r="AK68" s="2415"/>
    </row>
    <row r="69" spans="36:37">
      <c r="AJ69" s="2415"/>
      <c r="AK69" s="2415"/>
    </row>
    <row r="70" spans="36:37">
      <c r="AJ70" s="2415"/>
      <c r="AK70" s="2415"/>
    </row>
    <row r="71" spans="36:37">
      <c r="AJ71" s="2415"/>
      <c r="AK71" s="2415"/>
    </row>
    <row r="72" spans="36:37">
      <c r="AJ72" s="2415"/>
      <c r="AK72" s="2415"/>
    </row>
    <row r="73" spans="36:37">
      <c r="AJ73" s="2415"/>
      <c r="AK73" s="2415"/>
    </row>
    <row r="74" spans="36:37">
      <c r="AJ74" s="2415"/>
      <c r="AK74" s="2415"/>
    </row>
    <row r="75" spans="36:37">
      <c r="AJ75" s="2415"/>
      <c r="AK75" s="2415"/>
    </row>
    <row r="76" spans="36:37">
      <c r="AJ76" s="2415"/>
      <c r="AK76" s="2415"/>
    </row>
    <row r="77" spans="36:37">
      <c r="AJ77" s="2415"/>
      <c r="AK77" s="2415"/>
    </row>
    <row r="78" spans="36:37">
      <c r="AJ78" s="2415"/>
      <c r="AK78" s="2415"/>
    </row>
    <row r="79" spans="36:37">
      <c r="AJ79" s="2415"/>
      <c r="AK79" s="2415"/>
    </row>
    <row r="80" spans="36:37">
      <c r="AJ80" s="2415"/>
      <c r="AK80" s="2415"/>
    </row>
    <row r="81" spans="36:37">
      <c r="AJ81" s="2415"/>
      <c r="AK81" s="2415"/>
    </row>
    <row r="82" spans="36:37">
      <c r="AJ82" s="2415"/>
      <c r="AK82" s="2415"/>
    </row>
    <row r="83" spans="36:37">
      <c r="AJ83" s="2415"/>
      <c r="AK83" s="2415"/>
    </row>
    <row r="84" spans="36:37">
      <c r="AJ84" s="2415"/>
      <c r="AK84" s="2415"/>
    </row>
    <row r="85" spans="36:37">
      <c r="AJ85" s="2415"/>
      <c r="AK85" s="2415"/>
    </row>
    <row r="86" spans="36:37">
      <c r="AJ86" s="2415"/>
      <c r="AK86" s="2415"/>
    </row>
    <row r="87" spans="36:37">
      <c r="AJ87" s="2415"/>
      <c r="AK87" s="2415"/>
    </row>
    <row r="88" spans="36:37">
      <c r="AJ88" s="2415"/>
      <c r="AK88" s="2415"/>
    </row>
    <row r="89" spans="36:37">
      <c r="AJ89" s="2415"/>
      <c r="AK89" s="2415"/>
    </row>
    <row r="90" spans="36:37">
      <c r="AJ90" s="2415"/>
      <c r="AK90" s="2415"/>
    </row>
    <row r="91" spans="36:37">
      <c r="AJ91" s="2415"/>
      <c r="AK91" s="2415"/>
    </row>
    <row r="92" spans="36:37">
      <c r="AJ92" s="2415"/>
      <c r="AK92" s="2415"/>
    </row>
    <row r="93" spans="36:37">
      <c r="AJ93" s="2415"/>
      <c r="AK93" s="2415"/>
    </row>
    <row r="94" spans="36:37">
      <c r="AJ94" s="2415"/>
      <c r="AK94" s="2415"/>
    </row>
    <row r="95" spans="36:37">
      <c r="AJ95" s="2415"/>
      <c r="AK95" s="2415"/>
    </row>
    <row r="96" spans="36:37">
      <c r="AJ96" s="2415"/>
      <c r="AK96" s="2415"/>
    </row>
    <row r="97" spans="36:37">
      <c r="AJ97" s="2415"/>
      <c r="AK97" s="2415"/>
    </row>
    <row r="98" spans="36:37">
      <c r="AJ98" s="2415"/>
      <c r="AK98" s="2415"/>
    </row>
    <row r="99" spans="36:37">
      <c r="AJ99" s="2415"/>
      <c r="AK99" s="2415"/>
    </row>
    <row r="100" spans="36:37">
      <c r="AJ100" s="2415"/>
      <c r="AK100" s="2415"/>
    </row>
    <row r="101" spans="36:37">
      <c r="AJ101" s="2415"/>
      <c r="AK101" s="2415"/>
    </row>
    <row r="102" spans="36:37">
      <c r="AJ102" s="2415"/>
      <c r="AK102" s="2415"/>
    </row>
    <row r="103" spans="36:37">
      <c r="AJ103" s="2415"/>
      <c r="AK103" s="2415"/>
    </row>
    <row r="104" spans="36:37">
      <c r="AJ104" s="2415"/>
      <c r="AK104" s="2415"/>
    </row>
    <row r="105" spans="36:37">
      <c r="AJ105" s="2415"/>
      <c r="AK105" s="2415"/>
    </row>
    <row r="106" spans="36:37">
      <c r="AJ106" s="2415"/>
      <c r="AK106" s="2415"/>
    </row>
    <row r="107" spans="36:37">
      <c r="AJ107" s="2415"/>
      <c r="AK107" s="2415"/>
    </row>
    <row r="108" spans="36:37">
      <c r="AJ108" s="2415"/>
      <c r="AK108" s="2415"/>
    </row>
    <row r="109" spans="36:37">
      <c r="AJ109" s="2415"/>
      <c r="AK109" s="2415"/>
    </row>
    <row r="110" spans="36:37">
      <c r="AJ110" s="2415"/>
      <c r="AK110" s="2415"/>
    </row>
    <row r="111" spans="36:37">
      <c r="AJ111" s="2415"/>
      <c r="AK111" s="2415"/>
    </row>
    <row r="112" spans="36:37">
      <c r="AJ112" s="2415"/>
      <c r="AK112" s="2415"/>
    </row>
    <row r="113" spans="36:37">
      <c r="AJ113" s="2415"/>
      <c r="AK113" s="2415"/>
    </row>
    <row r="114" spans="36:37">
      <c r="AJ114" s="2415"/>
      <c r="AK114" s="2415"/>
    </row>
    <row r="115" spans="36:37">
      <c r="AJ115" s="2415"/>
      <c r="AK115" s="2415"/>
    </row>
    <row r="116" spans="36:37">
      <c r="AJ116" s="2415"/>
      <c r="AK116" s="2415"/>
    </row>
    <row r="117" spans="36:37">
      <c r="AJ117" s="2415"/>
      <c r="AK117" s="2415"/>
    </row>
    <row r="118" spans="36:37">
      <c r="AJ118" s="2415"/>
      <c r="AK118" s="2415"/>
    </row>
    <row r="119" spans="36:37">
      <c r="AJ119" s="2415"/>
      <c r="AK119" s="2415"/>
    </row>
    <row r="120" spans="36:37">
      <c r="AJ120" s="2415"/>
      <c r="AK120" s="2415"/>
    </row>
    <row r="121" spans="36:37">
      <c r="AJ121" s="2424"/>
      <c r="AK121" s="2415"/>
    </row>
    <row r="122" spans="36:37">
      <c r="AJ122" s="2424"/>
      <c r="AK122" s="2415"/>
    </row>
    <row r="123" spans="36:37">
      <c r="AJ123" s="2415"/>
      <c r="AK123" s="2415"/>
    </row>
    <row r="124" spans="36:37">
      <c r="AJ124" s="2415"/>
      <c r="AK124" s="2415"/>
    </row>
    <row r="125" spans="36:37">
      <c r="AJ125" s="2415"/>
      <c r="AK125" s="2415"/>
    </row>
    <row r="126" spans="36:37">
      <c r="AJ126" s="2415"/>
      <c r="AK126" s="2415"/>
    </row>
    <row r="127" spans="36:37">
      <c r="AJ127" s="2415"/>
      <c r="AK127" s="2415"/>
    </row>
    <row r="128" spans="36:37">
      <c r="AJ128" s="2415"/>
      <c r="AK128" s="2415"/>
    </row>
    <row r="129" spans="36:37">
      <c r="AJ129" s="2415"/>
      <c r="AK129" s="2415"/>
    </row>
    <row r="130" spans="36:37">
      <c r="AJ130" s="2415"/>
      <c r="AK130" s="2415"/>
    </row>
    <row r="131" spans="36:37">
      <c r="AJ131" s="2424"/>
      <c r="AK131" s="2415"/>
    </row>
    <row r="132" spans="36:37">
      <c r="AJ132" s="2415"/>
      <c r="AK132" s="2415"/>
    </row>
    <row r="133" spans="36:37">
      <c r="AJ133" s="2415"/>
      <c r="AK133" s="2415"/>
    </row>
    <row r="134" spans="36:37">
      <c r="AJ134" s="2415"/>
      <c r="AK134" s="2415"/>
    </row>
    <row r="135" spans="36:37">
      <c r="AJ135" s="2415"/>
      <c r="AK135" s="2415"/>
    </row>
    <row r="136" spans="36:37">
      <c r="AJ136" s="2415"/>
      <c r="AK136" s="2415"/>
    </row>
    <row r="137" spans="36:37">
      <c r="AJ137" s="2424"/>
      <c r="AK137" s="2415"/>
    </row>
    <row r="138" spans="36:37">
      <c r="AJ138" s="2415"/>
      <c r="AK138" s="2415"/>
    </row>
    <row r="139" spans="36:37">
      <c r="AJ139" s="2424"/>
      <c r="AK139" s="2415"/>
    </row>
    <row r="140" spans="36:37">
      <c r="AJ140" s="2424"/>
      <c r="AK140" s="2415"/>
    </row>
    <row r="141" spans="36:37">
      <c r="AJ141" s="2415"/>
      <c r="AK141" s="2415"/>
    </row>
    <row r="142" spans="36:37">
      <c r="AJ142" s="2415"/>
      <c r="AK142" s="2415"/>
    </row>
    <row r="143" spans="36:37">
      <c r="AJ143" s="2415"/>
      <c r="AK143" s="2415"/>
    </row>
    <row r="144" spans="36:37">
      <c r="AJ144" s="2415"/>
      <c r="AK144" s="2415"/>
    </row>
    <row r="145" spans="36:37">
      <c r="AJ145" s="2415"/>
      <c r="AK145" s="2415"/>
    </row>
    <row r="146" spans="36:37">
      <c r="AJ146" s="2415"/>
      <c r="AK146" s="2415"/>
    </row>
    <row r="147" spans="36:37">
      <c r="AJ147" s="2415"/>
      <c r="AK147" s="2415"/>
    </row>
    <row r="148" spans="36:37">
      <c r="AJ148" s="2415"/>
      <c r="AK148" s="2415"/>
    </row>
    <row r="149" spans="36:37">
      <c r="AJ149" s="2415"/>
      <c r="AK149" s="2415"/>
    </row>
    <row r="150" spans="36:37">
      <c r="AJ150" s="2415"/>
      <c r="AK150" s="2415"/>
    </row>
    <row r="151" spans="36:37">
      <c r="AJ151" s="2415"/>
      <c r="AK151" s="2415"/>
    </row>
    <row r="152" spans="36:37">
      <c r="AJ152" s="2415"/>
      <c r="AK152" s="2415"/>
    </row>
    <row r="153" spans="36:37">
      <c r="AJ153" s="2415"/>
      <c r="AK153" s="2415"/>
    </row>
    <row r="154" spans="36:37">
      <c r="AJ154" s="2415"/>
      <c r="AK154" s="2415"/>
    </row>
    <row r="155" spans="36:37">
      <c r="AJ155" s="2415"/>
      <c r="AK155" s="2415"/>
    </row>
    <row r="156" spans="36:37">
      <c r="AJ156" s="2415"/>
      <c r="AK156" s="2415"/>
    </row>
    <row r="157" spans="36:37">
      <c r="AJ157" s="2415"/>
      <c r="AK157" s="2415"/>
    </row>
    <row r="158" spans="36:37">
      <c r="AJ158" s="2415"/>
      <c r="AK158" s="2415"/>
    </row>
    <row r="159" spans="36:37">
      <c r="AJ159" s="2415"/>
      <c r="AK159" s="2415"/>
    </row>
    <row r="160" spans="36:37">
      <c r="AJ160" s="2415"/>
      <c r="AK160" s="2415"/>
    </row>
    <row r="161" spans="36:37">
      <c r="AJ161" s="2415"/>
      <c r="AK161" s="2415"/>
    </row>
    <row r="162" spans="36:37">
      <c r="AJ162" s="2415"/>
      <c r="AK162" s="2415"/>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5546875" defaultRowHeight="15"/>
  <cols>
    <col min="1" max="1" width="3.42578125" style="477" customWidth="1"/>
    <col min="2" max="2" width="52.7109375" style="477" bestFit="1" customWidth="1"/>
    <col min="3" max="3" width="14.140625" style="477" bestFit="1" customWidth="1"/>
    <col min="4" max="5" width="13.28515625" style="477" bestFit="1" customWidth="1"/>
    <col min="6" max="7" width="11.7109375" style="477" bestFit="1" customWidth="1"/>
    <col min="8" max="8" width="14.28515625" style="477" bestFit="1" customWidth="1"/>
    <col min="9" max="9" width="0.85546875" style="477" customWidth="1"/>
    <col min="10" max="11" width="11.28515625" style="477" bestFit="1" customWidth="1"/>
    <col min="12" max="12" width="10.28515625" style="477" bestFit="1" customWidth="1"/>
    <col min="13" max="13" width="12.28515625" style="477" bestFit="1" customWidth="1"/>
    <col min="14" max="14" width="4.7109375" style="477" customWidth="1"/>
    <col min="15" max="15" width="1.7109375" style="1008" customWidth="1"/>
    <col min="16" max="16" width="8.85546875" style="477"/>
    <col min="17" max="17" width="28.42578125" style="2459" bestFit="1" customWidth="1"/>
    <col min="18" max="18" width="4.28515625" style="2459" customWidth="1"/>
    <col min="19" max="19" width="15.5703125" style="2459" bestFit="1" customWidth="1"/>
    <col min="20" max="22" width="13.7109375" style="2459" bestFit="1" customWidth="1"/>
    <col min="23" max="16384" width="8.85546875" style="477"/>
  </cols>
  <sheetData>
    <row r="1" spans="2:22">
      <c r="B1" s="1230" t="s">
        <v>1204</v>
      </c>
      <c r="Q1" s="2458" t="s">
        <v>2083</v>
      </c>
      <c r="S1" s="2460">
        <v>2023</v>
      </c>
      <c r="T1" s="2460">
        <v>2024</v>
      </c>
      <c r="U1" s="2460">
        <v>2025</v>
      </c>
      <c r="V1" s="2460">
        <v>2026</v>
      </c>
    </row>
    <row r="2" spans="2:22">
      <c r="B2" s="1230" t="s">
        <v>2084</v>
      </c>
      <c r="Q2" s="2458" t="s">
        <v>2085</v>
      </c>
      <c r="S2" s="2461" t="s">
        <v>2086</v>
      </c>
      <c r="T2" s="2461" t="s">
        <v>2086</v>
      </c>
      <c r="U2" s="2461" t="s">
        <v>2086</v>
      </c>
      <c r="V2" s="2461" t="s">
        <v>2086</v>
      </c>
    </row>
    <row r="3" spans="2:22">
      <c r="B3" s="1230" t="s">
        <v>2087</v>
      </c>
      <c r="Q3" s="2458"/>
      <c r="S3" s="2461" t="s">
        <v>2088</v>
      </c>
      <c r="T3" s="2461" t="s">
        <v>2088</v>
      </c>
      <c r="U3" s="2461" t="s">
        <v>2088</v>
      </c>
      <c r="V3" s="2461" t="s">
        <v>2088</v>
      </c>
    </row>
    <row r="4" spans="2:22">
      <c r="B4" s="1230"/>
      <c r="Q4" s="2458"/>
    </row>
    <row r="5" spans="2:22" ht="30">
      <c r="C5" s="1192" t="s">
        <v>2089</v>
      </c>
      <c r="D5" s="1192" t="s">
        <v>2090</v>
      </c>
      <c r="E5" s="1192" t="s">
        <v>68</v>
      </c>
      <c r="F5" s="1192" t="s">
        <v>2091</v>
      </c>
      <c r="G5" s="1192" t="s">
        <v>2092</v>
      </c>
      <c r="H5" s="1192" t="s">
        <v>2093</v>
      </c>
      <c r="Q5" s="2459" t="s">
        <v>2094</v>
      </c>
      <c r="R5" s="2459" t="s">
        <v>678</v>
      </c>
      <c r="S5" s="2462">
        <v>0</v>
      </c>
      <c r="T5" s="2462">
        <v>0</v>
      </c>
      <c r="U5" s="2462">
        <v>0</v>
      </c>
      <c r="V5" s="2462">
        <v>0</v>
      </c>
    </row>
    <row r="6" spans="2:22">
      <c r="B6" s="477" t="s">
        <v>2095</v>
      </c>
      <c r="Q6" s="2459" t="s">
        <v>2096</v>
      </c>
      <c r="R6" s="2459" t="s">
        <v>696</v>
      </c>
      <c r="S6" s="2462">
        <v>-73551.136152761988</v>
      </c>
      <c r="T6" s="2462">
        <v>-68685.569626091499</v>
      </c>
      <c r="U6" s="2462">
        <v>-68685.569626091499</v>
      </c>
      <c r="V6" s="2462">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59" t="s">
        <v>2097</v>
      </c>
      <c r="R7" s="2459" t="s">
        <v>678</v>
      </c>
      <c r="S7" s="2462">
        <v>-57933.605319529153</v>
      </c>
      <c r="T7" s="2462">
        <v>-60013.474405394249</v>
      </c>
      <c r="U7" s="2462">
        <v>-60013.474405394249</v>
      </c>
      <c r="V7" s="2462">
        <v>-60013.474405394249</v>
      </c>
    </row>
    <row r="8" spans="2:22">
      <c r="J8" s="2463" t="s">
        <v>729</v>
      </c>
      <c r="K8" s="2463" t="s">
        <v>786</v>
      </c>
      <c r="L8" s="2463" t="s">
        <v>965</v>
      </c>
      <c r="M8" s="2464"/>
      <c r="Q8" s="2459" t="s">
        <v>2098</v>
      </c>
      <c r="R8" s="2459" t="s">
        <v>696</v>
      </c>
      <c r="S8" s="2462">
        <v>-133485.51166666666</v>
      </c>
      <c r="T8" s="2462">
        <v>-266971.02333333332</v>
      </c>
      <c r="U8" s="2462">
        <v>-266971.02333333332</v>
      </c>
      <c r="V8" s="2462">
        <v>0</v>
      </c>
    </row>
    <row r="9" spans="2:22">
      <c r="B9" s="477" t="s">
        <v>2099</v>
      </c>
      <c r="C9" s="2409">
        <f>J9*D23</f>
        <v>-5931833.8867771076</v>
      </c>
      <c r="D9" s="2409">
        <f>J9*E23</f>
        <v>-2929188.0076362109</v>
      </c>
      <c r="E9" s="2409">
        <f>K9*F23</f>
        <v>-1113202.8307283374</v>
      </c>
      <c r="F9" s="2409">
        <f>K9*G23</f>
        <v>-438385.87209598371</v>
      </c>
      <c r="G9" s="2409">
        <f>L9</f>
        <v>-809931.02185005299</v>
      </c>
      <c r="H9" s="2409">
        <f>SUM(C9:G9)</f>
        <v>-11222541.619087692</v>
      </c>
      <c r="J9" s="515">
        <f>'G-3.03 PF EDIT'!T80</f>
        <v>-8861021.8944133185</v>
      </c>
      <c r="K9" s="515">
        <f>'G-3.03 PF EDIT'!U80</f>
        <v>-1551588.7028243211</v>
      </c>
      <c r="L9" s="515">
        <f>'G-3.03 PF EDIT'!V80</f>
        <v>-809931.02185005299</v>
      </c>
      <c r="M9" s="888">
        <f>SUM(J9:L9)</f>
        <v>-11222541.619087692</v>
      </c>
      <c r="Q9" s="2459" t="s">
        <v>2100</v>
      </c>
      <c r="R9" s="2459" t="s">
        <v>696</v>
      </c>
      <c r="S9" s="2462">
        <v>-266272.44500000001</v>
      </c>
      <c r="T9" s="2462">
        <v>-266272.44499999995</v>
      </c>
      <c r="U9" s="2462">
        <v>-266272.44499999995</v>
      </c>
      <c r="V9" s="2462">
        <v>0</v>
      </c>
    </row>
    <row r="10" spans="2:22" ht="15.75" thickBot="1">
      <c r="M10" s="888">
        <f>M9-'G-3.03 PF EDIT'!S80</f>
        <v>0</v>
      </c>
      <c r="Q10" s="2459" t="s">
        <v>2101</v>
      </c>
      <c r="R10" s="2459" t="s">
        <v>696</v>
      </c>
      <c r="S10" s="2462">
        <v>-131867.93333333332</v>
      </c>
      <c r="T10" s="2462">
        <v>-263735.86666666664</v>
      </c>
      <c r="U10" s="2462">
        <v>-263735.86666666664</v>
      </c>
      <c r="V10" s="2462">
        <v>0</v>
      </c>
    </row>
    <row r="11" spans="2:22" ht="16.5" thickTop="1" thickBot="1">
      <c r="B11" s="477" t="s">
        <v>2102</v>
      </c>
      <c r="C11" s="2465">
        <f t="shared" ref="C11:H11" si="0">C9-C7</f>
        <v>91926.41940206755</v>
      </c>
      <c r="D11" s="888">
        <f t="shared" si="0"/>
        <v>75252.878760814201</v>
      </c>
      <c r="E11" s="2465">
        <f t="shared" si="0"/>
        <v>135864.01656495011</v>
      </c>
      <c r="F11" s="888">
        <f t="shared" si="0"/>
        <v>46030.63786952896</v>
      </c>
      <c r="G11" s="888">
        <f t="shared" si="0"/>
        <v>9135.8083149470622</v>
      </c>
      <c r="H11" s="888">
        <f t="shared" si="0"/>
        <v>358209.76091230847</v>
      </c>
      <c r="Q11" s="2459" t="s">
        <v>2103</v>
      </c>
      <c r="R11" s="2459" t="s">
        <v>696</v>
      </c>
      <c r="S11" s="2462">
        <v>-349053.99249999999</v>
      </c>
      <c r="T11" s="2462">
        <v>-349053.99250000005</v>
      </c>
      <c r="U11" s="2462">
        <v>-349053.99250000005</v>
      </c>
      <c r="V11" s="2462">
        <v>0</v>
      </c>
    </row>
    <row r="12" spans="2:22" ht="15.75" thickTop="1">
      <c r="J12" s="2463" t="s">
        <v>729</v>
      </c>
      <c r="K12" s="2463" t="s">
        <v>786</v>
      </c>
      <c r="L12" s="2463" t="s">
        <v>965</v>
      </c>
      <c r="M12" s="2464"/>
      <c r="Q12" s="2459" t="s">
        <v>2104</v>
      </c>
      <c r="R12" s="2459" t="s">
        <v>696</v>
      </c>
      <c r="S12" s="2462">
        <v>-2487.3327355022338</v>
      </c>
      <c r="T12" s="2462">
        <v>-2874.1653056676691</v>
      </c>
      <c r="U12" s="2462">
        <v>-2874.1653056676691</v>
      </c>
      <c r="V12" s="2462">
        <v>-2874.1653056676691</v>
      </c>
    </row>
    <row r="13" spans="2:22">
      <c r="B13" s="477" t="s">
        <v>2105</v>
      </c>
      <c r="C13" s="2409">
        <f>J13*D23</f>
        <v>-5164644.7963487823</v>
      </c>
      <c r="D13" s="2409">
        <f>J13*E23</f>
        <v>-2550343.7705645356</v>
      </c>
      <c r="E13" s="2409">
        <f>K13*F23</f>
        <v>-1113202.8307283374</v>
      </c>
      <c r="F13" s="2409">
        <f>K13*G23</f>
        <v>-438385.87209598371</v>
      </c>
      <c r="G13" s="2409">
        <f>L13</f>
        <v>-809931.02185005299</v>
      </c>
      <c r="H13" s="2409">
        <f>SUM(C13:G13)</f>
        <v>-10076508.291587692</v>
      </c>
      <c r="J13" s="515">
        <f>'G-3.03 PF EDIT'!T90</f>
        <v>-7714988.5669133179</v>
      </c>
      <c r="K13" s="515">
        <f>'G-3.03 PF EDIT'!U90</f>
        <v>-1551588.7028243211</v>
      </c>
      <c r="L13" s="515">
        <f>'G-3.03 PF EDIT'!V90</f>
        <v>-809931.02185005299</v>
      </c>
      <c r="M13" s="888">
        <f>SUM(J13:L13)</f>
        <v>-10076508.291587692</v>
      </c>
      <c r="Q13" s="2459" t="s">
        <v>2106</v>
      </c>
      <c r="R13" s="2459" t="s">
        <v>696</v>
      </c>
      <c r="S13" s="2462">
        <v>-17103.905024215837</v>
      </c>
      <c r="T13" s="2462">
        <v>-19763.922096297258</v>
      </c>
      <c r="U13" s="2462">
        <v>-19763.922096297258</v>
      </c>
      <c r="V13" s="2462">
        <v>-19763.922096297258</v>
      </c>
    </row>
    <row r="14" spans="2:22" ht="15.75" thickBot="1">
      <c r="M14" s="888">
        <f>M13-'G-3.03 PF EDIT'!S90</f>
        <v>0</v>
      </c>
      <c r="Q14" s="2459" t="s">
        <v>2107</v>
      </c>
      <c r="R14" s="2459" t="s">
        <v>678</v>
      </c>
      <c r="S14" s="2462">
        <v>0</v>
      </c>
      <c r="T14" s="2462">
        <v>0</v>
      </c>
      <c r="U14" s="2462">
        <v>0</v>
      </c>
      <c r="V14" s="2462">
        <v>0</v>
      </c>
    </row>
    <row r="15" spans="2:22" ht="16.5" thickTop="1" thickBot="1">
      <c r="B15" s="477" t="s">
        <v>2108</v>
      </c>
      <c r="C15" s="2465">
        <f t="shared" ref="C15:H15" si="1">C13-C9</f>
        <v>767189.09042832535</v>
      </c>
      <c r="D15" s="888">
        <f t="shared" si="1"/>
        <v>378844.23707167525</v>
      </c>
      <c r="E15" s="2465">
        <f t="shared" si="1"/>
        <v>0</v>
      </c>
      <c r="F15" s="888">
        <f t="shared" si="1"/>
        <v>0</v>
      </c>
      <c r="G15" s="888">
        <f t="shared" si="1"/>
        <v>0</v>
      </c>
      <c r="H15" s="888">
        <f t="shared" si="1"/>
        <v>1146033.3275000006</v>
      </c>
      <c r="Q15" s="2459" t="s">
        <v>2109</v>
      </c>
      <c r="R15" s="2459" t="s">
        <v>696</v>
      </c>
      <c r="S15" s="2462">
        <v>-599626.26493689884</v>
      </c>
      <c r="T15" s="2462">
        <v>-562437.09741693421</v>
      </c>
      <c r="U15" s="2462">
        <v>-562437.09741693421</v>
      </c>
      <c r="V15" s="2462">
        <v>-562437.09741693421</v>
      </c>
    </row>
    <row r="16" spans="2:22" ht="15.75" thickTop="1">
      <c r="Q16" s="2459" t="s">
        <v>2110</v>
      </c>
      <c r="R16" s="2459" t="s">
        <v>696</v>
      </c>
      <c r="S16" s="2462">
        <v>0</v>
      </c>
      <c r="T16" s="2462">
        <v>0</v>
      </c>
      <c r="U16" s="2462">
        <v>0</v>
      </c>
      <c r="V16" s="2462">
        <v>0</v>
      </c>
    </row>
    <row r="17" spans="2:22">
      <c r="Q17" s="2459" t="s">
        <v>2111</v>
      </c>
      <c r="R17" s="2459" t="s">
        <v>696</v>
      </c>
      <c r="S17" s="2462">
        <v>-2113752.8177702436</v>
      </c>
      <c r="T17" s="2462">
        <v>-2371867.4589507901</v>
      </c>
      <c r="U17" s="2462">
        <v>-2371867.4589507901</v>
      </c>
      <c r="V17" s="2462">
        <v>-2371867.4589507901</v>
      </c>
    </row>
    <row r="18" spans="2:22">
      <c r="B18" s="477" t="s">
        <v>2112</v>
      </c>
      <c r="Q18" s="2466" t="s">
        <v>2113</v>
      </c>
      <c r="R18" s="2466" t="s">
        <v>2114</v>
      </c>
      <c r="S18" s="2462">
        <v>-1016331.6655042091</v>
      </c>
      <c r="T18" s="2462">
        <v>-1048414.97602252</v>
      </c>
      <c r="U18" s="2462">
        <v>-1048414.97602252</v>
      </c>
      <c r="V18" s="2462">
        <v>-1048414.97602252</v>
      </c>
    </row>
    <row r="19" spans="2:22">
      <c r="Q19" s="2459" t="s">
        <v>2115</v>
      </c>
      <c r="R19" s="2459" t="s">
        <v>678</v>
      </c>
      <c r="S19" s="2462">
        <v>-389746.29027622112</v>
      </c>
      <c r="T19" s="2462">
        <v>-357171.02755238768</v>
      </c>
      <c r="U19" s="2462">
        <v>-357171.02755238768</v>
      </c>
      <c r="V19" s="2462">
        <v>-357171.02755238768</v>
      </c>
    </row>
    <row r="20" spans="2:22">
      <c r="Q20" s="2459" t="s">
        <v>2116</v>
      </c>
      <c r="R20" s="2459" t="s">
        <v>678</v>
      </c>
      <c r="S20" s="2462">
        <v>-2158506.4500933788</v>
      </c>
      <c r="T20" s="2462">
        <v>-1224199.3380791394</v>
      </c>
      <c r="U20" s="2462">
        <v>-1224199.3380791394</v>
      </c>
      <c r="V20" s="2462">
        <v>-1224199.3380791394</v>
      </c>
    </row>
    <row r="21" spans="2:22">
      <c r="Q21" s="2459" t="s">
        <v>2117</v>
      </c>
      <c r="R21" s="2459" t="s">
        <v>696</v>
      </c>
      <c r="S21" s="2462">
        <v>-1109954.9564576508</v>
      </c>
      <c r="T21" s="2462">
        <v>-1185813.8051129784</v>
      </c>
      <c r="U21" s="2462">
        <v>-1185813.8051129784</v>
      </c>
      <c r="V21" s="2462">
        <v>-1185813.8051129784</v>
      </c>
    </row>
    <row r="22" spans="2:22" ht="23.25">
      <c r="D22" s="2467" t="s">
        <v>2089</v>
      </c>
      <c r="E22" s="2467" t="s">
        <v>2090</v>
      </c>
      <c r="F22" s="2467" t="s">
        <v>68</v>
      </c>
      <c r="G22" s="2467" t="s">
        <v>2091</v>
      </c>
      <c r="H22" s="2467"/>
      <c r="Q22" s="2459" t="s">
        <v>2118</v>
      </c>
      <c r="R22" s="2459" t="s">
        <v>696</v>
      </c>
      <c r="S22" s="2462">
        <v>-11704.135848457989</v>
      </c>
      <c r="T22" s="2462">
        <v>-11704.135848457989</v>
      </c>
      <c r="U22" s="2462">
        <v>-11704.135848457989</v>
      </c>
      <c r="V22" s="2462">
        <v>-11704.135848457989</v>
      </c>
    </row>
    <row r="23" spans="2:22">
      <c r="B23" s="2468" t="s">
        <v>2119</v>
      </c>
      <c r="C23" s="2468"/>
      <c r="D23" s="2469">
        <v>0.66942999999999997</v>
      </c>
      <c r="E23" s="2469">
        <v>0.33057000000000003</v>
      </c>
      <c r="F23" s="2469">
        <v>0.71745999999999999</v>
      </c>
      <c r="G23" s="2469">
        <v>0.28254000000000001</v>
      </c>
      <c r="Q23" s="2459" t="s">
        <v>2120</v>
      </c>
      <c r="R23" s="2459" t="s">
        <v>678</v>
      </c>
      <c r="S23" s="2462">
        <v>-886313.66017899511</v>
      </c>
      <c r="T23" s="2462">
        <v>-785041.42665082938</v>
      </c>
      <c r="U23" s="2462">
        <v>-785041.42665082938</v>
      </c>
      <c r="V23" s="2462">
        <v>-785041.42665082938</v>
      </c>
    </row>
    <row r="24" spans="2:22">
      <c r="Q24" s="2459" t="s">
        <v>2121</v>
      </c>
      <c r="R24" s="2459" t="s">
        <v>696</v>
      </c>
      <c r="S24" s="2462">
        <v>-332453.31186214578</v>
      </c>
      <c r="T24" s="2462">
        <v>-261025.92303541666</v>
      </c>
      <c r="U24" s="2462">
        <v>-261025.92303541666</v>
      </c>
      <c r="V24" s="2462">
        <v>-261025.92303541666</v>
      </c>
    </row>
    <row r="25" spans="2:22">
      <c r="Q25" s="2459" t="s">
        <v>2122</v>
      </c>
      <c r="R25" s="2459" t="s">
        <v>696</v>
      </c>
      <c r="S25" s="2462">
        <v>-31913.432953218478</v>
      </c>
      <c r="T25" s="2462">
        <v>-15102.751651162727</v>
      </c>
      <c r="U25" s="2462">
        <v>-15102.751651162727</v>
      </c>
      <c r="V25" s="2462">
        <v>-15102.751651162727</v>
      </c>
    </row>
    <row r="26" spans="2:22">
      <c r="Q26" s="2459" t="s">
        <v>2123</v>
      </c>
      <c r="R26" s="2459" t="s">
        <v>678</v>
      </c>
      <c r="S26" s="2462">
        <v>-2682.0197793311781</v>
      </c>
      <c r="T26" s="2462">
        <v>-3426.6108561995466</v>
      </c>
      <c r="U26" s="2462">
        <v>-3426.6108561995466</v>
      </c>
      <c r="V26" s="2462">
        <v>-3426.6108561995466</v>
      </c>
    </row>
    <row r="27" spans="2:22">
      <c r="Q27" s="2459" t="s">
        <v>2124</v>
      </c>
      <c r="R27" s="2459" t="s">
        <v>678</v>
      </c>
      <c r="S27" s="2462">
        <v>0</v>
      </c>
      <c r="T27" s="2462">
        <v>0</v>
      </c>
      <c r="U27" s="2462">
        <v>0</v>
      </c>
      <c r="V27" s="2462">
        <v>0</v>
      </c>
    </row>
    <row r="28" spans="2:22">
      <c r="Q28" s="2466" t="s">
        <v>2125</v>
      </c>
      <c r="R28" s="2466" t="s">
        <v>2126</v>
      </c>
      <c r="S28" s="2462">
        <v>-499220.33736097091</v>
      </c>
      <c r="T28" s="2462">
        <v>-586870.61949151836</v>
      </c>
      <c r="U28" s="2462">
        <v>-586870.61949151836</v>
      </c>
      <c r="V28" s="2462">
        <v>-586870.61949151836</v>
      </c>
    </row>
    <row r="29" spans="2:22">
      <c r="Q29" s="2459" t="s">
        <v>2127</v>
      </c>
      <c r="R29" s="2459" t="s">
        <v>696</v>
      </c>
      <c r="S29" s="2462">
        <v>-65927.411558100765</v>
      </c>
      <c r="T29" s="2462">
        <v>-61155.082783642829</v>
      </c>
      <c r="U29" s="2462">
        <v>-61155.082783642829</v>
      </c>
      <c r="V29" s="2462">
        <v>-61155.082783642829</v>
      </c>
    </row>
    <row r="30" spans="2:22">
      <c r="Q30" s="2459" t="s">
        <v>2128</v>
      </c>
      <c r="R30" s="2459" t="s">
        <v>696</v>
      </c>
      <c r="S30" s="2462">
        <v>-334064.79485660227</v>
      </c>
      <c r="T30" s="2462">
        <v>-309419.62902373925</v>
      </c>
      <c r="U30" s="2462">
        <v>-309419.62902373925</v>
      </c>
      <c r="V30" s="2462">
        <v>-309419.62902373925</v>
      </c>
    </row>
    <row r="31" spans="2:22">
      <c r="Q31" s="2459" t="s">
        <v>2129</v>
      </c>
      <c r="R31" s="2459" t="s">
        <v>678</v>
      </c>
      <c r="S31" s="2462">
        <v>0</v>
      </c>
      <c r="T31" s="2462">
        <v>0</v>
      </c>
      <c r="U31" s="2462">
        <v>0</v>
      </c>
      <c r="V31" s="2462">
        <v>0</v>
      </c>
    </row>
    <row r="32" spans="2:22">
      <c r="Q32" s="2459" t="s">
        <v>2130</v>
      </c>
      <c r="R32" s="2459" t="s">
        <v>696</v>
      </c>
      <c r="S32" s="2462">
        <v>0</v>
      </c>
      <c r="T32" s="2462">
        <v>0</v>
      </c>
      <c r="U32" s="2462">
        <v>0</v>
      </c>
      <c r="V32" s="2462">
        <v>0</v>
      </c>
    </row>
    <row r="33" spans="17:22">
      <c r="Q33" s="2459" t="s">
        <v>2131</v>
      </c>
      <c r="R33" s="2459" t="s">
        <v>2114</v>
      </c>
      <c r="S33" s="2462">
        <v>0</v>
      </c>
      <c r="T33" s="2462">
        <v>0</v>
      </c>
      <c r="U33" s="2462">
        <v>0</v>
      </c>
      <c r="V33" s="2462">
        <v>0</v>
      </c>
    </row>
    <row r="34" spans="17:22">
      <c r="Q34" s="2459" t="s">
        <v>2132</v>
      </c>
      <c r="R34" s="2459" t="s">
        <v>696</v>
      </c>
      <c r="S34" s="2462">
        <v>-2871.1690750870421</v>
      </c>
      <c r="T34" s="2462">
        <v>-3059.5280304045868</v>
      </c>
      <c r="U34" s="2462">
        <v>-3059.5280304045868</v>
      </c>
      <c r="V34" s="2462">
        <v>-3059.5280304045868</v>
      </c>
    </row>
    <row r="35" spans="17:22">
      <c r="Q35" s="2459" t="s">
        <v>2133</v>
      </c>
      <c r="R35" s="2459" t="s">
        <v>678</v>
      </c>
      <c r="S35" s="2462">
        <v>0</v>
      </c>
      <c r="T35" s="2462">
        <v>0</v>
      </c>
      <c r="U35" s="2462">
        <v>0</v>
      </c>
      <c r="V35" s="2462">
        <v>0</v>
      </c>
    </row>
    <row r="36" spans="17:22">
      <c r="Q36" s="2459" t="s">
        <v>2134</v>
      </c>
      <c r="R36" s="2459" t="s">
        <v>696</v>
      </c>
      <c r="S36" s="2462">
        <v>0</v>
      </c>
      <c r="T36" s="2462">
        <v>0</v>
      </c>
      <c r="U36" s="2462">
        <v>0</v>
      </c>
      <c r="V36" s="2462">
        <v>0</v>
      </c>
    </row>
    <row r="37" spans="17:22">
      <c r="Q37" s="2459" t="s">
        <v>2135</v>
      </c>
      <c r="R37" s="2459" t="s">
        <v>2114</v>
      </c>
      <c r="S37" s="2462">
        <v>0</v>
      </c>
      <c r="T37" s="2462">
        <v>0</v>
      </c>
      <c r="U37" s="2462">
        <v>0</v>
      </c>
      <c r="V37" s="2462">
        <v>0</v>
      </c>
    </row>
    <row r="38" spans="17:22">
      <c r="Q38" s="2459" t="s">
        <v>664</v>
      </c>
      <c r="R38" s="2459" t="s">
        <v>696</v>
      </c>
      <c r="S38" s="2462">
        <v>-985236.7128755342</v>
      </c>
      <c r="T38" s="2462">
        <v>-1138461.7496481203</v>
      </c>
      <c r="U38" s="2462">
        <v>-1138461.7496481203</v>
      </c>
      <c r="V38" s="2462">
        <v>-1138461.7496481203</v>
      </c>
    </row>
    <row r="40" spans="17:22">
      <c r="Q40" s="2459" t="s">
        <v>24</v>
      </c>
      <c r="S40" s="2462">
        <f>SUM(S5:S38)</f>
        <v>-11572061.293119056</v>
      </c>
      <c r="T40" s="2462">
        <f>SUM(T5:T38)</f>
        <v>-11222541.619087692</v>
      </c>
      <c r="U40" s="2462">
        <f>SUM(U5:U38)</f>
        <v>-11222541.619087692</v>
      </c>
      <c r="V40" s="2462">
        <f>SUM(V5:V38)</f>
        <v>-10076508.291587694</v>
      </c>
    </row>
    <row r="41" spans="17:22">
      <c r="Q41" s="2470" t="s">
        <v>2136</v>
      </c>
      <c r="S41" s="2462"/>
      <c r="T41" s="2471"/>
      <c r="U41" s="2471"/>
      <c r="V41" s="2471"/>
    </row>
    <row r="42" spans="17:22">
      <c r="S42" s="2462"/>
    </row>
    <row r="43" spans="17:22">
      <c r="Q43" s="2472" t="s">
        <v>2137</v>
      </c>
      <c r="S43" s="2462"/>
    </row>
    <row r="44" spans="17:22">
      <c r="Q44" s="2459" t="s">
        <v>2138</v>
      </c>
      <c r="S44" s="2473">
        <f>SUM(T44:V44)</f>
        <v>0.99999999999999989</v>
      </c>
      <c r="T44" s="2474">
        <v>0.70111999999999997</v>
      </c>
      <c r="U44" s="2474">
        <v>0.20707999999999999</v>
      </c>
      <c r="V44" s="2474">
        <v>9.1800000000000007E-2</v>
      </c>
    </row>
    <row r="45" spans="17:22">
      <c r="Q45" s="2475"/>
      <c r="S45" s="2462"/>
    </row>
    <row r="46" spans="17:22">
      <c r="Q46" s="2459" t="s">
        <v>729</v>
      </c>
      <c r="R46" s="2476" t="s">
        <v>696</v>
      </c>
      <c r="S46" s="2462">
        <f t="shared" ref="S46:V49" si="2">SUMIFS(S$5:S$38,$R$5:$R$38,$R46)</f>
        <v>-6561327.264606419</v>
      </c>
      <c r="T46" s="2462">
        <f t="shared" si="2"/>
        <v>-7157404.1460297033</v>
      </c>
      <c r="U46" s="2462">
        <f t="shared" si="2"/>
        <v>-7157404.1460297033</v>
      </c>
      <c r="V46" s="2462">
        <f t="shared" si="2"/>
        <v>-6011370.8185297037</v>
      </c>
    </row>
    <row r="47" spans="17:22">
      <c r="Q47" s="2459" t="s">
        <v>786</v>
      </c>
      <c r="R47" s="2476" t="s">
        <v>2114</v>
      </c>
      <c r="S47" s="2462">
        <f t="shared" si="2"/>
        <v>-1016331.6655042091</v>
      </c>
      <c r="T47" s="2462">
        <f t="shared" si="2"/>
        <v>-1048414.97602252</v>
      </c>
      <c r="U47" s="2462">
        <f t="shared" si="2"/>
        <v>-1048414.97602252</v>
      </c>
      <c r="V47" s="2462">
        <f t="shared" si="2"/>
        <v>-1048414.97602252</v>
      </c>
    </row>
    <row r="48" spans="17:22">
      <c r="Q48" s="2459" t="s">
        <v>2139</v>
      </c>
      <c r="R48" s="2477" t="s">
        <v>2126</v>
      </c>
      <c r="S48" s="2462">
        <f t="shared" si="2"/>
        <v>-499220.33736097091</v>
      </c>
      <c r="T48" s="2462">
        <f t="shared" si="2"/>
        <v>-586870.61949151836</v>
      </c>
      <c r="U48" s="2462">
        <f t="shared" si="2"/>
        <v>-586870.61949151836</v>
      </c>
      <c r="V48" s="2462">
        <f t="shared" si="2"/>
        <v>-586870.61949151836</v>
      </c>
    </row>
    <row r="49" spans="17:22">
      <c r="Q49" s="2459" t="s">
        <v>2140</v>
      </c>
      <c r="R49" s="2476" t="s">
        <v>678</v>
      </c>
      <c r="S49" s="2462">
        <f t="shared" si="2"/>
        <v>-3495182.0256474554</v>
      </c>
      <c r="T49" s="2462">
        <f t="shared" si="2"/>
        <v>-2429851.8775439505</v>
      </c>
      <c r="U49" s="2462">
        <f t="shared" si="2"/>
        <v>-2429851.8775439505</v>
      </c>
      <c r="V49" s="2462">
        <f t="shared" si="2"/>
        <v>-2429851.8775439505</v>
      </c>
    </row>
    <row r="50" spans="17:22">
      <c r="S50" s="2462"/>
      <c r="T50" s="2462"/>
      <c r="U50" s="2462"/>
      <c r="V50" s="2462"/>
    </row>
    <row r="51" spans="17:22">
      <c r="Q51" s="2459" t="s">
        <v>2141</v>
      </c>
      <c r="R51" s="2462"/>
      <c r="S51" s="2462">
        <f>SUM(S46:S49)</f>
        <v>-11572061.293119054</v>
      </c>
      <c r="T51" s="2462">
        <f>SUM(T46:T49)</f>
        <v>-11222541.619087692</v>
      </c>
      <c r="U51" s="2462">
        <f>SUM(U46:U49)</f>
        <v>-11222541.619087692</v>
      </c>
      <c r="V51" s="2462">
        <f>SUM(V46:V49)</f>
        <v>-10076508.291587692</v>
      </c>
    </row>
    <row r="52" spans="17:22">
      <c r="Q52" s="2476"/>
      <c r="S52" s="2462">
        <f>S40-S51</f>
        <v>0</v>
      </c>
      <c r="T52" s="2462">
        <f>T40-T51</f>
        <v>0</v>
      </c>
      <c r="U52" s="2462">
        <f>U40-U51</f>
        <v>0</v>
      </c>
      <c r="V52" s="2462">
        <f>V40-V51</f>
        <v>0</v>
      </c>
    </row>
    <row r="53" spans="17:22">
      <c r="S53" s="2462"/>
    </row>
    <row r="54" spans="17:22">
      <c r="Q54" s="2478">
        <v>2023</v>
      </c>
      <c r="S54" s="2479" t="s">
        <v>24</v>
      </c>
      <c r="T54" s="2479" t="s">
        <v>729</v>
      </c>
      <c r="U54" s="2479" t="s">
        <v>786</v>
      </c>
      <c r="V54" s="2479" t="s">
        <v>965</v>
      </c>
    </row>
    <row r="55" spans="17:22">
      <c r="Q55" s="2459" t="s">
        <v>729</v>
      </c>
      <c r="R55" s="2476" t="s">
        <v>696</v>
      </c>
      <c r="S55" s="2462">
        <f>SUMIFS(S$5:S$38,$R$5:$R$38,$R55)</f>
        <v>-6561327.264606419</v>
      </c>
      <c r="T55" s="2480">
        <f>S55</f>
        <v>-6561327.264606419</v>
      </c>
      <c r="U55" s="2480"/>
      <c r="V55" s="2481"/>
    </row>
    <row r="56" spans="17:22">
      <c r="Q56" s="2459" t="s">
        <v>78</v>
      </c>
      <c r="R56" s="2476" t="s">
        <v>2114</v>
      </c>
      <c r="S56" s="2462">
        <f>SUMIFS(S$5:S$38,$R$5:$R$38,$R56)</f>
        <v>-1016331.6655042091</v>
      </c>
      <c r="T56" s="2480"/>
      <c r="U56" s="2480">
        <f>S56</f>
        <v>-1016331.6655042091</v>
      </c>
      <c r="V56" s="2481"/>
    </row>
    <row r="57" spans="17:22">
      <c r="Q57" s="2459" t="s">
        <v>2142</v>
      </c>
      <c r="R57" s="2477" t="s">
        <v>2126</v>
      </c>
      <c r="S57" s="2462">
        <f>SUMIFS(S$5:S$38,$R$5:$R$38,$R57)</f>
        <v>-499220.33736097091</v>
      </c>
      <c r="T57" s="2480"/>
      <c r="U57" s="2480"/>
      <c r="V57" s="2482">
        <f>S57</f>
        <v>-499220.33736097091</v>
      </c>
    </row>
    <row r="58" spans="17:22">
      <c r="Q58" s="2459" t="s">
        <v>2143</v>
      </c>
      <c r="R58" s="2476" t="s">
        <v>678</v>
      </c>
      <c r="S58" s="2462">
        <f>SUMIFS(S$5:S$38,$R$5:$R$38,$R58)</f>
        <v>-3495182.0256474554</v>
      </c>
      <c r="T58" s="2480">
        <f>S58*$T$44</f>
        <v>-2450542.0218219436</v>
      </c>
      <c r="U58" s="2480">
        <f>S58*$U$44</f>
        <v>-723782.29387107503</v>
      </c>
      <c r="V58" s="2480">
        <f>S58*$V$44</f>
        <v>-320857.7099544364</v>
      </c>
    </row>
    <row r="59" spans="17:22">
      <c r="S59" s="2483"/>
      <c r="T59" s="2480"/>
      <c r="U59" s="2480"/>
      <c r="V59" s="2481"/>
    </row>
    <row r="60" spans="17:22">
      <c r="Q60" s="2459" t="s">
        <v>2141</v>
      </c>
      <c r="S60" s="2484">
        <f>SUM(S55:S58)</f>
        <v>-11572061.293119054</v>
      </c>
      <c r="T60" s="2484">
        <f>SUM(T55:T58)</f>
        <v>-9011869.2864283621</v>
      </c>
      <c r="U60" s="2484">
        <f>SUM(U55:U58)</f>
        <v>-1740113.9593752841</v>
      </c>
      <c r="V60" s="2484">
        <f>SUM(V55:V58)</f>
        <v>-820078.04731540731</v>
      </c>
    </row>
    <row r="61" spans="17:22">
      <c r="Q61" s="2476" t="s">
        <v>2144</v>
      </c>
      <c r="S61" s="2485">
        <f>S40-S60</f>
        <v>0</v>
      </c>
    </row>
    <row r="62" spans="17:22">
      <c r="Q62" s="2476" t="s">
        <v>2145</v>
      </c>
      <c r="S62" s="2485">
        <f>S60-T60-U60-V60</f>
        <v>0</v>
      </c>
      <c r="T62" s="2485"/>
      <c r="U62" s="2485"/>
    </row>
    <row r="64" spans="17:22">
      <c r="Q64" s="2478">
        <v>2024</v>
      </c>
      <c r="S64" s="2479" t="s">
        <v>24</v>
      </c>
      <c r="T64" s="2479" t="s">
        <v>729</v>
      </c>
      <c r="U64" s="2479" t="s">
        <v>786</v>
      </c>
      <c r="V64" s="2479" t="s">
        <v>965</v>
      </c>
    </row>
    <row r="65" spans="17:22">
      <c r="Q65" s="2459" t="s">
        <v>729</v>
      </c>
      <c r="R65" s="2476" t="s">
        <v>696</v>
      </c>
      <c r="S65" s="2462">
        <f>SUMIFS(T$5:T$38,$R$5:$R$38,$R65)</f>
        <v>-7157404.1460297033</v>
      </c>
      <c r="T65" s="2480">
        <f>S65</f>
        <v>-7157404.1460297033</v>
      </c>
      <c r="U65" s="2480"/>
      <c r="V65" s="2481"/>
    </row>
    <row r="66" spans="17:22">
      <c r="Q66" s="2459" t="s">
        <v>78</v>
      </c>
      <c r="R66" s="2476" t="s">
        <v>2114</v>
      </c>
      <c r="S66" s="2462">
        <f>SUMIFS(T$5:T$38,$R$5:$R$38,$R66)</f>
        <v>-1048414.97602252</v>
      </c>
      <c r="T66" s="2480"/>
      <c r="U66" s="2480">
        <f>S66</f>
        <v>-1048414.97602252</v>
      </c>
      <c r="V66" s="2481"/>
    </row>
    <row r="67" spans="17:22">
      <c r="Q67" s="2459" t="s">
        <v>2142</v>
      </c>
      <c r="R67" s="2477" t="s">
        <v>2126</v>
      </c>
      <c r="S67" s="2462">
        <f>SUMIFS(T$5:T$38,$R$5:$R$38,$R67)</f>
        <v>-586870.61949151836</v>
      </c>
      <c r="T67" s="2480"/>
      <c r="U67" s="2480"/>
      <c r="V67" s="2482">
        <f>S67</f>
        <v>-586870.61949151836</v>
      </c>
    </row>
    <row r="68" spans="17:22">
      <c r="Q68" s="2459" t="s">
        <v>2143</v>
      </c>
      <c r="R68" s="2476" t="s">
        <v>678</v>
      </c>
      <c r="S68" s="2462">
        <f>SUMIFS(T$5:T$38,$R$5:$R$38,$R68)</f>
        <v>-2429851.8775439505</v>
      </c>
      <c r="T68" s="2480">
        <f>S68*$T$44</f>
        <v>-1703617.7483836145</v>
      </c>
      <c r="U68" s="2480">
        <f>S68*$U$44</f>
        <v>-503173.72680180124</v>
      </c>
      <c r="V68" s="2480">
        <f>S68*$V$44</f>
        <v>-223060.40235853466</v>
      </c>
    </row>
    <row r="69" spans="17:22">
      <c r="S69" s="2483"/>
      <c r="T69" s="2480"/>
      <c r="U69" s="2480"/>
      <c r="V69" s="2481"/>
    </row>
    <row r="70" spans="17:22">
      <c r="Q70" s="2459" t="s">
        <v>2141</v>
      </c>
      <c r="S70" s="2484">
        <f>SUM(S65:S68)</f>
        <v>-11222541.619087692</v>
      </c>
      <c r="T70" s="2484">
        <f>SUM(T65:T68)</f>
        <v>-8861021.8944133185</v>
      </c>
      <c r="U70" s="2484">
        <f>SUM(U65:U68)</f>
        <v>-1551588.7028243211</v>
      </c>
      <c r="V70" s="2484">
        <f>SUM(V65:V68)</f>
        <v>-809931.02185005299</v>
      </c>
    </row>
    <row r="71" spans="17:22">
      <c r="Q71" s="2476" t="s">
        <v>2144</v>
      </c>
      <c r="S71" s="2485">
        <f>T51-S70</f>
        <v>0</v>
      </c>
    </row>
    <row r="72" spans="17:22">
      <c r="Q72" s="2476" t="s">
        <v>2145</v>
      </c>
      <c r="S72" s="2485">
        <f>S70-T70-U70-V70</f>
        <v>0</v>
      </c>
      <c r="T72" s="2485"/>
      <c r="U72" s="2485"/>
    </row>
    <row r="74" spans="17:22">
      <c r="Q74" s="2478">
        <v>2025</v>
      </c>
      <c r="S74" s="2479" t="s">
        <v>24</v>
      </c>
      <c r="T74" s="2479" t="s">
        <v>729</v>
      </c>
      <c r="U74" s="2479" t="s">
        <v>786</v>
      </c>
      <c r="V74" s="2479" t="s">
        <v>965</v>
      </c>
    </row>
    <row r="75" spans="17:22">
      <c r="Q75" s="2459" t="s">
        <v>729</v>
      </c>
      <c r="R75" s="2476" t="s">
        <v>696</v>
      </c>
      <c r="S75" s="2462">
        <f>SUMIFS(U$5:U$38,$R$5:$R$38,$R75)</f>
        <v>-7157404.1460297033</v>
      </c>
      <c r="T75" s="2480">
        <f>S75</f>
        <v>-7157404.1460297033</v>
      </c>
      <c r="U75" s="2480"/>
      <c r="V75" s="2481"/>
    </row>
    <row r="76" spans="17:22">
      <c r="Q76" s="2459" t="s">
        <v>78</v>
      </c>
      <c r="R76" s="2476" t="s">
        <v>2114</v>
      </c>
      <c r="S76" s="2462">
        <f>SUMIFS(U$5:U$38,$R$5:$R$38,$R76)</f>
        <v>-1048414.97602252</v>
      </c>
      <c r="T76" s="2480"/>
      <c r="U76" s="2480">
        <f>S76</f>
        <v>-1048414.97602252</v>
      </c>
      <c r="V76" s="2481"/>
    </row>
    <row r="77" spans="17:22">
      <c r="Q77" s="2459" t="s">
        <v>2142</v>
      </c>
      <c r="R77" s="2477" t="s">
        <v>2126</v>
      </c>
      <c r="S77" s="2462">
        <f>SUMIFS(U$5:U$38,$R$5:$R$38,$R77)</f>
        <v>-586870.61949151836</v>
      </c>
      <c r="T77" s="2480"/>
      <c r="U77" s="2480"/>
      <c r="V77" s="2482">
        <f>S77</f>
        <v>-586870.61949151836</v>
      </c>
    </row>
    <row r="78" spans="17:22">
      <c r="Q78" s="2459" t="s">
        <v>2143</v>
      </c>
      <c r="R78" s="2476" t="s">
        <v>678</v>
      </c>
      <c r="S78" s="2462">
        <f>SUMIFS(U$5:U$38,$R$5:$R$38,$R78)</f>
        <v>-2429851.8775439505</v>
      </c>
      <c r="T78" s="2480">
        <f>S78*$T$44</f>
        <v>-1703617.7483836145</v>
      </c>
      <c r="U78" s="2480">
        <f>S78*$U$44</f>
        <v>-503173.72680180124</v>
      </c>
      <c r="V78" s="2480">
        <f>S78*$V$44</f>
        <v>-223060.40235853466</v>
      </c>
    </row>
    <row r="79" spans="17:22">
      <c r="S79" s="2483"/>
      <c r="T79" s="2480"/>
      <c r="U79" s="2480"/>
      <c r="V79" s="2481"/>
    </row>
    <row r="80" spans="17:22">
      <c r="Q80" s="2459" t="s">
        <v>2141</v>
      </c>
      <c r="S80" s="2484">
        <f>SUM(S75:S78)</f>
        <v>-11222541.619087692</v>
      </c>
      <c r="T80" s="2484">
        <f>SUM(T75:T78)</f>
        <v>-8861021.8944133185</v>
      </c>
      <c r="U80" s="2484">
        <f>SUM(U75:U78)</f>
        <v>-1551588.7028243211</v>
      </c>
      <c r="V80" s="2484">
        <f>SUM(V75:V78)</f>
        <v>-809931.02185005299</v>
      </c>
    </row>
    <row r="81" spans="17:22">
      <c r="Q81" s="2476" t="s">
        <v>2144</v>
      </c>
      <c r="S81" s="2485">
        <f>U51-S80</f>
        <v>0</v>
      </c>
    </row>
    <row r="82" spans="17:22">
      <c r="Q82" s="2476" t="s">
        <v>2145</v>
      </c>
      <c r="S82" s="2485">
        <f>S80-T80-U80-V80</f>
        <v>0</v>
      </c>
      <c r="T82" s="2485"/>
      <c r="U82" s="2485"/>
    </row>
    <row r="84" spans="17:22">
      <c r="Q84" s="2478">
        <v>2026</v>
      </c>
      <c r="S84" s="2479" t="s">
        <v>24</v>
      </c>
      <c r="T84" s="2479" t="s">
        <v>729</v>
      </c>
      <c r="U84" s="2479" t="s">
        <v>786</v>
      </c>
      <c r="V84" s="2479" t="s">
        <v>965</v>
      </c>
    </row>
    <row r="85" spans="17:22">
      <c r="Q85" s="2459" t="s">
        <v>729</v>
      </c>
      <c r="R85" s="2476" t="s">
        <v>696</v>
      </c>
      <c r="S85" s="2462">
        <f>SUMIFS(V$5:V$38,$R$5:$R$38,$R85)</f>
        <v>-6011370.8185297037</v>
      </c>
      <c r="T85" s="2480">
        <f>S85</f>
        <v>-6011370.8185297037</v>
      </c>
      <c r="U85" s="2480"/>
      <c r="V85" s="2481"/>
    </row>
    <row r="86" spans="17:22">
      <c r="Q86" s="2459" t="s">
        <v>78</v>
      </c>
      <c r="R86" s="2476" t="s">
        <v>2114</v>
      </c>
      <c r="S86" s="2462">
        <f>SUMIFS(V$5:V$38,$R$5:$R$38,$R86)</f>
        <v>-1048414.97602252</v>
      </c>
      <c r="T86" s="2480"/>
      <c r="U86" s="2480">
        <f>S86</f>
        <v>-1048414.97602252</v>
      </c>
      <c r="V86" s="2481"/>
    </row>
    <row r="87" spans="17:22">
      <c r="Q87" s="2459" t="s">
        <v>2142</v>
      </c>
      <c r="R87" s="2477" t="s">
        <v>2126</v>
      </c>
      <c r="S87" s="2462">
        <f>SUMIFS(V$5:V$38,$R$5:$R$38,$R87)</f>
        <v>-586870.61949151836</v>
      </c>
      <c r="T87" s="2480"/>
      <c r="U87" s="2480"/>
      <c r="V87" s="2482">
        <f>S87</f>
        <v>-586870.61949151836</v>
      </c>
    </row>
    <row r="88" spans="17:22">
      <c r="Q88" s="2459" t="s">
        <v>2143</v>
      </c>
      <c r="R88" s="2476" t="s">
        <v>678</v>
      </c>
      <c r="S88" s="2462">
        <f>SUMIFS(V$5:V$38,$R$5:$R$38,$R88)</f>
        <v>-2429851.8775439505</v>
      </c>
      <c r="T88" s="2480">
        <f>S88*$T$44</f>
        <v>-1703617.7483836145</v>
      </c>
      <c r="U88" s="2480">
        <f>S88*$U$44</f>
        <v>-503173.72680180124</v>
      </c>
      <c r="V88" s="2480">
        <f>S88*$V$44</f>
        <v>-223060.40235853466</v>
      </c>
    </row>
    <row r="89" spans="17:22">
      <c r="S89" s="2483"/>
      <c r="T89" s="2480"/>
      <c r="U89" s="2480"/>
      <c r="V89" s="2481"/>
    </row>
    <row r="90" spans="17:22">
      <c r="Q90" s="2459" t="s">
        <v>2141</v>
      </c>
      <c r="S90" s="2484">
        <f>SUM(S85:S88)</f>
        <v>-10076508.291587692</v>
      </c>
      <c r="T90" s="2484">
        <f>SUM(T85:T88)</f>
        <v>-7714988.5669133179</v>
      </c>
      <c r="U90" s="2484">
        <f>SUM(U85:U88)</f>
        <v>-1551588.7028243211</v>
      </c>
      <c r="V90" s="2484">
        <f>SUM(V85:V88)</f>
        <v>-809931.02185005299</v>
      </c>
    </row>
    <row r="91" spans="17:22">
      <c r="Q91" s="2476" t="s">
        <v>2144</v>
      </c>
      <c r="S91" s="2485">
        <f>V51-S90</f>
        <v>0</v>
      </c>
    </row>
    <row r="92" spans="17:22">
      <c r="Q92" s="2476" t="s">
        <v>2145</v>
      </c>
      <c r="S92" s="2485">
        <f>S90-T90-U90-V90</f>
        <v>0</v>
      </c>
      <c r="T92" s="2485"/>
      <c r="U92" s="248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5546875" defaultRowHeight="12.75"/>
  <cols>
    <col min="1" max="1" width="66.28515625" style="477" customWidth="1"/>
    <col min="2" max="2" width="50" style="477" customWidth="1"/>
    <col min="3" max="3" width="12.28515625" style="477" bestFit="1" customWidth="1"/>
    <col min="4" max="4" width="11.5703125" style="477" bestFit="1" customWidth="1"/>
    <col min="5" max="6" width="8.85546875" style="477"/>
    <col min="7" max="7" width="1.7109375" style="1008" customWidth="1"/>
    <col min="8" max="8" width="8.85546875" style="477"/>
    <col min="9" max="9" width="23.42578125" style="477" bestFit="1" customWidth="1"/>
    <col min="10" max="12" width="13.7109375" style="477" bestFit="1" customWidth="1"/>
    <col min="13" max="13" width="13.28515625" style="477" bestFit="1" customWidth="1"/>
    <col min="14" max="14" width="14.28515625" style="477" customWidth="1"/>
    <col min="15" max="15" width="14.140625" style="477" customWidth="1"/>
    <col min="16" max="16" width="15.7109375" style="477" bestFit="1" customWidth="1"/>
    <col min="17" max="17" width="16.7109375" style="477" customWidth="1"/>
    <col min="18" max="18" width="11.5703125" style="477" bestFit="1" customWidth="1"/>
    <col min="19" max="19" width="12.28515625" style="477" bestFit="1" customWidth="1"/>
    <col min="20" max="20" width="14" style="477" customWidth="1"/>
    <col min="21" max="21" width="12.5703125" style="477" customWidth="1"/>
    <col min="22" max="22" width="14.28515625" style="477" customWidth="1"/>
    <col min="23" max="23" width="1.7109375" style="1008" customWidth="1"/>
    <col min="24" max="24" width="8.85546875" style="477"/>
    <col min="25" max="25" width="7" style="477" bestFit="1" customWidth="1"/>
    <col min="26" max="26" width="26.85546875" style="477" bestFit="1" customWidth="1"/>
    <col min="27" max="27" width="14.28515625" style="477" bestFit="1" customWidth="1"/>
    <col min="28" max="28" width="13.7109375" style="477" customWidth="1"/>
    <col min="29" max="29" width="14.28515625" style="477" bestFit="1" customWidth="1"/>
    <col min="30" max="30" width="13.7109375" style="477" customWidth="1"/>
    <col min="31" max="31" width="14.28515625" style="477" bestFit="1" customWidth="1"/>
    <col min="32" max="32" width="3.140625" style="477" customWidth="1"/>
    <col min="33" max="33" width="13.7109375" style="477" bestFit="1" customWidth="1"/>
    <col min="34" max="34" width="11.28515625" style="477" bestFit="1" customWidth="1"/>
    <col min="35" max="35" width="13.28515625" style="477" bestFit="1" customWidth="1"/>
    <col min="36" max="36" width="12.28515625" style="477" bestFit="1" customWidth="1"/>
    <col min="37" max="37" width="14.28515625" style="477" bestFit="1" customWidth="1"/>
    <col min="38" max="38" width="8.85546875" style="477"/>
    <col min="39" max="39" width="1.7109375" style="1008" customWidth="1"/>
    <col min="40" max="40" width="8.85546875" style="477"/>
    <col min="41" max="41" width="46.140625" style="477" bestFit="1" customWidth="1"/>
    <col min="42" max="42" width="12.5703125" style="2492" bestFit="1" customWidth="1"/>
    <col min="43" max="43" width="12" style="477" bestFit="1" customWidth="1"/>
    <col min="44" max="44" width="12.28515625" style="477" bestFit="1" customWidth="1"/>
    <col min="45" max="45" width="8.85546875" style="477"/>
    <col min="46" max="46" width="1.7109375" style="1008" customWidth="1"/>
    <col min="47" max="47" width="8.85546875" style="477"/>
    <col min="48" max="48" width="28.28515625" style="477" bestFit="1" customWidth="1"/>
    <col min="49" max="49" width="32.28515625" style="477" bestFit="1" customWidth="1"/>
    <col min="50" max="51" width="13.140625" style="477" bestFit="1" customWidth="1"/>
    <col min="52" max="53" width="9.28515625" style="477" bestFit="1" customWidth="1"/>
    <col min="54" max="58" width="10.85546875" style="477" bestFit="1" customWidth="1"/>
    <col min="59" max="72" width="12" style="477" bestFit="1" customWidth="1"/>
    <col min="73" max="73" width="10.85546875" style="477" bestFit="1" customWidth="1"/>
    <col min="74" max="16384" width="8.85546875" style="477"/>
  </cols>
  <sheetData>
    <row r="1" spans="1:73" ht="15.75" thickBot="1">
      <c r="A1" s="2486" t="s">
        <v>2147</v>
      </c>
      <c r="B1" s="1230"/>
      <c r="C1" s="2101" t="s">
        <v>729</v>
      </c>
      <c r="D1" s="2101" t="s">
        <v>787</v>
      </c>
      <c r="I1" s="3863" t="s">
        <v>2148</v>
      </c>
      <c r="J1" s="3864"/>
      <c r="K1" s="3864"/>
      <c r="L1" s="3864"/>
      <c r="M1" s="3864"/>
      <c r="N1" s="3865"/>
      <c r="O1" s="2083"/>
      <c r="P1" s="3863" t="s">
        <v>2149</v>
      </c>
      <c r="Q1" s="3864"/>
      <c r="R1" s="3864"/>
      <c r="S1" s="3864"/>
      <c r="T1" s="3864"/>
      <c r="U1" s="3865"/>
      <c r="V1" s="2083"/>
      <c r="Z1" s="477" t="s">
        <v>2150</v>
      </c>
      <c r="AA1" s="2487">
        <v>21307531</v>
      </c>
      <c r="AB1" s="2487">
        <v>2267372</v>
      </c>
      <c r="AC1" s="2487">
        <v>29765007.130000003</v>
      </c>
      <c r="AD1" s="2487">
        <v>-2257284</v>
      </c>
      <c r="AE1" s="2487">
        <f>SUM(AA1:AD1)</f>
        <v>51082626.130000003</v>
      </c>
      <c r="AG1" s="2488">
        <v>4410569</v>
      </c>
      <c r="AH1" s="2488">
        <v>826169</v>
      </c>
      <c r="AI1" s="2488">
        <v>10360807.609999999</v>
      </c>
      <c r="AJ1" s="2488">
        <v>-151495</v>
      </c>
      <c r="AK1" s="888">
        <f>SUM(AG1:AJ1)</f>
        <v>15446050.609999999</v>
      </c>
      <c r="AP1" s="2489" t="s">
        <v>443</v>
      </c>
    </row>
    <row r="2" spans="1:73" ht="15.75" thickBot="1">
      <c r="C2" s="2488"/>
      <c r="D2" s="2488"/>
      <c r="E2" s="2488"/>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489" t="s">
        <v>2155</v>
      </c>
      <c r="AQ2" s="2083" t="s">
        <v>2148</v>
      </c>
      <c r="AR2" s="2083" t="s">
        <v>2149</v>
      </c>
      <c r="BB2" s="2490">
        <v>2862618.4027386275</v>
      </c>
      <c r="BC2" s="477" t="s">
        <v>2156</v>
      </c>
    </row>
    <row r="3" spans="1:73" ht="15.75" thickBot="1">
      <c r="A3" s="2102" t="s">
        <v>2157</v>
      </c>
      <c r="B3" s="1230" t="s">
        <v>2158</v>
      </c>
      <c r="C3" s="2491">
        <f>'G-3.04,5.01 PF AMI'!M149</f>
        <v>31962210.333651185</v>
      </c>
      <c r="D3" s="2491">
        <f>'G-3.04,5.01 PF AMI'!T149</f>
        <v>9063052.6096567865</v>
      </c>
      <c r="E3" s="2488"/>
      <c r="I3" s="477" t="s">
        <v>744</v>
      </c>
      <c r="J3" s="2488"/>
      <c r="K3" s="2488">
        <f>'G-3.04,5.01 PF AMI'!AE6</f>
        <v>45754371.030000001</v>
      </c>
      <c r="L3" s="2488"/>
      <c r="M3" s="2488">
        <f t="shared" ref="M3:M66" si="0">K3*-0.21</f>
        <v>-9608417.9163000006</v>
      </c>
      <c r="P3" s="477" t="s">
        <v>744</v>
      </c>
      <c r="Q3" s="2488"/>
      <c r="R3" s="2488">
        <f>'G-3.04,5.01 PF AMI'!AK6</f>
        <v>13064525.09</v>
      </c>
      <c r="S3" s="2488"/>
      <c r="T3" s="2488">
        <f t="shared" ref="T3:T66" si="1">R3*-0.21</f>
        <v>-2743550.2689</v>
      </c>
      <c r="AA3" s="3863" t="s">
        <v>729</v>
      </c>
      <c r="AB3" s="3864"/>
      <c r="AC3" s="3864"/>
      <c r="AD3" s="3864"/>
      <c r="AE3" s="3865"/>
      <c r="AF3" s="2083"/>
      <c r="AG3" s="3863" t="s">
        <v>434</v>
      </c>
      <c r="AH3" s="3864"/>
      <c r="AI3" s="3864"/>
      <c r="AJ3" s="3864"/>
      <c r="AK3" s="3865"/>
      <c r="AV3" s="2493" t="s">
        <v>2159</v>
      </c>
      <c r="AW3" s="2493"/>
      <c r="AX3" s="2493"/>
      <c r="AY3" s="2493"/>
      <c r="AZ3" s="2493"/>
      <c r="BA3" s="2493"/>
    </row>
    <row r="4" spans="1:73" ht="15">
      <c r="A4" s="477" t="s">
        <v>2160</v>
      </c>
      <c r="C4" s="2488"/>
      <c r="D4" s="2488"/>
      <c r="E4" s="2488"/>
      <c r="I4" s="2494">
        <v>44500</v>
      </c>
      <c r="J4" s="2488">
        <f>-'G-3.04,5.01 PF AMI'!AE45</f>
        <v>-357221.16174825176</v>
      </c>
      <c r="K4" s="2488">
        <f t="shared" ref="K4:K67" si="2">J4+K3</f>
        <v>45397149.868251748</v>
      </c>
      <c r="L4" s="2488"/>
      <c r="M4" s="2488">
        <f t="shared" si="0"/>
        <v>-9533401.4723328669</v>
      </c>
      <c r="P4" s="2494">
        <v>44500</v>
      </c>
      <c r="Q4" s="2488">
        <f>-'G-3.04,5.01 PF AMI'!AK45</f>
        <v>-108014.33993006992</v>
      </c>
      <c r="R4" s="2488">
        <f t="shared" ref="R4:R67" si="3">Q4+R3</f>
        <v>12956510.750069929</v>
      </c>
      <c r="S4" s="2488"/>
      <c r="T4" s="2488">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492">
        <f>'G-3.04,5.01 PF AMI'!BF55</f>
        <v>6516474.2251543403</v>
      </c>
    </row>
    <row r="5" spans="1:73" ht="90">
      <c r="A5" s="477" t="s">
        <v>2162</v>
      </c>
      <c r="C5" s="2488"/>
      <c r="D5" s="2488"/>
      <c r="E5" s="2488"/>
      <c r="I5" s="2494">
        <v>44530</v>
      </c>
      <c r="J5" s="2488">
        <f>-'G-3.04,5.01 PF AMI'!AE46</f>
        <v>-357221.16174825176</v>
      </c>
      <c r="K5" s="2488">
        <f t="shared" si="2"/>
        <v>45039928.706503496</v>
      </c>
      <c r="L5" s="2488"/>
      <c r="M5" s="2488">
        <f t="shared" si="0"/>
        <v>-9458385.0283657331</v>
      </c>
      <c r="P5" s="2494">
        <v>44530</v>
      </c>
      <c r="Q5" s="2488">
        <f>-'G-3.04,5.01 PF AMI'!AK46</f>
        <v>-108014.33993006992</v>
      </c>
      <c r="R5" s="2488">
        <f t="shared" si="3"/>
        <v>12848496.410139859</v>
      </c>
      <c r="S5" s="2488"/>
      <c r="T5" s="2488">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492">
        <f>'G-3.04,5.01 PF AMI'!BG55</f>
        <v>9126478.2411252502</v>
      </c>
      <c r="AV5" s="2495" t="s">
        <v>2169</v>
      </c>
      <c r="AW5" s="950"/>
      <c r="AX5" s="2495" t="s">
        <v>2170</v>
      </c>
      <c r="AY5" s="2495" t="s">
        <v>2171</v>
      </c>
      <c r="AZ5" s="2495">
        <v>2016</v>
      </c>
      <c r="BA5" s="2495">
        <v>2017</v>
      </c>
      <c r="BB5" s="2495">
        <v>2018</v>
      </c>
      <c r="BC5" s="2495">
        <v>2019</v>
      </c>
      <c r="BD5" s="2495">
        <v>2020</v>
      </c>
      <c r="BE5" s="2495">
        <v>2021</v>
      </c>
      <c r="BF5" s="2495">
        <v>2022</v>
      </c>
      <c r="BG5" s="2495">
        <v>2023</v>
      </c>
      <c r="BH5" s="2495">
        <v>2024</v>
      </c>
      <c r="BI5" s="2495">
        <v>2025</v>
      </c>
      <c r="BJ5" s="2495">
        <v>2026</v>
      </c>
      <c r="BK5" s="2495">
        <v>2027</v>
      </c>
      <c r="BL5" s="2495">
        <v>2028</v>
      </c>
      <c r="BM5" s="2495">
        <v>2029</v>
      </c>
      <c r="BN5" s="2495">
        <v>2030</v>
      </c>
      <c r="BO5" s="2495">
        <v>2031</v>
      </c>
      <c r="BP5" s="2495">
        <v>2032</v>
      </c>
      <c r="BQ5" s="2495">
        <v>2033</v>
      </c>
      <c r="BR5" s="2495">
        <v>2034</v>
      </c>
      <c r="BS5" s="2495">
        <v>2035</v>
      </c>
      <c r="BT5" s="2495">
        <v>2036</v>
      </c>
      <c r="BU5" s="2495">
        <v>2037</v>
      </c>
    </row>
    <row r="6" spans="1:73" ht="15">
      <c r="A6" s="477" t="s">
        <v>2172</v>
      </c>
      <c r="B6" s="477" t="s">
        <v>2173</v>
      </c>
      <c r="C6" s="2496">
        <f>'G-3.04,5.01 PF AMI'!M150</f>
        <v>-7528909.7867421545</v>
      </c>
      <c r="D6" s="2496">
        <f>'G-3.04,5.01 PF AMI'!T150</f>
        <v>-2141033.238508299</v>
      </c>
      <c r="E6" s="2496" t="s">
        <v>2174</v>
      </c>
      <c r="F6" s="2497"/>
      <c r="I6" s="2494">
        <v>44561</v>
      </c>
      <c r="J6" s="2488">
        <f>-'G-3.04,5.01 PF AMI'!AE47</f>
        <v>-357221.16174825176</v>
      </c>
      <c r="K6" s="2488">
        <f t="shared" si="2"/>
        <v>44682707.544755243</v>
      </c>
      <c r="L6" s="2488"/>
      <c r="M6" s="2488">
        <f t="shared" si="0"/>
        <v>-9383368.5843986012</v>
      </c>
      <c r="P6" s="2494">
        <v>44561</v>
      </c>
      <c r="Q6" s="2488">
        <f>-'G-3.04,5.01 PF AMI'!AK47</f>
        <v>-108014.33993006992</v>
      </c>
      <c r="R6" s="2488">
        <f t="shared" si="3"/>
        <v>12740482.070209788</v>
      </c>
      <c r="S6" s="2488"/>
      <c r="T6" s="2488">
        <f t="shared" si="1"/>
        <v>-2675501.2347440552</v>
      </c>
      <c r="Z6" s="477" t="s">
        <v>2175</v>
      </c>
      <c r="AA6" s="2487">
        <v>20369298</v>
      </c>
      <c r="AB6" s="2487">
        <v>1416996.95</v>
      </c>
      <c r="AC6" s="2487">
        <v>26272192.699999999</v>
      </c>
      <c r="AD6" s="2487">
        <v>-2304116.62</v>
      </c>
      <c r="AE6" s="2487">
        <f>SUM(AA6:AD6)</f>
        <v>45754371.030000001</v>
      </c>
      <c r="AF6" s="2487"/>
      <c r="AG6" s="2487">
        <v>4107087</v>
      </c>
      <c r="AH6" s="2487">
        <v>500540.57</v>
      </c>
      <c r="AI6" s="2487">
        <v>8724633.7699999996</v>
      </c>
      <c r="AJ6" s="2487">
        <v>-267736.25</v>
      </c>
      <c r="AK6" s="2487">
        <f>SUM(AG6:AJ6)</f>
        <v>13064525.09</v>
      </c>
      <c r="AQ6" s="1140"/>
      <c r="AR6" s="1140"/>
    </row>
    <row r="7" spans="1:73" ht="15.75" thickBot="1">
      <c r="A7" s="477" t="s">
        <v>2176</v>
      </c>
      <c r="C7" s="2488"/>
      <c r="D7" s="2488"/>
      <c r="E7" s="2488"/>
      <c r="I7" s="2494">
        <v>44592</v>
      </c>
      <c r="J7" s="2488">
        <f>-'G-3.04,5.01 PF AMI'!AE48</f>
        <v>-357221.16174825176</v>
      </c>
      <c r="K7" s="2488">
        <f t="shared" si="2"/>
        <v>44325486.38300699</v>
      </c>
      <c r="L7" s="2488"/>
      <c r="M7" s="2488">
        <f t="shared" si="0"/>
        <v>-9308352.1404314674</v>
      </c>
      <c r="P7" s="2494">
        <v>44592</v>
      </c>
      <c r="Q7" s="2488">
        <f>-'G-3.04,5.01 PF AMI'!AK48</f>
        <v>-108014.33993006992</v>
      </c>
      <c r="R7" s="2488">
        <f t="shared" si="3"/>
        <v>12632467.730279718</v>
      </c>
      <c r="S7" s="2488"/>
      <c r="T7" s="2488">
        <f t="shared" si="1"/>
        <v>-2652818.2233587406</v>
      </c>
      <c r="AA7" s="2487"/>
      <c r="AB7" s="2487"/>
      <c r="AC7" s="2487"/>
      <c r="AD7" s="2487"/>
      <c r="AE7" s="2487"/>
      <c r="AF7" s="2487"/>
      <c r="AG7" s="2487"/>
      <c r="AH7" s="2487"/>
      <c r="AI7" s="2487"/>
      <c r="AJ7" s="2487"/>
      <c r="AK7" s="2487"/>
      <c r="AO7" s="477" t="s">
        <v>2177</v>
      </c>
      <c r="AP7" s="2492">
        <f>(AP4*6/12)+(AP5*6/12)</f>
        <v>7821476.2331397953</v>
      </c>
      <c r="AQ7" s="2498">
        <f>AP7*0.75</f>
        <v>5866107.1748548467</v>
      </c>
      <c r="AR7" s="2498">
        <f>AP7*0.25</f>
        <v>1955369.0582849488</v>
      </c>
      <c r="AV7" s="1230" t="s">
        <v>2178</v>
      </c>
    </row>
    <row r="8" spans="1:73" ht="15.75" thickBot="1">
      <c r="A8" s="1230" t="s">
        <v>2179</v>
      </c>
      <c r="B8" s="1230" t="s">
        <v>2180</v>
      </c>
      <c r="C8" s="2499">
        <f>SUM(C3:C7)</f>
        <v>24433300.546909031</v>
      </c>
      <c r="D8" s="2499">
        <f>SUM(D3:D7)</f>
        <v>6922019.3711484876</v>
      </c>
      <c r="E8" s="2488"/>
      <c r="I8" s="2494">
        <v>44620</v>
      </c>
      <c r="J8" s="2488">
        <f>-'G-3.04,5.01 PF AMI'!AE49</f>
        <v>-357221.16174825176</v>
      </c>
      <c r="K8" s="2488">
        <f t="shared" si="2"/>
        <v>43968265.221258737</v>
      </c>
      <c r="L8" s="2488"/>
      <c r="M8" s="2488">
        <f t="shared" si="0"/>
        <v>-9233335.6964643337</v>
      </c>
      <c r="P8" s="2494">
        <v>44620</v>
      </c>
      <c r="Q8" s="2488">
        <f>-'G-3.04,5.01 PF AMI'!AK49</f>
        <v>-108014.33993006992</v>
      </c>
      <c r="R8" s="2488">
        <f t="shared" si="3"/>
        <v>12524453.390349647</v>
      </c>
      <c r="S8" s="2488"/>
      <c r="T8" s="2488">
        <f t="shared" si="1"/>
        <v>-2630135.2119734259</v>
      </c>
      <c r="Y8" s="477">
        <v>1</v>
      </c>
      <c r="Z8" s="477">
        <v>201809</v>
      </c>
      <c r="AA8" s="2487"/>
      <c r="AB8" s="2487"/>
      <c r="AC8" s="2487"/>
      <c r="AD8" s="2487"/>
      <c r="AE8" s="2487"/>
      <c r="AF8" s="2487"/>
      <c r="AG8" s="2487"/>
      <c r="AH8" s="2487"/>
      <c r="AI8" s="2487"/>
      <c r="AJ8" s="2487"/>
      <c r="AK8" s="2487"/>
      <c r="AQ8" s="1140"/>
      <c r="AR8" s="1140"/>
      <c r="AV8" s="1230"/>
      <c r="AW8" s="477" t="s">
        <v>2181</v>
      </c>
      <c r="AX8" s="1210">
        <v>57383155.35846632</v>
      </c>
      <c r="AY8" s="1210">
        <v>132405573.00601076</v>
      </c>
      <c r="AZ8" s="1210">
        <v>280175</v>
      </c>
      <c r="BA8" s="1210">
        <v>369752.77120000031</v>
      </c>
      <c r="BB8" s="2490">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5">
      <c r="C9" s="2488"/>
      <c r="D9" s="2488"/>
      <c r="E9" s="2488"/>
      <c r="I9" s="2494">
        <v>44651</v>
      </c>
      <c r="J9" s="2488">
        <f>-'G-3.04,5.01 PF AMI'!AE50</f>
        <v>-357221.16174825176</v>
      </c>
      <c r="K9" s="2488">
        <f t="shared" si="2"/>
        <v>43611044.059510484</v>
      </c>
      <c r="L9" s="2488"/>
      <c r="M9" s="2488">
        <f t="shared" si="0"/>
        <v>-9158319.2524972018</v>
      </c>
      <c r="P9" s="2494">
        <v>44651</v>
      </c>
      <c r="Q9" s="2488">
        <f>-'G-3.04,5.01 PF AMI'!AK50</f>
        <v>-108014.33993006992</v>
      </c>
      <c r="R9" s="2488">
        <f t="shared" si="3"/>
        <v>12416439.050419576</v>
      </c>
      <c r="S9" s="2488"/>
      <c r="T9" s="2488">
        <f t="shared" si="1"/>
        <v>-2607452.2005881108</v>
      </c>
      <c r="Y9" s="477">
        <v>2</v>
      </c>
      <c r="Z9" s="477">
        <v>201810</v>
      </c>
      <c r="AA9" s="2487"/>
      <c r="AB9" s="2487"/>
      <c r="AC9" s="2487"/>
      <c r="AD9" s="2487"/>
      <c r="AE9" s="2487"/>
      <c r="AF9" s="2487"/>
      <c r="AG9" s="2487"/>
      <c r="AH9" s="2487"/>
      <c r="AI9" s="2487"/>
      <c r="AJ9" s="2487"/>
      <c r="AK9" s="2487"/>
      <c r="AO9" s="477" t="s">
        <v>2182</v>
      </c>
      <c r="AP9" s="2500">
        <f>'G-3.04,5.01 PF AMI'!BI55</f>
        <v>10583688.338130785</v>
      </c>
      <c r="AQ9" s="2501">
        <f>AP9*0.75</f>
        <v>7937766.2535980884</v>
      </c>
      <c r="AR9" s="2501">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75" thickBot="1">
      <c r="C10" s="2488"/>
      <c r="D10" s="2488"/>
      <c r="E10" s="2488"/>
      <c r="I10" s="2494">
        <v>44681</v>
      </c>
      <c r="J10" s="2488">
        <f>-'G-3.04,5.01 PF AMI'!AE51</f>
        <v>-357221.16174825176</v>
      </c>
      <c r="K10" s="2488">
        <f t="shared" si="2"/>
        <v>43253822.897762232</v>
      </c>
      <c r="L10" s="2488"/>
      <c r="M10" s="2488">
        <f t="shared" si="0"/>
        <v>-9083302.808530068</v>
      </c>
      <c r="P10" s="2494">
        <v>44681</v>
      </c>
      <c r="Q10" s="2488">
        <f>-'G-3.04,5.01 PF AMI'!AK51</f>
        <v>-108014.33993006992</v>
      </c>
      <c r="R10" s="2488">
        <f t="shared" si="3"/>
        <v>12308424.710489506</v>
      </c>
      <c r="S10" s="2488"/>
      <c r="T10" s="2488">
        <f t="shared" si="1"/>
        <v>-2584769.1892027962</v>
      </c>
      <c r="Y10" s="477">
        <v>3</v>
      </c>
      <c r="Z10" s="477">
        <v>201811</v>
      </c>
      <c r="AA10" s="2487"/>
      <c r="AB10" s="2487"/>
      <c r="AC10" s="2487"/>
      <c r="AD10" s="2487"/>
      <c r="AE10" s="2487"/>
      <c r="AF10" s="2487"/>
      <c r="AG10" s="2487"/>
      <c r="AH10" s="2487"/>
      <c r="AI10" s="2487"/>
      <c r="AJ10" s="2487"/>
      <c r="AK10" s="2487"/>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75" thickBot="1">
      <c r="A11" s="2102" t="s">
        <v>2185</v>
      </c>
      <c r="B11" s="1230" t="s">
        <v>2186</v>
      </c>
      <c r="C11" s="2491">
        <f>-'G-3.04,5.01 PF AMI'!N149</f>
        <v>4036891.9831665209</v>
      </c>
      <c r="D11" s="2491">
        <f>-'G-3.04,5.01 PF AMI'!U149</f>
        <v>1184538.070410839</v>
      </c>
      <c r="E11" s="2488"/>
      <c r="I11" s="2494">
        <v>44712</v>
      </c>
      <c r="J11" s="2488">
        <f>-'G-3.04,5.01 PF AMI'!AE52</f>
        <v>-357221.16174825176</v>
      </c>
      <c r="K11" s="2488">
        <f t="shared" si="2"/>
        <v>42896601.736013979</v>
      </c>
      <c r="L11" s="2488"/>
      <c r="M11" s="2488">
        <f t="shared" si="0"/>
        <v>-9008286.3645629361</v>
      </c>
      <c r="P11" s="2494">
        <v>44712</v>
      </c>
      <c r="Q11" s="2488">
        <f>-'G-3.04,5.01 PF AMI'!AK52</f>
        <v>-108014.33993006992</v>
      </c>
      <c r="R11" s="2488">
        <f t="shared" si="3"/>
        <v>12200410.370559435</v>
      </c>
      <c r="S11" s="2488"/>
      <c r="T11" s="2488">
        <f t="shared" si="1"/>
        <v>-2562086.1778174811</v>
      </c>
      <c r="Y11" s="477">
        <v>4</v>
      </c>
      <c r="Z11" s="477">
        <v>201812</v>
      </c>
      <c r="AA11" s="2487"/>
      <c r="AB11" s="2487"/>
      <c r="AC11" s="2487"/>
      <c r="AD11" s="2487"/>
      <c r="AE11" s="2487"/>
      <c r="AF11" s="2487"/>
      <c r="AG11" s="2487"/>
      <c r="AH11" s="2487"/>
      <c r="AI11" s="2487"/>
      <c r="AJ11" s="2487"/>
      <c r="AK11" s="2487"/>
      <c r="AO11" s="477" t="s">
        <v>2187</v>
      </c>
      <c r="AP11" s="2502">
        <f>AP7-AP9</f>
        <v>-2762212.1049909899</v>
      </c>
      <c r="AQ11" s="2503">
        <f>AQ7-AQ9</f>
        <v>-2071659.0787432417</v>
      </c>
      <c r="AR11" s="2503">
        <f>AR7-AR9</f>
        <v>-690553.02624774748</v>
      </c>
      <c r="AV11" s="2504"/>
      <c r="AW11" s="2505" t="s">
        <v>24</v>
      </c>
      <c r="AX11" s="2506">
        <f t="shared" ref="AX11:BU11" si="4">SUM(AX8:AX10)</f>
        <v>60165280.438762151</v>
      </c>
      <c r="AY11" s="2506">
        <f t="shared" si="4"/>
        <v>138606351.08805114</v>
      </c>
      <c r="AZ11" s="2506">
        <f t="shared" si="4"/>
        <v>280175</v>
      </c>
      <c r="BA11" s="2506">
        <f t="shared" si="4"/>
        <v>369752.77120000031</v>
      </c>
      <c r="BB11" s="2506">
        <f t="shared" si="4"/>
        <v>580538.65811706323</v>
      </c>
      <c r="BC11" s="2506">
        <f t="shared" si="4"/>
        <v>1734846.3392341929</v>
      </c>
      <c r="BD11" s="2506">
        <f t="shared" si="4"/>
        <v>4500174.96023551</v>
      </c>
      <c r="BE11" s="2506">
        <f t="shared" si="4"/>
        <v>4578575.2578889448</v>
      </c>
      <c r="BF11" s="2506">
        <f t="shared" si="4"/>
        <v>4660664.4001767561</v>
      </c>
      <c r="BG11" s="2506">
        <f t="shared" si="4"/>
        <v>6521082.5632488672</v>
      </c>
      <c r="BH11" s="2506">
        <f t="shared" si="4"/>
        <v>6934325.4349609483</v>
      </c>
      <c r="BI11" s="2506">
        <f t="shared" si="4"/>
        <v>7201327.2297762791</v>
      </c>
      <c r="BJ11" s="2506">
        <f t="shared" si="4"/>
        <v>7478777.8391360966</v>
      </c>
      <c r="BK11" s="2506">
        <f t="shared" si="4"/>
        <v>7767088.4012755258</v>
      </c>
      <c r="BL11" s="2506">
        <f t="shared" si="4"/>
        <v>8066686.7104443721</v>
      </c>
      <c r="BM11" s="2506">
        <f t="shared" si="4"/>
        <v>8378017.8771893904</v>
      </c>
      <c r="BN11" s="2506">
        <f t="shared" si="4"/>
        <v>8518264.5222944412</v>
      </c>
      <c r="BO11" s="2506">
        <f t="shared" si="4"/>
        <v>8850266.7448786628</v>
      </c>
      <c r="BP11" s="2506">
        <f t="shared" si="4"/>
        <v>9195332.012391381</v>
      </c>
      <c r="BQ11" s="2506">
        <f t="shared" si="4"/>
        <v>9553976.5821136609</v>
      </c>
      <c r="BR11" s="2506">
        <f t="shared" si="4"/>
        <v>9926736.647269005</v>
      </c>
      <c r="BS11" s="2506">
        <f t="shared" si="4"/>
        <v>10314170.168235619</v>
      </c>
      <c r="BT11" s="2506">
        <f t="shared" si="4"/>
        <v>10716858.736804226</v>
      </c>
      <c r="BU11" s="2506">
        <f t="shared" si="4"/>
        <v>2478712.2311801822</v>
      </c>
    </row>
    <row r="12" spans="1:73" ht="15">
      <c r="C12" s="2507"/>
      <c r="D12" s="2488"/>
      <c r="E12" s="2507"/>
      <c r="I12" s="2494">
        <v>44742</v>
      </c>
      <c r="J12" s="2488">
        <f>-'G-3.04,5.01 PF AMI'!AE53</f>
        <v>-357221.16174825176</v>
      </c>
      <c r="K12" s="2488">
        <f t="shared" si="2"/>
        <v>42539380.574265726</v>
      </c>
      <c r="L12" s="2488"/>
      <c r="M12" s="2488">
        <f t="shared" si="0"/>
        <v>-8933269.9205958024</v>
      </c>
      <c r="P12" s="2494">
        <v>44742</v>
      </c>
      <c r="Q12" s="2488">
        <f>-'G-3.04,5.01 PF AMI'!AK53</f>
        <v>-108014.33993006992</v>
      </c>
      <c r="R12" s="2488">
        <f t="shared" si="3"/>
        <v>12092396.030629365</v>
      </c>
      <c r="S12" s="2488"/>
      <c r="T12" s="2488">
        <f t="shared" si="1"/>
        <v>-2539403.1664321665</v>
      </c>
      <c r="Y12" s="477">
        <v>5</v>
      </c>
      <c r="Z12" s="477">
        <v>201901</v>
      </c>
      <c r="AA12" s="2487"/>
      <c r="AB12" s="2487"/>
      <c r="AC12" s="2487"/>
      <c r="AD12" s="2487"/>
      <c r="AE12" s="2487"/>
      <c r="AF12" s="2487"/>
      <c r="AG12" s="2487"/>
      <c r="AH12" s="2487"/>
      <c r="AI12" s="2487"/>
      <c r="AJ12" s="2487"/>
      <c r="AK12" s="2487"/>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75" thickBot="1">
      <c r="A13" s="477" t="s">
        <v>2188</v>
      </c>
      <c r="B13" s="477" t="s">
        <v>2189</v>
      </c>
      <c r="C13" s="2496">
        <f>-'G-3.04,5.01 PF AMI'!N150</f>
        <v>-249761.95781250019</v>
      </c>
      <c r="D13" s="2508">
        <f>-'G-3.04,5.01 PF AMI'!U150</f>
        <v>-111634.00875000004</v>
      </c>
      <c r="E13" s="2496" t="s">
        <v>2190</v>
      </c>
      <c r="I13" s="2494">
        <v>44773</v>
      </c>
      <c r="J13" s="2509">
        <f>-'G-3.04,5.01 PF AMI'!AE54</f>
        <v>-357221.16174825176</v>
      </c>
      <c r="K13" s="2488">
        <f t="shared" si="2"/>
        <v>42182159.412517473</v>
      </c>
      <c r="L13" s="2488"/>
      <c r="M13" s="2488">
        <f t="shared" si="0"/>
        <v>-8858253.4766286686</v>
      </c>
      <c r="P13" s="2494">
        <v>44773</v>
      </c>
      <c r="Q13" s="2509">
        <f>-'G-3.04,5.01 PF AMI'!AK54</f>
        <v>-108014.33993006992</v>
      </c>
      <c r="R13" s="2488">
        <f t="shared" si="3"/>
        <v>11984381.690699294</v>
      </c>
      <c r="S13" s="2488"/>
      <c r="T13" s="2488">
        <f t="shared" si="1"/>
        <v>-2516720.1550468518</v>
      </c>
      <c r="Y13" s="477">
        <v>6</v>
      </c>
      <c r="Z13" s="477">
        <v>201902</v>
      </c>
      <c r="AA13" s="2487"/>
      <c r="AB13" s="2487"/>
      <c r="AC13" s="2487"/>
      <c r="AD13" s="2487"/>
      <c r="AE13" s="2487"/>
      <c r="AF13" s="2487"/>
      <c r="AG13" s="2487"/>
      <c r="AH13" s="2487"/>
      <c r="AI13" s="2487"/>
      <c r="AJ13" s="2487"/>
      <c r="AK13" s="2487"/>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75" thickBot="1">
      <c r="A14" s="1230"/>
      <c r="B14" s="1230" t="s">
        <v>2192</v>
      </c>
      <c r="C14" s="2510">
        <f>C11+C13</f>
        <v>3787130.0253540208</v>
      </c>
      <c r="D14" s="2510">
        <f>D11+D13</f>
        <v>1072904.061660839</v>
      </c>
      <c r="E14" s="2488"/>
      <c r="I14" s="2494">
        <v>44804</v>
      </c>
      <c r="J14" s="2511">
        <f>-'G-3.04,5.01 PF AMI'!AE55</f>
        <v>-357221.16174825176</v>
      </c>
      <c r="K14" s="2488">
        <f t="shared" si="2"/>
        <v>41824938.25076922</v>
      </c>
      <c r="L14" s="2488"/>
      <c r="M14" s="2488">
        <f t="shared" si="0"/>
        <v>-8783237.0326615367</v>
      </c>
      <c r="P14" s="2494">
        <v>44804</v>
      </c>
      <c r="Q14" s="2511">
        <f>-'G-3.04,5.01 PF AMI'!AK55</f>
        <v>-108014.33993006992</v>
      </c>
      <c r="R14" s="2488">
        <f t="shared" si="3"/>
        <v>11876367.350769224</v>
      </c>
      <c r="S14" s="2488"/>
      <c r="T14" s="2488">
        <f t="shared" si="1"/>
        <v>-2494037.1436615367</v>
      </c>
      <c r="Y14" s="477">
        <v>7</v>
      </c>
      <c r="Z14" s="477">
        <v>201903</v>
      </c>
      <c r="AA14" s="2487"/>
      <c r="AB14" s="2487"/>
      <c r="AC14" s="2487"/>
      <c r="AD14" s="2487"/>
      <c r="AE14" s="2487"/>
      <c r="AF14" s="2487"/>
      <c r="AG14" s="2487"/>
      <c r="AH14" s="2487"/>
      <c r="AI14" s="2487"/>
      <c r="AJ14" s="2487"/>
      <c r="AK14" s="2487"/>
      <c r="AO14" s="477" t="s">
        <v>2193</v>
      </c>
      <c r="AP14" s="2500">
        <f>'G-3.04,5.01 PF AMI'!BJ55</f>
        <v>11002476.765118225</v>
      </c>
      <c r="AQ14" s="2501">
        <f>AP14*0.75</f>
        <v>8251857.5738386679</v>
      </c>
      <c r="AR14" s="2501">
        <f>AP14*0.25</f>
        <v>2750619.1912795561</v>
      </c>
      <c r="AV14" s="2512"/>
      <c r="AW14" s="1189" t="s">
        <v>2194</v>
      </c>
      <c r="AX14" s="2513">
        <v>10352917.364609633</v>
      </c>
      <c r="AY14" s="2513">
        <v>23985022.705145601</v>
      </c>
      <c r="AZ14" s="2513">
        <v>0</v>
      </c>
      <c r="BA14" s="2513">
        <v>0</v>
      </c>
      <c r="BB14" s="2513">
        <v>0</v>
      </c>
      <c r="BC14" s="2513">
        <v>292022.46388064261</v>
      </c>
      <c r="BD14" s="2513">
        <v>759258.40608967096</v>
      </c>
      <c r="BE14" s="2513">
        <v>789628.7423332578</v>
      </c>
      <c r="BF14" s="2513">
        <v>821213.89202658809</v>
      </c>
      <c r="BG14" s="2513">
        <v>1138749.9302768689</v>
      </c>
      <c r="BH14" s="2513">
        <v>1184299.9274879438</v>
      </c>
      <c r="BI14" s="2513">
        <v>1231671.9245874614</v>
      </c>
      <c r="BJ14" s="2513">
        <v>1280938.8015709599</v>
      </c>
      <c r="BK14" s="2513">
        <v>1332176.3536337987</v>
      </c>
      <c r="BL14" s="2513">
        <v>1385463.4077791504</v>
      </c>
      <c r="BM14" s="2513">
        <v>1440881.9440903165</v>
      </c>
      <c r="BN14" s="2513">
        <v>1498517.2218539291</v>
      </c>
      <c r="BO14" s="2513">
        <v>1558457.9107280865</v>
      </c>
      <c r="BP14" s="2513">
        <v>1620796.22715721</v>
      </c>
      <c r="BQ14" s="2513">
        <v>1685628.0762434984</v>
      </c>
      <c r="BR14" s="2513">
        <v>1753053.1992932386</v>
      </c>
      <c r="BS14" s="2513">
        <v>1823175.3272649681</v>
      </c>
      <c r="BT14" s="2513">
        <v>1896102.3403555672</v>
      </c>
      <c r="BU14" s="2513">
        <v>492986.60849244741</v>
      </c>
    </row>
    <row r="15" spans="1:73" ht="15.75" thickBot="1">
      <c r="C15" s="2488"/>
      <c r="D15" s="2488"/>
      <c r="E15" s="2488"/>
      <c r="I15" s="2494">
        <v>44834</v>
      </c>
      <c r="J15" s="2511">
        <f>-'G-3.04,5.01 PF AMI'!AE56</f>
        <v>-357221.16174825176</v>
      </c>
      <c r="K15" s="2488">
        <f t="shared" si="2"/>
        <v>41467717.089020967</v>
      </c>
      <c r="L15" s="2488"/>
      <c r="M15" s="2488">
        <f t="shared" si="0"/>
        <v>-8708220.5886944029</v>
      </c>
      <c r="P15" s="2494">
        <v>44834</v>
      </c>
      <c r="Q15" s="2511">
        <f>-'G-3.04,5.01 PF AMI'!AK56</f>
        <v>-108014.33993006992</v>
      </c>
      <c r="R15" s="2488">
        <f t="shared" si="3"/>
        <v>11768353.010839153</v>
      </c>
      <c r="S15" s="2488"/>
      <c r="T15" s="2488">
        <f t="shared" si="1"/>
        <v>-2471354.1322762221</v>
      </c>
      <c r="Y15" s="477">
        <v>8</v>
      </c>
      <c r="Z15" s="477">
        <v>201904</v>
      </c>
      <c r="AA15" s="2487"/>
      <c r="AB15" s="2487"/>
      <c r="AC15" s="2487"/>
      <c r="AD15" s="2487"/>
      <c r="AE15" s="2487"/>
      <c r="AF15" s="2487"/>
      <c r="AG15" s="2487"/>
      <c r="AH15" s="2487"/>
      <c r="AI15" s="2487"/>
      <c r="AJ15" s="2487"/>
      <c r="AK15" s="2487"/>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75" thickBot="1">
      <c r="A16" s="2102" t="s">
        <v>2196</v>
      </c>
      <c r="B16" s="1230"/>
      <c r="C16" s="2488"/>
      <c r="D16" s="2488"/>
      <c r="E16" s="2488"/>
      <c r="I16" s="2494">
        <v>44865</v>
      </c>
      <c r="J16" s="2511">
        <f>-'G-3.04,5.01 PF AMI'!AE57</f>
        <v>-357221.16174825176</v>
      </c>
      <c r="K16" s="2488">
        <f t="shared" si="2"/>
        <v>41110495.927272715</v>
      </c>
      <c r="L16" s="2488"/>
      <c r="M16" s="2488">
        <f t="shared" si="0"/>
        <v>-8633204.1447272692</v>
      </c>
      <c r="P16" s="2494">
        <v>44865</v>
      </c>
      <c r="Q16" s="2511">
        <f>-'G-3.04,5.01 PF AMI'!AK57</f>
        <v>-108014.33993006992</v>
      </c>
      <c r="R16" s="2488">
        <f t="shared" si="3"/>
        <v>11660338.670909083</v>
      </c>
      <c r="S16" s="2488"/>
      <c r="T16" s="2488">
        <f t="shared" si="1"/>
        <v>-2448671.120890907</v>
      </c>
      <c r="Y16" s="477">
        <v>9</v>
      </c>
      <c r="Z16" s="477">
        <v>201905</v>
      </c>
      <c r="AA16" s="2487"/>
      <c r="AB16" s="2487"/>
      <c r="AC16" s="2487"/>
      <c r="AD16" s="2487"/>
      <c r="AE16" s="2487"/>
      <c r="AF16" s="2487"/>
      <c r="AG16" s="2487"/>
      <c r="AH16" s="2487"/>
      <c r="AI16" s="2487"/>
      <c r="AJ16" s="2487"/>
      <c r="AK16" s="2487"/>
      <c r="AO16" s="477" t="s">
        <v>2197</v>
      </c>
      <c r="AP16" s="2502">
        <f>AP9-AP14</f>
        <v>-418788.42698743939</v>
      </c>
      <c r="AQ16" s="2503">
        <f>AQ9-AQ14</f>
        <v>-314091.32024057955</v>
      </c>
      <c r="AR16" s="2503">
        <f>AR9-AR14</f>
        <v>-104697.10674685985</v>
      </c>
      <c r="AV16" s="2504"/>
      <c r="AW16" s="2505" t="s">
        <v>24</v>
      </c>
      <c r="AX16" s="2506">
        <f t="shared" ref="AX16:BU16" si="5">SUM(AX14:AX15)</f>
        <v>21679401.026734665</v>
      </c>
      <c r="AY16" s="2506">
        <f t="shared" si="5"/>
        <v>42787781.17189981</v>
      </c>
      <c r="AZ16" s="2506">
        <f t="shared" si="5"/>
        <v>0</v>
      </c>
      <c r="BA16" s="2506">
        <f t="shared" si="5"/>
        <v>0</v>
      </c>
      <c r="BB16" s="2506">
        <f t="shared" si="5"/>
        <v>0</v>
      </c>
      <c r="BC16" s="2506">
        <f t="shared" si="5"/>
        <v>522011.72010329046</v>
      </c>
      <c r="BD16" s="2506">
        <f t="shared" si="5"/>
        <v>1356956.3187801996</v>
      </c>
      <c r="BE16" s="2506">
        <f t="shared" si="5"/>
        <v>1410950.2743639825</v>
      </c>
      <c r="BF16" s="2506">
        <f t="shared" si="5"/>
        <v>1467093.4691759222</v>
      </c>
      <c r="BG16" s="2506">
        <f t="shared" si="5"/>
        <v>2033961.9781097635</v>
      </c>
      <c r="BH16" s="2506">
        <f t="shared" si="5"/>
        <v>2114897.7423515138</v>
      </c>
      <c r="BI16" s="2506">
        <f t="shared" si="5"/>
        <v>2199055.2967122765</v>
      </c>
      <c r="BJ16" s="2506">
        <f t="shared" si="5"/>
        <v>2286562.9341001371</v>
      </c>
      <c r="BK16" s="2506">
        <f t="shared" si="5"/>
        <v>2377554.0577277299</v>
      </c>
      <c r="BL16" s="2506">
        <f t="shared" si="5"/>
        <v>2472167.3847321784</v>
      </c>
      <c r="BM16" s="2506">
        <f t="shared" si="5"/>
        <v>2570547.1579105332</v>
      </c>
      <c r="BN16" s="2506">
        <f t="shared" si="5"/>
        <v>2672843.3658942166</v>
      </c>
      <c r="BO16" s="2506">
        <f t="shared" si="5"/>
        <v>2779211.9720989368</v>
      </c>
      <c r="BP16" s="2506">
        <f t="shared" si="5"/>
        <v>2889815.1527998969</v>
      </c>
      <c r="BQ16" s="2506">
        <f t="shared" si="5"/>
        <v>3004821.5446961243</v>
      </c>
      <c r="BR16" s="2506">
        <f t="shared" si="5"/>
        <v>3124406.5023422176</v>
      </c>
      <c r="BS16" s="2506">
        <f t="shared" si="5"/>
        <v>3248752.3658409091</v>
      </c>
      <c r="BT16" s="2506">
        <f t="shared" si="5"/>
        <v>3378048.7392055346</v>
      </c>
      <c r="BU16" s="2506">
        <f t="shared" si="5"/>
        <v>878123.19495444768</v>
      </c>
    </row>
    <row r="17" spans="1:73" ht="15">
      <c r="A17" s="2102"/>
      <c r="B17" s="1230" t="s">
        <v>2186</v>
      </c>
      <c r="C17" s="2488">
        <f>-AQ7</f>
        <v>-5866107.1748548467</v>
      </c>
      <c r="D17" s="2488">
        <f>-AR7</f>
        <v>-1955369.0582849488</v>
      </c>
      <c r="E17" s="2488" t="s">
        <v>2198</v>
      </c>
      <c r="I17" s="2494">
        <v>44895</v>
      </c>
      <c r="J17" s="2511">
        <f>-'G-3.04,5.01 PF AMI'!AE58</f>
        <v>-357221.16174825176</v>
      </c>
      <c r="K17" s="2488">
        <f t="shared" si="2"/>
        <v>40753274.765524462</v>
      </c>
      <c r="L17" s="2488"/>
      <c r="M17" s="2488">
        <f t="shared" si="0"/>
        <v>-8558187.7007601373</v>
      </c>
      <c r="P17" s="2494">
        <v>44895</v>
      </c>
      <c r="Q17" s="2511">
        <f>-'G-3.04,5.01 PF AMI'!AK58</f>
        <v>-108014.33993006992</v>
      </c>
      <c r="R17" s="2488">
        <f t="shared" si="3"/>
        <v>11552324.330979012</v>
      </c>
      <c r="S17" s="2488"/>
      <c r="T17" s="2488">
        <f t="shared" si="1"/>
        <v>-2425988.1095055924</v>
      </c>
      <c r="Y17" s="477">
        <v>10</v>
      </c>
      <c r="Z17" s="477">
        <v>201906</v>
      </c>
      <c r="AA17" s="2487"/>
      <c r="AB17" s="2487"/>
      <c r="AC17" s="2487"/>
      <c r="AD17" s="2487"/>
      <c r="AE17" s="2487"/>
      <c r="AF17" s="2487"/>
      <c r="AG17" s="2487"/>
      <c r="AH17" s="2487"/>
      <c r="AI17" s="2487"/>
      <c r="AJ17" s="2487"/>
      <c r="AK17" s="2487"/>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75" thickBot="1">
      <c r="A18" s="477" t="s">
        <v>2199</v>
      </c>
      <c r="B18" s="1230" t="s">
        <v>2200</v>
      </c>
      <c r="C18" s="2496">
        <v>-2071659</v>
      </c>
      <c r="D18" s="2508">
        <v>-690553</v>
      </c>
      <c r="E18" s="2496" t="s">
        <v>2201</v>
      </c>
      <c r="F18" s="2497"/>
      <c r="I18" s="2494">
        <v>44926</v>
      </c>
      <c r="J18" s="2511">
        <f>-'G-3.04,5.01 PF AMI'!AE59</f>
        <v>-357221.16174825176</v>
      </c>
      <c r="K18" s="2488">
        <f t="shared" si="2"/>
        <v>40396053.603776209</v>
      </c>
      <c r="L18" s="2488"/>
      <c r="M18" s="2488">
        <f t="shared" si="0"/>
        <v>-8483171.2567930035</v>
      </c>
      <c r="P18" s="2494">
        <v>44926</v>
      </c>
      <c r="Q18" s="2511">
        <f>-'G-3.04,5.01 PF AMI'!AK59</f>
        <v>-108014.33993006992</v>
      </c>
      <c r="R18" s="2488">
        <f t="shared" si="3"/>
        <v>11444309.991048941</v>
      </c>
      <c r="S18" s="2488"/>
      <c r="T18" s="2488">
        <f t="shared" si="1"/>
        <v>-2403305.0981202777</v>
      </c>
      <c r="Y18" s="477">
        <v>11</v>
      </c>
      <c r="Z18" s="477">
        <v>201907</v>
      </c>
      <c r="AA18" s="2487"/>
      <c r="AB18" s="2487"/>
      <c r="AC18" s="2487"/>
      <c r="AD18" s="2487"/>
      <c r="AE18" s="2487"/>
      <c r="AF18" s="2487"/>
      <c r="AG18" s="2487"/>
      <c r="AH18" s="2487"/>
      <c r="AI18" s="2487"/>
      <c r="AJ18" s="2487"/>
      <c r="AK18" s="2487"/>
      <c r="AO18" s="2514"/>
      <c r="AP18" s="2514"/>
      <c r="AQ18" s="2514"/>
      <c r="AR18" s="2514"/>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75" thickBot="1">
      <c r="B19" s="1230" t="s">
        <v>2203</v>
      </c>
      <c r="C19" s="2510">
        <f>C17+C18</f>
        <v>-7937766.1748548467</v>
      </c>
      <c r="D19" s="2510">
        <f>D17+D18</f>
        <v>-2645922.0582849486</v>
      </c>
      <c r="E19" s="2488"/>
      <c r="I19" s="2494">
        <v>44957</v>
      </c>
      <c r="J19" s="2511">
        <f>-'G-3.04,5.01 PF AMI'!AE60</f>
        <v>-315594.16877950181</v>
      </c>
      <c r="K19" s="2488">
        <f t="shared" si="2"/>
        <v>40080459.434996709</v>
      </c>
      <c r="L19" s="2488">
        <f t="shared" ref="L19:L82" si="6">(((K7+K19)/2)+K8+K9+K10+K11+K12+K13+K14+K15+K16+K17+K18)/12</f>
        <v>42183893.870557837</v>
      </c>
      <c r="M19" s="2488">
        <f t="shared" si="0"/>
        <v>-8416896.481349308</v>
      </c>
      <c r="N19" s="2488">
        <f t="shared" ref="N19:N82" si="7">(((M7+M19)/2)+M8+M9+M10+M11+M12+M13+M14+M15+M16+M17+M18)/12</f>
        <v>-8858617.7128171474</v>
      </c>
      <c r="P19" s="2494">
        <v>44957</v>
      </c>
      <c r="Q19" s="2511">
        <f>-'G-3.04,5.01 PF AMI'!AK60</f>
        <v>-89408.671805069913</v>
      </c>
      <c r="R19" s="2488">
        <f t="shared" si="3"/>
        <v>11354901.319243871</v>
      </c>
      <c r="S19" s="2488">
        <f t="shared" ref="S19:S82" si="8">(((R7+R19)/2)+R8+R9+R10+R11+R12+R13+R14+R15+R16+R17+R18)/12</f>
        <v>11985156.926871167</v>
      </c>
      <c r="T19" s="2488">
        <f t="shared" si="1"/>
        <v>-2384529.2770412127</v>
      </c>
      <c r="U19" s="2488">
        <f t="shared" ref="U19:U82" si="9">(((T7+T19)/2)+T8+T9+T10+T11+T12+T13+T14+T15+T16+T17+T18)/12</f>
        <v>-2516882.9546429454</v>
      </c>
      <c r="Y19" s="477">
        <v>12</v>
      </c>
      <c r="Z19" s="477">
        <v>201908</v>
      </c>
      <c r="AA19" s="2487"/>
      <c r="AB19" s="2487"/>
      <c r="AC19" s="2487"/>
      <c r="AD19" s="2487"/>
      <c r="AE19" s="2487"/>
      <c r="AF19" s="2487"/>
      <c r="AG19" s="2487"/>
      <c r="AH19" s="2487"/>
      <c r="AI19" s="2487"/>
      <c r="AJ19" s="2487"/>
      <c r="AK19" s="2487"/>
      <c r="AV19" s="2512"/>
      <c r="AW19" s="2493" t="s">
        <v>2204</v>
      </c>
      <c r="AX19" s="2515">
        <v>1277163.4111527745</v>
      </c>
      <c r="AY19" s="2515">
        <v>2710326.3109337473</v>
      </c>
      <c r="AZ19" s="2515">
        <v>0</v>
      </c>
      <c r="BA19" s="2515">
        <v>0</v>
      </c>
      <c r="BB19" s="2515">
        <v>0</v>
      </c>
      <c r="BC19" s="2515">
        <v>0</v>
      </c>
      <c r="BD19" s="2515">
        <v>0</v>
      </c>
      <c r="BE19" s="2515">
        <v>29223.210306401717</v>
      </c>
      <c r="BF19" s="2515">
        <v>50653.564531096301</v>
      </c>
      <c r="BG19" s="2515">
        <v>140479.21896624044</v>
      </c>
      <c r="BH19" s="2515">
        <v>146098.38772489008</v>
      </c>
      <c r="BI19" s="2515">
        <v>151942.32323388566</v>
      </c>
      <c r="BJ19" s="2515">
        <v>158020.01616324109</v>
      </c>
      <c r="BK19" s="2515">
        <v>164340.81680977077</v>
      </c>
      <c r="BL19" s="2515">
        <v>170914.44948216161</v>
      </c>
      <c r="BM19" s="2515">
        <v>177751.02746144807</v>
      </c>
      <c r="BN19" s="2515">
        <v>184861.06855990598</v>
      </c>
      <c r="BO19" s="2515">
        <v>192255.51130230224</v>
      </c>
      <c r="BP19" s="2515">
        <v>199945.73175439436</v>
      </c>
      <c r="BQ19" s="2515">
        <v>207943.56102457014</v>
      </c>
      <c r="BR19" s="2515">
        <v>216261.30346555295</v>
      </c>
      <c r="BS19" s="2515">
        <v>224911.75560417506</v>
      </c>
      <c r="BT19" s="2515">
        <v>233908.22582834214</v>
      </c>
      <c r="BU19" s="2515">
        <v>60816.13871536895</v>
      </c>
    </row>
    <row r="20" spans="1:73" ht="15.75" thickBot="1">
      <c r="A20" s="1359"/>
      <c r="B20" s="1359"/>
      <c r="C20" s="2516"/>
      <c r="D20" s="2516"/>
      <c r="E20" s="2516"/>
      <c r="F20" s="1359"/>
      <c r="I20" s="2494">
        <v>44985</v>
      </c>
      <c r="J20" s="2511">
        <f>-'G-3.04,5.01 PF AMI'!AE61</f>
        <v>-315594.16877950181</v>
      </c>
      <c r="K20" s="2488">
        <f t="shared" si="2"/>
        <v>39764865.266217209</v>
      </c>
      <c r="L20" s="2488">
        <f t="shared" si="6"/>
        <v>41831876.082930677</v>
      </c>
      <c r="M20" s="2488">
        <f t="shared" si="0"/>
        <v>-8350621.7059056135</v>
      </c>
      <c r="N20" s="2488">
        <f t="shared" si="7"/>
        <v>-8784693.9774154443</v>
      </c>
      <c r="P20" s="2494">
        <v>44985</v>
      </c>
      <c r="Q20" s="2511">
        <f>-'G-3.04,5.01 PF AMI'!AK61</f>
        <v>-89408.671805069913</v>
      </c>
      <c r="R20" s="2488">
        <f t="shared" si="3"/>
        <v>11265492.6474388</v>
      </c>
      <c r="S20" s="2488">
        <f t="shared" si="8"/>
        <v>11879468.295456722</v>
      </c>
      <c r="T20" s="2488">
        <f t="shared" si="1"/>
        <v>-2365753.455962148</v>
      </c>
      <c r="U20" s="2488">
        <f t="shared" si="9"/>
        <v>-2494688.3420459121</v>
      </c>
      <c r="Y20" s="477">
        <v>13</v>
      </c>
      <c r="Z20" s="477">
        <v>201909</v>
      </c>
      <c r="AA20" s="2487"/>
      <c r="AB20" s="2487"/>
      <c r="AC20" s="2487"/>
      <c r="AD20" s="2487"/>
      <c r="AE20" s="2487"/>
      <c r="AF20" s="2487"/>
      <c r="AG20" s="2487"/>
      <c r="AH20" s="2487"/>
      <c r="AI20" s="2487"/>
      <c r="AJ20" s="2487"/>
      <c r="AK20" s="2487"/>
      <c r="AV20" s="2512"/>
      <c r="AW20" s="2493" t="s">
        <v>2205</v>
      </c>
      <c r="AX20" s="2515">
        <v>2730472.1574196671</v>
      </c>
      <c r="AY20" s="2515">
        <v>5794458.614224514</v>
      </c>
      <c r="AZ20" s="2515">
        <v>0</v>
      </c>
      <c r="BA20" s="2515">
        <v>0</v>
      </c>
      <c r="BB20" s="2515">
        <v>0</v>
      </c>
      <c r="BC20" s="2515">
        <v>0</v>
      </c>
      <c r="BD20" s="2515">
        <v>0</v>
      </c>
      <c r="BE20" s="2515">
        <v>62476.861923273886</v>
      </c>
      <c r="BF20" s="2515">
        <v>108293.22733367473</v>
      </c>
      <c r="BG20" s="2515">
        <v>300333.21713872463</v>
      </c>
      <c r="BH20" s="2515">
        <v>312346.54582427366</v>
      </c>
      <c r="BI20" s="2515">
        <v>324840.40765724459</v>
      </c>
      <c r="BJ20" s="2515">
        <v>337834.02396353433</v>
      </c>
      <c r="BK20" s="2515">
        <v>351347.38492207578</v>
      </c>
      <c r="BL20" s="2515">
        <v>365401.28031895886</v>
      </c>
      <c r="BM20" s="2515">
        <v>380017.33153171721</v>
      </c>
      <c r="BN20" s="2515">
        <v>395218.02479298587</v>
      </c>
      <c r="BO20" s="2515">
        <v>411026.74578470539</v>
      </c>
      <c r="BP20" s="2515">
        <v>427467.81561609358</v>
      </c>
      <c r="BQ20" s="2515">
        <v>444566.52824073739</v>
      </c>
      <c r="BR20" s="2515">
        <v>462349.18937036686</v>
      </c>
      <c r="BS20" s="2515">
        <v>480843.15694518154</v>
      </c>
      <c r="BT20" s="2515">
        <v>500076.88322298892</v>
      </c>
      <c r="BU20" s="2515">
        <v>130019.98963797711</v>
      </c>
    </row>
    <row r="21" spans="1:73" ht="15">
      <c r="C21" s="2488"/>
      <c r="D21" s="2488"/>
      <c r="E21" s="2488"/>
      <c r="I21" s="2494">
        <v>45016</v>
      </c>
      <c r="J21" s="2511">
        <f>-'G-3.04,5.01 PF AMI'!AE62</f>
        <v>-315594.16877950181</v>
      </c>
      <c r="K21" s="2488">
        <f t="shared" si="2"/>
        <v>39449271.09743771</v>
      </c>
      <c r="L21" s="2488">
        <f t="shared" si="6"/>
        <v>41483327.211384259</v>
      </c>
      <c r="M21" s="2488">
        <f t="shared" si="0"/>
        <v>-8284346.9304619189</v>
      </c>
      <c r="N21" s="2488">
        <f t="shared" si="7"/>
        <v>-8711498.7143906932</v>
      </c>
      <c r="P21" s="2494">
        <v>45016</v>
      </c>
      <c r="Q21" s="2511">
        <f>-'G-3.04,5.01 PF AMI'!AK62</f>
        <v>-89408.671805069913</v>
      </c>
      <c r="R21" s="2488">
        <f t="shared" si="3"/>
        <v>11176083.975633729</v>
      </c>
      <c r="S21" s="2488">
        <f t="shared" si="8"/>
        <v>11775330.136386028</v>
      </c>
      <c r="T21" s="2488">
        <f t="shared" si="1"/>
        <v>-2346977.6348830829</v>
      </c>
      <c r="U21" s="2488">
        <f t="shared" si="9"/>
        <v>-2472819.3286410659</v>
      </c>
      <c r="Y21" s="477">
        <v>14</v>
      </c>
      <c r="Z21" s="477">
        <v>201910</v>
      </c>
      <c r="AA21" s="2487"/>
      <c r="AB21" s="2487"/>
      <c r="AC21" s="2487"/>
      <c r="AD21" s="2487"/>
      <c r="AE21" s="2487"/>
      <c r="AF21" s="2487"/>
      <c r="AG21" s="2487"/>
      <c r="AH21" s="2487"/>
      <c r="AI21" s="2487"/>
      <c r="AJ21" s="2487"/>
      <c r="AK21" s="2487"/>
      <c r="AV21" s="2512"/>
      <c r="AW21" s="2493" t="s">
        <v>2206</v>
      </c>
      <c r="AX21" s="2515">
        <v>3032402.763290823</v>
      </c>
      <c r="AY21" s="2515">
        <v>6551326.3219507933</v>
      </c>
      <c r="AZ21" s="2515">
        <v>0</v>
      </c>
      <c r="BA21" s="2515">
        <v>0</v>
      </c>
      <c r="BB21" s="2515">
        <v>0</v>
      </c>
      <c r="BC21" s="2515">
        <v>0</v>
      </c>
      <c r="BD21" s="2515">
        <v>0</v>
      </c>
      <c r="BE21" s="2515">
        <v>70637.5413616804</v>
      </c>
      <c r="BF21" s="2515">
        <v>122438.40502691269</v>
      </c>
      <c r="BG21" s="2515">
        <v>339562.50994130457</v>
      </c>
      <c r="BH21" s="2515">
        <v>353145.01033895678</v>
      </c>
      <c r="BI21" s="2515">
        <v>367270.81075251504</v>
      </c>
      <c r="BJ21" s="2515">
        <v>381961.64318261563</v>
      </c>
      <c r="BK21" s="2515">
        <v>397240.10890992038</v>
      </c>
      <c r="BL21" s="2515">
        <v>413129.71326631721</v>
      </c>
      <c r="BM21" s="2515">
        <v>429654.90179696988</v>
      </c>
      <c r="BN21" s="2515">
        <v>446841.09786884865</v>
      </c>
      <c r="BO21" s="2515">
        <v>464714.74178360269</v>
      </c>
      <c r="BP21" s="2515">
        <v>483303.33145494678</v>
      </c>
      <c r="BQ21" s="2515">
        <v>502635.4647131447</v>
      </c>
      <c r="BR21" s="2515">
        <v>522740.88330167049</v>
      </c>
      <c r="BS21" s="2515">
        <v>543650.51863373735</v>
      </c>
      <c r="BT21" s="2515">
        <v>565396.53937908693</v>
      </c>
      <c r="BU21" s="2515">
        <v>147003.10023856259</v>
      </c>
    </row>
    <row r="22" spans="1:73" ht="15">
      <c r="A22" s="2486" t="s">
        <v>2207</v>
      </c>
      <c r="B22" s="1230"/>
      <c r="C22" s="2101" t="s">
        <v>729</v>
      </c>
      <c r="D22" s="2101" t="s">
        <v>787</v>
      </c>
      <c r="I22" s="2494">
        <v>45046</v>
      </c>
      <c r="J22" s="2511">
        <f>-'G-3.04,5.01 PF AMI'!AE63</f>
        <v>-315594.16877950181</v>
      </c>
      <c r="K22" s="2488">
        <f t="shared" si="2"/>
        <v>39133676.92865821</v>
      </c>
      <c r="L22" s="2488">
        <f t="shared" si="6"/>
        <v>41138247.255918555</v>
      </c>
      <c r="M22" s="2488">
        <f t="shared" si="0"/>
        <v>-8218072.1550182234</v>
      </c>
      <c r="N22" s="2488">
        <f t="shared" si="7"/>
        <v>-8639031.9237428941</v>
      </c>
      <c r="O22" s="3866" t="s">
        <v>2208</v>
      </c>
      <c r="P22" s="2494">
        <v>45046</v>
      </c>
      <c r="Q22" s="2511">
        <f>-'G-3.04,5.01 PF AMI'!AK63</f>
        <v>-89408.671805069913</v>
      </c>
      <c r="R22" s="2488">
        <f t="shared" si="3"/>
        <v>11086675.303828659</v>
      </c>
      <c r="S22" s="2488">
        <f t="shared" si="8"/>
        <v>11672742.449659081</v>
      </c>
      <c r="T22" s="2488">
        <f t="shared" si="1"/>
        <v>-2328201.8138040183</v>
      </c>
      <c r="U22" s="2488">
        <f t="shared" si="9"/>
        <v>-2451275.9144284069</v>
      </c>
      <c r="V22" s="3866" t="s">
        <v>2209</v>
      </c>
      <c r="Y22" s="477">
        <v>15</v>
      </c>
      <c r="Z22" s="477">
        <v>201911</v>
      </c>
      <c r="AA22" s="2487"/>
      <c r="AB22" s="2487"/>
      <c r="AC22" s="2487"/>
      <c r="AD22" s="2487"/>
      <c r="AE22" s="2487"/>
      <c r="AF22" s="2487"/>
      <c r="AG22" s="2487"/>
      <c r="AH22" s="2487"/>
      <c r="AI22" s="2487"/>
      <c r="AJ22" s="2487"/>
      <c r="AK22" s="2487"/>
      <c r="AV22" s="2504"/>
      <c r="AW22" s="2505" t="s">
        <v>24</v>
      </c>
      <c r="AX22" s="2506">
        <f t="shared" ref="AX22:BU22" si="10">SUM(AX19:AX21)</f>
        <v>7040038.3318632646</v>
      </c>
      <c r="AY22" s="2506">
        <f t="shared" si="10"/>
        <v>15056111.247109056</v>
      </c>
      <c r="AZ22" s="2506">
        <f t="shared" si="10"/>
        <v>0</v>
      </c>
      <c r="BA22" s="2506">
        <f t="shared" si="10"/>
        <v>0</v>
      </c>
      <c r="BB22" s="2506">
        <f t="shared" si="10"/>
        <v>0</v>
      </c>
      <c r="BC22" s="2506">
        <f t="shared" si="10"/>
        <v>0</v>
      </c>
      <c r="BD22" s="2506">
        <f t="shared" si="10"/>
        <v>0</v>
      </c>
      <c r="BE22" s="2506">
        <f t="shared" si="10"/>
        <v>162337.613591356</v>
      </c>
      <c r="BF22" s="2506">
        <f t="shared" si="10"/>
        <v>281385.19689168374</v>
      </c>
      <c r="BG22" s="2506">
        <f t="shared" si="10"/>
        <v>780374.94604626962</v>
      </c>
      <c r="BH22" s="2506">
        <f t="shared" si="10"/>
        <v>811589.94388812059</v>
      </c>
      <c r="BI22" s="2506">
        <f t="shared" si="10"/>
        <v>844053.54164364538</v>
      </c>
      <c r="BJ22" s="2506">
        <f t="shared" si="10"/>
        <v>877815.68330939102</v>
      </c>
      <c r="BK22" s="2506">
        <f t="shared" si="10"/>
        <v>912928.31064176699</v>
      </c>
      <c r="BL22" s="2506">
        <f t="shared" si="10"/>
        <v>949445.44306743774</v>
      </c>
      <c r="BM22" s="2506">
        <f t="shared" si="10"/>
        <v>987423.26079013525</v>
      </c>
      <c r="BN22" s="2506">
        <f t="shared" si="10"/>
        <v>1026920.1912217406</v>
      </c>
      <c r="BO22" s="2506">
        <f t="shared" si="10"/>
        <v>1067996.9988706103</v>
      </c>
      <c r="BP22" s="2506">
        <f t="shared" si="10"/>
        <v>1110716.8788254347</v>
      </c>
      <c r="BQ22" s="2506">
        <f t="shared" si="10"/>
        <v>1155145.5539784522</v>
      </c>
      <c r="BR22" s="2506">
        <f t="shared" si="10"/>
        <v>1201351.3761375903</v>
      </c>
      <c r="BS22" s="2506">
        <f t="shared" si="10"/>
        <v>1249405.4311830939</v>
      </c>
      <c r="BT22" s="2506">
        <f t="shared" si="10"/>
        <v>1299381.648430418</v>
      </c>
      <c r="BU22" s="2506">
        <f t="shared" si="10"/>
        <v>337839.22859190864</v>
      </c>
    </row>
    <row r="23" spans="1:73" ht="15">
      <c r="C23" s="2488"/>
      <c r="D23" s="2488"/>
      <c r="E23" s="2488"/>
      <c r="I23" s="2494">
        <v>45077</v>
      </c>
      <c r="J23" s="2511">
        <f>-'G-3.04,5.01 PF AMI'!AE64</f>
        <v>-315594.16877950181</v>
      </c>
      <c r="K23" s="2488">
        <f t="shared" si="2"/>
        <v>38818082.75987871</v>
      </c>
      <c r="L23" s="2488">
        <f t="shared" si="6"/>
        <v>40796636.216533579</v>
      </c>
      <c r="M23" s="2488">
        <f t="shared" si="0"/>
        <v>-8151797.3795745289</v>
      </c>
      <c r="N23" s="2488">
        <f t="shared" si="7"/>
        <v>-8567293.6054720506</v>
      </c>
      <c r="O23" s="3866"/>
      <c r="P23" s="2494">
        <v>45077</v>
      </c>
      <c r="Q23" s="2511">
        <f>-'G-3.04,5.01 PF AMI'!AK64</f>
        <v>-89408.671805069913</v>
      </c>
      <c r="R23" s="2488">
        <f t="shared" si="3"/>
        <v>10997266.632023588</v>
      </c>
      <c r="S23" s="2488">
        <f t="shared" si="8"/>
        <v>11571705.235275887</v>
      </c>
      <c r="T23" s="2488">
        <f t="shared" si="1"/>
        <v>-2309425.9927249532</v>
      </c>
      <c r="U23" s="2488">
        <f t="shared" si="9"/>
        <v>-2430058.099407936</v>
      </c>
      <c r="V23" s="3866"/>
      <c r="Y23" s="477">
        <v>16</v>
      </c>
      <c r="Z23" s="477">
        <v>201912</v>
      </c>
      <c r="AA23" s="2487"/>
      <c r="AB23" s="2487"/>
      <c r="AC23" s="2487"/>
      <c r="AD23" s="2487"/>
      <c r="AE23" s="2487"/>
      <c r="AF23" s="2487"/>
      <c r="AG23" s="2487"/>
      <c r="AH23" s="2487"/>
      <c r="AI23" s="2487"/>
      <c r="AJ23" s="2487"/>
      <c r="AK23" s="2487"/>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5">
      <c r="A24" s="2102" t="s">
        <v>2157</v>
      </c>
      <c r="B24" s="1230" t="s">
        <v>1817</v>
      </c>
      <c r="C24" s="2491">
        <f>C8</f>
        <v>24433300.546909031</v>
      </c>
      <c r="D24" s="2491">
        <f>D8</f>
        <v>6922019.3711484876</v>
      </c>
      <c r="E24" s="2488"/>
      <c r="I24" s="2517">
        <v>45107</v>
      </c>
      <c r="J24" s="2518">
        <f>-'G-3.04,5.01 PF AMI'!AE65</f>
        <v>-315594.16877950181</v>
      </c>
      <c r="K24" s="2488">
        <f t="shared" si="2"/>
        <v>38502488.59109921</v>
      </c>
      <c r="L24" s="2519">
        <f t="shared" si="6"/>
        <v>40458494.093229346</v>
      </c>
      <c r="M24" s="2488">
        <f t="shared" si="0"/>
        <v>-8085522.6041308334</v>
      </c>
      <c r="N24" s="2519">
        <f t="shared" si="7"/>
        <v>-8496283.7595781591</v>
      </c>
      <c r="O24" s="2520">
        <f>L24+N24</f>
        <v>31962210.333651185</v>
      </c>
      <c r="P24" s="2494">
        <v>45107</v>
      </c>
      <c r="Q24" s="2518">
        <f>-'G-3.04,5.01 PF AMI'!AK65</f>
        <v>-89408.671805069913</v>
      </c>
      <c r="R24" s="2488">
        <f t="shared" si="3"/>
        <v>10907857.960218517</v>
      </c>
      <c r="S24" s="2519">
        <f t="shared" si="8"/>
        <v>11472218.493236439</v>
      </c>
      <c r="T24" s="2488">
        <f t="shared" si="1"/>
        <v>-2290650.1716458886</v>
      </c>
      <c r="U24" s="2519">
        <f t="shared" si="9"/>
        <v>-2409165.8835796528</v>
      </c>
      <c r="V24" s="2520">
        <f>S24+U24</f>
        <v>9063052.6096567865</v>
      </c>
      <c r="Y24" s="477">
        <v>17</v>
      </c>
      <c r="Z24" s="477">
        <v>202001</v>
      </c>
      <c r="AA24" s="2487"/>
      <c r="AB24" s="2487"/>
      <c r="AC24" s="2487"/>
      <c r="AD24" s="2487"/>
      <c r="AE24" s="2487"/>
      <c r="AF24" s="2487"/>
      <c r="AG24" s="2487"/>
      <c r="AH24" s="2487"/>
      <c r="AI24" s="2487"/>
      <c r="AJ24" s="2487"/>
      <c r="AK24" s="2487"/>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5">
      <c r="A25" s="477" t="s">
        <v>2160</v>
      </c>
      <c r="C25" s="2488"/>
      <c r="D25" s="2488"/>
      <c r="E25" s="2488"/>
      <c r="I25" s="2494">
        <v>45138</v>
      </c>
      <c r="J25" s="2488">
        <f>-'G-3.04,5.01 PF AMI'!AE66</f>
        <v>-315594.16877950181</v>
      </c>
      <c r="K25" s="2488">
        <f t="shared" si="2"/>
        <v>38186894.42231971</v>
      </c>
      <c r="L25" s="2488">
        <f t="shared" si="6"/>
        <v>40123820.886005826</v>
      </c>
      <c r="M25" s="2488">
        <f t="shared" si="0"/>
        <v>-8019247.8286871389</v>
      </c>
      <c r="N25" s="2488">
        <f t="shared" si="7"/>
        <v>-8426002.3860612232</v>
      </c>
      <c r="P25" s="2494">
        <v>45138</v>
      </c>
      <c r="Q25" s="2488">
        <f>-'G-3.04,5.01 PF AMI'!AK66</f>
        <v>-89408.671805069913</v>
      </c>
      <c r="R25" s="2488">
        <f t="shared" si="3"/>
        <v>10818449.288413446</v>
      </c>
      <c r="S25" s="2488">
        <f t="shared" si="8"/>
        <v>11374282.223540746</v>
      </c>
      <c r="T25" s="2488">
        <f t="shared" si="1"/>
        <v>-2271874.3505668235</v>
      </c>
      <c r="U25" s="2488">
        <f t="shared" si="9"/>
        <v>-2388599.2669435567</v>
      </c>
      <c r="Y25" s="477">
        <v>18</v>
      </c>
      <c r="Z25" s="477">
        <v>202002</v>
      </c>
      <c r="AA25" s="2487"/>
      <c r="AB25" s="2487"/>
      <c r="AC25" s="2487"/>
      <c r="AD25" s="2487"/>
      <c r="AE25" s="2487"/>
      <c r="AF25" s="2487"/>
      <c r="AG25" s="2487"/>
      <c r="AH25" s="2487"/>
      <c r="AI25" s="2487"/>
      <c r="AJ25" s="2487"/>
      <c r="AK25" s="2487"/>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5">
      <c r="A26" s="477" t="s">
        <v>2162</v>
      </c>
      <c r="C26" s="2488"/>
      <c r="D26" s="2488"/>
      <c r="E26" s="2488"/>
      <c r="I26" s="2494">
        <v>45169</v>
      </c>
      <c r="J26" s="2488">
        <f>-'G-3.04,5.01 PF AMI'!AE67</f>
        <v>-315594.16877950181</v>
      </c>
      <c r="K26" s="2488">
        <f t="shared" si="2"/>
        <v>37871300.25354021</v>
      </c>
      <c r="L26" s="2488">
        <f t="shared" si="6"/>
        <v>39792616.59486305</v>
      </c>
      <c r="M26" s="2488">
        <f t="shared" si="0"/>
        <v>-7952973.0532434443</v>
      </c>
      <c r="N26" s="2488">
        <f t="shared" si="7"/>
        <v>-8356449.4849212393</v>
      </c>
      <c r="P26" s="2494">
        <v>45169</v>
      </c>
      <c r="Q26" s="2488">
        <f>-'G-3.04,5.01 PF AMI'!AK67</f>
        <v>-89408.671805069913</v>
      </c>
      <c r="R26" s="2488">
        <f t="shared" si="3"/>
        <v>10729040.616608376</v>
      </c>
      <c r="S26" s="2488">
        <f t="shared" si="8"/>
        <v>11277896.426188799</v>
      </c>
      <c r="T26" s="2488">
        <f t="shared" si="1"/>
        <v>-2253098.5294877589</v>
      </c>
      <c r="U26" s="2488">
        <f t="shared" si="9"/>
        <v>-2368358.2494996479</v>
      </c>
      <c r="Y26" s="477">
        <v>19</v>
      </c>
      <c r="Z26" s="477">
        <v>202003</v>
      </c>
      <c r="AA26" s="2487"/>
      <c r="AB26" s="2487"/>
      <c r="AC26" s="2487"/>
      <c r="AD26" s="2487"/>
      <c r="AE26" s="2487"/>
      <c r="AF26" s="2487"/>
      <c r="AG26" s="2487"/>
      <c r="AH26" s="2487"/>
      <c r="AI26" s="2487"/>
      <c r="AJ26" s="2487"/>
      <c r="AK26" s="2487"/>
      <c r="AV26" s="2512"/>
      <c r="AW26" s="2493" t="s">
        <v>2212</v>
      </c>
      <c r="AX26" s="2515">
        <v>2609116.0861312477</v>
      </c>
      <c r="AY26" s="2515">
        <v>3123536.5988169089</v>
      </c>
      <c r="AZ26" s="2515">
        <v>0</v>
      </c>
      <c r="BA26" s="2515">
        <v>0</v>
      </c>
      <c r="BB26" s="2515">
        <v>0</v>
      </c>
      <c r="BC26" s="2515">
        <v>0</v>
      </c>
      <c r="BD26" s="2515">
        <v>0</v>
      </c>
      <c r="BE26" s="2515">
        <v>4127.8826760424436</v>
      </c>
      <c r="BF26" s="2515">
        <v>8420.8806591265857</v>
      </c>
      <c r="BG26" s="2515">
        <v>12883.947408463675</v>
      </c>
      <c r="BH26" s="2515">
        <v>17522.1684755106</v>
      </c>
      <c r="BI26" s="2515">
        <v>22340.764806276013</v>
      </c>
      <c r="BJ26" s="2515">
        <v>124275.09612288185</v>
      </c>
      <c r="BK26" s="2515">
        <v>147935.66438622936</v>
      </c>
      <c r="BL26" s="2515">
        <v>172453.11734166168</v>
      </c>
      <c r="BM26" s="2515">
        <v>197833.25214955682</v>
      </c>
      <c r="BN26" s="2515">
        <v>224232.01910283099</v>
      </c>
      <c r="BO26" s="2515">
        <v>251535.5254333764</v>
      </c>
      <c r="BP26" s="2515">
        <v>279930.03920950257</v>
      </c>
      <c r="BQ26" s="2515">
        <v>309271.99332650023</v>
      </c>
      <c r="BR26" s="2515">
        <v>339777.98959249409</v>
      </c>
      <c r="BS26" s="2515">
        <v>404323.74119063822</v>
      </c>
      <c r="BT26" s="2515">
        <v>471439.63438404456</v>
      </c>
      <c r="BU26" s="2515">
        <v>135232.88255177313</v>
      </c>
    </row>
    <row r="27" spans="1:73" ht="15">
      <c r="A27" s="477" t="s">
        <v>2172</v>
      </c>
      <c r="B27" s="477" t="s">
        <v>2173</v>
      </c>
      <c r="C27" s="2496">
        <f>'G-3.04,5.01 PF AMI'!M154</f>
        <v>-2991832.7200296894</v>
      </c>
      <c r="D27" s="2496">
        <f>'G-3.04,5.01 PF AMI'!T154</f>
        <v>-847594.2087120628</v>
      </c>
      <c r="E27" s="2496" t="s">
        <v>2213</v>
      </c>
      <c r="F27" s="2497"/>
      <c r="I27" s="2494">
        <v>45199</v>
      </c>
      <c r="J27" s="2488">
        <f>-'G-3.04,5.01 PF AMI'!AE68</f>
        <v>-315594.16877950181</v>
      </c>
      <c r="K27" s="2488">
        <f t="shared" si="2"/>
        <v>37555706.084760711</v>
      </c>
      <c r="L27" s="2488">
        <f t="shared" si="6"/>
        <v>39464881.219800986</v>
      </c>
      <c r="M27" s="2488">
        <f t="shared" si="0"/>
        <v>-7886698.2777997488</v>
      </c>
      <c r="N27" s="2488">
        <f t="shared" si="7"/>
        <v>-8287625.0561582064</v>
      </c>
      <c r="P27" s="2494">
        <v>45199</v>
      </c>
      <c r="Q27" s="2488">
        <f>-'G-3.04,5.01 PF AMI'!AK68</f>
        <v>-89408.671805069913</v>
      </c>
      <c r="R27" s="2488">
        <f t="shared" si="3"/>
        <v>10639631.944803305</v>
      </c>
      <c r="S27" s="2488">
        <f t="shared" si="8"/>
        <v>11183061.101180604</v>
      </c>
      <c r="T27" s="2488">
        <f t="shared" si="1"/>
        <v>-2234322.7084086938</v>
      </c>
      <c r="U27" s="2488">
        <f t="shared" si="9"/>
        <v>-2348442.8312479267</v>
      </c>
      <c r="Y27" s="477">
        <v>20</v>
      </c>
      <c r="Z27" s="477">
        <v>202004</v>
      </c>
      <c r="AA27" s="2487"/>
      <c r="AB27" s="2487"/>
      <c r="AC27" s="2487"/>
      <c r="AD27" s="2487"/>
      <c r="AE27" s="2487"/>
      <c r="AF27" s="2487"/>
      <c r="AG27" s="2487"/>
      <c r="AH27" s="2487"/>
      <c r="AI27" s="2487"/>
      <c r="AJ27" s="2487"/>
      <c r="AK27" s="2487"/>
      <c r="AV27" s="2504"/>
      <c r="AW27" s="2505" t="s">
        <v>24</v>
      </c>
      <c r="AX27" s="2506">
        <f t="shared" ref="AX27:BU27" si="11">SUM(AX25:AX26)</f>
        <v>21103717.584877178</v>
      </c>
      <c r="AY27" s="2506">
        <f t="shared" si="11"/>
        <v>46783907.722008117</v>
      </c>
      <c r="AZ27" s="2506">
        <f t="shared" si="11"/>
        <v>0</v>
      </c>
      <c r="BA27" s="2506">
        <f t="shared" si="11"/>
        <v>0</v>
      </c>
      <c r="BB27" s="2506">
        <f t="shared" si="11"/>
        <v>0</v>
      </c>
      <c r="BC27" s="2506">
        <f t="shared" si="11"/>
        <v>411450.76252713538</v>
      </c>
      <c r="BD27" s="2506">
        <f t="shared" si="11"/>
        <v>1072567.3384213741</v>
      </c>
      <c r="BE27" s="2506">
        <f t="shared" si="11"/>
        <v>1122596.5693408225</v>
      </c>
      <c r="BF27" s="2506">
        <f t="shared" si="11"/>
        <v>1174729.6373052739</v>
      </c>
      <c r="BG27" s="2506">
        <f t="shared" si="11"/>
        <v>1634285.7295618618</v>
      </c>
      <c r="BH27" s="2506">
        <f t="shared" si="11"/>
        <v>2271960.1825841898</v>
      </c>
      <c r="BI27" s="2506">
        <f t="shared" si="11"/>
        <v>2373763.3261093698</v>
      </c>
      <c r="BJ27" s="2506">
        <f t="shared" si="11"/>
        <v>2576888.05940144</v>
      </c>
      <c r="BK27" s="2506">
        <f t="shared" si="11"/>
        <v>2706421.028953176</v>
      </c>
      <c r="BL27" s="2506">
        <f t="shared" si="11"/>
        <v>2842027.3769268808</v>
      </c>
      <c r="BM27" s="2506">
        <f t="shared" si="11"/>
        <v>2983154.3672169112</v>
      </c>
      <c r="BN27" s="2506">
        <f t="shared" si="11"/>
        <v>3130480.9445871976</v>
      </c>
      <c r="BO27" s="2506">
        <f t="shared" si="11"/>
        <v>3283727.0870339307</v>
      </c>
      <c r="BP27" s="2506">
        <f t="shared" si="11"/>
        <v>3443904.5990937892</v>
      </c>
      <c r="BQ27" s="2506">
        <f t="shared" si="11"/>
        <v>3610718.1242659041</v>
      </c>
      <c r="BR27" s="2506">
        <f t="shared" si="11"/>
        <v>3774651.4751319289</v>
      </c>
      <c r="BS27" s="2506">
        <f t="shared" si="11"/>
        <v>3989025.7478981325</v>
      </c>
      <c r="BT27" s="2506">
        <f t="shared" si="11"/>
        <v>4246322.4830970215</v>
      </c>
      <c r="BU27" s="2506">
        <f t="shared" si="11"/>
        <v>135232.88255177313</v>
      </c>
    </row>
    <row r="28" spans="1:73" ht="15.75" thickBot="1">
      <c r="A28" s="477" t="s">
        <v>2176</v>
      </c>
      <c r="C28" s="2488"/>
      <c r="D28" s="2488"/>
      <c r="E28" s="2488"/>
      <c r="I28" s="2494">
        <v>45230</v>
      </c>
      <c r="J28" s="2488">
        <f>-'G-3.04,5.01 PF AMI'!AE69</f>
        <v>-315594.16877950181</v>
      </c>
      <c r="K28" s="2488">
        <f t="shared" si="2"/>
        <v>37240111.915981211</v>
      </c>
      <c r="L28" s="2488">
        <f t="shared" si="6"/>
        <v>39140614.760819666</v>
      </c>
      <c r="M28" s="2488">
        <f t="shared" si="0"/>
        <v>-7820423.5023560543</v>
      </c>
      <c r="N28" s="2488">
        <f t="shared" si="7"/>
        <v>-8219529.099772132</v>
      </c>
      <c r="P28" s="2494">
        <v>45230</v>
      </c>
      <c r="Q28" s="2488">
        <f>-'G-3.04,5.01 PF AMI'!AK69</f>
        <v>-89408.671805069913</v>
      </c>
      <c r="R28" s="2488">
        <f t="shared" si="3"/>
        <v>10550223.272998234</v>
      </c>
      <c r="S28" s="2488">
        <f t="shared" si="8"/>
        <v>11089776.248516159</v>
      </c>
      <c r="T28" s="2488">
        <f t="shared" si="1"/>
        <v>-2215546.8873296292</v>
      </c>
      <c r="U28" s="2488">
        <f t="shared" si="9"/>
        <v>-2328853.0121883932</v>
      </c>
      <c r="Y28" s="477">
        <v>21</v>
      </c>
      <c r="Z28" s="477">
        <v>202005</v>
      </c>
      <c r="AA28" s="2487"/>
      <c r="AB28" s="2487"/>
      <c r="AC28" s="2487"/>
      <c r="AD28" s="2487"/>
      <c r="AE28" s="2487"/>
      <c r="AF28" s="2487"/>
      <c r="AG28" s="2487"/>
      <c r="AH28" s="2487"/>
      <c r="AI28" s="2487"/>
      <c r="AJ28" s="2487"/>
      <c r="AK28" s="2487"/>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75" thickBot="1">
      <c r="A29" s="477" t="s">
        <v>2214</v>
      </c>
      <c r="B29" s="1230" t="s">
        <v>2215</v>
      </c>
      <c r="C29" s="2499">
        <f>SUM(C24:C28)</f>
        <v>21441467.826879341</v>
      </c>
      <c r="D29" s="2499">
        <f>SUM(D24:D28)</f>
        <v>6074425.1624364248</v>
      </c>
      <c r="E29" s="2488"/>
      <c r="I29" s="2494">
        <v>45260</v>
      </c>
      <c r="J29" s="2488">
        <f>-'G-3.04,5.01 PF AMI'!AE70</f>
        <v>-315594.16877950181</v>
      </c>
      <c r="K29" s="2488">
        <f t="shared" si="2"/>
        <v>36924517.747201711</v>
      </c>
      <c r="L29" s="2488">
        <f t="shared" si="6"/>
        <v>38819817.217919074</v>
      </c>
      <c r="M29" s="2488">
        <f t="shared" si="0"/>
        <v>-7754148.7269123588</v>
      </c>
      <c r="N29" s="2488">
        <f t="shared" si="7"/>
        <v>-8152161.6157630058</v>
      </c>
      <c r="P29" s="2494">
        <v>45260</v>
      </c>
      <c r="Q29" s="2488">
        <f>-'G-3.04,5.01 PF AMI'!AK70</f>
        <v>-89408.671805069913</v>
      </c>
      <c r="R29" s="2488">
        <f t="shared" si="3"/>
        <v>10460814.601193164</v>
      </c>
      <c r="S29" s="2488">
        <f t="shared" si="8"/>
        <v>10998041.868195463</v>
      </c>
      <c r="T29" s="2488">
        <f t="shared" si="1"/>
        <v>-2196771.0662505641</v>
      </c>
      <c r="U29" s="2488">
        <f t="shared" si="9"/>
        <v>-2309588.7923210473</v>
      </c>
      <c r="Y29" s="477">
        <v>22</v>
      </c>
      <c r="Z29" s="477">
        <v>202006</v>
      </c>
      <c r="AA29" s="2487"/>
      <c r="AB29" s="2487"/>
      <c r="AC29" s="2487"/>
      <c r="AD29" s="2487"/>
      <c r="AE29" s="2487"/>
      <c r="AF29" s="2487"/>
      <c r="AG29" s="2487"/>
      <c r="AH29" s="2487"/>
      <c r="AI29" s="2487"/>
      <c r="AJ29" s="2487"/>
      <c r="AK29" s="2487"/>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5">
      <c r="A30" s="950"/>
      <c r="B30" s="950"/>
      <c r="C30" s="2521"/>
      <c r="D30" s="2521"/>
      <c r="E30" s="2521"/>
      <c r="F30" s="950"/>
      <c r="I30" s="2494">
        <v>45291</v>
      </c>
      <c r="J30" s="2488">
        <f>-'G-3.04,5.01 PF AMI'!AE71</f>
        <v>-315594.16877950181</v>
      </c>
      <c r="K30" s="2488">
        <f t="shared" si="2"/>
        <v>36608923.578422211</v>
      </c>
      <c r="L30" s="2488">
        <f t="shared" si="6"/>
        <v>38502488.59109921</v>
      </c>
      <c r="M30" s="2488">
        <f t="shared" si="0"/>
        <v>-7687873.9514686642</v>
      </c>
      <c r="N30" s="2488">
        <f t="shared" si="7"/>
        <v>-8085522.6041308353</v>
      </c>
      <c r="P30" s="2494">
        <v>45291</v>
      </c>
      <c r="Q30" s="2488">
        <f>-'G-3.04,5.01 PF AMI'!AK71</f>
        <v>-89408.671805069913</v>
      </c>
      <c r="R30" s="2488">
        <f t="shared" si="3"/>
        <v>10371405.929388093</v>
      </c>
      <c r="S30" s="2488">
        <f t="shared" si="8"/>
        <v>10907857.960218517</v>
      </c>
      <c r="T30" s="2488">
        <f t="shared" si="1"/>
        <v>-2177995.2451714994</v>
      </c>
      <c r="U30" s="2488">
        <f t="shared" si="9"/>
        <v>-2290650.1716458886</v>
      </c>
      <c r="Y30" s="477">
        <v>23</v>
      </c>
      <c r="Z30" s="477">
        <v>202007</v>
      </c>
      <c r="AA30" s="2487"/>
      <c r="AB30" s="2487"/>
      <c r="AC30" s="2487"/>
      <c r="AD30" s="2487"/>
      <c r="AE30" s="2487"/>
      <c r="AF30" s="2487"/>
      <c r="AG30" s="2487"/>
      <c r="AH30" s="2487"/>
      <c r="AI30" s="2487"/>
      <c r="AJ30" s="2487"/>
      <c r="AK30" s="2487"/>
      <c r="AV30" s="2512"/>
      <c r="AW30" s="2493" t="s">
        <v>2217</v>
      </c>
      <c r="AX30" s="2515">
        <v>3364422.0268313964</v>
      </c>
      <c r="AY30" s="2515">
        <v>7879091.724524036</v>
      </c>
      <c r="AZ30" s="2515">
        <v>0</v>
      </c>
      <c r="BA30" s="2515">
        <v>0</v>
      </c>
      <c r="BB30" s="2515">
        <v>0</v>
      </c>
      <c r="BC30" s="2515">
        <v>103081.20442694836</v>
      </c>
      <c r="BD30" s="2515">
        <v>267238.02247686364</v>
      </c>
      <c r="BE30" s="2515">
        <v>265846.80805565137</v>
      </c>
      <c r="BF30" s="2515">
        <v>275683.13995371043</v>
      </c>
      <c r="BG30" s="2515">
        <v>381177.88817599684</v>
      </c>
      <c r="BH30" s="2515">
        <v>395281.47003850876</v>
      </c>
      <c r="BI30" s="2515">
        <v>409906.8844299335</v>
      </c>
      <c r="BJ30" s="2515">
        <v>425073.43915384106</v>
      </c>
      <c r="BK30" s="2515">
        <v>440801.15640253312</v>
      </c>
      <c r="BL30" s="2515">
        <v>457110.79918942682</v>
      </c>
      <c r="BM30" s="2515">
        <v>474023.89875943551</v>
      </c>
      <c r="BN30" s="2515">
        <v>491562.78301353467</v>
      </c>
      <c r="BO30" s="2515">
        <v>509750.60598503542</v>
      </c>
      <c r="BP30" s="2515">
        <v>528611.3784064817</v>
      </c>
      <c r="BQ30" s="2515">
        <v>548169.99940752145</v>
      </c>
      <c r="BR30" s="2515">
        <v>568452.28938559978</v>
      </c>
      <c r="BS30" s="2515">
        <v>589485.02409286681</v>
      </c>
      <c r="BT30" s="2515">
        <v>611295.969984303</v>
      </c>
      <c r="BU30" s="2515">
        <v>136538.96318584325</v>
      </c>
    </row>
    <row r="31" spans="1:73" ht="15">
      <c r="C31" s="2488"/>
      <c r="D31" s="2488"/>
      <c r="E31" s="2488"/>
      <c r="I31" s="2494">
        <v>45322</v>
      </c>
      <c r="J31" s="2488">
        <f>-'G-3.04,5.01 PF AMI'!AE72</f>
        <v>-315594.16877950181</v>
      </c>
      <c r="K31" s="2488">
        <f t="shared" si="2"/>
        <v>36293329.409642711</v>
      </c>
      <c r="L31" s="2488">
        <f t="shared" si="6"/>
        <v>38186894.42231971</v>
      </c>
      <c r="M31" s="2488">
        <f t="shared" si="0"/>
        <v>-7621599.1760249687</v>
      </c>
      <c r="N31" s="2488">
        <f t="shared" si="7"/>
        <v>-8019247.8286871389</v>
      </c>
      <c r="P31" s="2494">
        <v>45322</v>
      </c>
      <c r="Q31" s="2488">
        <f>-'G-3.04,5.01 PF AMI'!AK72</f>
        <v>-89408.671805069913</v>
      </c>
      <c r="R31" s="2488">
        <f t="shared" si="3"/>
        <v>10281997.257583022</v>
      </c>
      <c r="S31" s="2488">
        <f t="shared" si="8"/>
        <v>10818449.288413445</v>
      </c>
      <c r="T31" s="2488">
        <f t="shared" si="1"/>
        <v>-2159219.4240924343</v>
      </c>
      <c r="U31" s="2488">
        <f t="shared" si="9"/>
        <v>-2271874.3505668235</v>
      </c>
      <c r="Y31" s="477">
        <v>24</v>
      </c>
      <c r="Z31" s="477">
        <v>202008</v>
      </c>
      <c r="AA31" s="2487"/>
      <c r="AB31" s="2487"/>
      <c r="AC31" s="2487"/>
      <c r="AD31" s="2487"/>
      <c r="AE31" s="2487"/>
      <c r="AF31" s="2487"/>
      <c r="AG31" s="2487"/>
      <c r="AH31" s="2487"/>
      <c r="AI31" s="2487"/>
      <c r="AJ31" s="2487"/>
      <c r="AK31" s="2487"/>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5">
      <c r="A32" s="2102" t="s">
        <v>2218</v>
      </c>
      <c r="B32" s="1230" t="s">
        <v>2192</v>
      </c>
      <c r="C32" s="2491">
        <f>C14</f>
        <v>3787130.0253540208</v>
      </c>
      <c r="D32" s="2491">
        <f>D14</f>
        <v>1072904.061660839</v>
      </c>
      <c r="E32" s="2488"/>
      <c r="I32" s="2494">
        <v>45351</v>
      </c>
      <c r="J32" s="2488">
        <f>-'G-3.04,5.01 PF AMI'!AE73</f>
        <v>-315594.16877950181</v>
      </c>
      <c r="K32" s="2488">
        <f t="shared" si="2"/>
        <v>35977735.240863211</v>
      </c>
      <c r="L32" s="2488">
        <f t="shared" si="6"/>
        <v>37871300.25354021</v>
      </c>
      <c r="M32" s="2488">
        <f t="shared" si="0"/>
        <v>-7555324.4005812742</v>
      </c>
      <c r="N32" s="2488">
        <f t="shared" si="7"/>
        <v>-7952973.0532434443</v>
      </c>
      <c r="P32" s="2494">
        <v>45351</v>
      </c>
      <c r="Q32" s="2488">
        <f>-'G-3.04,5.01 PF AMI'!AK73</f>
        <v>-89408.671805069913</v>
      </c>
      <c r="R32" s="2488">
        <f t="shared" si="3"/>
        <v>10192588.585777951</v>
      </c>
      <c r="S32" s="2488">
        <f t="shared" si="8"/>
        <v>10729040.616608376</v>
      </c>
      <c r="T32" s="2488">
        <f t="shared" si="1"/>
        <v>-2140443.6030133697</v>
      </c>
      <c r="U32" s="2488">
        <f t="shared" si="9"/>
        <v>-2253098.5294877584</v>
      </c>
      <c r="Y32" s="477">
        <v>25</v>
      </c>
      <c r="Z32" s="477">
        <v>202009</v>
      </c>
      <c r="AA32" s="2487"/>
      <c r="AB32" s="2487"/>
      <c r="AC32" s="2487"/>
      <c r="AD32" s="2487"/>
      <c r="AE32" s="2487"/>
      <c r="AF32" s="2487"/>
      <c r="AG32" s="2487"/>
      <c r="AH32" s="2487"/>
      <c r="AI32" s="2487"/>
      <c r="AJ32" s="2522"/>
      <c r="AK32" s="2523"/>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5">
      <c r="C33" s="2507"/>
      <c r="D33" s="2488"/>
      <c r="E33" s="2507"/>
      <c r="I33" s="2494">
        <v>45382</v>
      </c>
      <c r="J33" s="2488">
        <f>-'G-3.04,5.01 PF AMI'!AE74</f>
        <v>-315594.16877950181</v>
      </c>
      <c r="K33" s="2488">
        <f t="shared" si="2"/>
        <v>35662141.072083712</v>
      </c>
      <c r="L33" s="2488">
        <f t="shared" si="6"/>
        <v>37555706.084760703</v>
      </c>
      <c r="M33" s="2488">
        <f t="shared" si="0"/>
        <v>-7489049.6251375796</v>
      </c>
      <c r="N33" s="2488">
        <f t="shared" si="7"/>
        <v>-7886698.2777997488</v>
      </c>
      <c r="P33" s="2494">
        <v>45382</v>
      </c>
      <c r="Q33" s="2488">
        <f>-'G-3.04,5.01 PF AMI'!AK74</f>
        <v>-89408.671805069913</v>
      </c>
      <c r="R33" s="2488">
        <f t="shared" si="3"/>
        <v>10103179.913972881</v>
      </c>
      <c r="S33" s="2488">
        <f t="shared" si="8"/>
        <v>10639631.944803303</v>
      </c>
      <c r="T33" s="2488">
        <f t="shared" si="1"/>
        <v>-2121667.7819343051</v>
      </c>
      <c r="U33" s="2488">
        <f t="shared" si="9"/>
        <v>-2234322.7084086938</v>
      </c>
      <c r="Y33" s="477">
        <v>26</v>
      </c>
      <c r="Z33" s="477">
        <v>202010</v>
      </c>
      <c r="AA33" s="2487"/>
      <c r="AB33" s="2487"/>
      <c r="AC33" s="2487"/>
      <c r="AD33" s="2487"/>
      <c r="AE33" s="2487"/>
      <c r="AF33" s="2487"/>
      <c r="AG33" s="2487"/>
      <c r="AH33" s="2487"/>
      <c r="AI33" s="2487"/>
      <c r="AJ33" s="2487"/>
      <c r="AK33" s="2487"/>
      <c r="AV33" s="2512"/>
      <c r="AW33" s="2493" t="s">
        <v>2220</v>
      </c>
      <c r="AX33" s="2515">
        <v>6528174.400280741</v>
      </c>
      <c r="AY33" s="2515">
        <v>15382656.222365012</v>
      </c>
      <c r="AZ33" s="2515">
        <v>0</v>
      </c>
      <c r="BA33" s="2515">
        <v>0</v>
      </c>
      <c r="BB33" s="2515">
        <v>0</v>
      </c>
      <c r="BC33" s="2515">
        <v>194296.65319520229</v>
      </c>
      <c r="BD33" s="2515">
        <v>505317.02079742245</v>
      </c>
      <c r="BE33" s="2515">
        <v>504286.06795842142</v>
      </c>
      <c r="BF33" s="2515">
        <v>524608.79649714578</v>
      </c>
      <c r="BG33" s="2515">
        <v>727667.37466130767</v>
      </c>
      <c r="BH33" s="2515">
        <v>756992.36986015853</v>
      </c>
      <c r="BI33" s="2515">
        <v>787499.16236552282</v>
      </c>
      <c r="BJ33" s="2515">
        <v>819235.37860885344</v>
      </c>
      <c r="BK33" s="2515">
        <v>852250.56436679023</v>
      </c>
      <c r="BL33" s="2515">
        <v>886596.26211077196</v>
      </c>
      <c r="BM33" s="2515">
        <v>922326.09147383622</v>
      </c>
      <c r="BN33" s="2515">
        <v>959495.83296023181</v>
      </c>
      <c r="BO33" s="2515">
        <v>998163.51502852887</v>
      </c>
      <c r="BP33" s="2515">
        <v>1038389.5046841785</v>
      </c>
      <c r="BQ33" s="2515">
        <v>1080236.6017229513</v>
      </c>
      <c r="BR33" s="2515">
        <v>1123770.1367723863</v>
      </c>
      <c r="BS33" s="2515">
        <v>1169058.0732843135</v>
      </c>
      <c r="BT33" s="2515">
        <v>1216171.1136376711</v>
      </c>
      <c r="BU33" s="2515">
        <v>316295.70237931743</v>
      </c>
    </row>
    <row r="34" spans="1:73" ht="15">
      <c r="A34" s="477" t="s">
        <v>2188</v>
      </c>
      <c r="B34" s="477" t="s">
        <v>2221</v>
      </c>
      <c r="C34" s="2496">
        <f>'G-3.04,5.01 PF AMI'!N154</f>
        <v>0</v>
      </c>
      <c r="D34" s="2508">
        <f>'G-3.04,5.01 PF AMI'!U154</f>
        <v>0</v>
      </c>
      <c r="E34" s="2496" t="s">
        <v>2190</v>
      </c>
      <c r="I34" s="2494">
        <v>45412</v>
      </c>
      <c r="J34" s="2488">
        <f>-'G-3.04,5.01 PF AMI'!AE75</f>
        <v>-315594.16877950181</v>
      </c>
      <c r="K34" s="2488">
        <f t="shared" si="2"/>
        <v>35346546.903304212</v>
      </c>
      <c r="L34" s="2488">
        <f t="shared" si="6"/>
        <v>37240111.915981211</v>
      </c>
      <c r="M34" s="2488">
        <f t="shared" si="0"/>
        <v>-7422774.8496938841</v>
      </c>
      <c r="N34" s="2488">
        <f t="shared" si="7"/>
        <v>-7820423.5023560533</v>
      </c>
      <c r="P34" s="2494">
        <v>45412</v>
      </c>
      <c r="Q34" s="2488">
        <f>-'G-3.04,5.01 PF AMI'!AK75</f>
        <v>-89408.671805069913</v>
      </c>
      <c r="R34" s="2488">
        <f t="shared" si="3"/>
        <v>10013771.24216781</v>
      </c>
      <c r="S34" s="2488">
        <f t="shared" si="8"/>
        <v>10550223.272998234</v>
      </c>
      <c r="T34" s="2488">
        <f t="shared" si="1"/>
        <v>-2102891.96085524</v>
      </c>
      <c r="U34" s="2488">
        <f t="shared" si="9"/>
        <v>-2215546.8873296292</v>
      </c>
      <c r="Y34" s="477">
        <v>27</v>
      </c>
      <c r="Z34" s="477">
        <v>202011</v>
      </c>
      <c r="AA34" s="2487"/>
      <c r="AB34" s="2487"/>
      <c r="AC34" s="2487"/>
      <c r="AD34" s="2487"/>
      <c r="AE34" s="2487"/>
      <c r="AF34" s="2487"/>
      <c r="AG34" s="2487"/>
      <c r="AH34" s="2487"/>
      <c r="AI34" s="2487"/>
      <c r="AJ34" s="2487"/>
      <c r="AK34" s="2487"/>
      <c r="AV34" s="2512"/>
      <c r="AW34" s="2493" t="s">
        <v>2222</v>
      </c>
      <c r="AX34" s="2515">
        <v>2379863.5680026547</v>
      </c>
      <c r="AY34" s="2515">
        <v>5607788.7749355333</v>
      </c>
      <c r="AZ34" s="2515">
        <v>0</v>
      </c>
      <c r="BA34" s="2515">
        <v>0</v>
      </c>
      <c r="BB34" s="2515">
        <v>0</v>
      </c>
      <c r="BC34" s="2515">
        <v>70831.368461023856</v>
      </c>
      <c r="BD34" s="2515">
        <v>184214.68152500782</v>
      </c>
      <c r="BE34" s="2515">
        <v>183838.84488961374</v>
      </c>
      <c r="BF34" s="2515">
        <v>191247.55033866517</v>
      </c>
      <c r="BG34" s="2515">
        <v>265273.10215641779</v>
      </c>
      <c r="BH34" s="2515">
        <v>275963.60817332147</v>
      </c>
      <c r="BI34" s="2515">
        <v>287084.94158270629</v>
      </c>
      <c r="BJ34" s="2515">
        <v>298654.4647284894</v>
      </c>
      <c r="BK34" s="2515">
        <v>310690.2396570475</v>
      </c>
      <c r="BL34" s="2515">
        <v>323211.05631522654</v>
      </c>
      <c r="BM34" s="2515">
        <v>336236.4618847302</v>
      </c>
      <c r="BN34" s="2515">
        <v>349786.79129868478</v>
      </c>
      <c r="BO34" s="2515">
        <v>363883.19898802176</v>
      </c>
      <c r="BP34" s="2515">
        <v>378547.69190723909</v>
      </c>
      <c r="BQ34" s="2515">
        <v>393803.16389110091</v>
      </c>
      <c r="BR34" s="2515">
        <v>409673.43139591225</v>
      </c>
      <c r="BS34" s="2515">
        <v>426183.27068116755</v>
      </c>
      <c r="BT34" s="2515">
        <v>443358.45648961858</v>
      </c>
      <c r="BU34" s="2515">
        <v>115306.45057153756</v>
      </c>
    </row>
    <row r="35" spans="1:73" ht="15">
      <c r="B35" s="1230" t="s">
        <v>2223</v>
      </c>
      <c r="C35" s="2524">
        <f>C32+C34</f>
        <v>3787130.0253540208</v>
      </c>
      <c r="D35" s="2524">
        <f>D32+D34</f>
        <v>1072904.061660839</v>
      </c>
      <c r="E35" s="2488"/>
      <c r="I35" s="2494">
        <v>45443</v>
      </c>
      <c r="J35" s="2488">
        <f>-'G-3.04,5.01 PF AMI'!AE76</f>
        <v>-315594.16877950181</v>
      </c>
      <c r="K35" s="2488">
        <f t="shared" si="2"/>
        <v>35030952.734524712</v>
      </c>
      <c r="L35" s="2488">
        <f t="shared" si="6"/>
        <v>36924517.747201703</v>
      </c>
      <c r="M35" s="2488">
        <f t="shared" si="0"/>
        <v>-7356500.0742501896</v>
      </c>
      <c r="N35" s="2488">
        <f t="shared" si="7"/>
        <v>-7754148.7269123578</v>
      </c>
      <c r="P35" s="2494">
        <v>45443</v>
      </c>
      <c r="Q35" s="2488">
        <f>-'G-3.04,5.01 PF AMI'!AK76</f>
        <v>-89408.671805069913</v>
      </c>
      <c r="R35" s="2488">
        <f t="shared" si="3"/>
        <v>9924362.5703627393</v>
      </c>
      <c r="S35" s="2488">
        <f t="shared" si="8"/>
        <v>10460814.601193165</v>
      </c>
      <c r="T35" s="2488">
        <f t="shared" si="1"/>
        <v>-2084116.1397761751</v>
      </c>
      <c r="U35" s="2488">
        <f t="shared" si="9"/>
        <v>-2196771.0662505645</v>
      </c>
      <c r="Y35" s="477">
        <v>28</v>
      </c>
      <c r="Z35" s="477">
        <v>202012</v>
      </c>
      <c r="AA35" s="2487"/>
      <c r="AB35" s="2487"/>
      <c r="AC35" s="2487"/>
      <c r="AD35" s="2487"/>
      <c r="AE35" s="2487"/>
      <c r="AF35" s="2487"/>
      <c r="AG35" s="2487"/>
      <c r="AH35" s="2487"/>
      <c r="AI35" s="2487"/>
      <c r="AJ35" s="2487"/>
      <c r="AK35" s="2487"/>
      <c r="AV35" s="2512"/>
      <c r="AW35" s="2493" t="s">
        <v>2224</v>
      </c>
      <c r="AX35" s="2515">
        <v>1096662.0741878629</v>
      </c>
      <c r="AY35" s="2515">
        <v>2466822.7394929137</v>
      </c>
      <c r="AZ35" s="2515">
        <v>0</v>
      </c>
      <c r="BA35" s="2515">
        <v>0</v>
      </c>
      <c r="BB35" s="2515">
        <v>0</v>
      </c>
      <c r="BC35" s="2515">
        <v>41714.25156808363</v>
      </c>
      <c r="BD35" s="2515">
        <v>105328.48520941116</v>
      </c>
      <c r="BE35" s="2515">
        <v>102052.03202000202</v>
      </c>
      <c r="BF35" s="2515">
        <v>103072.55234020203</v>
      </c>
      <c r="BG35" s="2515">
        <v>138804.3704848054</v>
      </c>
      <c r="BH35" s="2515">
        <v>140192.41418965347</v>
      </c>
      <c r="BI35" s="2515">
        <v>141594.33833155001</v>
      </c>
      <c r="BJ35" s="2515">
        <v>143010.2817148655</v>
      </c>
      <c r="BK35" s="2515">
        <v>144440.38453201417</v>
      </c>
      <c r="BL35" s="2515">
        <v>145884.78837733431</v>
      </c>
      <c r="BM35" s="2515">
        <v>147343.63626110763</v>
      </c>
      <c r="BN35" s="2515">
        <v>148817.07262371873</v>
      </c>
      <c r="BO35" s="2515">
        <v>150305.24334995588</v>
      </c>
      <c r="BP35" s="2515">
        <v>151808.29578345545</v>
      </c>
      <c r="BQ35" s="2515">
        <v>153326.37874129001</v>
      </c>
      <c r="BR35" s="2515">
        <v>154859.64252870294</v>
      </c>
      <c r="BS35" s="2515">
        <v>156408.23895398999</v>
      </c>
      <c r="BT35" s="2515">
        <v>157972.32134352988</v>
      </c>
      <c r="BU35" s="2515">
        <v>39888.011139241295</v>
      </c>
    </row>
    <row r="36" spans="1:73" ht="15">
      <c r="C36" s="2488"/>
      <c r="D36" s="2488"/>
      <c r="E36" s="2488"/>
      <c r="I36" s="2494">
        <v>45473</v>
      </c>
      <c r="J36" s="2488">
        <f>-'G-3.04,5.01 PF AMI'!AE77</f>
        <v>-315594.16877950181</v>
      </c>
      <c r="K36" s="2488">
        <f t="shared" si="2"/>
        <v>34715358.565745212</v>
      </c>
      <c r="L36" s="2488">
        <f t="shared" si="6"/>
        <v>36608923.578422211</v>
      </c>
      <c r="M36" s="2488">
        <f t="shared" si="0"/>
        <v>-7290225.2988064941</v>
      </c>
      <c r="N36" s="2488">
        <f t="shared" si="7"/>
        <v>-7687873.9514686642</v>
      </c>
      <c r="P36" s="2494">
        <v>45473</v>
      </c>
      <c r="Q36" s="2488">
        <f>-'G-3.04,5.01 PF AMI'!AK77</f>
        <v>-89408.671805069913</v>
      </c>
      <c r="R36" s="2488">
        <f t="shared" si="3"/>
        <v>9834953.8985576686</v>
      </c>
      <c r="S36" s="2488">
        <f t="shared" si="8"/>
        <v>10371405.929388093</v>
      </c>
      <c r="T36" s="2488">
        <f t="shared" si="1"/>
        <v>-2065340.3186971103</v>
      </c>
      <c r="U36" s="2488">
        <f t="shared" si="9"/>
        <v>-2177995.2451714994</v>
      </c>
      <c r="Y36" s="477">
        <v>29</v>
      </c>
      <c r="Z36" s="477">
        <v>202101</v>
      </c>
      <c r="AA36" s="2487"/>
      <c r="AB36" s="2487"/>
      <c r="AC36" s="2487"/>
      <c r="AD36" s="2487"/>
      <c r="AE36" s="2487"/>
      <c r="AF36" s="2487"/>
      <c r="AG36" s="2487"/>
      <c r="AH36" s="2487"/>
      <c r="AI36" s="2487"/>
      <c r="AJ36" s="2487"/>
      <c r="AK36" s="2487"/>
      <c r="AV36" s="2512"/>
      <c r="AW36" s="2493" t="s">
        <v>2225</v>
      </c>
      <c r="AX36" s="2515">
        <v>973755.49224492256</v>
      </c>
      <c r="AY36" s="2515">
        <v>2294507.6315974817</v>
      </c>
      <c r="AZ36" s="2515">
        <v>0</v>
      </c>
      <c r="BA36" s="2515">
        <v>0</v>
      </c>
      <c r="BB36" s="2515">
        <v>0</v>
      </c>
      <c r="BC36" s="2515">
        <v>28981.67566808554</v>
      </c>
      <c r="BD36" s="2515">
        <v>75374.092993773476</v>
      </c>
      <c r="BE36" s="2515">
        <v>75220.314015506665</v>
      </c>
      <c r="BF36" s="2515">
        <v>78251.692670331584</v>
      </c>
      <c r="BG36" s="2515">
        <v>108540.31451326128</v>
      </c>
      <c r="BH36" s="2515">
        <v>112914.48918814572</v>
      </c>
      <c r="BI36" s="2515">
        <v>117464.94310242798</v>
      </c>
      <c r="BJ36" s="2515">
        <v>122198.78030945585</v>
      </c>
      <c r="BK36" s="2515">
        <v>127123.39115592693</v>
      </c>
      <c r="BL36" s="2515">
        <v>132246.4638195108</v>
      </c>
      <c r="BM36" s="2515">
        <v>137575.99631143705</v>
      </c>
      <c r="BN36" s="2515">
        <v>143120.30896278797</v>
      </c>
      <c r="BO36" s="2515">
        <v>148888.05741398834</v>
      </c>
      <c r="BP36" s="2515">
        <v>154888.24612777209</v>
      </c>
      <c r="BQ36" s="2515">
        <v>161130.24244672133</v>
      </c>
      <c r="BR36" s="2515">
        <v>167623.79121732421</v>
      </c>
      <c r="BS36" s="2515">
        <v>174379.03000338239</v>
      </c>
      <c r="BT36" s="2515">
        <v>181406.50491251872</v>
      </c>
      <c r="BU36" s="2515">
        <v>47179.296765123312</v>
      </c>
    </row>
    <row r="37" spans="1:73" ht="15">
      <c r="A37" s="2102" t="s">
        <v>2196</v>
      </c>
      <c r="B37" s="1230"/>
      <c r="C37" s="2488"/>
      <c r="D37" s="2488"/>
      <c r="E37" s="2488"/>
      <c r="I37" s="2494">
        <v>45504</v>
      </c>
      <c r="J37" s="2488">
        <f>-'G-3.04,5.01 PF AMI'!AE78</f>
        <v>-315594.16877950181</v>
      </c>
      <c r="K37" s="2488">
        <f t="shared" si="2"/>
        <v>34399764.396965712</v>
      </c>
      <c r="L37" s="2488">
        <f t="shared" si="6"/>
        <v>36293329.409642719</v>
      </c>
      <c r="M37" s="2488">
        <f t="shared" si="0"/>
        <v>-7223950.5233627995</v>
      </c>
      <c r="N37" s="2488">
        <f t="shared" si="7"/>
        <v>-7621599.1760249687</v>
      </c>
      <c r="P37" s="2494">
        <v>45504</v>
      </c>
      <c r="Q37" s="2488">
        <f>-'G-3.04,5.01 PF AMI'!AK78</f>
        <v>-89408.671805069913</v>
      </c>
      <c r="R37" s="2488">
        <f t="shared" si="3"/>
        <v>9745545.2267525978</v>
      </c>
      <c r="S37" s="2488">
        <f t="shared" si="8"/>
        <v>10281997.257583022</v>
      </c>
      <c r="T37" s="2488">
        <f t="shared" si="1"/>
        <v>-2046564.4976180454</v>
      </c>
      <c r="U37" s="2488">
        <f t="shared" si="9"/>
        <v>-2159219.4240924348</v>
      </c>
      <c r="Y37" s="477">
        <v>30</v>
      </c>
      <c r="Z37" s="477">
        <v>202102</v>
      </c>
      <c r="AA37" s="2487"/>
      <c r="AB37" s="2487"/>
      <c r="AC37" s="2487"/>
      <c r="AD37" s="2487"/>
      <c r="AE37" s="2487"/>
      <c r="AF37" s="2487"/>
      <c r="AG37" s="2487"/>
      <c r="AH37" s="2487"/>
      <c r="AI37" s="2487"/>
      <c r="AJ37" s="2487"/>
      <c r="AK37" s="2487"/>
      <c r="AV37" s="2504"/>
      <c r="AW37" s="2505" t="s">
        <v>24</v>
      </c>
      <c r="AX37" s="2506">
        <f t="shared" ref="AX37:BU37" si="12">SUM(AX33:AX36)</f>
        <v>10978455.534716181</v>
      </c>
      <c r="AY37" s="2506">
        <f t="shared" si="12"/>
        <v>25751775.36839094</v>
      </c>
      <c r="AZ37" s="2506">
        <f t="shared" si="12"/>
        <v>0</v>
      </c>
      <c r="BA37" s="2506">
        <f t="shared" si="12"/>
        <v>0</v>
      </c>
      <c r="BB37" s="2506">
        <f t="shared" si="12"/>
        <v>0</v>
      </c>
      <c r="BC37" s="2506">
        <f t="shared" si="12"/>
        <v>335823.9488923953</v>
      </c>
      <c r="BD37" s="2506">
        <f t="shared" si="12"/>
        <v>870234.28052561486</v>
      </c>
      <c r="BE37" s="2506">
        <f t="shared" si="12"/>
        <v>865397.25888354378</v>
      </c>
      <c r="BF37" s="2506">
        <f t="shared" si="12"/>
        <v>897180.59184634453</v>
      </c>
      <c r="BG37" s="2506">
        <f t="shared" si="12"/>
        <v>1240285.1618157921</v>
      </c>
      <c r="BH37" s="2506">
        <f t="shared" si="12"/>
        <v>1286062.8814112791</v>
      </c>
      <c r="BI37" s="2506">
        <f t="shared" si="12"/>
        <v>1333643.3853822069</v>
      </c>
      <c r="BJ37" s="2506">
        <f t="shared" si="12"/>
        <v>1383098.9053616642</v>
      </c>
      <c r="BK37" s="2506">
        <f t="shared" si="12"/>
        <v>1434504.5797117788</v>
      </c>
      <c r="BL37" s="2506">
        <f t="shared" si="12"/>
        <v>1487938.5706228437</v>
      </c>
      <c r="BM37" s="2506">
        <f t="shared" si="12"/>
        <v>1543482.1859311112</v>
      </c>
      <c r="BN37" s="2506">
        <f t="shared" si="12"/>
        <v>1601220.0058454233</v>
      </c>
      <c r="BO37" s="2506">
        <f t="shared" si="12"/>
        <v>1661240.0147804949</v>
      </c>
      <c r="BP37" s="2506">
        <f t="shared" si="12"/>
        <v>1723633.7385026452</v>
      </c>
      <c r="BQ37" s="2506">
        <f t="shared" si="12"/>
        <v>1788496.3868020636</v>
      </c>
      <c r="BR37" s="2506">
        <f t="shared" si="12"/>
        <v>1855927.0019143256</v>
      </c>
      <c r="BS37" s="2506">
        <f t="shared" si="12"/>
        <v>1926028.6129228533</v>
      </c>
      <c r="BT37" s="2506">
        <f t="shared" si="12"/>
        <v>1998908.3963833384</v>
      </c>
      <c r="BU37" s="2506">
        <f t="shared" si="12"/>
        <v>518669.46085521957</v>
      </c>
    </row>
    <row r="38" spans="1:73" ht="15">
      <c r="A38" s="2102"/>
      <c r="B38" s="1230" t="s">
        <v>2203</v>
      </c>
      <c r="C38" s="2491">
        <f>C19</f>
        <v>-7937766.1748548467</v>
      </c>
      <c r="D38" s="2491">
        <f>D19</f>
        <v>-2645922.0582849486</v>
      </c>
      <c r="E38" s="2488" t="s">
        <v>2198</v>
      </c>
      <c r="I38" s="2494">
        <v>45535</v>
      </c>
      <c r="J38" s="2488">
        <f>-'G-3.04,5.01 PF AMI'!AE79</f>
        <v>-315594.16877950181</v>
      </c>
      <c r="K38" s="2488">
        <f t="shared" si="2"/>
        <v>34084170.228186212</v>
      </c>
      <c r="L38" s="2488">
        <f t="shared" si="6"/>
        <v>35977735.240863211</v>
      </c>
      <c r="M38" s="2488">
        <f t="shared" si="0"/>
        <v>-7157675.7479191041</v>
      </c>
      <c r="N38" s="2488">
        <f t="shared" si="7"/>
        <v>-7555324.4005812733</v>
      </c>
      <c r="P38" s="2494">
        <v>45535</v>
      </c>
      <c r="Q38" s="2488">
        <f>-'G-3.04,5.01 PF AMI'!AK79</f>
        <v>-89408.671805069913</v>
      </c>
      <c r="R38" s="2488">
        <f t="shared" si="3"/>
        <v>9656136.5549475271</v>
      </c>
      <c r="S38" s="2488">
        <f t="shared" si="8"/>
        <v>10192588.585777951</v>
      </c>
      <c r="T38" s="2488">
        <f t="shared" si="1"/>
        <v>-2027788.6765389806</v>
      </c>
      <c r="U38" s="2488">
        <f t="shared" si="9"/>
        <v>-2140443.6030133697</v>
      </c>
      <c r="Y38" s="477">
        <v>31</v>
      </c>
      <c r="Z38" s="477">
        <v>202103</v>
      </c>
      <c r="AA38" s="2487"/>
      <c r="AB38" s="2487"/>
      <c r="AC38" s="2487"/>
      <c r="AD38" s="2487"/>
      <c r="AE38" s="2487"/>
      <c r="AF38" s="2487"/>
      <c r="AG38" s="2487"/>
      <c r="AH38" s="2487"/>
      <c r="AI38" s="2487"/>
      <c r="AJ38" s="2487"/>
      <c r="AK38" s="2487"/>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75" thickBot="1">
      <c r="A39" s="477" t="s">
        <v>2199</v>
      </c>
      <c r="B39" s="1230" t="s">
        <v>2226</v>
      </c>
      <c r="C39" s="2496">
        <v>-314091.40000000002</v>
      </c>
      <c r="D39" s="2508">
        <v>-104697</v>
      </c>
      <c r="E39" s="2496" t="s">
        <v>2201</v>
      </c>
      <c r="F39" s="2497"/>
      <c r="I39" s="2494">
        <v>45565</v>
      </c>
      <c r="J39" s="2488">
        <f>-'G-3.04,5.01 PF AMI'!AE80</f>
        <v>-315594.16877950181</v>
      </c>
      <c r="K39" s="2488">
        <f t="shared" si="2"/>
        <v>33768576.059406713</v>
      </c>
      <c r="L39" s="2488">
        <f t="shared" si="6"/>
        <v>35662141.072083719</v>
      </c>
      <c r="M39" s="2488">
        <f t="shared" si="0"/>
        <v>-7091400.9724754095</v>
      </c>
      <c r="N39" s="2488">
        <f t="shared" si="7"/>
        <v>-7489049.6251375787</v>
      </c>
      <c r="P39" s="2494">
        <v>45565</v>
      </c>
      <c r="Q39" s="2488">
        <f>-'G-3.04,5.01 PF AMI'!AK80</f>
        <v>-89408.671805069913</v>
      </c>
      <c r="R39" s="2488">
        <f t="shared" si="3"/>
        <v>9566727.8831424564</v>
      </c>
      <c r="S39" s="2488">
        <f t="shared" si="8"/>
        <v>10103179.913972881</v>
      </c>
      <c r="T39" s="2488">
        <f t="shared" si="1"/>
        <v>-2009012.8554599157</v>
      </c>
      <c r="U39" s="2488">
        <f t="shared" si="9"/>
        <v>-2121667.7819343046</v>
      </c>
      <c r="Y39" s="477">
        <v>32</v>
      </c>
      <c r="Z39" s="477">
        <v>202104</v>
      </c>
      <c r="AA39" s="2487"/>
      <c r="AB39" s="2487"/>
      <c r="AC39" s="2487"/>
      <c r="AD39" s="2487"/>
      <c r="AE39" s="2487"/>
      <c r="AF39" s="2487"/>
      <c r="AG39" s="2487"/>
      <c r="AH39" s="2487"/>
      <c r="AI39" s="2487"/>
      <c r="AJ39" s="2487"/>
      <c r="AK39" s="2487"/>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75" thickBot="1">
      <c r="B40" s="1230" t="s">
        <v>2228</v>
      </c>
      <c r="C40" s="2510">
        <f>C38+C39</f>
        <v>-8251857.574854847</v>
      </c>
      <c r="D40" s="2510">
        <f>D38+D39</f>
        <v>-2750619.0582849486</v>
      </c>
      <c r="E40" s="2488"/>
      <c r="I40" s="2494">
        <v>45596</v>
      </c>
      <c r="J40" s="2488">
        <f>-'G-3.04,5.01 PF AMI'!AE81</f>
        <v>-315594.16877950181</v>
      </c>
      <c r="K40" s="2488">
        <f t="shared" si="2"/>
        <v>33452981.890627209</v>
      </c>
      <c r="L40" s="2488">
        <f t="shared" si="6"/>
        <v>35346546.903304212</v>
      </c>
      <c r="M40" s="2488">
        <f t="shared" si="0"/>
        <v>-7025126.197031714</v>
      </c>
      <c r="N40" s="2488">
        <f t="shared" si="7"/>
        <v>-7422774.8496938841</v>
      </c>
      <c r="P40" s="2494">
        <v>45596</v>
      </c>
      <c r="Q40" s="2488">
        <f>-'G-3.04,5.01 PF AMI'!AK81</f>
        <v>-89408.671805069913</v>
      </c>
      <c r="R40" s="2488">
        <f t="shared" si="3"/>
        <v>9477319.2113373857</v>
      </c>
      <c r="S40" s="2488">
        <f t="shared" si="8"/>
        <v>10013771.24216781</v>
      </c>
      <c r="T40" s="2488">
        <f t="shared" si="1"/>
        <v>-1990237.0343808508</v>
      </c>
      <c r="U40" s="2488">
        <f t="shared" si="9"/>
        <v>-2102891.9608552405</v>
      </c>
      <c r="Y40" s="477">
        <v>33</v>
      </c>
      <c r="Z40" s="477">
        <v>202105</v>
      </c>
      <c r="AA40" s="2487"/>
      <c r="AB40" s="2487"/>
      <c r="AC40" s="2487"/>
      <c r="AD40" s="2487"/>
      <c r="AE40" s="2487"/>
      <c r="AF40" s="2487"/>
      <c r="AG40" s="2487"/>
      <c r="AH40" s="2487"/>
      <c r="AI40" s="2487"/>
      <c r="AJ40" s="2487"/>
      <c r="AK40" s="2487"/>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75" thickBot="1">
      <c r="A41" s="1359"/>
      <c r="B41" s="1359"/>
      <c r="C41" s="2516"/>
      <c r="D41" s="2516"/>
      <c r="E41" s="2516"/>
      <c r="F41" s="1359"/>
      <c r="I41" s="2494">
        <v>45626</v>
      </c>
      <c r="J41" s="2488">
        <f>-'G-3.04,5.01 PF AMI'!AE82</f>
        <v>-315594.16877950181</v>
      </c>
      <c r="K41" s="2488">
        <f t="shared" si="2"/>
        <v>33137387.721847706</v>
      </c>
      <c r="L41" s="2488">
        <f t="shared" si="6"/>
        <v>35030952.734524712</v>
      </c>
      <c r="M41" s="2488">
        <f t="shared" si="0"/>
        <v>-6958851.4215880176</v>
      </c>
      <c r="N41" s="2488">
        <f t="shared" si="7"/>
        <v>-7356500.0742501887</v>
      </c>
      <c r="P41" s="2494">
        <v>45626</v>
      </c>
      <c r="Q41" s="2488">
        <f>-'G-3.04,5.01 PF AMI'!AK82</f>
        <v>-89408.671805069913</v>
      </c>
      <c r="R41" s="2488">
        <f t="shared" si="3"/>
        <v>9387910.539532315</v>
      </c>
      <c r="S41" s="2488">
        <f t="shared" si="8"/>
        <v>9924362.5703627374</v>
      </c>
      <c r="T41" s="2488">
        <f t="shared" si="1"/>
        <v>-1971461.213301786</v>
      </c>
      <c r="U41" s="2488">
        <f t="shared" si="9"/>
        <v>-2084116.1397761751</v>
      </c>
      <c r="Y41" s="477">
        <v>34</v>
      </c>
      <c r="Z41" s="477">
        <v>202106</v>
      </c>
      <c r="AA41" s="2487"/>
      <c r="AB41" s="2487"/>
      <c r="AC41" s="2487"/>
      <c r="AD41" s="2487"/>
      <c r="AE41" s="2487"/>
      <c r="AF41" s="2487"/>
      <c r="AG41" s="2487"/>
      <c r="AH41" s="2487"/>
      <c r="AI41" s="2487"/>
      <c r="AJ41" s="2487"/>
      <c r="AK41" s="2487"/>
      <c r="AV41" s="2512"/>
      <c r="AW41" s="2493" t="s">
        <v>2230</v>
      </c>
      <c r="AX41" s="2515">
        <v>1071164.5580977038</v>
      </c>
      <c r="AY41" s="2515">
        <v>2241199.4727105726</v>
      </c>
      <c r="AZ41" s="2515">
        <v>32580</v>
      </c>
      <c r="BA41" s="2515">
        <v>77954.932000000001</v>
      </c>
      <c r="BB41" s="2515">
        <v>80293.579960000003</v>
      </c>
      <c r="BC41" s="2515">
        <v>82702.387358799999</v>
      </c>
      <c r="BD41" s="2515">
        <v>68146.767183651187</v>
      </c>
      <c r="BE41" s="2515">
        <v>52643.377649370545</v>
      </c>
      <c r="BF41" s="2515">
        <v>54222.678978851669</v>
      </c>
      <c r="BG41" s="2515">
        <v>74465.812464289615</v>
      </c>
      <c r="BH41" s="2515">
        <v>76699.786838218308</v>
      </c>
      <c r="BI41" s="2515">
        <v>115662.8192718725</v>
      </c>
      <c r="BJ41" s="2515">
        <v>119132.70385002867</v>
      </c>
      <c r="BK41" s="2515">
        <v>122706.68496552952</v>
      </c>
      <c r="BL41" s="2515">
        <v>126387.8855144954</v>
      </c>
      <c r="BM41" s="2515">
        <v>130179.52207993028</v>
      </c>
      <c r="BN41" s="2515">
        <v>134084.90774232819</v>
      </c>
      <c r="BO41" s="2515">
        <v>138107.45497459802</v>
      </c>
      <c r="BP41" s="2515">
        <v>142250.67862383596</v>
      </c>
      <c r="BQ41" s="2515">
        <v>146518.19898255102</v>
      </c>
      <c r="BR41" s="2515">
        <v>150913.74495202757</v>
      </c>
      <c r="BS41" s="2515">
        <v>155441.15730058838</v>
      </c>
      <c r="BT41" s="2515">
        <v>160104.39201960602</v>
      </c>
      <c r="BU41" s="2515">
        <v>0</v>
      </c>
    </row>
    <row r="42" spans="1:73" ht="15">
      <c r="I42" s="2494">
        <v>45657</v>
      </c>
      <c r="J42" s="2488">
        <f>-'G-3.04,5.01 PF AMI'!AE83</f>
        <v>-315594.16877950181</v>
      </c>
      <c r="K42" s="2488">
        <f t="shared" si="2"/>
        <v>32821793.553068202</v>
      </c>
      <c r="L42" s="2488">
        <f t="shared" si="6"/>
        <v>34715358.565745212</v>
      </c>
      <c r="M42" s="2488">
        <f t="shared" si="0"/>
        <v>-6892576.6461443221</v>
      </c>
      <c r="N42" s="2488">
        <f t="shared" si="7"/>
        <v>-7290225.298806495</v>
      </c>
      <c r="P42" s="2494">
        <v>45657</v>
      </c>
      <c r="Q42" s="2488">
        <f>-'G-3.04,5.01 PF AMI'!AK83</f>
        <v>-89408.671805069913</v>
      </c>
      <c r="R42" s="2488">
        <f t="shared" si="3"/>
        <v>9298501.8677272443</v>
      </c>
      <c r="S42" s="2488">
        <f t="shared" si="8"/>
        <v>9834953.8985576686</v>
      </c>
      <c r="T42" s="2488">
        <f t="shared" si="1"/>
        <v>-1952685.3922227211</v>
      </c>
      <c r="U42" s="2488">
        <f t="shared" si="9"/>
        <v>-2065340.3186971105</v>
      </c>
      <c r="Y42" s="477">
        <v>35</v>
      </c>
      <c r="Z42" s="477">
        <v>202107</v>
      </c>
      <c r="AA42" s="2487"/>
      <c r="AB42" s="2487"/>
      <c r="AC42" s="2487"/>
      <c r="AD42" s="2487"/>
      <c r="AE42" s="2487"/>
      <c r="AF42" s="2487"/>
      <c r="AG42" s="2487"/>
      <c r="AH42" s="2487"/>
      <c r="AI42" s="2487"/>
      <c r="AJ42" s="2487"/>
      <c r="AK42" s="2487"/>
      <c r="AV42" s="2504"/>
      <c r="AW42" s="2505" t="s">
        <v>24</v>
      </c>
      <c r="AX42" s="2506">
        <f t="shared" ref="AX42:BU42" si="13">SUM(AX40:AX41)</f>
        <v>2050631.5096026738</v>
      </c>
      <c r="AY42" s="2506">
        <f t="shared" si="13"/>
        <v>4002670.0447286544</v>
      </c>
      <c r="AZ42" s="2506">
        <f t="shared" si="13"/>
        <v>81289.749490769231</v>
      </c>
      <c r="BA42" s="2506">
        <f t="shared" si="13"/>
        <v>128125.97397549231</v>
      </c>
      <c r="BB42" s="2506">
        <f t="shared" si="13"/>
        <v>444869.7531947571</v>
      </c>
      <c r="BC42" s="2506">
        <f t="shared" si="13"/>
        <v>135928.84579059979</v>
      </c>
      <c r="BD42" s="2506">
        <f t="shared" si="13"/>
        <v>122970.01936840496</v>
      </c>
      <c r="BE42" s="2506">
        <f t="shared" si="13"/>
        <v>94994.339962092839</v>
      </c>
      <c r="BF42" s="2506">
        <f t="shared" si="13"/>
        <v>97844.170160955633</v>
      </c>
      <c r="BG42" s="2506">
        <f t="shared" si="13"/>
        <v>163247.66035437904</v>
      </c>
      <c r="BH42" s="2506">
        <f t="shared" si="13"/>
        <v>138403.84016501042</v>
      </c>
      <c r="BI42" s="2506">
        <f t="shared" si="13"/>
        <v>179217.9941984684</v>
      </c>
      <c r="BJ42" s="2506">
        <f t="shared" si="13"/>
        <v>184594.53402442244</v>
      </c>
      <c r="BK42" s="2506">
        <f t="shared" si="13"/>
        <v>190132.37004515511</v>
      </c>
      <c r="BL42" s="2506">
        <f t="shared" si="13"/>
        <v>195836.34114650975</v>
      </c>
      <c r="BM42" s="2506">
        <f t="shared" si="13"/>
        <v>201711.43138090504</v>
      </c>
      <c r="BN42" s="2506">
        <f t="shared" si="13"/>
        <v>207762.7743223322</v>
      </c>
      <c r="BO42" s="2506">
        <f t="shared" si="13"/>
        <v>213995.65755200214</v>
      </c>
      <c r="BP42" s="2506">
        <f t="shared" si="13"/>
        <v>220415.52727856222</v>
      </c>
      <c r="BQ42" s="2506">
        <f t="shared" si="13"/>
        <v>255902.99309691906</v>
      </c>
      <c r="BR42" s="2506">
        <f t="shared" si="13"/>
        <v>233838.83288982665</v>
      </c>
      <c r="BS42" s="2506">
        <f t="shared" si="13"/>
        <v>240853.99787652143</v>
      </c>
      <c r="BT42" s="2506">
        <f t="shared" si="13"/>
        <v>248079.61781281704</v>
      </c>
      <c r="BU42" s="2506">
        <f t="shared" si="13"/>
        <v>22653.620641751844</v>
      </c>
    </row>
    <row r="43" spans="1:73" ht="15">
      <c r="I43" s="2494">
        <v>45688</v>
      </c>
      <c r="J43" s="2525">
        <f>-'G-3.04,5.01 PF AMI'!AE84</f>
        <v>-315594.16877950181</v>
      </c>
      <c r="K43" s="2488">
        <f t="shared" si="2"/>
        <v>32506199.384288698</v>
      </c>
      <c r="L43" s="2488">
        <f t="shared" si="6"/>
        <v>34399764.396965705</v>
      </c>
      <c r="M43" s="2488">
        <f t="shared" si="0"/>
        <v>-6826301.8707006266</v>
      </c>
      <c r="N43" s="2488">
        <f t="shared" si="7"/>
        <v>-7223950.5233627977</v>
      </c>
      <c r="P43" s="2494">
        <v>45688</v>
      </c>
      <c r="Q43" s="2525">
        <f>-'G-3.04,5.01 PF AMI'!AK84</f>
        <v>-89408.671805069913</v>
      </c>
      <c r="R43" s="2488">
        <f t="shared" si="3"/>
        <v>9209093.1959221736</v>
      </c>
      <c r="S43" s="2488">
        <f t="shared" si="8"/>
        <v>9745545.2267525997</v>
      </c>
      <c r="T43" s="2488">
        <f t="shared" si="1"/>
        <v>-1933909.5711436563</v>
      </c>
      <c r="U43" s="2488">
        <f t="shared" si="9"/>
        <v>-2046564.4976180454</v>
      </c>
      <c r="Y43" s="477">
        <v>36</v>
      </c>
      <c r="Z43" s="477">
        <v>202108</v>
      </c>
      <c r="AA43" s="2487"/>
      <c r="AB43" s="2487"/>
      <c r="AC43" s="2487"/>
      <c r="AD43" s="2487"/>
      <c r="AE43" s="2487"/>
      <c r="AF43" s="2487"/>
      <c r="AG43" s="2487"/>
      <c r="AH43" s="2487"/>
      <c r="AI43" s="2487"/>
      <c r="AJ43" s="2487"/>
      <c r="AK43" s="2487"/>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5">
      <c r="B44" s="2526" t="s">
        <v>47</v>
      </c>
      <c r="C44" s="2492">
        <v>-1682</v>
      </c>
      <c r="I44" s="2494">
        <v>45716</v>
      </c>
      <c r="J44" s="2525">
        <f>-'G-3.04,5.01 PF AMI'!AE85</f>
        <v>-315594.16877950181</v>
      </c>
      <c r="K44" s="2488">
        <f t="shared" si="2"/>
        <v>32190605.215509195</v>
      </c>
      <c r="L44" s="2488">
        <f t="shared" si="6"/>
        <v>34084170.228186212</v>
      </c>
      <c r="M44" s="2488">
        <f t="shared" si="0"/>
        <v>-6760027.0952569302</v>
      </c>
      <c r="N44" s="2488">
        <f t="shared" si="7"/>
        <v>-7157675.7479191041</v>
      </c>
      <c r="P44" s="2494">
        <v>45716</v>
      </c>
      <c r="Q44" s="2525">
        <f>-'G-3.04,5.01 PF AMI'!AK85</f>
        <v>-89408.671805069913</v>
      </c>
      <c r="R44" s="2488">
        <f t="shared" si="3"/>
        <v>9119684.5241171028</v>
      </c>
      <c r="S44" s="2488">
        <f t="shared" si="8"/>
        <v>9656136.5549475271</v>
      </c>
      <c r="T44" s="2488">
        <f t="shared" si="1"/>
        <v>-1915133.7500645914</v>
      </c>
      <c r="U44" s="2488">
        <f t="shared" si="9"/>
        <v>-2027788.6765389806</v>
      </c>
      <c r="Y44" s="477">
        <v>37</v>
      </c>
      <c r="Z44" s="477">
        <v>202109</v>
      </c>
      <c r="AA44" s="2487"/>
      <c r="AB44" s="2487"/>
      <c r="AC44" s="2487"/>
      <c r="AD44" s="2487"/>
      <c r="AE44" s="2487"/>
      <c r="AF44" s="2487"/>
      <c r="AG44" s="2487"/>
      <c r="AH44" s="2487"/>
      <c r="AI44" s="2487"/>
      <c r="AJ44" s="2487"/>
      <c r="AK44" s="2487"/>
      <c r="AV44" s="1230" t="s">
        <v>978</v>
      </c>
      <c r="AW44" s="2527" t="s">
        <v>2231</v>
      </c>
      <c r="AX44" s="2528">
        <f t="shared" ref="AX44:BU44" si="14">SUM(AX11,AX16,AX22,AX27,AX30,AX37,AX42)</f>
        <v>126381946.45338751</v>
      </c>
      <c r="AY44" s="2528">
        <f t="shared" si="14"/>
        <v>280867688.36671168</v>
      </c>
      <c r="AZ44" s="2529">
        <f t="shared" si="14"/>
        <v>361464.74949076923</v>
      </c>
      <c r="BA44" s="2529">
        <f t="shared" si="14"/>
        <v>497878.7451754926</v>
      </c>
      <c r="BB44" s="2529">
        <f t="shared" si="14"/>
        <v>1025408.4113118204</v>
      </c>
      <c r="BC44" s="2529">
        <f t="shared" si="14"/>
        <v>3243142.8209745623</v>
      </c>
      <c r="BD44" s="2529">
        <f t="shared" si="14"/>
        <v>8190140.9398079664</v>
      </c>
      <c r="BE44" s="2529">
        <f t="shared" si="14"/>
        <v>8500698.1220863946</v>
      </c>
      <c r="BF44" s="2529">
        <f t="shared" si="14"/>
        <v>8854580.6055106446</v>
      </c>
      <c r="BG44" s="2529">
        <f t="shared" si="14"/>
        <v>12754415.927312931</v>
      </c>
      <c r="BH44" s="2529">
        <f t="shared" si="14"/>
        <v>13952521.49539957</v>
      </c>
      <c r="BI44" s="2529">
        <f t="shared" si="14"/>
        <v>14540967.65825218</v>
      </c>
      <c r="BJ44" s="2529">
        <f t="shared" si="14"/>
        <v>15212811.394486992</v>
      </c>
      <c r="BK44" s="2529">
        <f t="shared" si="14"/>
        <v>15829429.904757665</v>
      </c>
      <c r="BL44" s="2529">
        <f t="shared" si="14"/>
        <v>16471212.62612965</v>
      </c>
      <c r="BM44" s="2529">
        <f t="shared" si="14"/>
        <v>17138360.179178424</v>
      </c>
      <c r="BN44" s="2529">
        <f t="shared" si="14"/>
        <v>17649054.587178882</v>
      </c>
      <c r="BO44" s="2529">
        <f t="shared" si="14"/>
        <v>18366189.081199676</v>
      </c>
      <c r="BP44" s="2529">
        <f t="shared" si="14"/>
        <v>19112429.287298188</v>
      </c>
      <c r="BQ44" s="2529">
        <f t="shared" si="14"/>
        <v>19917231.184360646</v>
      </c>
      <c r="BR44" s="2529">
        <f t="shared" si="14"/>
        <v>20685364.12507049</v>
      </c>
      <c r="BS44" s="2529">
        <f t="shared" si="14"/>
        <v>21557721.348049998</v>
      </c>
      <c r="BT44" s="2529">
        <f t="shared" si="14"/>
        <v>22498895.591717657</v>
      </c>
      <c r="BU44" s="2529">
        <f t="shared" si="14"/>
        <v>4507769.581961127</v>
      </c>
    </row>
    <row r="45" spans="1:73" ht="15">
      <c r="B45" s="2526" t="s">
        <v>1712</v>
      </c>
      <c r="C45" s="2500">
        <f>C18/1000-C44</f>
        <v>-389.65900000000011</v>
      </c>
      <c r="I45" s="2494">
        <v>45747</v>
      </c>
      <c r="J45" s="2525">
        <f>-'G-3.04,5.01 PF AMI'!AE86</f>
        <v>-315594.16877950181</v>
      </c>
      <c r="K45" s="2488">
        <f t="shared" si="2"/>
        <v>31875011.046729691</v>
      </c>
      <c r="L45" s="2488">
        <f t="shared" si="6"/>
        <v>33768576.059406705</v>
      </c>
      <c r="M45" s="2488">
        <f t="shared" si="0"/>
        <v>-6693752.3198132347</v>
      </c>
      <c r="N45" s="2488">
        <f t="shared" si="7"/>
        <v>-7091400.9724754086</v>
      </c>
      <c r="P45" s="2494">
        <v>45747</v>
      </c>
      <c r="Q45" s="2525">
        <f>-'G-3.04,5.01 PF AMI'!AK86</f>
        <v>-89408.671805069913</v>
      </c>
      <c r="R45" s="2488">
        <f t="shared" si="3"/>
        <v>9030275.8523120321</v>
      </c>
      <c r="S45" s="2488">
        <f t="shared" si="8"/>
        <v>9566727.8831424583</v>
      </c>
      <c r="T45" s="2488">
        <f t="shared" si="1"/>
        <v>-1896357.9289855268</v>
      </c>
      <c r="U45" s="2488">
        <f t="shared" si="9"/>
        <v>-2009012.8554599157</v>
      </c>
      <c r="Y45" s="477">
        <v>38</v>
      </c>
      <c r="Z45" s="477">
        <v>202110</v>
      </c>
      <c r="AA45" s="2487">
        <f>AA1/143</f>
        <v>149003.71328671329</v>
      </c>
      <c r="AB45" s="2487">
        <f>AB1/143</f>
        <v>15855.748251748251</v>
      </c>
      <c r="AC45" s="2487">
        <f>AC1/143</f>
        <v>208146.90300699303</v>
      </c>
      <c r="AD45" s="2487">
        <f>AD1/143</f>
        <v>-15785.202797202797</v>
      </c>
      <c r="AE45" s="2487">
        <f t="shared" ref="AE45:AE76" si="15">SUM(AA45:AD45)</f>
        <v>357221.16174825176</v>
      </c>
      <c r="AF45" s="2487"/>
      <c r="AG45" s="2487">
        <f>AG1/143</f>
        <v>30843.139860139861</v>
      </c>
      <c r="AH45" s="2487">
        <f>AH1/143</f>
        <v>5777.4055944055945</v>
      </c>
      <c r="AI45" s="2487">
        <f>AI1/143</f>
        <v>72453.20006993007</v>
      </c>
      <c r="AJ45" s="2487">
        <f>AJ1/143</f>
        <v>-1059.4055944055945</v>
      </c>
      <c r="AK45" s="2487">
        <f t="shared" ref="AK45:AK60" si="16">SUM(AG45:AJ45)</f>
        <v>108014.33993006992</v>
      </c>
      <c r="AV45" s="1230"/>
      <c r="AW45" s="2530" t="s">
        <v>2232</v>
      </c>
      <c r="AX45" s="2531">
        <f>SUM(AX19:AX21,AX26,AX30,AX33:AX36,AX41)</f>
        <v>25063196.537639797</v>
      </c>
      <c r="AY45" s="2531">
        <f t="shared" ref="AY45:BU45" si="17">SUM(AY14,AY19:AY21,AY26,AY30,AY33:AY36,AY41)</f>
        <v>78036737.116697103</v>
      </c>
      <c r="AZ45" s="2515">
        <f t="shared" si="17"/>
        <v>32580</v>
      </c>
      <c r="BA45" s="2515">
        <f t="shared" si="17"/>
        <v>77954.932000000001</v>
      </c>
      <c r="BB45" s="2515">
        <f t="shared" si="17"/>
        <v>80293.579960000003</v>
      </c>
      <c r="BC45" s="2515">
        <f t="shared" si="17"/>
        <v>813630.00455878652</v>
      </c>
      <c r="BD45" s="2515">
        <f t="shared" si="17"/>
        <v>1964877.4762758007</v>
      </c>
      <c r="BE45" s="2515">
        <f t="shared" si="17"/>
        <v>2139981.6831892226</v>
      </c>
      <c r="BF45" s="2515">
        <f t="shared" si="17"/>
        <v>2338106.3803563048</v>
      </c>
      <c r="BG45" s="2515">
        <f t="shared" si="17"/>
        <v>3627937.6861876813</v>
      </c>
      <c r="BH45" s="2515">
        <f t="shared" si="17"/>
        <v>3771456.1781395813</v>
      </c>
      <c r="BI45" s="2515">
        <f t="shared" si="17"/>
        <v>3957279.3201213949</v>
      </c>
      <c r="BJ45" s="2515">
        <f t="shared" si="17"/>
        <v>4210334.6293687671</v>
      </c>
      <c r="BK45" s="2515">
        <f t="shared" si="17"/>
        <v>4391052.7497416362</v>
      </c>
      <c r="BL45" s="2515">
        <f t="shared" si="17"/>
        <v>4578799.223515016</v>
      </c>
      <c r="BM45" s="2515">
        <f t="shared" si="17"/>
        <v>4773824.0638004858</v>
      </c>
      <c r="BN45" s="2515">
        <f t="shared" si="17"/>
        <v>4976537.1287797866</v>
      </c>
      <c r="BO45" s="2515">
        <f t="shared" si="17"/>
        <v>5187088.5107722022</v>
      </c>
      <c r="BP45" s="2515">
        <f t="shared" si="17"/>
        <v>5405938.9407251095</v>
      </c>
      <c r="BQ45" s="2515">
        <f t="shared" si="17"/>
        <v>5633230.2087405873</v>
      </c>
      <c r="BR45" s="2515">
        <f t="shared" si="17"/>
        <v>5869475.6012752755</v>
      </c>
      <c r="BS45" s="2515">
        <f t="shared" si="17"/>
        <v>6147859.2939550094</v>
      </c>
      <c r="BT45" s="2515">
        <f t="shared" si="17"/>
        <v>6437232.3815572774</v>
      </c>
      <c r="BU45" s="2515">
        <f t="shared" si="17"/>
        <v>1621267.1436771918</v>
      </c>
    </row>
    <row r="46" spans="1:73" ht="15">
      <c r="B46" s="2526" t="s">
        <v>2233</v>
      </c>
      <c r="C46" s="2532">
        <f>SUM(C44:C45)</f>
        <v>-2071.6590000000001</v>
      </c>
      <c r="I46" s="2494">
        <v>45777</v>
      </c>
      <c r="J46" s="2525">
        <f>-'G-3.04,5.01 PF AMI'!AE87</f>
        <v>-315594.16877950181</v>
      </c>
      <c r="K46" s="2488">
        <f t="shared" si="2"/>
        <v>31559416.877950188</v>
      </c>
      <c r="L46" s="2488">
        <f t="shared" si="6"/>
        <v>33452981.890627205</v>
      </c>
      <c r="M46" s="2488">
        <f t="shared" si="0"/>
        <v>-6627477.5443695392</v>
      </c>
      <c r="N46" s="2488">
        <f t="shared" si="7"/>
        <v>-7025126.1970317131</v>
      </c>
      <c r="P46" s="2494">
        <v>45777</v>
      </c>
      <c r="Q46" s="2525">
        <f>-'G-3.04,5.01 PF AMI'!AK87</f>
        <v>-89408.671805069913</v>
      </c>
      <c r="R46" s="2488">
        <f t="shared" si="3"/>
        <v>8940867.1805069614</v>
      </c>
      <c r="S46" s="2488">
        <f t="shared" si="8"/>
        <v>9477319.2113373857</v>
      </c>
      <c r="T46" s="2488">
        <f t="shared" si="1"/>
        <v>-1877582.1079064619</v>
      </c>
      <c r="U46" s="2488">
        <f t="shared" si="9"/>
        <v>-1990237.0343808513</v>
      </c>
      <c r="Y46" s="477">
        <v>39</v>
      </c>
      <c r="Z46" s="477">
        <v>202111</v>
      </c>
      <c r="AA46" s="2487">
        <f t="shared" ref="AA46:AD59" si="18">AA45</f>
        <v>149003.71328671329</v>
      </c>
      <c r="AB46" s="2487">
        <f t="shared" si="18"/>
        <v>15855.748251748251</v>
      </c>
      <c r="AC46" s="2487">
        <f t="shared" si="18"/>
        <v>208146.90300699303</v>
      </c>
      <c r="AD46" s="2487">
        <f t="shared" si="18"/>
        <v>-15785.202797202797</v>
      </c>
      <c r="AE46" s="2487">
        <f t="shared" si="15"/>
        <v>357221.16174825176</v>
      </c>
      <c r="AF46" s="2487"/>
      <c r="AG46" s="2487">
        <f t="shared" ref="AG46:AJ59" si="19">AG45</f>
        <v>30843.139860139861</v>
      </c>
      <c r="AH46" s="2487">
        <f t="shared" si="19"/>
        <v>5777.4055944055945</v>
      </c>
      <c r="AI46" s="2487">
        <f t="shared" si="19"/>
        <v>72453.20006993007</v>
      </c>
      <c r="AJ46" s="2487">
        <f t="shared" si="19"/>
        <v>-1059.4055944055945</v>
      </c>
      <c r="AK46" s="2487">
        <f t="shared" si="16"/>
        <v>108014.33993006992</v>
      </c>
      <c r="AW46" s="2533" t="s">
        <v>2234</v>
      </c>
      <c r="AX46" s="2534">
        <f t="shared" ref="AX46:BU46" si="20">AX44-AX45</f>
        <v>101318749.91574772</v>
      </c>
      <c r="AY46" s="2534">
        <f t="shared" si="20"/>
        <v>202830951.25001457</v>
      </c>
      <c r="AZ46" s="2535">
        <f t="shared" si="20"/>
        <v>328884.74949076923</v>
      </c>
      <c r="BA46" s="2535">
        <f t="shared" si="20"/>
        <v>419923.81317549257</v>
      </c>
      <c r="BB46" s="2535">
        <f t="shared" si="20"/>
        <v>945114.83135182038</v>
      </c>
      <c r="BC46" s="2535">
        <f t="shared" si="20"/>
        <v>2429512.8164157756</v>
      </c>
      <c r="BD46" s="2535">
        <f t="shared" si="20"/>
        <v>6225263.4635321656</v>
      </c>
      <c r="BE46" s="2535">
        <f t="shared" si="20"/>
        <v>6360716.438897172</v>
      </c>
      <c r="BF46" s="2535">
        <f t="shared" si="20"/>
        <v>6516474.2251543403</v>
      </c>
      <c r="BG46" s="2535">
        <f t="shared" si="20"/>
        <v>9126478.2411252502</v>
      </c>
      <c r="BH46" s="2535">
        <f t="shared" si="20"/>
        <v>10181065.31725999</v>
      </c>
      <c r="BI46" s="2535">
        <f t="shared" si="20"/>
        <v>10583688.338130785</v>
      </c>
      <c r="BJ46" s="2535">
        <f t="shared" si="20"/>
        <v>11002476.765118225</v>
      </c>
      <c r="BK46" s="2535">
        <f t="shared" si="20"/>
        <v>11438377.155016029</v>
      </c>
      <c r="BL46" s="2535">
        <f t="shared" si="20"/>
        <v>11892413.402614634</v>
      </c>
      <c r="BM46" s="2535">
        <f t="shared" si="20"/>
        <v>12364536.115377938</v>
      </c>
      <c r="BN46" s="2535">
        <f t="shared" si="20"/>
        <v>12672517.458399095</v>
      </c>
      <c r="BO46" s="2535">
        <f t="shared" si="20"/>
        <v>13179100.570427474</v>
      </c>
      <c r="BP46" s="2535">
        <f t="shared" si="20"/>
        <v>13706490.346573077</v>
      </c>
      <c r="BQ46" s="2535">
        <f t="shared" si="20"/>
        <v>14284000.975620057</v>
      </c>
      <c r="BR46" s="2535">
        <f t="shared" si="20"/>
        <v>14815888.523795214</v>
      </c>
      <c r="BS46" s="2535">
        <f t="shared" si="20"/>
        <v>15409862.054094989</v>
      </c>
      <c r="BT46" s="2535">
        <f t="shared" si="20"/>
        <v>16061663.210160378</v>
      </c>
      <c r="BU46" s="2535">
        <f t="shared" si="20"/>
        <v>2886502.4382839352</v>
      </c>
    </row>
    <row r="47" spans="1:73" ht="15">
      <c r="I47" s="2494">
        <v>45808</v>
      </c>
      <c r="J47" s="2525">
        <f>-'G-3.04,5.01 PF AMI'!AE88</f>
        <v>-315594.16877950181</v>
      </c>
      <c r="K47" s="2488">
        <f t="shared" si="2"/>
        <v>31243822.709170684</v>
      </c>
      <c r="L47" s="2488">
        <f t="shared" si="6"/>
        <v>33137387.721847702</v>
      </c>
      <c r="M47" s="2488">
        <f t="shared" si="0"/>
        <v>-6561202.7689258438</v>
      </c>
      <c r="N47" s="2488">
        <f t="shared" si="7"/>
        <v>-6958851.4215880176</v>
      </c>
      <c r="P47" s="2494">
        <v>45808</v>
      </c>
      <c r="Q47" s="2525">
        <f>-'G-3.04,5.01 PF AMI'!AK88</f>
        <v>-89408.671805069913</v>
      </c>
      <c r="R47" s="2488">
        <f t="shared" si="3"/>
        <v>8851458.5087018907</v>
      </c>
      <c r="S47" s="2488">
        <f t="shared" si="8"/>
        <v>9387910.5395323131</v>
      </c>
      <c r="T47" s="2488">
        <f t="shared" si="1"/>
        <v>-1858806.2868273971</v>
      </c>
      <c r="U47" s="2488">
        <f t="shared" si="9"/>
        <v>-1971461.213301786</v>
      </c>
      <c r="Y47" s="477">
        <v>40</v>
      </c>
      <c r="Z47" s="477">
        <v>202112</v>
      </c>
      <c r="AA47" s="2487">
        <f t="shared" si="18"/>
        <v>149003.71328671329</v>
      </c>
      <c r="AB47" s="2487">
        <f t="shared" si="18"/>
        <v>15855.748251748251</v>
      </c>
      <c r="AC47" s="2487">
        <f t="shared" si="18"/>
        <v>208146.90300699303</v>
      </c>
      <c r="AD47" s="2487">
        <f t="shared" si="18"/>
        <v>-15785.202797202797</v>
      </c>
      <c r="AE47" s="2487">
        <f t="shared" si="15"/>
        <v>357221.16174825176</v>
      </c>
      <c r="AF47" s="2487"/>
      <c r="AG47" s="2487">
        <f t="shared" si="19"/>
        <v>30843.139860139861</v>
      </c>
      <c r="AH47" s="2487">
        <f t="shared" si="19"/>
        <v>5777.4055944055945</v>
      </c>
      <c r="AI47" s="2487">
        <f t="shared" si="19"/>
        <v>72453.20006993007</v>
      </c>
      <c r="AJ47" s="2487">
        <f t="shared" si="19"/>
        <v>-1059.4055944055945</v>
      </c>
      <c r="AK47" s="2487">
        <f t="shared" si="16"/>
        <v>108014.33993006992</v>
      </c>
      <c r="AW47" s="1230"/>
      <c r="AX47" s="2536"/>
      <c r="AY47" s="2536"/>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5">
      <c r="I48" s="2494">
        <v>45838</v>
      </c>
      <c r="J48" s="2525">
        <f>-'G-3.04,5.01 PF AMI'!AE89</f>
        <v>-315594.16877950181</v>
      </c>
      <c r="K48" s="2488">
        <f t="shared" si="2"/>
        <v>30928228.540391181</v>
      </c>
      <c r="L48" s="2488">
        <f t="shared" si="6"/>
        <v>32821793.553068202</v>
      </c>
      <c r="M48" s="2488">
        <f t="shared" si="0"/>
        <v>-6494927.9934821473</v>
      </c>
      <c r="N48" s="2488">
        <f t="shared" si="7"/>
        <v>-6892576.6461443221</v>
      </c>
      <c r="P48" s="2494">
        <v>45838</v>
      </c>
      <c r="Q48" s="2525">
        <f>-'G-3.04,5.01 PF AMI'!AK89</f>
        <v>-89408.671805069913</v>
      </c>
      <c r="R48" s="2488">
        <f t="shared" si="3"/>
        <v>8762049.83689682</v>
      </c>
      <c r="S48" s="2488">
        <f t="shared" si="8"/>
        <v>9298501.8677272443</v>
      </c>
      <c r="T48" s="2488">
        <f t="shared" si="1"/>
        <v>-1840030.4657483322</v>
      </c>
      <c r="U48" s="2488">
        <f t="shared" si="9"/>
        <v>-1952685.3922227209</v>
      </c>
      <c r="Y48" s="477">
        <v>41</v>
      </c>
      <c r="Z48" s="477">
        <v>202201</v>
      </c>
      <c r="AA48" s="2487">
        <f t="shared" si="18"/>
        <v>149003.71328671329</v>
      </c>
      <c r="AB48" s="2487">
        <f t="shared" si="18"/>
        <v>15855.748251748251</v>
      </c>
      <c r="AC48" s="2487">
        <f t="shared" si="18"/>
        <v>208146.90300699303</v>
      </c>
      <c r="AD48" s="2487">
        <f t="shared" si="18"/>
        <v>-15785.202797202797</v>
      </c>
      <c r="AE48" s="2487">
        <f t="shared" si="15"/>
        <v>357221.16174825176</v>
      </c>
      <c r="AF48" s="2487"/>
      <c r="AG48" s="2487">
        <f t="shared" si="19"/>
        <v>30843.139860139861</v>
      </c>
      <c r="AH48" s="2487">
        <f t="shared" si="19"/>
        <v>5777.4055944055945</v>
      </c>
      <c r="AI48" s="2487">
        <f t="shared" si="19"/>
        <v>72453.20006993007</v>
      </c>
      <c r="AJ48" s="2487">
        <f t="shared" si="19"/>
        <v>-1059.4055944055945</v>
      </c>
      <c r="AK48" s="2487">
        <f t="shared" si="16"/>
        <v>108014.33993006992</v>
      </c>
      <c r="AV48" s="477" t="s">
        <v>2235</v>
      </c>
      <c r="AW48" s="2533" t="s">
        <v>2236</v>
      </c>
      <c r="AX48" s="2534">
        <v>90363790.632169619</v>
      </c>
      <c r="AY48" s="2534">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494">
        <v>45869</v>
      </c>
      <c r="J49" s="2525">
        <f>-'G-3.04,5.01 PF AMI'!AE90</f>
        <v>-315594.16877950181</v>
      </c>
      <c r="K49" s="2488">
        <f t="shared" si="2"/>
        <v>30612634.371611677</v>
      </c>
      <c r="L49" s="2488">
        <f t="shared" si="6"/>
        <v>32506199.384288702</v>
      </c>
      <c r="M49" s="2488">
        <f t="shared" si="0"/>
        <v>-6428653.2180384519</v>
      </c>
      <c r="N49" s="2488">
        <f t="shared" si="7"/>
        <v>-6826301.8707006266</v>
      </c>
      <c r="P49" s="2494">
        <v>45869</v>
      </c>
      <c r="Q49" s="2525">
        <f>-'G-3.04,5.01 PF AMI'!AK90</f>
        <v>-89408.671805069913</v>
      </c>
      <c r="R49" s="2488">
        <f t="shared" si="3"/>
        <v>8672641.1650917493</v>
      </c>
      <c r="S49" s="2488">
        <f t="shared" si="8"/>
        <v>9209093.1959221717</v>
      </c>
      <c r="T49" s="2488">
        <f t="shared" si="1"/>
        <v>-1821254.6446692673</v>
      </c>
      <c r="U49" s="2488">
        <f t="shared" si="9"/>
        <v>-1933909.571143656</v>
      </c>
      <c r="Y49" s="477">
        <v>42</v>
      </c>
      <c r="Z49" s="477">
        <v>202202</v>
      </c>
      <c r="AA49" s="2487">
        <f t="shared" si="18"/>
        <v>149003.71328671329</v>
      </c>
      <c r="AB49" s="2487">
        <f t="shared" si="18"/>
        <v>15855.748251748251</v>
      </c>
      <c r="AC49" s="2487">
        <f t="shared" si="18"/>
        <v>208146.90300699303</v>
      </c>
      <c r="AD49" s="2487">
        <f t="shared" si="18"/>
        <v>-15785.202797202797</v>
      </c>
      <c r="AE49" s="2487">
        <f t="shared" si="15"/>
        <v>357221.16174825176</v>
      </c>
      <c r="AF49" s="2487"/>
      <c r="AG49" s="2487">
        <f t="shared" si="19"/>
        <v>30843.139860139861</v>
      </c>
      <c r="AH49" s="2487">
        <f t="shared" si="19"/>
        <v>5777.4055944055945</v>
      </c>
      <c r="AI49" s="2487">
        <f t="shared" si="19"/>
        <v>72453.20006993007</v>
      </c>
      <c r="AJ49" s="2487">
        <f t="shared" si="19"/>
        <v>-1059.4055944055945</v>
      </c>
      <c r="AK49" s="2487">
        <f t="shared" si="16"/>
        <v>108014.33993006992</v>
      </c>
    </row>
    <row r="50" spans="9:62" ht="15">
      <c r="I50" s="2494">
        <v>45900</v>
      </c>
      <c r="J50" s="2525">
        <f>-'G-3.04,5.01 PF AMI'!AE91</f>
        <v>-315594.16877950181</v>
      </c>
      <c r="K50" s="2488">
        <f t="shared" si="2"/>
        <v>30297040.202832174</v>
      </c>
      <c r="L50" s="2488">
        <f t="shared" si="6"/>
        <v>32190605.215509195</v>
      </c>
      <c r="M50" s="2488">
        <f t="shared" si="0"/>
        <v>-6362378.4425947564</v>
      </c>
      <c r="N50" s="2488">
        <f t="shared" si="7"/>
        <v>-6760027.0952569311</v>
      </c>
      <c r="P50" s="2494">
        <v>45900</v>
      </c>
      <c r="Q50" s="2525">
        <f>-'G-3.04,5.01 PF AMI'!AK91</f>
        <v>-89408.671805069913</v>
      </c>
      <c r="R50" s="2488">
        <f t="shared" si="3"/>
        <v>8583232.4932866786</v>
      </c>
      <c r="S50" s="2488">
        <f t="shared" si="8"/>
        <v>9119684.5241171028</v>
      </c>
      <c r="T50" s="2488">
        <f t="shared" si="1"/>
        <v>-1802478.8235902025</v>
      </c>
      <c r="U50" s="2488">
        <f t="shared" si="9"/>
        <v>-1915133.7500645916</v>
      </c>
      <c r="Y50" s="477">
        <v>43</v>
      </c>
      <c r="Z50" s="477">
        <v>202203</v>
      </c>
      <c r="AA50" s="2487">
        <f t="shared" si="18"/>
        <v>149003.71328671329</v>
      </c>
      <c r="AB50" s="2487">
        <f t="shared" si="18"/>
        <v>15855.748251748251</v>
      </c>
      <c r="AC50" s="2487">
        <f t="shared" si="18"/>
        <v>208146.90300699303</v>
      </c>
      <c r="AD50" s="2487">
        <f t="shared" si="18"/>
        <v>-15785.202797202797</v>
      </c>
      <c r="AE50" s="2487">
        <f t="shared" si="15"/>
        <v>357221.16174825176</v>
      </c>
      <c r="AF50" s="2487"/>
      <c r="AG50" s="2487">
        <f t="shared" si="19"/>
        <v>30843.139860139861</v>
      </c>
      <c r="AH50" s="2487">
        <f t="shared" si="19"/>
        <v>5777.4055944055945</v>
      </c>
      <c r="AI50" s="2487">
        <f t="shared" si="19"/>
        <v>72453.20006993007</v>
      </c>
      <c r="AJ50" s="2487">
        <f t="shared" si="19"/>
        <v>-1059.4055944055945</v>
      </c>
      <c r="AK50" s="2487">
        <f t="shared" si="16"/>
        <v>108014.33993006992</v>
      </c>
      <c r="AW50" s="2530" t="s">
        <v>2237</v>
      </c>
      <c r="AX50" s="2531">
        <f>AX44+AX48</f>
        <v>216745737.08555713</v>
      </c>
      <c r="AY50" s="2531">
        <f>AY44+AY48</f>
        <v>489663000.46442401</v>
      </c>
    </row>
    <row r="51" spans="9:62">
      <c r="I51" s="2494">
        <v>45930</v>
      </c>
      <c r="J51" s="2525">
        <f>-'G-3.04,5.01 PF AMI'!AE92</f>
        <v>-315594.16877950181</v>
      </c>
      <c r="K51" s="2488">
        <f t="shared" si="2"/>
        <v>29981446.03405267</v>
      </c>
      <c r="L51" s="2488">
        <f t="shared" si="6"/>
        <v>31875011.046729688</v>
      </c>
      <c r="M51" s="2488">
        <f t="shared" si="0"/>
        <v>-6296103.6671510609</v>
      </c>
      <c r="N51" s="2488">
        <f t="shared" si="7"/>
        <v>-6693752.3198132357</v>
      </c>
      <c r="P51" s="2494">
        <v>45930</v>
      </c>
      <c r="Q51" s="2525">
        <f>-'G-3.04,5.01 PF AMI'!AK92</f>
        <v>-89408.671805069913</v>
      </c>
      <c r="R51" s="2488">
        <f t="shared" si="3"/>
        <v>8493823.8214816079</v>
      </c>
      <c r="S51" s="2488">
        <f t="shared" si="8"/>
        <v>9030275.852312034</v>
      </c>
      <c r="T51" s="2488">
        <f t="shared" si="1"/>
        <v>-1783703.0025111376</v>
      </c>
      <c r="U51" s="2488">
        <f t="shared" si="9"/>
        <v>-1896357.928985527</v>
      </c>
      <c r="Y51" s="477">
        <v>44</v>
      </c>
      <c r="Z51" s="477">
        <v>202204</v>
      </c>
      <c r="AA51" s="2487">
        <f t="shared" si="18"/>
        <v>149003.71328671329</v>
      </c>
      <c r="AB51" s="2487">
        <f t="shared" si="18"/>
        <v>15855.748251748251</v>
      </c>
      <c r="AC51" s="2487">
        <f t="shared" si="18"/>
        <v>208146.90300699303</v>
      </c>
      <c r="AD51" s="2487">
        <f t="shared" si="18"/>
        <v>-15785.202797202797</v>
      </c>
      <c r="AE51" s="2487">
        <f t="shared" si="15"/>
        <v>357221.16174825176</v>
      </c>
      <c r="AF51" s="2487"/>
      <c r="AG51" s="2487">
        <f t="shared" si="19"/>
        <v>30843.139860139861</v>
      </c>
      <c r="AH51" s="2487">
        <f t="shared" si="19"/>
        <v>5777.4055944055945</v>
      </c>
      <c r="AI51" s="2487">
        <f t="shared" si="19"/>
        <v>72453.20006993007</v>
      </c>
      <c r="AJ51" s="2487">
        <f t="shared" si="19"/>
        <v>-1059.4055944055945</v>
      </c>
      <c r="AK51" s="2487">
        <f t="shared" si="16"/>
        <v>108014.33993006992</v>
      </c>
    </row>
    <row r="52" spans="9:62">
      <c r="I52" s="2494">
        <v>45961</v>
      </c>
      <c r="J52" s="2525">
        <f>-'G-3.04,5.01 PF AMI'!AE93</f>
        <v>-315594.16877950181</v>
      </c>
      <c r="K52" s="2488">
        <f t="shared" si="2"/>
        <v>29665851.865273166</v>
      </c>
      <c r="L52" s="2488">
        <f t="shared" si="6"/>
        <v>31559416.877950188</v>
      </c>
      <c r="M52" s="2488">
        <f t="shared" si="0"/>
        <v>-6229828.8917073645</v>
      </c>
      <c r="N52" s="2488">
        <f t="shared" si="7"/>
        <v>-6627477.5443695402</v>
      </c>
      <c r="P52" s="2494">
        <v>45961</v>
      </c>
      <c r="Q52" s="2525">
        <f>-'G-3.04,5.01 PF AMI'!AK93</f>
        <v>-89408.671805069913</v>
      </c>
      <c r="R52" s="2488">
        <f t="shared" si="3"/>
        <v>8404415.1496765371</v>
      </c>
      <c r="S52" s="2488">
        <f t="shared" si="8"/>
        <v>8940867.1805069614</v>
      </c>
      <c r="T52" s="2488">
        <f t="shared" si="1"/>
        <v>-1764927.1814320728</v>
      </c>
      <c r="U52" s="2488">
        <f t="shared" si="9"/>
        <v>-1877582.1079064619</v>
      </c>
      <c r="Y52" s="477">
        <v>45</v>
      </c>
      <c r="Z52" s="477">
        <v>202205</v>
      </c>
      <c r="AA52" s="2487">
        <f t="shared" si="18"/>
        <v>149003.71328671329</v>
      </c>
      <c r="AB52" s="2487">
        <f t="shared" si="18"/>
        <v>15855.748251748251</v>
      </c>
      <c r="AC52" s="2487">
        <f t="shared" si="18"/>
        <v>208146.90300699303</v>
      </c>
      <c r="AD52" s="2487">
        <f t="shared" si="18"/>
        <v>-15785.202797202797</v>
      </c>
      <c r="AE52" s="2487">
        <f t="shared" si="15"/>
        <v>357221.16174825176</v>
      </c>
      <c r="AF52" s="2487"/>
      <c r="AG52" s="2487">
        <f t="shared" si="19"/>
        <v>30843.139860139861</v>
      </c>
      <c r="AH52" s="2487">
        <f t="shared" si="19"/>
        <v>5777.4055944055945</v>
      </c>
      <c r="AI52" s="2487">
        <f t="shared" si="19"/>
        <v>72453.20006993007</v>
      </c>
      <c r="AJ52" s="2487">
        <f t="shared" si="19"/>
        <v>-1059.4055944055945</v>
      </c>
      <c r="AK52" s="2487">
        <f t="shared" si="16"/>
        <v>108014.33993006992</v>
      </c>
      <c r="AX52" s="1210"/>
    </row>
    <row r="53" spans="9:62">
      <c r="I53" s="2494">
        <v>45991</v>
      </c>
      <c r="J53" s="2525">
        <f>-'G-3.04,5.01 PF AMI'!AE94</f>
        <v>-315594.16877950181</v>
      </c>
      <c r="K53" s="2488">
        <f t="shared" si="2"/>
        <v>29350257.696493663</v>
      </c>
      <c r="L53" s="2488">
        <f t="shared" si="6"/>
        <v>31243822.709170684</v>
      </c>
      <c r="M53" s="2488">
        <f t="shared" si="0"/>
        <v>-6163554.116263669</v>
      </c>
      <c r="N53" s="2488">
        <f t="shared" si="7"/>
        <v>-6561202.7689258447</v>
      </c>
      <c r="P53" s="2494">
        <v>45991</v>
      </c>
      <c r="Q53" s="2525">
        <f>-'G-3.04,5.01 PF AMI'!AK94</f>
        <v>-89408.671805069913</v>
      </c>
      <c r="R53" s="2488">
        <f t="shared" si="3"/>
        <v>8315006.4778714674</v>
      </c>
      <c r="S53" s="2488">
        <f t="shared" si="8"/>
        <v>8851458.5087018907</v>
      </c>
      <c r="T53" s="2488">
        <f t="shared" si="1"/>
        <v>-1746151.3603530081</v>
      </c>
      <c r="U53" s="2488">
        <f t="shared" si="9"/>
        <v>-1858806.2868273968</v>
      </c>
      <c r="Y53" s="477">
        <v>46</v>
      </c>
      <c r="Z53" s="477">
        <v>202206</v>
      </c>
      <c r="AA53" s="2487">
        <f t="shared" si="18"/>
        <v>149003.71328671329</v>
      </c>
      <c r="AB53" s="2487">
        <f t="shared" si="18"/>
        <v>15855.748251748251</v>
      </c>
      <c r="AC53" s="2487">
        <f t="shared" si="18"/>
        <v>208146.90300699303</v>
      </c>
      <c r="AD53" s="2487">
        <f t="shared" si="18"/>
        <v>-15785.202797202797</v>
      </c>
      <c r="AE53" s="2487">
        <f t="shared" si="15"/>
        <v>357221.16174825176</v>
      </c>
      <c r="AF53" s="2487"/>
      <c r="AG53" s="2487">
        <f t="shared" si="19"/>
        <v>30843.139860139861</v>
      </c>
      <c r="AH53" s="2487">
        <f t="shared" si="19"/>
        <v>5777.4055944055945</v>
      </c>
      <c r="AI53" s="2487">
        <f t="shared" si="19"/>
        <v>72453.20006993007</v>
      </c>
      <c r="AJ53" s="2487">
        <f t="shared" si="19"/>
        <v>-1059.4055944055945</v>
      </c>
      <c r="AK53" s="2487">
        <f t="shared" si="16"/>
        <v>108014.33993006992</v>
      </c>
    </row>
    <row r="54" spans="9:62">
      <c r="I54" s="2494">
        <v>46022</v>
      </c>
      <c r="J54" s="2525">
        <f>-'G-3.04,5.01 PF AMI'!AE95</f>
        <v>-315594.16877950181</v>
      </c>
      <c r="K54" s="2488">
        <f t="shared" si="2"/>
        <v>29034663.527714159</v>
      </c>
      <c r="L54" s="2525">
        <f t="shared" si="6"/>
        <v>30928228.540391181</v>
      </c>
      <c r="M54" s="2488">
        <f t="shared" si="0"/>
        <v>-6097279.3408199735</v>
      </c>
      <c r="N54" s="2525">
        <f t="shared" si="7"/>
        <v>-6494927.9934821492</v>
      </c>
      <c r="P54" s="2494">
        <v>46022</v>
      </c>
      <c r="Q54" s="2525">
        <f>-'G-3.04,5.01 PF AMI'!AK95</f>
        <v>-89408.671805069913</v>
      </c>
      <c r="R54" s="2488">
        <f t="shared" si="3"/>
        <v>8225597.8060663976</v>
      </c>
      <c r="S54" s="2525">
        <f t="shared" si="8"/>
        <v>8762049.83689682</v>
      </c>
      <c r="T54" s="2488">
        <f t="shared" si="1"/>
        <v>-1727375.5392739435</v>
      </c>
      <c r="U54" s="2525">
        <f t="shared" si="9"/>
        <v>-1840030.4657483322</v>
      </c>
      <c r="Y54" s="477">
        <v>47</v>
      </c>
      <c r="Z54" s="477">
        <v>202207</v>
      </c>
      <c r="AA54" s="2487">
        <f t="shared" si="18"/>
        <v>149003.71328671329</v>
      </c>
      <c r="AB54" s="2487">
        <f t="shared" si="18"/>
        <v>15855.748251748251</v>
      </c>
      <c r="AC54" s="2487">
        <f t="shared" si="18"/>
        <v>208146.90300699303</v>
      </c>
      <c r="AD54" s="2487">
        <f t="shared" si="18"/>
        <v>-15785.202797202797</v>
      </c>
      <c r="AE54" s="2487">
        <f t="shared" si="15"/>
        <v>357221.16174825176</v>
      </c>
      <c r="AF54" s="2487"/>
      <c r="AG54" s="2487">
        <f t="shared" si="19"/>
        <v>30843.139860139861</v>
      </c>
      <c r="AH54" s="2487">
        <f t="shared" si="19"/>
        <v>5777.4055944055945</v>
      </c>
      <c r="AI54" s="2487">
        <f t="shared" si="19"/>
        <v>72453.20006993007</v>
      </c>
      <c r="AJ54" s="2487">
        <f t="shared" si="19"/>
        <v>-1059.4055944055945</v>
      </c>
      <c r="AK54" s="2487">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494">
        <v>46053</v>
      </c>
      <c r="J55" s="2537">
        <f>-'G-3.04,5.01 PF AMI'!AE96</f>
        <v>-315594.16877950181</v>
      </c>
      <c r="K55" s="2488">
        <f t="shared" si="2"/>
        <v>28719069.358934656</v>
      </c>
      <c r="L55" s="2488">
        <f t="shared" si="6"/>
        <v>30612634.371611681</v>
      </c>
      <c r="M55" s="2488">
        <f t="shared" si="0"/>
        <v>-6031004.5653762771</v>
      </c>
      <c r="N55" s="2488">
        <f t="shared" si="7"/>
        <v>-6428653.2180384537</v>
      </c>
      <c r="P55" s="2494">
        <v>46053</v>
      </c>
      <c r="Q55" s="2537">
        <f>-'G-3.04,5.01 PF AMI'!AK96</f>
        <v>-89408.671805069913</v>
      </c>
      <c r="R55" s="2488">
        <f t="shared" si="3"/>
        <v>8136189.1342613278</v>
      </c>
      <c r="S55" s="2488">
        <f t="shared" si="8"/>
        <v>8672641.1650917493</v>
      </c>
      <c r="T55" s="2488">
        <f t="shared" si="1"/>
        <v>-1708599.7181948787</v>
      </c>
      <c r="U55" s="2488">
        <f t="shared" si="9"/>
        <v>-1821254.6446692673</v>
      </c>
      <c r="Y55" s="477">
        <v>48</v>
      </c>
      <c r="Z55" s="477">
        <v>202208</v>
      </c>
      <c r="AA55" s="2487">
        <f t="shared" si="18"/>
        <v>149003.71328671329</v>
      </c>
      <c r="AB55" s="2487">
        <f t="shared" si="18"/>
        <v>15855.748251748251</v>
      </c>
      <c r="AC55" s="2487">
        <f t="shared" si="18"/>
        <v>208146.90300699303</v>
      </c>
      <c r="AD55" s="2487">
        <f t="shared" si="18"/>
        <v>-15785.202797202797</v>
      </c>
      <c r="AE55" s="2487">
        <f t="shared" si="15"/>
        <v>357221.16174825176</v>
      </c>
      <c r="AF55" s="2487"/>
      <c r="AG55" s="2487">
        <f t="shared" si="19"/>
        <v>30843.139860139861</v>
      </c>
      <c r="AH55" s="2487">
        <f t="shared" si="19"/>
        <v>5777.4055944055945</v>
      </c>
      <c r="AI55" s="2487">
        <f t="shared" si="19"/>
        <v>72453.20006993007</v>
      </c>
      <c r="AJ55" s="2487">
        <f t="shared" si="19"/>
        <v>-1059.4055944055945</v>
      </c>
      <c r="AK55" s="2487">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490">
        <f t="shared" si="22"/>
        <v>6516474.2251543403</v>
      </c>
      <c r="BG55" s="2490">
        <f t="shared" si="22"/>
        <v>9126478.2411252502</v>
      </c>
      <c r="BH55" s="1210">
        <f t="shared" si="22"/>
        <v>10181065.31725999</v>
      </c>
      <c r="BI55" s="2490">
        <f t="shared" si="22"/>
        <v>10583688.338130785</v>
      </c>
      <c r="BJ55" s="2490">
        <f t="shared" si="22"/>
        <v>11002476.765118225</v>
      </c>
    </row>
    <row r="56" spans="9:62" ht="15">
      <c r="I56" s="2494">
        <v>46081</v>
      </c>
      <c r="J56" s="2537">
        <f>-'G-3.04,5.01 PF AMI'!AE97</f>
        <v>-315594.16877950181</v>
      </c>
      <c r="K56" s="2488">
        <f t="shared" si="2"/>
        <v>28403475.190155152</v>
      </c>
      <c r="L56" s="2488">
        <f t="shared" si="6"/>
        <v>30297040.202832174</v>
      </c>
      <c r="M56" s="2488">
        <f t="shared" si="0"/>
        <v>-5964729.7899325816</v>
      </c>
      <c r="N56" s="2488">
        <f t="shared" si="7"/>
        <v>-6362378.4425947564</v>
      </c>
      <c r="P56" s="2494">
        <v>46081</v>
      </c>
      <c r="Q56" s="2537">
        <f>-'G-3.04,5.01 PF AMI'!AK97</f>
        <v>-89408.671805069913</v>
      </c>
      <c r="R56" s="2488">
        <f t="shared" si="3"/>
        <v>8046780.462456258</v>
      </c>
      <c r="S56" s="2488">
        <f t="shared" si="8"/>
        <v>8583232.4932866786</v>
      </c>
      <c r="T56" s="2488">
        <f t="shared" si="1"/>
        <v>-1689823.897115814</v>
      </c>
      <c r="U56" s="2488">
        <f t="shared" si="9"/>
        <v>-1802478.8235902025</v>
      </c>
      <c r="Y56" s="477">
        <v>49</v>
      </c>
      <c r="Z56" s="477">
        <v>202209</v>
      </c>
      <c r="AA56" s="2487">
        <f t="shared" si="18"/>
        <v>149003.71328671329</v>
      </c>
      <c r="AB56" s="2487">
        <f t="shared" si="18"/>
        <v>15855.748251748251</v>
      </c>
      <c r="AC56" s="2487">
        <f t="shared" si="18"/>
        <v>208146.90300699303</v>
      </c>
      <c r="AD56" s="2487">
        <f t="shared" si="18"/>
        <v>-15785.202797202797</v>
      </c>
      <c r="AE56" s="2487">
        <f t="shared" si="15"/>
        <v>357221.16174825176</v>
      </c>
      <c r="AF56" s="2487"/>
      <c r="AG56" s="2487">
        <f t="shared" si="19"/>
        <v>30843.139860139861</v>
      </c>
      <c r="AH56" s="2487">
        <f t="shared" si="19"/>
        <v>5777.4055944055945</v>
      </c>
      <c r="AI56" s="2487">
        <f t="shared" si="19"/>
        <v>72453.20006993007</v>
      </c>
      <c r="AJ56" s="2487">
        <f t="shared" si="19"/>
        <v>-1059.4055944055945</v>
      </c>
      <c r="AK56" s="2487">
        <f t="shared" si="16"/>
        <v>108014.33993006992</v>
      </c>
      <c r="BF56" s="2538" t="s">
        <v>662</v>
      </c>
      <c r="BG56" s="2538" t="s">
        <v>698</v>
      </c>
      <c r="BI56" s="2538" t="s">
        <v>697</v>
      </c>
      <c r="BJ56" s="2538" t="s">
        <v>670</v>
      </c>
    </row>
    <row r="57" spans="9:62">
      <c r="I57" s="2494">
        <v>46112</v>
      </c>
      <c r="J57" s="2537">
        <f>-'G-3.04,5.01 PF AMI'!AE98</f>
        <v>-315594.16877950181</v>
      </c>
      <c r="K57" s="2488">
        <f t="shared" si="2"/>
        <v>28087881.021375649</v>
      </c>
      <c r="L57" s="2488">
        <f t="shared" si="6"/>
        <v>29981446.034052666</v>
      </c>
      <c r="M57" s="2488">
        <f t="shared" si="0"/>
        <v>-5898455.0144888861</v>
      </c>
      <c r="N57" s="2488">
        <f t="shared" si="7"/>
        <v>-6296103.6671510609</v>
      </c>
      <c r="P57" s="2494">
        <v>46112</v>
      </c>
      <c r="Q57" s="2537">
        <f>-'G-3.04,5.01 PF AMI'!AK98</f>
        <v>-89408.671805069913</v>
      </c>
      <c r="R57" s="2488">
        <f t="shared" si="3"/>
        <v>7957371.7906511882</v>
      </c>
      <c r="S57" s="2488">
        <f t="shared" si="8"/>
        <v>8493823.821481606</v>
      </c>
      <c r="T57" s="2488">
        <f t="shared" si="1"/>
        <v>-1671048.0760367494</v>
      </c>
      <c r="U57" s="2488">
        <f t="shared" si="9"/>
        <v>-1783703.0025111381</v>
      </c>
      <c r="Y57" s="477">
        <v>50</v>
      </c>
      <c r="Z57" s="477">
        <v>202210</v>
      </c>
      <c r="AA57" s="2487">
        <f t="shared" si="18"/>
        <v>149003.71328671329</v>
      </c>
      <c r="AB57" s="2487">
        <f t="shared" si="18"/>
        <v>15855.748251748251</v>
      </c>
      <c r="AC57" s="2487">
        <f t="shared" si="18"/>
        <v>208146.90300699303</v>
      </c>
      <c r="AD57" s="2487">
        <f t="shared" si="18"/>
        <v>-15785.202797202797</v>
      </c>
      <c r="AE57" s="2487">
        <f t="shared" si="15"/>
        <v>357221.16174825176</v>
      </c>
      <c r="AF57" s="2487"/>
      <c r="AG57" s="2487">
        <f t="shared" si="19"/>
        <v>30843.139860139861</v>
      </c>
      <c r="AH57" s="2487">
        <f t="shared" si="19"/>
        <v>5777.4055944055945</v>
      </c>
      <c r="AI57" s="2487">
        <f t="shared" si="19"/>
        <v>72453.20006993007</v>
      </c>
      <c r="AJ57" s="2487">
        <f t="shared" si="19"/>
        <v>-1059.4055944055945</v>
      </c>
      <c r="AK57" s="2487">
        <f t="shared" si="16"/>
        <v>108014.33993006992</v>
      </c>
    </row>
    <row r="58" spans="9:62">
      <c r="I58" s="2494">
        <v>46142</v>
      </c>
      <c r="J58" s="2537">
        <f>-'G-3.04,5.01 PF AMI'!AE99</f>
        <v>-315594.16877950181</v>
      </c>
      <c r="K58" s="2488">
        <f t="shared" si="2"/>
        <v>27772286.852596145</v>
      </c>
      <c r="L58" s="2488">
        <f t="shared" si="6"/>
        <v>29665851.865273163</v>
      </c>
      <c r="M58" s="2488">
        <f t="shared" si="0"/>
        <v>-5832180.2390451906</v>
      </c>
      <c r="N58" s="2488">
        <f t="shared" si="7"/>
        <v>-6229828.8917073654</v>
      </c>
      <c r="P58" s="2494">
        <v>46142</v>
      </c>
      <c r="Q58" s="2537">
        <f>-'G-3.04,5.01 PF AMI'!AK99</f>
        <v>-89408.671805069913</v>
      </c>
      <c r="R58" s="2488">
        <f t="shared" si="3"/>
        <v>7867963.1188461185</v>
      </c>
      <c r="S58" s="2488">
        <f t="shared" si="8"/>
        <v>8404415.1496765371</v>
      </c>
      <c r="T58" s="2488">
        <f t="shared" si="1"/>
        <v>-1652272.2549576848</v>
      </c>
      <c r="U58" s="2488">
        <f t="shared" si="9"/>
        <v>-1764927.1814320732</v>
      </c>
      <c r="Y58" s="477">
        <v>51</v>
      </c>
      <c r="Z58" s="477">
        <v>202211</v>
      </c>
      <c r="AA58" s="2487">
        <f t="shared" si="18"/>
        <v>149003.71328671329</v>
      </c>
      <c r="AB58" s="2487">
        <f t="shared" si="18"/>
        <v>15855.748251748251</v>
      </c>
      <c r="AC58" s="2487">
        <f t="shared" si="18"/>
        <v>208146.90300699303</v>
      </c>
      <c r="AD58" s="2487">
        <f t="shared" si="18"/>
        <v>-15785.202797202797</v>
      </c>
      <c r="AE58" s="2487">
        <f t="shared" si="15"/>
        <v>357221.16174825176</v>
      </c>
      <c r="AF58" s="2487"/>
      <c r="AG58" s="2487">
        <f t="shared" si="19"/>
        <v>30843.139860139861</v>
      </c>
      <c r="AH58" s="2487">
        <f t="shared" si="19"/>
        <v>5777.4055944055945</v>
      </c>
      <c r="AI58" s="2487">
        <f t="shared" si="19"/>
        <v>72453.20006993007</v>
      </c>
      <c r="AJ58" s="2487">
        <f t="shared" si="19"/>
        <v>-1059.4055944055945</v>
      </c>
      <c r="AK58" s="2487">
        <f t="shared" si="16"/>
        <v>108014.33993006992</v>
      </c>
    </row>
    <row r="59" spans="9:62">
      <c r="I59" s="2494">
        <v>46173</v>
      </c>
      <c r="J59" s="2537">
        <f>-'G-3.04,5.01 PF AMI'!AE100</f>
        <v>-315594.16877950181</v>
      </c>
      <c r="K59" s="2488">
        <f t="shared" si="2"/>
        <v>27456692.683816642</v>
      </c>
      <c r="L59" s="2488">
        <f t="shared" si="6"/>
        <v>29350257.696493667</v>
      </c>
      <c r="M59" s="2488">
        <f t="shared" si="0"/>
        <v>-5765905.4636014942</v>
      </c>
      <c r="N59" s="2488">
        <f t="shared" si="7"/>
        <v>-6163554.1162636681</v>
      </c>
      <c r="P59" s="2494">
        <v>46173</v>
      </c>
      <c r="Q59" s="2537">
        <f>-'G-3.04,5.01 PF AMI'!AK100</f>
        <v>-89408.671805069913</v>
      </c>
      <c r="R59" s="2488">
        <f t="shared" si="3"/>
        <v>7778554.4470410487</v>
      </c>
      <c r="S59" s="2488">
        <f t="shared" si="8"/>
        <v>8315006.4778714692</v>
      </c>
      <c r="T59" s="2488">
        <f t="shared" si="1"/>
        <v>-1633496.4338786202</v>
      </c>
      <c r="U59" s="2488">
        <f t="shared" si="9"/>
        <v>-1746151.3603530086</v>
      </c>
      <c r="Y59" s="477">
        <v>52</v>
      </c>
      <c r="Z59" s="477">
        <v>202212</v>
      </c>
      <c r="AA59" s="2487">
        <f t="shared" si="18"/>
        <v>149003.71328671329</v>
      </c>
      <c r="AB59" s="2487">
        <f t="shared" si="18"/>
        <v>15855.748251748251</v>
      </c>
      <c r="AC59" s="2487">
        <f t="shared" si="18"/>
        <v>208146.90300699303</v>
      </c>
      <c r="AD59" s="2487">
        <f t="shared" si="18"/>
        <v>-15785.202797202797</v>
      </c>
      <c r="AE59" s="2487">
        <f t="shared" si="15"/>
        <v>357221.16174825176</v>
      </c>
      <c r="AF59" s="2487"/>
      <c r="AG59" s="2487">
        <f t="shared" si="19"/>
        <v>30843.139860139861</v>
      </c>
      <c r="AH59" s="2487">
        <f t="shared" si="19"/>
        <v>5777.4055944055945</v>
      </c>
      <c r="AI59" s="2487">
        <f t="shared" si="19"/>
        <v>72453.20006993007</v>
      </c>
      <c r="AJ59" s="2487">
        <f t="shared" si="19"/>
        <v>-1059.4055944055945</v>
      </c>
      <c r="AK59" s="2487">
        <f t="shared" si="16"/>
        <v>108014.33993006992</v>
      </c>
    </row>
    <row r="60" spans="9:62">
      <c r="I60" s="2494">
        <v>46203</v>
      </c>
      <c r="J60" s="2537">
        <f>-'G-3.04,5.01 PF AMI'!AE101</f>
        <v>-315594.16877950181</v>
      </c>
      <c r="K60" s="2488">
        <f t="shared" si="2"/>
        <v>27141098.515037138</v>
      </c>
      <c r="L60" s="2488">
        <f t="shared" si="6"/>
        <v>29034663.527714163</v>
      </c>
      <c r="M60" s="2488">
        <f t="shared" si="0"/>
        <v>-5699630.6881577987</v>
      </c>
      <c r="N60" s="2488">
        <f t="shared" si="7"/>
        <v>-6097279.3408199726</v>
      </c>
      <c r="P60" s="2494">
        <v>46203</v>
      </c>
      <c r="Q60" s="2537">
        <f>-'G-3.04,5.01 PF AMI'!AK101</f>
        <v>-89408.671805069913</v>
      </c>
      <c r="R60" s="2488">
        <f t="shared" si="3"/>
        <v>7689145.7752359789</v>
      </c>
      <c r="S60" s="2488">
        <f t="shared" si="8"/>
        <v>8225597.8060663976</v>
      </c>
      <c r="T60" s="2488">
        <f t="shared" si="1"/>
        <v>-1614720.6127995555</v>
      </c>
      <c r="U60" s="2488">
        <f t="shared" si="9"/>
        <v>-1727375.5392739431</v>
      </c>
      <c r="Y60" s="477">
        <v>53</v>
      </c>
      <c r="Z60" s="477">
        <v>202301</v>
      </c>
      <c r="AA60" s="2487">
        <f>(AA6-AA45-AA46-AA47-AA48-AA49-AA50-AA51-AA52-AA53-AA54-AA55-AA56-AA57-AA58-AA59)/128</f>
        <v>141673.76797421335</v>
      </c>
      <c r="AB60" s="2487">
        <f>(AB6-AB45-AB46-AB47-AB48-AB49-AB50-AB51-AB52-AB53-AB54-AB55-AB56-AB57-AB58-AB59)/128</f>
        <v>9212.1931736232491</v>
      </c>
      <c r="AC60" s="2487">
        <f>(AC6-AC45-AC46-AC47-AC48-AC49-AC50-AC51-AC52-AC53-AC54-AC55-AC56-AC57-AC58-AC59)/128</f>
        <v>180859.29027261797</v>
      </c>
      <c r="AD60" s="2487">
        <f>(AD6-AD45-AD46-AD47-AD48-AD49-AD50-AD51-AD52-AD53-AD54-AD55-AD56-AD57-AD58-AD59)/128</f>
        <v>-16151.082640952791</v>
      </c>
      <c r="AE60" s="2487">
        <f t="shared" si="15"/>
        <v>315594.16877950181</v>
      </c>
      <c r="AF60" s="2487"/>
      <c r="AG60" s="2487">
        <f>(AG6-AG45-AG46-AG47-AG48-AG49-AG50-AG51-AG52-AG53-AG54-AG55-AG56-AG57-AG58-AG59)/128</f>
        <v>28472.18673513988</v>
      </c>
      <c r="AH60" s="2487">
        <f>(AH6-AH45-AH46-AH47-AH48-AH49-AH50-AH51-AH52-AH53-AH54-AH55-AH56-AH57-AH58-AH59)/128</f>
        <v>3233.4334850305936</v>
      </c>
      <c r="AI60" s="2487">
        <f>(AI6-AI45-AI46-AI47-AI48-AI49-AI50-AI51-AI52-AI53-AI54-AI55-AI56-AI57-AI58-AI59)/128</f>
        <v>59670.591944930027</v>
      </c>
      <c r="AJ60" s="2487">
        <f>(AJ6-AJ45-AJ46-AJ47-AJ48-AJ49-AJ50-AJ51-AJ52-AJ53-AJ54-AJ55-AJ56-AJ57-AJ58-AJ59)/128</f>
        <v>-1967.5403600305935</v>
      </c>
      <c r="AK60" s="2487">
        <f t="shared" si="16"/>
        <v>89408.671805069913</v>
      </c>
    </row>
    <row r="61" spans="9:62">
      <c r="I61" s="2494">
        <v>46234</v>
      </c>
      <c r="J61" s="2537">
        <f>-'G-3.04,5.01 PF AMI'!AE102</f>
        <v>-315594.16877950181</v>
      </c>
      <c r="K61" s="2488">
        <f t="shared" si="2"/>
        <v>26825504.346257634</v>
      </c>
      <c r="L61" s="2488">
        <f t="shared" si="6"/>
        <v>28719069.358934656</v>
      </c>
      <c r="M61" s="2488">
        <f t="shared" si="0"/>
        <v>-5633355.9127141032</v>
      </c>
      <c r="N61" s="2488">
        <f t="shared" si="7"/>
        <v>-6031004.5653762771</v>
      </c>
      <c r="P61" s="2494">
        <v>46234</v>
      </c>
      <c r="Q61" s="2537">
        <f>-'G-3.04,5.01 PF AMI'!AK102</f>
        <v>-89408.671805069913</v>
      </c>
      <c r="R61" s="2488">
        <f t="shared" si="3"/>
        <v>7599737.1034309091</v>
      </c>
      <c r="S61" s="2488">
        <f t="shared" si="8"/>
        <v>8136189.1342613287</v>
      </c>
      <c r="T61" s="2488">
        <f t="shared" si="1"/>
        <v>-1595944.7917204909</v>
      </c>
      <c r="U61" s="2488">
        <f t="shared" si="9"/>
        <v>-1708599.7181948787</v>
      </c>
      <c r="Y61" s="477">
        <v>54</v>
      </c>
      <c r="Z61" s="477">
        <v>202302</v>
      </c>
      <c r="AA61" s="2487">
        <f t="shared" ref="AA61:AD76" si="23">AA60</f>
        <v>141673.76797421335</v>
      </c>
      <c r="AB61" s="2487">
        <f t="shared" si="23"/>
        <v>9212.1931736232491</v>
      </c>
      <c r="AC61" s="2487">
        <f t="shared" si="23"/>
        <v>180859.29027261797</v>
      </c>
      <c r="AD61" s="2487">
        <f t="shared" si="23"/>
        <v>-16151.082640952791</v>
      </c>
      <c r="AE61" s="2487">
        <f t="shared" si="15"/>
        <v>315594.16877950181</v>
      </c>
      <c r="AF61" s="2487"/>
      <c r="AG61" s="2487">
        <f t="shared" ref="AG61:AK76" si="24">AG60</f>
        <v>28472.18673513988</v>
      </c>
      <c r="AH61" s="2487">
        <f t="shared" si="24"/>
        <v>3233.4334850305936</v>
      </c>
      <c r="AI61" s="2487">
        <f t="shared" si="24"/>
        <v>59670.591944930027</v>
      </c>
      <c r="AJ61" s="2487">
        <f t="shared" si="24"/>
        <v>-1967.5403600305935</v>
      </c>
      <c r="AK61" s="2487">
        <f t="shared" si="24"/>
        <v>89408.671805069913</v>
      </c>
    </row>
    <row r="62" spans="9:62">
      <c r="I62" s="2494">
        <v>46265</v>
      </c>
      <c r="J62" s="2537">
        <f>-'G-3.04,5.01 PF AMI'!AE103</f>
        <v>-315594.16877950181</v>
      </c>
      <c r="K62" s="2488">
        <f t="shared" si="2"/>
        <v>26509910.177478131</v>
      </c>
      <c r="L62" s="2488">
        <f t="shared" si="6"/>
        <v>28403475.190155149</v>
      </c>
      <c r="M62" s="2488">
        <f t="shared" si="0"/>
        <v>-5567081.1372704068</v>
      </c>
      <c r="N62" s="2488">
        <f t="shared" si="7"/>
        <v>-5964729.7899325816</v>
      </c>
      <c r="P62" s="2494">
        <v>46265</v>
      </c>
      <c r="Q62" s="2537">
        <f>-'G-3.04,5.01 PF AMI'!AK103</f>
        <v>-89408.671805069913</v>
      </c>
      <c r="R62" s="2488">
        <f t="shared" si="3"/>
        <v>7510328.4316258393</v>
      </c>
      <c r="S62" s="2488">
        <f t="shared" si="8"/>
        <v>8046780.4624562589</v>
      </c>
      <c r="T62" s="2488">
        <f t="shared" si="1"/>
        <v>-1577168.9706414263</v>
      </c>
      <c r="U62" s="2488">
        <f t="shared" si="9"/>
        <v>-1689823.8971158143</v>
      </c>
      <c r="Y62" s="477">
        <v>55</v>
      </c>
      <c r="Z62" s="477">
        <v>202303</v>
      </c>
      <c r="AA62" s="2487">
        <f t="shared" si="23"/>
        <v>141673.76797421335</v>
      </c>
      <c r="AB62" s="2487">
        <f t="shared" si="23"/>
        <v>9212.1931736232491</v>
      </c>
      <c r="AC62" s="2487">
        <f t="shared" si="23"/>
        <v>180859.29027261797</v>
      </c>
      <c r="AD62" s="2487">
        <f t="shared" si="23"/>
        <v>-16151.082640952791</v>
      </c>
      <c r="AE62" s="2487">
        <f t="shared" si="15"/>
        <v>315594.16877950181</v>
      </c>
      <c r="AF62" s="2487"/>
      <c r="AG62" s="2487">
        <f t="shared" si="24"/>
        <v>28472.18673513988</v>
      </c>
      <c r="AH62" s="2487">
        <f t="shared" si="24"/>
        <v>3233.4334850305936</v>
      </c>
      <c r="AI62" s="2487">
        <f t="shared" si="24"/>
        <v>59670.591944930027</v>
      </c>
      <c r="AJ62" s="2487">
        <f t="shared" si="24"/>
        <v>-1967.5403600305935</v>
      </c>
      <c r="AK62" s="2487">
        <f t="shared" si="24"/>
        <v>89408.671805069913</v>
      </c>
    </row>
    <row r="63" spans="9:62">
      <c r="I63" s="2494">
        <v>46295</v>
      </c>
      <c r="J63" s="2537">
        <f>-'G-3.04,5.01 PF AMI'!AE104</f>
        <v>-315594.16877950181</v>
      </c>
      <c r="K63" s="2488">
        <f t="shared" si="2"/>
        <v>26194316.008698627</v>
      </c>
      <c r="L63" s="2488">
        <f t="shared" si="6"/>
        <v>28087881.021375645</v>
      </c>
      <c r="M63" s="2488">
        <f t="shared" si="0"/>
        <v>-5500806.3618267113</v>
      </c>
      <c r="N63" s="2488">
        <f t="shared" si="7"/>
        <v>-5898455.0144888861</v>
      </c>
      <c r="P63" s="2494">
        <v>46295</v>
      </c>
      <c r="Q63" s="2537">
        <f>-'G-3.04,5.01 PF AMI'!AK104</f>
        <v>-89408.671805069913</v>
      </c>
      <c r="R63" s="2488">
        <f t="shared" si="3"/>
        <v>7420919.7598207695</v>
      </c>
      <c r="S63" s="2488">
        <f t="shared" si="8"/>
        <v>7957371.7906511882</v>
      </c>
      <c r="T63" s="2488">
        <f t="shared" si="1"/>
        <v>-1558393.1495623617</v>
      </c>
      <c r="U63" s="2488">
        <f t="shared" si="9"/>
        <v>-1671048.0760367494</v>
      </c>
      <c r="Y63" s="477">
        <v>56</v>
      </c>
      <c r="Z63" s="477">
        <v>202304</v>
      </c>
      <c r="AA63" s="2487">
        <f t="shared" si="23"/>
        <v>141673.76797421335</v>
      </c>
      <c r="AB63" s="2487">
        <f t="shared" si="23"/>
        <v>9212.1931736232491</v>
      </c>
      <c r="AC63" s="2487">
        <f t="shared" si="23"/>
        <v>180859.29027261797</v>
      </c>
      <c r="AD63" s="2487">
        <f t="shared" si="23"/>
        <v>-16151.082640952791</v>
      </c>
      <c r="AE63" s="2487">
        <f t="shared" si="15"/>
        <v>315594.16877950181</v>
      </c>
      <c r="AF63" s="2487"/>
      <c r="AG63" s="2487">
        <f t="shared" si="24"/>
        <v>28472.18673513988</v>
      </c>
      <c r="AH63" s="2487">
        <f t="shared" si="24"/>
        <v>3233.4334850305936</v>
      </c>
      <c r="AI63" s="2487">
        <f t="shared" si="24"/>
        <v>59670.591944930027</v>
      </c>
      <c r="AJ63" s="2487">
        <f t="shared" si="24"/>
        <v>-1967.5403600305935</v>
      </c>
      <c r="AK63" s="2487">
        <f t="shared" si="24"/>
        <v>89408.671805069913</v>
      </c>
    </row>
    <row r="64" spans="9:62">
      <c r="I64" s="2494">
        <v>46326</v>
      </c>
      <c r="J64" s="2537">
        <f>-'G-3.04,5.01 PF AMI'!AE105</f>
        <v>-315594.16877950181</v>
      </c>
      <c r="K64" s="2488">
        <f t="shared" si="2"/>
        <v>25878721.839919124</v>
      </c>
      <c r="L64" s="2488">
        <f t="shared" si="6"/>
        <v>27772286.852596149</v>
      </c>
      <c r="M64" s="2488">
        <f t="shared" si="0"/>
        <v>-5434531.5863830158</v>
      </c>
      <c r="N64" s="2488">
        <f t="shared" si="7"/>
        <v>-5832180.2390451888</v>
      </c>
      <c r="P64" s="2494">
        <v>46326</v>
      </c>
      <c r="Q64" s="2537">
        <f>-'G-3.04,5.01 PF AMI'!AK105</f>
        <v>-89408.671805069913</v>
      </c>
      <c r="R64" s="2488">
        <f t="shared" si="3"/>
        <v>7331511.0880156998</v>
      </c>
      <c r="S64" s="2488">
        <f t="shared" si="8"/>
        <v>7867963.1188461194</v>
      </c>
      <c r="T64" s="2488">
        <f t="shared" si="1"/>
        <v>-1539617.3284832968</v>
      </c>
      <c r="U64" s="2488">
        <f t="shared" si="9"/>
        <v>-1652272.254957685</v>
      </c>
      <c r="Y64" s="477">
        <v>57</v>
      </c>
      <c r="Z64" s="477">
        <v>202305</v>
      </c>
      <c r="AA64" s="2487">
        <f t="shared" si="23"/>
        <v>141673.76797421335</v>
      </c>
      <c r="AB64" s="2487">
        <f t="shared" si="23"/>
        <v>9212.1931736232491</v>
      </c>
      <c r="AC64" s="2487">
        <f t="shared" si="23"/>
        <v>180859.29027261797</v>
      </c>
      <c r="AD64" s="2487">
        <f t="shared" si="23"/>
        <v>-16151.082640952791</v>
      </c>
      <c r="AE64" s="2487">
        <f t="shared" si="15"/>
        <v>315594.16877950181</v>
      </c>
      <c r="AF64" s="2487"/>
      <c r="AG64" s="2487">
        <f t="shared" si="24"/>
        <v>28472.18673513988</v>
      </c>
      <c r="AH64" s="2487">
        <f t="shared" si="24"/>
        <v>3233.4334850305936</v>
      </c>
      <c r="AI64" s="2487">
        <f t="shared" si="24"/>
        <v>59670.591944930027</v>
      </c>
      <c r="AJ64" s="2487">
        <f t="shared" si="24"/>
        <v>-1967.5403600305935</v>
      </c>
      <c r="AK64" s="2487">
        <f t="shared" si="24"/>
        <v>89408.671805069913</v>
      </c>
    </row>
    <row r="65" spans="9:37">
      <c r="I65" s="2494">
        <v>46356</v>
      </c>
      <c r="J65" s="2537">
        <f>-'G-3.04,5.01 PF AMI'!AE106</f>
        <v>-315594.16877950181</v>
      </c>
      <c r="K65" s="2488">
        <f t="shared" si="2"/>
        <v>25563127.67113962</v>
      </c>
      <c r="L65" s="2488">
        <f t="shared" si="6"/>
        <v>27456692.683816642</v>
      </c>
      <c r="M65" s="2488">
        <f t="shared" si="0"/>
        <v>-5368256.8109393204</v>
      </c>
      <c r="N65" s="2488">
        <f t="shared" si="7"/>
        <v>-5765905.4636014933</v>
      </c>
      <c r="P65" s="2494">
        <v>46356</v>
      </c>
      <c r="Q65" s="2537">
        <f>-'G-3.04,5.01 PF AMI'!AK106</f>
        <v>-89408.671805069913</v>
      </c>
      <c r="R65" s="2488">
        <f t="shared" si="3"/>
        <v>7242102.41621063</v>
      </c>
      <c r="S65" s="2488">
        <f t="shared" si="8"/>
        <v>7778554.4470410496</v>
      </c>
      <c r="T65" s="2488">
        <f t="shared" si="1"/>
        <v>-1520841.5074042322</v>
      </c>
      <c r="U65" s="2488">
        <f t="shared" si="9"/>
        <v>-1633496.4338786204</v>
      </c>
      <c r="Y65" s="477">
        <v>58</v>
      </c>
      <c r="Z65" s="477">
        <v>202306</v>
      </c>
      <c r="AA65" s="2487">
        <f t="shared" si="23"/>
        <v>141673.76797421335</v>
      </c>
      <c r="AB65" s="2487">
        <f t="shared" si="23"/>
        <v>9212.1931736232491</v>
      </c>
      <c r="AC65" s="2487">
        <f t="shared" si="23"/>
        <v>180859.29027261797</v>
      </c>
      <c r="AD65" s="2487">
        <f t="shared" si="23"/>
        <v>-16151.082640952791</v>
      </c>
      <c r="AE65" s="2487">
        <f t="shared" si="15"/>
        <v>315594.16877950181</v>
      </c>
      <c r="AF65" s="2487"/>
      <c r="AG65" s="2487">
        <f t="shared" si="24"/>
        <v>28472.18673513988</v>
      </c>
      <c r="AH65" s="2487">
        <f t="shared" si="24"/>
        <v>3233.4334850305936</v>
      </c>
      <c r="AI65" s="2487">
        <f t="shared" si="24"/>
        <v>59670.591944930027</v>
      </c>
      <c r="AJ65" s="2487">
        <f t="shared" si="24"/>
        <v>-1967.5403600305935</v>
      </c>
      <c r="AK65" s="2487">
        <f t="shared" si="24"/>
        <v>89408.671805069913</v>
      </c>
    </row>
    <row r="66" spans="9:37">
      <c r="I66" s="2494">
        <v>46387</v>
      </c>
      <c r="J66" s="2537">
        <f>-'G-3.04,5.01 PF AMI'!AE107</f>
        <v>-315594.16877950181</v>
      </c>
      <c r="K66" s="2488">
        <f t="shared" si="2"/>
        <v>25247533.502360117</v>
      </c>
      <c r="L66" s="2525">
        <f t="shared" si="6"/>
        <v>27141098.515037138</v>
      </c>
      <c r="M66" s="2488">
        <f t="shared" si="0"/>
        <v>-5301982.0354956239</v>
      </c>
      <c r="N66" s="2525">
        <f t="shared" si="7"/>
        <v>-5699630.6881577978</v>
      </c>
      <c r="P66" s="2494">
        <v>46387</v>
      </c>
      <c r="Q66" s="2537">
        <f>-'G-3.04,5.01 PF AMI'!AK107</f>
        <v>-89408.671805069913</v>
      </c>
      <c r="R66" s="2488">
        <f t="shared" si="3"/>
        <v>7152693.7444055602</v>
      </c>
      <c r="S66" s="2525">
        <f t="shared" si="8"/>
        <v>7689145.7752359807</v>
      </c>
      <c r="T66" s="2488">
        <f t="shared" si="1"/>
        <v>-1502065.6863251675</v>
      </c>
      <c r="U66" s="2525">
        <f t="shared" si="9"/>
        <v>-1614720.6127995558</v>
      </c>
      <c r="Y66" s="477">
        <v>59</v>
      </c>
      <c r="Z66" s="477">
        <v>202307</v>
      </c>
      <c r="AA66" s="2487">
        <f t="shared" si="23"/>
        <v>141673.76797421335</v>
      </c>
      <c r="AB66" s="2487">
        <f t="shared" si="23"/>
        <v>9212.1931736232491</v>
      </c>
      <c r="AC66" s="2487">
        <f t="shared" si="23"/>
        <v>180859.29027261797</v>
      </c>
      <c r="AD66" s="2487">
        <f t="shared" si="23"/>
        <v>-16151.082640952791</v>
      </c>
      <c r="AE66" s="2487">
        <f t="shared" si="15"/>
        <v>315594.16877950181</v>
      </c>
      <c r="AF66" s="2487"/>
      <c r="AG66" s="2487">
        <f t="shared" si="24"/>
        <v>28472.18673513988</v>
      </c>
      <c r="AH66" s="2487">
        <f t="shared" si="24"/>
        <v>3233.4334850305936</v>
      </c>
      <c r="AI66" s="2487">
        <f t="shared" si="24"/>
        <v>59670.591944930027</v>
      </c>
      <c r="AJ66" s="2487">
        <f t="shared" si="24"/>
        <v>-1967.5403600305935</v>
      </c>
      <c r="AK66" s="2487">
        <f t="shared" si="24"/>
        <v>89408.671805069913</v>
      </c>
    </row>
    <row r="67" spans="9:37">
      <c r="I67" s="2494">
        <v>46418</v>
      </c>
      <c r="J67" s="2488">
        <f>-'G-3.04,5.01 PF AMI'!AE108</f>
        <v>-315594.16877950181</v>
      </c>
      <c r="K67" s="2488">
        <f t="shared" si="2"/>
        <v>24931939.333580613</v>
      </c>
      <c r="L67" s="2488">
        <f t="shared" si="6"/>
        <v>26825504.346257631</v>
      </c>
      <c r="M67" s="2488">
        <f t="shared" ref="M67:M130" si="25">K67*-0.21</f>
        <v>-5235707.2600519285</v>
      </c>
      <c r="N67" s="2488">
        <f t="shared" si="7"/>
        <v>-5633355.9127141023</v>
      </c>
      <c r="P67" s="2494">
        <v>46418</v>
      </c>
      <c r="Q67" s="2488">
        <f>-'G-3.04,5.01 PF AMI'!AK108</f>
        <v>-89408.671805069913</v>
      </c>
      <c r="R67" s="2488">
        <f t="shared" si="3"/>
        <v>7063285.0726004904</v>
      </c>
      <c r="S67" s="2488">
        <f t="shared" si="8"/>
        <v>7599737.1034309119</v>
      </c>
      <c r="T67" s="2488">
        <f t="shared" ref="T67:T130" si="26">R67*-0.21</f>
        <v>-1483289.8652461029</v>
      </c>
      <c r="U67" s="2488">
        <f t="shared" si="9"/>
        <v>-1595944.7917204909</v>
      </c>
      <c r="Y67" s="477">
        <v>60</v>
      </c>
      <c r="Z67" s="477">
        <v>202308</v>
      </c>
      <c r="AA67" s="2487">
        <f t="shared" si="23"/>
        <v>141673.76797421335</v>
      </c>
      <c r="AB67" s="2487">
        <f t="shared" si="23"/>
        <v>9212.1931736232491</v>
      </c>
      <c r="AC67" s="2487">
        <f t="shared" si="23"/>
        <v>180859.29027261797</v>
      </c>
      <c r="AD67" s="2487">
        <f t="shared" si="23"/>
        <v>-16151.082640952791</v>
      </c>
      <c r="AE67" s="2487">
        <f t="shared" si="15"/>
        <v>315594.16877950181</v>
      </c>
      <c r="AF67" s="2487"/>
      <c r="AG67" s="2487">
        <f t="shared" si="24"/>
        <v>28472.18673513988</v>
      </c>
      <c r="AH67" s="2487">
        <f t="shared" si="24"/>
        <v>3233.4334850305936</v>
      </c>
      <c r="AI67" s="2487">
        <f t="shared" si="24"/>
        <v>59670.591944930027</v>
      </c>
      <c r="AJ67" s="2487">
        <f t="shared" si="24"/>
        <v>-1967.5403600305935</v>
      </c>
      <c r="AK67" s="2487">
        <f t="shared" si="24"/>
        <v>89408.671805069913</v>
      </c>
    </row>
    <row r="68" spans="9:37">
      <c r="I68" s="2494">
        <v>46446</v>
      </c>
      <c r="J68" s="2488">
        <f>-'G-3.04,5.01 PF AMI'!AE109</f>
        <v>-315594.16877950181</v>
      </c>
      <c r="K68" s="2488">
        <f t="shared" ref="K68:K131" si="27">J68+K67</f>
        <v>24616345.16480111</v>
      </c>
      <c r="L68" s="2488">
        <f t="shared" si="6"/>
        <v>26509910.177478131</v>
      </c>
      <c r="M68" s="2488">
        <f t="shared" si="25"/>
        <v>-5169432.484608233</v>
      </c>
      <c r="N68" s="2488">
        <f t="shared" si="7"/>
        <v>-5567081.1372704068</v>
      </c>
      <c r="P68" s="2494">
        <v>46446</v>
      </c>
      <c r="Q68" s="2488">
        <f>-'G-3.04,5.01 PF AMI'!AK109</f>
        <v>-89408.671805069913</v>
      </c>
      <c r="R68" s="2488">
        <f t="shared" ref="R68:R131" si="28">Q68+R67</f>
        <v>6973876.4007954206</v>
      </c>
      <c r="S68" s="2488">
        <f t="shared" si="8"/>
        <v>7510328.4316258384</v>
      </c>
      <c r="T68" s="2488">
        <f t="shared" si="26"/>
        <v>-1464514.0441670383</v>
      </c>
      <c r="U68" s="2488">
        <f t="shared" si="9"/>
        <v>-1577168.970641426</v>
      </c>
      <c r="Y68" s="477">
        <v>61</v>
      </c>
      <c r="Z68" s="477">
        <v>202309</v>
      </c>
      <c r="AA68" s="2487">
        <f t="shared" si="23"/>
        <v>141673.76797421335</v>
      </c>
      <c r="AB68" s="2487">
        <f t="shared" si="23"/>
        <v>9212.1931736232491</v>
      </c>
      <c r="AC68" s="2487">
        <f t="shared" si="23"/>
        <v>180859.29027261797</v>
      </c>
      <c r="AD68" s="2487">
        <f t="shared" si="23"/>
        <v>-16151.082640952791</v>
      </c>
      <c r="AE68" s="2487">
        <f t="shared" si="15"/>
        <v>315594.16877950181</v>
      </c>
      <c r="AF68" s="2487"/>
      <c r="AG68" s="2487">
        <f t="shared" si="24"/>
        <v>28472.18673513988</v>
      </c>
      <c r="AH68" s="2487">
        <f t="shared" si="24"/>
        <v>3233.4334850305936</v>
      </c>
      <c r="AI68" s="2487">
        <f t="shared" si="24"/>
        <v>59670.591944930027</v>
      </c>
      <c r="AJ68" s="2487">
        <f t="shared" si="24"/>
        <v>-1967.5403600305935</v>
      </c>
      <c r="AK68" s="2487">
        <f t="shared" si="24"/>
        <v>89408.671805069913</v>
      </c>
    </row>
    <row r="69" spans="9:37">
      <c r="I69" s="2494">
        <v>46477</v>
      </c>
      <c r="J69" s="2488">
        <f>-'G-3.04,5.01 PF AMI'!AE110</f>
        <v>-315594.16877950181</v>
      </c>
      <c r="K69" s="2488">
        <f t="shared" si="27"/>
        <v>24300750.996021606</v>
      </c>
      <c r="L69" s="2488">
        <f t="shared" si="6"/>
        <v>26194316.008698627</v>
      </c>
      <c r="M69" s="2488">
        <f t="shared" si="25"/>
        <v>-5103157.7091645375</v>
      </c>
      <c r="N69" s="2488">
        <f t="shared" si="7"/>
        <v>-5500806.3618267113</v>
      </c>
      <c r="P69" s="2494">
        <v>46477</v>
      </c>
      <c r="Q69" s="2488">
        <f>-'G-3.04,5.01 PF AMI'!AK110</f>
        <v>-89408.671805069913</v>
      </c>
      <c r="R69" s="2488">
        <f t="shared" si="28"/>
        <v>6884467.7289903508</v>
      </c>
      <c r="S69" s="2488">
        <f t="shared" si="8"/>
        <v>7420919.7598207677</v>
      </c>
      <c r="T69" s="2488">
        <f t="shared" si="26"/>
        <v>-1445738.2230879737</v>
      </c>
      <c r="U69" s="2488">
        <f t="shared" si="9"/>
        <v>-1558393.1495623617</v>
      </c>
      <c r="Y69" s="477">
        <v>62</v>
      </c>
      <c r="Z69" s="477">
        <v>202310</v>
      </c>
      <c r="AA69" s="2487">
        <f t="shared" si="23"/>
        <v>141673.76797421335</v>
      </c>
      <c r="AB69" s="2487">
        <f t="shared" si="23"/>
        <v>9212.1931736232491</v>
      </c>
      <c r="AC69" s="2487">
        <f t="shared" si="23"/>
        <v>180859.29027261797</v>
      </c>
      <c r="AD69" s="2487">
        <f t="shared" si="23"/>
        <v>-16151.082640952791</v>
      </c>
      <c r="AE69" s="2487">
        <f t="shared" si="15"/>
        <v>315594.16877950181</v>
      </c>
      <c r="AF69" s="2487"/>
      <c r="AG69" s="2487">
        <f t="shared" si="24"/>
        <v>28472.18673513988</v>
      </c>
      <c r="AH69" s="2487">
        <f t="shared" si="24"/>
        <v>3233.4334850305936</v>
      </c>
      <c r="AI69" s="2487">
        <f t="shared" si="24"/>
        <v>59670.591944930027</v>
      </c>
      <c r="AJ69" s="2487">
        <f t="shared" si="24"/>
        <v>-1967.5403600305935</v>
      </c>
      <c r="AK69" s="2487">
        <f t="shared" si="24"/>
        <v>89408.671805069913</v>
      </c>
    </row>
    <row r="70" spans="9:37">
      <c r="I70" s="2494">
        <v>46507</v>
      </c>
      <c r="J70" s="2488">
        <f>-'G-3.04,5.01 PF AMI'!AE111</f>
        <v>-315594.16877950181</v>
      </c>
      <c r="K70" s="2488">
        <f t="shared" si="27"/>
        <v>23985156.827242102</v>
      </c>
      <c r="L70" s="2488">
        <f t="shared" si="6"/>
        <v>25878721.839919124</v>
      </c>
      <c r="M70" s="2488">
        <f t="shared" si="25"/>
        <v>-5036882.9337208411</v>
      </c>
      <c r="N70" s="2488">
        <f t="shared" si="7"/>
        <v>-5434531.5863830158</v>
      </c>
      <c r="P70" s="2494">
        <v>46507</v>
      </c>
      <c r="Q70" s="2488">
        <f>-'G-3.04,5.01 PF AMI'!AK111</f>
        <v>-89408.671805069913</v>
      </c>
      <c r="R70" s="2488">
        <f t="shared" si="28"/>
        <v>6795059.0571852811</v>
      </c>
      <c r="S70" s="2488">
        <f t="shared" si="8"/>
        <v>7331511.0880156979</v>
      </c>
      <c r="T70" s="2488">
        <f t="shared" si="26"/>
        <v>-1426962.402008909</v>
      </c>
      <c r="U70" s="2488">
        <f t="shared" si="9"/>
        <v>-1539617.3284832973</v>
      </c>
      <c r="Y70" s="477">
        <v>63</v>
      </c>
      <c r="Z70" s="477">
        <v>202311</v>
      </c>
      <c r="AA70" s="2487">
        <f t="shared" si="23"/>
        <v>141673.76797421335</v>
      </c>
      <c r="AB70" s="2487">
        <f t="shared" si="23"/>
        <v>9212.1931736232491</v>
      </c>
      <c r="AC70" s="2487">
        <f t="shared" si="23"/>
        <v>180859.29027261797</v>
      </c>
      <c r="AD70" s="2487">
        <f t="shared" si="23"/>
        <v>-16151.082640952791</v>
      </c>
      <c r="AE70" s="2487">
        <f t="shared" si="15"/>
        <v>315594.16877950181</v>
      </c>
      <c r="AF70" s="2487"/>
      <c r="AG70" s="2487">
        <f t="shared" si="24"/>
        <v>28472.18673513988</v>
      </c>
      <c r="AH70" s="2487">
        <f t="shared" si="24"/>
        <v>3233.4334850305936</v>
      </c>
      <c r="AI70" s="2487">
        <f t="shared" si="24"/>
        <v>59670.591944930027</v>
      </c>
      <c r="AJ70" s="2487">
        <f t="shared" si="24"/>
        <v>-1967.5403600305935</v>
      </c>
      <c r="AK70" s="2487">
        <f t="shared" si="24"/>
        <v>89408.671805069913</v>
      </c>
    </row>
    <row r="71" spans="9:37">
      <c r="I71" s="2494">
        <v>46538</v>
      </c>
      <c r="J71" s="2488">
        <f>-'G-3.04,5.01 PF AMI'!AE112</f>
        <v>-315594.16877950181</v>
      </c>
      <c r="K71" s="2488">
        <f t="shared" si="27"/>
        <v>23669562.658462599</v>
      </c>
      <c r="L71" s="2488">
        <f t="shared" si="6"/>
        <v>25563127.671139624</v>
      </c>
      <c r="M71" s="2488">
        <f t="shared" si="25"/>
        <v>-4970608.1582771456</v>
      </c>
      <c r="N71" s="2488">
        <f t="shared" si="7"/>
        <v>-5368256.8109393204</v>
      </c>
      <c r="P71" s="2494">
        <v>46538</v>
      </c>
      <c r="Q71" s="2488">
        <f>-'G-3.04,5.01 PF AMI'!AK112</f>
        <v>-89408.671805069913</v>
      </c>
      <c r="R71" s="2488">
        <f t="shared" si="28"/>
        <v>6705650.3853802113</v>
      </c>
      <c r="S71" s="2488">
        <f t="shared" si="8"/>
        <v>7242102.416210629</v>
      </c>
      <c r="T71" s="2488">
        <f t="shared" si="26"/>
        <v>-1408186.5809298444</v>
      </c>
      <c r="U71" s="2488">
        <f t="shared" si="9"/>
        <v>-1520841.5074042324</v>
      </c>
      <c r="Y71" s="477">
        <v>64</v>
      </c>
      <c r="Z71" s="477">
        <v>202312</v>
      </c>
      <c r="AA71" s="2487">
        <f t="shared" si="23"/>
        <v>141673.76797421335</v>
      </c>
      <c r="AB71" s="2487">
        <f t="shared" si="23"/>
        <v>9212.1931736232491</v>
      </c>
      <c r="AC71" s="2487">
        <f t="shared" si="23"/>
        <v>180859.29027261797</v>
      </c>
      <c r="AD71" s="2487">
        <f t="shared" si="23"/>
        <v>-16151.082640952791</v>
      </c>
      <c r="AE71" s="2487">
        <f t="shared" si="15"/>
        <v>315594.16877950181</v>
      </c>
      <c r="AF71" s="2487"/>
      <c r="AG71" s="2487">
        <f t="shared" si="24"/>
        <v>28472.18673513988</v>
      </c>
      <c r="AH71" s="2487">
        <f t="shared" si="24"/>
        <v>3233.4334850305936</v>
      </c>
      <c r="AI71" s="2487">
        <f t="shared" si="24"/>
        <v>59670.591944930027</v>
      </c>
      <c r="AJ71" s="2487">
        <f t="shared" si="24"/>
        <v>-1967.5403600305935</v>
      </c>
      <c r="AK71" s="2487">
        <f t="shared" si="24"/>
        <v>89408.671805069913</v>
      </c>
    </row>
    <row r="72" spans="9:37">
      <c r="I72" s="2494">
        <v>46568</v>
      </c>
      <c r="J72" s="2488">
        <f>-'G-3.04,5.01 PF AMI'!AE113</f>
        <v>-315594.16877950181</v>
      </c>
      <c r="K72" s="2488">
        <f t="shared" si="27"/>
        <v>23353968.489683095</v>
      </c>
      <c r="L72" s="2488">
        <f t="shared" si="6"/>
        <v>25247533.502360117</v>
      </c>
      <c r="M72" s="2488">
        <f t="shared" si="25"/>
        <v>-4904333.3828334501</v>
      </c>
      <c r="N72" s="2488">
        <f t="shared" si="7"/>
        <v>-5301982.0354956249</v>
      </c>
      <c r="P72" s="2494">
        <v>46568</v>
      </c>
      <c r="Q72" s="2488">
        <f>-'G-3.04,5.01 PF AMI'!AK113</f>
        <v>-89408.671805069913</v>
      </c>
      <c r="R72" s="2488">
        <f t="shared" si="28"/>
        <v>6616241.7135751415</v>
      </c>
      <c r="S72" s="2488">
        <f t="shared" si="8"/>
        <v>7152693.7444055602</v>
      </c>
      <c r="T72" s="2488">
        <f t="shared" si="26"/>
        <v>-1389410.7598507795</v>
      </c>
      <c r="U72" s="2488">
        <f t="shared" si="9"/>
        <v>-1502065.6863251675</v>
      </c>
      <c r="Y72" s="477">
        <v>65</v>
      </c>
      <c r="Z72" s="477">
        <v>202401</v>
      </c>
      <c r="AA72" s="2487">
        <f t="shared" si="23"/>
        <v>141673.76797421335</v>
      </c>
      <c r="AB72" s="2487">
        <f t="shared" si="23"/>
        <v>9212.1931736232491</v>
      </c>
      <c r="AC72" s="2487">
        <f t="shared" si="23"/>
        <v>180859.29027261797</v>
      </c>
      <c r="AD72" s="2487">
        <f t="shared" si="23"/>
        <v>-16151.082640952791</v>
      </c>
      <c r="AE72" s="2487">
        <f t="shared" si="15"/>
        <v>315594.16877950181</v>
      </c>
      <c r="AF72" s="2487"/>
      <c r="AG72" s="2487">
        <f t="shared" si="24"/>
        <v>28472.18673513988</v>
      </c>
      <c r="AH72" s="2487">
        <f t="shared" si="24"/>
        <v>3233.4334850305936</v>
      </c>
      <c r="AI72" s="2487">
        <f t="shared" si="24"/>
        <v>59670.591944930027</v>
      </c>
      <c r="AJ72" s="2487">
        <f t="shared" si="24"/>
        <v>-1967.5403600305935</v>
      </c>
      <c r="AK72" s="2487">
        <f t="shared" si="24"/>
        <v>89408.671805069913</v>
      </c>
    </row>
    <row r="73" spans="9:37">
      <c r="I73" s="2494">
        <v>46599</v>
      </c>
      <c r="J73" s="2488">
        <f>-'G-3.04,5.01 PF AMI'!AE114</f>
        <v>-315594.16877950181</v>
      </c>
      <c r="K73" s="2488">
        <f t="shared" si="27"/>
        <v>23038374.320903592</v>
      </c>
      <c r="L73" s="2488">
        <f t="shared" si="6"/>
        <v>24931939.333580613</v>
      </c>
      <c r="M73" s="2488">
        <f t="shared" si="25"/>
        <v>-4838058.6073897537</v>
      </c>
      <c r="N73" s="2488">
        <f t="shared" si="7"/>
        <v>-5235707.2600519285</v>
      </c>
      <c r="P73" s="2494">
        <v>46599</v>
      </c>
      <c r="Q73" s="2488">
        <f>-'G-3.04,5.01 PF AMI'!AK114</f>
        <v>-89408.671805069913</v>
      </c>
      <c r="R73" s="2488">
        <f t="shared" si="28"/>
        <v>6526833.0417700717</v>
      </c>
      <c r="S73" s="2488">
        <f t="shared" si="8"/>
        <v>7063285.0726004904</v>
      </c>
      <c r="T73" s="2488">
        <f t="shared" si="26"/>
        <v>-1370634.9387717149</v>
      </c>
      <c r="U73" s="2488">
        <f t="shared" si="9"/>
        <v>-1483289.8652461029</v>
      </c>
      <c r="Y73" s="477">
        <v>66</v>
      </c>
      <c r="Z73" s="477">
        <v>202402</v>
      </c>
      <c r="AA73" s="2487">
        <f t="shared" si="23"/>
        <v>141673.76797421335</v>
      </c>
      <c r="AB73" s="2487">
        <f t="shared" si="23"/>
        <v>9212.1931736232491</v>
      </c>
      <c r="AC73" s="2487">
        <f t="shared" si="23"/>
        <v>180859.29027261797</v>
      </c>
      <c r="AD73" s="2487">
        <f t="shared" si="23"/>
        <v>-16151.082640952791</v>
      </c>
      <c r="AE73" s="2487">
        <f t="shared" si="15"/>
        <v>315594.16877950181</v>
      </c>
      <c r="AF73" s="2487"/>
      <c r="AG73" s="2487">
        <f t="shared" si="24"/>
        <v>28472.18673513988</v>
      </c>
      <c r="AH73" s="2487">
        <f t="shared" si="24"/>
        <v>3233.4334850305936</v>
      </c>
      <c r="AI73" s="2487">
        <f t="shared" si="24"/>
        <v>59670.591944930027</v>
      </c>
      <c r="AJ73" s="2487">
        <f t="shared" si="24"/>
        <v>-1967.5403600305935</v>
      </c>
      <c r="AK73" s="2487">
        <f t="shared" si="24"/>
        <v>89408.671805069913</v>
      </c>
    </row>
    <row r="74" spans="9:37">
      <c r="I74" s="2494">
        <v>46630</v>
      </c>
      <c r="J74" s="2488">
        <f>-'G-3.04,5.01 PF AMI'!AE115</f>
        <v>-315594.16877950181</v>
      </c>
      <c r="K74" s="2488">
        <f t="shared" si="27"/>
        <v>22722780.152124088</v>
      </c>
      <c r="L74" s="2488">
        <f t="shared" si="6"/>
        <v>24616345.16480111</v>
      </c>
      <c r="M74" s="2488">
        <f t="shared" si="25"/>
        <v>-4771783.8319460582</v>
      </c>
      <c r="N74" s="2488">
        <f t="shared" si="7"/>
        <v>-5169432.484608233</v>
      </c>
      <c r="P74" s="2494">
        <v>46630</v>
      </c>
      <c r="Q74" s="2488">
        <f>-'G-3.04,5.01 PF AMI'!AK115</f>
        <v>-89408.671805069913</v>
      </c>
      <c r="R74" s="2488">
        <f t="shared" si="28"/>
        <v>6437424.3699650019</v>
      </c>
      <c r="S74" s="2488">
        <f t="shared" si="8"/>
        <v>6973876.4007954197</v>
      </c>
      <c r="T74" s="2488">
        <f t="shared" si="26"/>
        <v>-1351859.1176926503</v>
      </c>
      <c r="U74" s="2488">
        <f t="shared" si="9"/>
        <v>-1464514.0441670381</v>
      </c>
      <c r="Y74" s="477">
        <v>67</v>
      </c>
      <c r="Z74" s="477">
        <v>202403</v>
      </c>
      <c r="AA74" s="2487">
        <f t="shared" si="23"/>
        <v>141673.76797421335</v>
      </c>
      <c r="AB74" s="2487">
        <f t="shared" si="23"/>
        <v>9212.1931736232491</v>
      </c>
      <c r="AC74" s="2487">
        <f t="shared" si="23"/>
        <v>180859.29027261797</v>
      </c>
      <c r="AD74" s="2487">
        <f t="shared" si="23"/>
        <v>-16151.082640952791</v>
      </c>
      <c r="AE74" s="2487">
        <f t="shared" si="15"/>
        <v>315594.16877950181</v>
      </c>
      <c r="AF74" s="2487"/>
      <c r="AG74" s="2487">
        <f t="shared" si="24"/>
        <v>28472.18673513988</v>
      </c>
      <c r="AH74" s="2487">
        <f t="shared" si="24"/>
        <v>3233.4334850305936</v>
      </c>
      <c r="AI74" s="2487">
        <f t="shared" si="24"/>
        <v>59670.591944930027</v>
      </c>
      <c r="AJ74" s="2487">
        <f t="shared" si="24"/>
        <v>-1967.5403600305935</v>
      </c>
      <c r="AK74" s="2487">
        <f t="shared" si="24"/>
        <v>89408.671805069913</v>
      </c>
    </row>
    <row r="75" spans="9:37">
      <c r="I75" s="2494">
        <v>46660</v>
      </c>
      <c r="J75" s="2488">
        <f>-'G-3.04,5.01 PF AMI'!AE116</f>
        <v>-315594.16877950181</v>
      </c>
      <c r="K75" s="2488">
        <f t="shared" si="27"/>
        <v>22407185.983344585</v>
      </c>
      <c r="L75" s="2488">
        <f t="shared" si="6"/>
        <v>24300750.99602161</v>
      </c>
      <c r="M75" s="2488">
        <f t="shared" si="25"/>
        <v>-4705509.0565023627</v>
      </c>
      <c r="N75" s="2488">
        <f t="shared" si="7"/>
        <v>-5103157.7091645375</v>
      </c>
      <c r="P75" s="2494">
        <v>46660</v>
      </c>
      <c r="Q75" s="2488">
        <f>-'G-3.04,5.01 PF AMI'!AK116</f>
        <v>-89408.671805069913</v>
      </c>
      <c r="R75" s="2488">
        <f t="shared" si="28"/>
        <v>6348015.6981599322</v>
      </c>
      <c r="S75" s="2488">
        <f t="shared" si="8"/>
        <v>6884467.7289903508</v>
      </c>
      <c r="T75" s="2488">
        <f t="shared" si="26"/>
        <v>-1333083.2966135857</v>
      </c>
      <c r="U75" s="2488">
        <f t="shared" si="9"/>
        <v>-1445738.2230879737</v>
      </c>
      <c r="Y75" s="477">
        <v>68</v>
      </c>
      <c r="Z75" s="477">
        <v>202404</v>
      </c>
      <c r="AA75" s="2487">
        <f t="shared" si="23"/>
        <v>141673.76797421335</v>
      </c>
      <c r="AB75" s="2487">
        <f t="shared" si="23"/>
        <v>9212.1931736232491</v>
      </c>
      <c r="AC75" s="2487">
        <f t="shared" si="23"/>
        <v>180859.29027261797</v>
      </c>
      <c r="AD75" s="2487">
        <f t="shared" si="23"/>
        <v>-16151.082640952791</v>
      </c>
      <c r="AE75" s="2487">
        <f t="shared" si="15"/>
        <v>315594.16877950181</v>
      </c>
      <c r="AF75" s="2487"/>
      <c r="AG75" s="2487">
        <f t="shared" si="24"/>
        <v>28472.18673513988</v>
      </c>
      <c r="AH75" s="2487">
        <f t="shared" si="24"/>
        <v>3233.4334850305936</v>
      </c>
      <c r="AI75" s="2487">
        <f t="shared" si="24"/>
        <v>59670.591944930027</v>
      </c>
      <c r="AJ75" s="2487">
        <f t="shared" si="24"/>
        <v>-1967.5403600305935</v>
      </c>
      <c r="AK75" s="2487">
        <f t="shared" si="24"/>
        <v>89408.671805069913</v>
      </c>
    </row>
    <row r="76" spans="9:37">
      <c r="I76" s="2494">
        <v>46691</v>
      </c>
      <c r="J76" s="2488">
        <f>-'G-3.04,5.01 PF AMI'!AE117</f>
        <v>-315594.16877950181</v>
      </c>
      <c r="K76" s="2488">
        <f t="shared" si="27"/>
        <v>22091591.814565081</v>
      </c>
      <c r="L76" s="2488">
        <f t="shared" si="6"/>
        <v>23985156.827242102</v>
      </c>
      <c r="M76" s="2488">
        <f t="shared" si="25"/>
        <v>-4639234.2810586672</v>
      </c>
      <c r="N76" s="2488">
        <f t="shared" si="7"/>
        <v>-5036882.933720842</v>
      </c>
      <c r="P76" s="2494">
        <v>46691</v>
      </c>
      <c r="Q76" s="2488">
        <f>-'G-3.04,5.01 PF AMI'!AK117</f>
        <v>-89408.671805069913</v>
      </c>
      <c r="R76" s="2488">
        <f t="shared" si="28"/>
        <v>6258607.0263548624</v>
      </c>
      <c r="S76" s="2488">
        <f t="shared" si="8"/>
        <v>6795059.0571852811</v>
      </c>
      <c r="T76" s="2488">
        <f t="shared" si="26"/>
        <v>-1314307.475534521</v>
      </c>
      <c r="U76" s="2488">
        <f t="shared" si="9"/>
        <v>-1426962.4020089088</v>
      </c>
      <c r="Y76" s="477">
        <v>69</v>
      </c>
      <c r="Z76" s="477">
        <v>202405</v>
      </c>
      <c r="AA76" s="2487">
        <f t="shared" si="23"/>
        <v>141673.76797421335</v>
      </c>
      <c r="AB76" s="2487">
        <f t="shared" si="23"/>
        <v>9212.1931736232491</v>
      </c>
      <c r="AC76" s="2487">
        <f t="shared" si="23"/>
        <v>180859.29027261797</v>
      </c>
      <c r="AD76" s="2487">
        <f t="shared" si="23"/>
        <v>-16151.082640952791</v>
      </c>
      <c r="AE76" s="2487">
        <f t="shared" si="15"/>
        <v>315594.16877950181</v>
      </c>
      <c r="AF76" s="2487"/>
      <c r="AG76" s="2487">
        <f t="shared" si="24"/>
        <v>28472.18673513988</v>
      </c>
      <c r="AH76" s="2487">
        <f t="shared" si="24"/>
        <v>3233.4334850305936</v>
      </c>
      <c r="AI76" s="2487">
        <f t="shared" si="24"/>
        <v>59670.591944930027</v>
      </c>
      <c r="AJ76" s="2487">
        <f t="shared" si="24"/>
        <v>-1967.5403600305935</v>
      </c>
      <c r="AK76" s="2487">
        <f t="shared" si="24"/>
        <v>89408.671805069913</v>
      </c>
    </row>
    <row r="77" spans="9:37">
      <c r="I77" s="2494">
        <v>46721</v>
      </c>
      <c r="J77" s="2488">
        <f>-'G-3.04,5.01 PF AMI'!AE118</f>
        <v>-315594.16877950181</v>
      </c>
      <c r="K77" s="2488">
        <f t="shared" si="27"/>
        <v>21775997.645785578</v>
      </c>
      <c r="L77" s="2488">
        <f t="shared" si="6"/>
        <v>23669562.658462599</v>
      </c>
      <c r="M77" s="2488">
        <f t="shared" si="25"/>
        <v>-4572959.5056149708</v>
      </c>
      <c r="N77" s="2488">
        <f t="shared" si="7"/>
        <v>-4970608.1582771465</v>
      </c>
      <c r="P77" s="2494">
        <v>46721</v>
      </c>
      <c r="Q77" s="2488">
        <f>-'G-3.04,5.01 PF AMI'!AK118</f>
        <v>-89408.671805069913</v>
      </c>
      <c r="R77" s="2488">
        <f t="shared" si="28"/>
        <v>6169198.3545497926</v>
      </c>
      <c r="S77" s="2488">
        <f t="shared" si="8"/>
        <v>6705650.3853802113</v>
      </c>
      <c r="T77" s="2488">
        <f t="shared" si="26"/>
        <v>-1295531.6544554564</v>
      </c>
      <c r="U77" s="2488">
        <f t="shared" si="9"/>
        <v>-1408186.5809298444</v>
      </c>
      <c r="Y77" s="477">
        <v>70</v>
      </c>
      <c r="Z77" s="477">
        <v>202406</v>
      </c>
      <c r="AA77" s="2487">
        <f t="shared" ref="AA77:AD92" si="29">AA76</f>
        <v>141673.76797421335</v>
      </c>
      <c r="AB77" s="2487">
        <f t="shared" si="29"/>
        <v>9212.1931736232491</v>
      </c>
      <c r="AC77" s="2487">
        <f t="shared" si="29"/>
        <v>180859.29027261797</v>
      </c>
      <c r="AD77" s="2487">
        <f t="shared" si="29"/>
        <v>-16151.082640952791</v>
      </c>
      <c r="AE77" s="2487">
        <f t="shared" ref="AE77:AE108" si="30">SUM(AA77:AD77)</f>
        <v>315594.16877950181</v>
      </c>
      <c r="AF77" s="2487"/>
      <c r="AG77" s="2487">
        <f t="shared" ref="AG77:AK92" si="31">AG76</f>
        <v>28472.18673513988</v>
      </c>
      <c r="AH77" s="2487">
        <f t="shared" si="31"/>
        <v>3233.4334850305936</v>
      </c>
      <c r="AI77" s="2487">
        <f t="shared" si="31"/>
        <v>59670.591944930027</v>
      </c>
      <c r="AJ77" s="2487">
        <f t="shared" si="31"/>
        <v>-1967.5403600305935</v>
      </c>
      <c r="AK77" s="2487">
        <f t="shared" si="31"/>
        <v>89408.671805069913</v>
      </c>
    </row>
    <row r="78" spans="9:37">
      <c r="I78" s="2494">
        <v>46752</v>
      </c>
      <c r="J78" s="2488">
        <f>-'G-3.04,5.01 PF AMI'!AE119</f>
        <v>-315594.16877950181</v>
      </c>
      <c r="K78" s="2488">
        <f t="shared" si="27"/>
        <v>21460403.477006074</v>
      </c>
      <c r="L78" s="2488">
        <f t="shared" si="6"/>
        <v>23353968.489683095</v>
      </c>
      <c r="M78" s="2488">
        <f t="shared" si="25"/>
        <v>-4506684.7301712753</v>
      </c>
      <c r="N78" s="2488">
        <f t="shared" si="7"/>
        <v>-4904333.382833451</v>
      </c>
      <c r="P78" s="2494">
        <v>46752</v>
      </c>
      <c r="Q78" s="2488">
        <f>-'G-3.04,5.01 PF AMI'!AK119</f>
        <v>-89408.671805069913</v>
      </c>
      <c r="R78" s="2488">
        <f t="shared" si="28"/>
        <v>6079789.6827447228</v>
      </c>
      <c r="S78" s="2488">
        <f t="shared" si="8"/>
        <v>6616241.7135751406</v>
      </c>
      <c r="T78" s="2488">
        <f t="shared" si="26"/>
        <v>-1276755.8333763918</v>
      </c>
      <c r="U78" s="2488">
        <f t="shared" si="9"/>
        <v>-1389410.7598507795</v>
      </c>
      <c r="Y78" s="477">
        <v>71</v>
      </c>
      <c r="Z78" s="477">
        <v>202407</v>
      </c>
      <c r="AA78" s="2487">
        <f t="shared" si="29"/>
        <v>141673.76797421335</v>
      </c>
      <c r="AB78" s="2487">
        <f t="shared" si="29"/>
        <v>9212.1931736232491</v>
      </c>
      <c r="AC78" s="2487">
        <f t="shared" si="29"/>
        <v>180859.29027261797</v>
      </c>
      <c r="AD78" s="2487">
        <f t="shared" si="29"/>
        <v>-16151.082640952791</v>
      </c>
      <c r="AE78" s="2487">
        <f t="shared" si="30"/>
        <v>315594.16877950181</v>
      </c>
      <c r="AF78" s="2487"/>
      <c r="AG78" s="2487">
        <f t="shared" si="31"/>
        <v>28472.18673513988</v>
      </c>
      <c r="AH78" s="2487">
        <f t="shared" si="31"/>
        <v>3233.4334850305936</v>
      </c>
      <c r="AI78" s="2487">
        <f t="shared" si="31"/>
        <v>59670.591944930027</v>
      </c>
      <c r="AJ78" s="2487">
        <f t="shared" si="31"/>
        <v>-1967.5403600305935</v>
      </c>
      <c r="AK78" s="2487">
        <f t="shared" si="31"/>
        <v>89408.671805069913</v>
      </c>
    </row>
    <row r="79" spans="9:37">
      <c r="I79" s="2494">
        <v>46783</v>
      </c>
      <c r="J79" s="2488">
        <f>-'G-3.04,5.01 PF AMI'!AE120</f>
        <v>-315594.16877950181</v>
      </c>
      <c r="K79" s="2488">
        <f t="shared" si="27"/>
        <v>21144809.30822657</v>
      </c>
      <c r="L79" s="2488">
        <f t="shared" si="6"/>
        <v>23038374.320903596</v>
      </c>
      <c r="M79" s="2488">
        <f t="shared" si="25"/>
        <v>-4440409.9547275798</v>
      </c>
      <c r="N79" s="2488">
        <f t="shared" si="7"/>
        <v>-4838058.6073897546</v>
      </c>
      <c r="P79" s="2494">
        <v>46783</v>
      </c>
      <c r="Q79" s="2488">
        <f>-'G-3.04,5.01 PF AMI'!AK120</f>
        <v>-89408.671805069913</v>
      </c>
      <c r="R79" s="2488">
        <f t="shared" si="28"/>
        <v>5990381.010939653</v>
      </c>
      <c r="S79" s="2488">
        <f t="shared" si="8"/>
        <v>6526833.0417700717</v>
      </c>
      <c r="T79" s="2488">
        <f t="shared" si="26"/>
        <v>-1257980.0122973272</v>
      </c>
      <c r="U79" s="2488">
        <f t="shared" si="9"/>
        <v>-1370634.9387717152</v>
      </c>
      <c r="Y79" s="477">
        <v>72</v>
      </c>
      <c r="Z79" s="477">
        <v>202408</v>
      </c>
      <c r="AA79" s="2487">
        <f t="shared" si="29"/>
        <v>141673.76797421335</v>
      </c>
      <c r="AB79" s="2487">
        <f t="shared" si="29"/>
        <v>9212.1931736232491</v>
      </c>
      <c r="AC79" s="2487">
        <f t="shared" si="29"/>
        <v>180859.29027261797</v>
      </c>
      <c r="AD79" s="2487">
        <f t="shared" si="29"/>
        <v>-16151.082640952791</v>
      </c>
      <c r="AE79" s="2487">
        <f t="shared" si="30"/>
        <v>315594.16877950181</v>
      </c>
      <c r="AF79" s="2487"/>
      <c r="AG79" s="2487">
        <f t="shared" si="31"/>
        <v>28472.18673513988</v>
      </c>
      <c r="AH79" s="2487">
        <f t="shared" si="31"/>
        <v>3233.4334850305936</v>
      </c>
      <c r="AI79" s="2487">
        <f t="shared" si="31"/>
        <v>59670.591944930027</v>
      </c>
      <c r="AJ79" s="2487">
        <f t="shared" si="31"/>
        <v>-1967.5403600305935</v>
      </c>
      <c r="AK79" s="2487">
        <f t="shared" si="31"/>
        <v>89408.671805069913</v>
      </c>
    </row>
    <row r="80" spans="9:37">
      <c r="I80" s="2494">
        <v>46812</v>
      </c>
      <c r="J80" s="2488">
        <f>-'G-3.04,5.01 PF AMI'!AE121</f>
        <v>-315594.16877950181</v>
      </c>
      <c r="K80" s="2488">
        <f t="shared" si="27"/>
        <v>20829215.139447067</v>
      </c>
      <c r="L80" s="2488">
        <f t="shared" si="6"/>
        <v>22722780.152124088</v>
      </c>
      <c r="M80" s="2488">
        <f t="shared" si="25"/>
        <v>-4374135.1792838844</v>
      </c>
      <c r="N80" s="2488">
        <f t="shared" si="7"/>
        <v>-4771783.8319460591</v>
      </c>
      <c r="P80" s="2494">
        <v>46812</v>
      </c>
      <c r="Q80" s="2488">
        <f>-'G-3.04,5.01 PF AMI'!AK121</f>
        <v>-89408.671805069913</v>
      </c>
      <c r="R80" s="2488">
        <f t="shared" si="28"/>
        <v>5900972.3391345832</v>
      </c>
      <c r="S80" s="2488">
        <f t="shared" si="8"/>
        <v>6437424.3699650029</v>
      </c>
      <c r="T80" s="2488">
        <f t="shared" si="26"/>
        <v>-1239204.1912182625</v>
      </c>
      <c r="U80" s="2488">
        <f t="shared" si="9"/>
        <v>-1351859.1176926505</v>
      </c>
      <c r="Y80" s="477">
        <v>73</v>
      </c>
      <c r="Z80" s="477">
        <v>202409</v>
      </c>
      <c r="AA80" s="2487">
        <f t="shared" si="29"/>
        <v>141673.76797421335</v>
      </c>
      <c r="AB80" s="2487">
        <f t="shared" si="29"/>
        <v>9212.1931736232491</v>
      </c>
      <c r="AC80" s="2487">
        <f t="shared" si="29"/>
        <v>180859.29027261797</v>
      </c>
      <c r="AD80" s="2487">
        <f t="shared" si="29"/>
        <v>-16151.082640952791</v>
      </c>
      <c r="AE80" s="2487">
        <f t="shared" si="30"/>
        <v>315594.16877950181</v>
      </c>
      <c r="AF80" s="2487"/>
      <c r="AG80" s="2487">
        <f t="shared" si="31"/>
        <v>28472.18673513988</v>
      </c>
      <c r="AH80" s="2487">
        <f t="shared" si="31"/>
        <v>3233.4334850305936</v>
      </c>
      <c r="AI80" s="2487">
        <f t="shared" si="31"/>
        <v>59670.591944930027</v>
      </c>
      <c r="AJ80" s="2487">
        <f t="shared" si="31"/>
        <v>-1967.5403600305935</v>
      </c>
      <c r="AK80" s="2487">
        <f t="shared" si="31"/>
        <v>89408.671805069913</v>
      </c>
    </row>
    <row r="81" spans="9:37">
      <c r="I81" s="2494">
        <v>46843</v>
      </c>
      <c r="J81" s="2488">
        <f>-'G-3.04,5.01 PF AMI'!AE122</f>
        <v>-315594.16877950181</v>
      </c>
      <c r="K81" s="2488">
        <f t="shared" si="27"/>
        <v>20513620.970667563</v>
      </c>
      <c r="L81" s="2488">
        <f t="shared" si="6"/>
        <v>22407185.983344585</v>
      </c>
      <c r="M81" s="2488">
        <f t="shared" si="25"/>
        <v>-4307860.4038401879</v>
      </c>
      <c r="N81" s="2488">
        <f t="shared" si="7"/>
        <v>-4705509.0565023636</v>
      </c>
      <c r="P81" s="2494">
        <v>46843</v>
      </c>
      <c r="Q81" s="2488">
        <f>-'G-3.04,5.01 PF AMI'!AK122</f>
        <v>-89408.671805069913</v>
      </c>
      <c r="R81" s="2488">
        <f t="shared" si="28"/>
        <v>5811563.6673295135</v>
      </c>
      <c r="S81" s="2488">
        <f t="shared" si="8"/>
        <v>6348015.6981599331</v>
      </c>
      <c r="T81" s="2488">
        <f t="shared" si="26"/>
        <v>-1220428.3701391977</v>
      </c>
      <c r="U81" s="2488">
        <f t="shared" si="9"/>
        <v>-1333083.2966135859</v>
      </c>
      <c r="Y81" s="477">
        <v>74</v>
      </c>
      <c r="Z81" s="477">
        <v>202410</v>
      </c>
      <c r="AA81" s="2487">
        <f t="shared" si="29"/>
        <v>141673.76797421335</v>
      </c>
      <c r="AB81" s="2487">
        <f t="shared" si="29"/>
        <v>9212.1931736232491</v>
      </c>
      <c r="AC81" s="2487">
        <f t="shared" si="29"/>
        <v>180859.29027261797</v>
      </c>
      <c r="AD81" s="2487">
        <f t="shared" si="29"/>
        <v>-16151.082640952791</v>
      </c>
      <c r="AE81" s="2487">
        <f t="shared" si="30"/>
        <v>315594.16877950181</v>
      </c>
      <c r="AF81" s="2487"/>
      <c r="AG81" s="2487">
        <f t="shared" si="31"/>
        <v>28472.18673513988</v>
      </c>
      <c r="AH81" s="2487">
        <f t="shared" si="31"/>
        <v>3233.4334850305936</v>
      </c>
      <c r="AI81" s="2487">
        <f t="shared" si="31"/>
        <v>59670.591944930027</v>
      </c>
      <c r="AJ81" s="2487">
        <f t="shared" si="31"/>
        <v>-1967.5403600305935</v>
      </c>
      <c r="AK81" s="2487">
        <f t="shared" si="31"/>
        <v>89408.671805069913</v>
      </c>
    </row>
    <row r="82" spans="9:37">
      <c r="I82" s="2494">
        <v>46873</v>
      </c>
      <c r="J82" s="2488">
        <f>-'G-3.04,5.01 PF AMI'!AE123</f>
        <v>-315594.16877950181</v>
      </c>
      <c r="K82" s="2488">
        <f t="shared" si="27"/>
        <v>20198026.80188806</v>
      </c>
      <c r="L82" s="2488">
        <f t="shared" si="6"/>
        <v>22091591.814565081</v>
      </c>
      <c r="M82" s="2488">
        <f t="shared" si="25"/>
        <v>-4241585.6283964925</v>
      </c>
      <c r="N82" s="2488">
        <f t="shared" si="7"/>
        <v>-4639234.2810586682</v>
      </c>
      <c r="P82" s="2494">
        <v>46873</v>
      </c>
      <c r="Q82" s="2488">
        <f>-'G-3.04,5.01 PF AMI'!AK123</f>
        <v>-89408.671805069913</v>
      </c>
      <c r="R82" s="2488">
        <f t="shared" si="28"/>
        <v>5722154.9955244437</v>
      </c>
      <c r="S82" s="2488">
        <f t="shared" si="8"/>
        <v>6258607.0263548633</v>
      </c>
      <c r="T82" s="2488">
        <f t="shared" si="26"/>
        <v>-1201652.5490601331</v>
      </c>
      <c r="U82" s="2488">
        <f t="shared" si="9"/>
        <v>-1314307.4755345213</v>
      </c>
      <c r="Y82" s="477">
        <v>75</v>
      </c>
      <c r="Z82" s="477">
        <v>202411</v>
      </c>
      <c r="AA82" s="2487">
        <f t="shared" si="29"/>
        <v>141673.76797421335</v>
      </c>
      <c r="AB82" s="2487">
        <f t="shared" si="29"/>
        <v>9212.1931736232491</v>
      </c>
      <c r="AC82" s="2487">
        <f t="shared" si="29"/>
        <v>180859.29027261797</v>
      </c>
      <c r="AD82" s="2487">
        <f t="shared" si="29"/>
        <v>-16151.082640952791</v>
      </c>
      <c r="AE82" s="2487">
        <f t="shared" si="30"/>
        <v>315594.16877950181</v>
      </c>
      <c r="AF82" s="2487"/>
      <c r="AG82" s="2487">
        <f t="shared" si="31"/>
        <v>28472.18673513988</v>
      </c>
      <c r="AH82" s="2487">
        <f t="shared" si="31"/>
        <v>3233.4334850305936</v>
      </c>
      <c r="AI82" s="2487">
        <f t="shared" si="31"/>
        <v>59670.591944930027</v>
      </c>
      <c r="AJ82" s="2487">
        <f t="shared" si="31"/>
        <v>-1967.5403600305935</v>
      </c>
      <c r="AK82" s="2487">
        <f t="shared" si="31"/>
        <v>89408.671805069913</v>
      </c>
    </row>
    <row r="83" spans="9:37">
      <c r="I83" s="2494">
        <v>46904</v>
      </c>
      <c r="J83" s="2488">
        <f>-'G-3.04,5.01 PF AMI'!AE124</f>
        <v>-315594.16877950181</v>
      </c>
      <c r="K83" s="2488">
        <f t="shared" si="27"/>
        <v>19882432.633108556</v>
      </c>
      <c r="L83" s="2488">
        <f t="shared" ref="L83:L146" si="32">(((K71+K83)/2)+K72+K73+K74+K75+K76+K77+K78+K79+K80+K81+K82)/12</f>
        <v>21775997.645785574</v>
      </c>
      <c r="M83" s="2488">
        <f t="shared" si="25"/>
        <v>-4175310.8529527965</v>
      </c>
      <c r="N83" s="2488">
        <f t="shared" ref="N83:N146" si="33">(((M71+M83)/2)+M72+M73+M74+M75+M76+M77+M78+M79+M80+M81+M82)/12</f>
        <v>-4572959.5056149727</v>
      </c>
      <c r="P83" s="2494">
        <v>46904</v>
      </c>
      <c r="Q83" s="2488">
        <f>-'G-3.04,5.01 PF AMI'!AK124</f>
        <v>-89408.671805069913</v>
      </c>
      <c r="R83" s="2488">
        <f t="shared" si="28"/>
        <v>5632746.3237193739</v>
      </c>
      <c r="S83" s="2488">
        <f t="shared" ref="S83:S146" si="34">(((R71+R83)/2)+R72+R73+R74+R75+R76+R77+R78+R79+R80+R81+R82)/12</f>
        <v>6169198.3545497926</v>
      </c>
      <c r="T83" s="2488">
        <f t="shared" si="26"/>
        <v>-1182876.7279810684</v>
      </c>
      <c r="U83" s="2488">
        <f t="shared" ref="U83:U146" si="35">(((T71+T83)/2)+T72+T73+T74+T75+T76+T77+T78+T79+T80+T81+T82)/12</f>
        <v>-1295531.6544554564</v>
      </c>
      <c r="Y83" s="477">
        <v>76</v>
      </c>
      <c r="Z83" s="477">
        <v>202412</v>
      </c>
      <c r="AA83" s="2487">
        <f t="shared" si="29"/>
        <v>141673.76797421335</v>
      </c>
      <c r="AB83" s="2487">
        <f t="shared" si="29"/>
        <v>9212.1931736232491</v>
      </c>
      <c r="AC83" s="2487">
        <f t="shared" si="29"/>
        <v>180859.29027261797</v>
      </c>
      <c r="AD83" s="2487">
        <f t="shared" si="29"/>
        <v>-16151.082640952791</v>
      </c>
      <c r="AE83" s="2487">
        <f t="shared" si="30"/>
        <v>315594.16877950181</v>
      </c>
      <c r="AF83" s="2487"/>
      <c r="AG83" s="2487">
        <f t="shared" si="31"/>
        <v>28472.18673513988</v>
      </c>
      <c r="AH83" s="2487">
        <f t="shared" si="31"/>
        <v>3233.4334850305936</v>
      </c>
      <c r="AI83" s="2487">
        <f t="shared" si="31"/>
        <v>59670.591944930027</v>
      </c>
      <c r="AJ83" s="2487">
        <f t="shared" si="31"/>
        <v>-1967.5403600305935</v>
      </c>
      <c r="AK83" s="2487">
        <f t="shared" si="31"/>
        <v>89408.671805069913</v>
      </c>
    </row>
    <row r="84" spans="9:37">
      <c r="I84" s="2494">
        <v>46934</v>
      </c>
      <c r="J84" s="2488">
        <f>-'G-3.04,5.01 PF AMI'!AE125</f>
        <v>-315594.16877950181</v>
      </c>
      <c r="K84" s="2488">
        <f t="shared" si="27"/>
        <v>19566838.464329053</v>
      </c>
      <c r="L84" s="2488">
        <f t="shared" si="32"/>
        <v>21460403.477006074</v>
      </c>
      <c r="M84" s="2488">
        <f t="shared" si="25"/>
        <v>-4109036.077509101</v>
      </c>
      <c r="N84" s="2488">
        <f t="shared" si="33"/>
        <v>-4506684.7301712753</v>
      </c>
      <c r="P84" s="2494">
        <v>46934</v>
      </c>
      <c r="Q84" s="2488">
        <f>-'G-3.04,5.01 PF AMI'!AK125</f>
        <v>-89408.671805069913</v>
      </c>
      <c r="R84" s="2488">
        <f t="shared" si="28"/>
        <v>5543337.6519143041</v>
      </c>
      <c r="S84" s="2488">
        <f t="shared" si="34"/>
        <v>6079789.6827447219</v>
      </c>
      <c r="T84" s="2488">
        <f t="shared" si="26"/>
        <v>-1164100.9069020038</v>
      </c>
      <c r="U84" s="2488">
        <f t="shared" si="35"/>
        <v>-1276755.8333763916</v>
      </c>
      <c r="Y84" s="477">
        <v>77</v>
      </c>
      <c r="Z84" s="477">
        <v>202501</v>
      </c>
      <c r="AA84" s="2487">
        <f t="shared" si="29"/>
        <v>141673.76797421335</v>
      </c>
      <c r="AB84" s="2487">
        <f t="shared" si="29"/>
        <v>9212.1931736232491</v>
      </c>
      <c r="AC84" s="2487">
        <f t="shared" si="29"/>
        <v>180859.29027261797</v>
      </c>
      <c r="AD84" s="2487">
        <f t="shared" si="29"/>
        <v>-16151.082640952791</v>
      </c>
      <c r="AE84" s="2487">
        <f t="shared" si="30"/>
        <v>315594.16877950181</v>
      </c>
      <c r="AF84" s="2487"/>
      <c r="AG84" s="2487">
        <f t="shared" si="31"/>
        <v>28472.18673513988</v>
      </c>
      <c r="AH84" s="2487">
        <f t="shared" si="31"/>
        <v>3233.4334850305936</v>
      </c>
      <c r="AI84" s="2487">
        <f t="shared" si="31"/>
        <v>59670.591944930027</v>
      </c>
      <c r="AJ84" s="2487">
        <f t="shared" si="31"/>
        <v>-1967.5403600305935</v>
      </c>
      <c r="AK84" s="2487">
        <f t="shared" si="31"/>
        <v>89408.671805069913</v>
      </c>
    </row>
    <row r="85" spans="9:37">
      <c r="I85" s="2494">
        <v>46965</v>
      </c>
      <c r="J85" s="2488">
        <f>-'G-3.04,5.01 PF AMI'!AE126</f>
        <v>-315594.16877950181</v>
      </c>
      <c r="K85" s="2488">
        <f t="shared" si="27"/>
        <v>19251244.295549549</v>
      </c>
      <c r="L85" s="2488">
        <f t="shared" si="32"/>
        <v>21144809.30822657</v>
      </c>
      <c r="M85" s="2488">
        <f t="shared" si="25"/>
        <v>-4042761.3020654051</v>
      </c>
      <c r="N85" s="2488">
        <f t="shared" si="33"/>
        <v>-4440409.9547275798</v>
      </c>
      <c r="P85" s="2494">
        <v>46965</v>
      </c>
      <c r="Q85" s="2488">
        <f>-'G-3.04,5.01 PF AMI'!AK126</f>
        <v>-89408.671805069913</v>
      </c>
      <c r="R85" s="2488">
        <f t="shared" si="28"/>
        <v>5453928.9801092343</v>
      </c>
      <c r="S85" s="2488">
        <f t="shared" si="34"/>
        <v>5990381.010939653</v>
      </c>
      <c r="T85" s="2488">
        <f t="shared" si="26"/>
        <v>-1145325.0858229392</v>
      </c>
      <c r="U85" s="2488">
        <f t="shared" si="35"/>
        <v>-1257980.0122973272</v>
      </c>
      <c r="Y85" s="477">
        <v>78</v>
      </c>
      <c r="Z85" s="477">
        <v>202502</v>
      </c>
      <c r="AA85" s="2487">
        <f t="shared" si="29"/>
        <v>141673.76797421335</v>
      </c>
      <c r="AB85" s="2487">
        <f t="shared" si="29"/>
        <v>9212.1931736232491</v>
      </c>
      <c r="AC85" s="2487">
        <f t="shared" si="29"/>
        <v>180859.29027261797</v>
      </c>
      <c r="AD85" s="2487">
        <f t="shared" si="29"/>
        <v>-16151.082640952791</v>
      </c>
      <c r="AE85" s="2487">
        <f t="shared" si="30"/>
        <v>315594.16877950181</v>
      </c>
      <c r="AF85" s="2487"/>
      <c r="AG85" s="2487">
        <f t="shared" si="31"/>
        <v>28472.18673513988</v>
      </c>
      <c r="AH85" s="2487">
        <f t="shared" si="31"/>
        <v>3233.4334850305936</v>
      </c>
      <c r="AI85" s="2487">
        <f t="shared" si="31"/>
        <v>59670.591944930027</v>
      </c>
      <c r="AJ85" s="2487">
        <f t="shared" si="31"/>
        <v>-1967.5403600305935</v>
      </c>
      <c r="AK85" s="2487">
        <f t="shared" si="31"/>
        <v>89408.671805069913</v>
      </c>
    </row>
    <row r="86" spans="9:37">
      <c r="I86" s="2494">
        <v>46996</v>
      </c>
      <c r="J86" s="2488">
        <f>-'G-3.04,5.01 PF AMI'!AE127</f>
        <v>-315594.16877950181</v>
      </c>
      <c r="K86" s="2488">
        <f t="shared" si="27"/>
        <v>18935650.126770046</v>
      </c>
      <c r="L86" s="2488">
        <f t="shared" si="32"/>
        <v>20829215.139447067</v>
      </c>
      <c r="M86" s="2488">
        <f t="shared" si="25"/>
        <v>-3976486.5266217096</v>
      </c>
      <c r="N86" s="2488">
        <f t="shared" si="33"/>
        <v>-4374135.1792838825</v>
      </c>
      <c r="P86" s="2494">
        <v>46996</v>
      </c>
      <c r="Q86" s="2488">
        <f>-'G-3.04,5.01 PF AMI'!AK127</f>
        <v>-89408.671805069913</v>
      </c>
      <c r="R86" s="2488">
        <f t="shared" si="28"/>
        <v>5364520.3083041646</v>
      </c>
      <c r="S86" s="2488">
        <f t="shared" si="34"/>
        <v>5900972.3391345823</v>
      </c>
      <c r="T86" s="2488">
        <f t="shared" si="26"/>
        <v>-1126549.2647438745</v>
      </c>
      <c r="U86" s="2488">
        <f t="shared" si="35"/>
        <v>-1239204.1912182625</v>
      </c>
      <c r="Y86" s="477">
        <v>79</v>
      </c>
      <c r="Z86" s="477">
        <v>202503</v>
      </c>
      <c r="AA86" s="2487">
        <f t="shared" si="29"/>
        <v>141673.76797421335</v>
      </c>
      <c r="AB86" s="2487">
        <f t="shared" si="29"/>
        <v>9212.1931736232491</v>
      </c>
      <c r="AC86" s="2487">
        <f t="shared" si="29"/>
        <v>180859.29027261797</v>
      </c>
      <c r="AD86" s="2487">
        <f t="shared" si="29"/>
        <v>-16151.082640952791</v>
      </c>
      <c r="AE86" s="2487">
        <f t="shared" si="30"/>
        <v>315594.16877950181</v>
      </c>
      <c r="AF86" s="2487"/>
      <c r="AG86" s="2487">
        <f t="shared" si="31"/>
        <v>28472.18673513988</v>
      </c>
      <c r="AH86" s="2487">
        <f t="shared" si="31"/>
        <v>3233.4334850305936</v>
      </c>
      <c r="AI86" s="2487">
        <f t="shared" si="31"/>
        <v>59670.591944930027</v>
      </c>
      <c r="AJ86" s="2487">
        <f t="shared" si="31"/>
        <v>-1967.5403600305935</v>
      </c>
      <c r="AK86" s="2487">
        <f t="shared" si="31"/>
        <v>89408.671805069913</v>
      </c>
    </row>
    <row r="87" spans="9:37">
      <c r="I87" s="2494">
        <v>47026</v>
      </c>
      <c r="J87" s="2488">
        <f>-'G-3.04,5.01 PF AMI'!AE128</f>
        <v>-315594.16877950181</v>
      </c>
      <c r="K87" s="2488">
        <f t="shared" si="27"/>
        <v>18620055.957990542</v>
      </c>
      <c r="L87" s="2488">
        <f t="shared" si="32"/>
        <v>20513620.970667563</v>
      </c>
      <c r="M87" s="2488">
        <f t="shared" si="25"/>
        <v>-3910211.7511780136</v>
      </c>
      <c r="N87" s="2488">
        <f t="shared" si="33"/>
        <v>-4307860.403840187</v>
      </c>
      <c r="P87" s="2494">
        <v>47026</v>
      </c>
      <c r="Q87" s="2488">
        <f>-'G-3.04,5.01 PF AMI'!AK128</f>
        <v>-89408.671805069913</v>
      </c>
      <c r="R87" s="2488">
        <f t="shared" si="28"/>
        <v>5275111.6364990948</v>
      </c>
      <c r="S87" s="2488">
        <f t="shared" si="34"/>
        <v>5811563.6673295135</v>
      </c>
      <c r="T87" s="2488">
        <f t="shared" si="26"/>
        <v>-1107773.4436648099</v>
      </c>
      <c r="U87" s="2488">
        <f t="shared" si="35"/>
        <v>-1220428.3701391977</v>
      </c>
      <c r="Y87" s="477">
        <v>80</v>
      </c>
      <c r="Z87" s="477">
        <v>202504</v>
      </c>
      <c r="AA87" s="2487">
        <f t="shared" si="29"/>
        <v>141673.76797421335</v>
      </c>
      <c r="AB87" s="2487">
        <f t="shared" si="29"/>
        <v>9212.1931736232491</v>
      </c>
      <c r="AC87" s="2487">
        <f t="shared" si="29"/>
        <v>180859.29027261797</v>
      </c>
      <c r="AD87" s="2487">
        <f t="shared" si="29"/>
        <v>-16151.082640952791</v>
      </c>
      <c r="AE87" s="2487">
        <f t="shared" si="30"/>
        <v>315594.16877950181</v>
      </c>
      <c r="AF87" s="2487"/>
      <c r="AG87" s="2487">
        <f t="shared" si="31"/>
        <v>28472.18673513988</v>
      </c>
      <c r="AH87" s="2487">
        <f t="shared" si="31"/>
        <v>3233.4334850305936</v>
      </c>
      <c r="AI87" s="2487">
        <f t="shared" si="31"/>
        <v>59670.591944930027</v>
      </c>
      <c r="AJ87" s="2487">
        <f t="shared" si="31"/>
        <v>-1967.5403600305935</v>
      </c>
      <c r="AK87" s="2487">
        <f t="shared" si="31"/>
        <v>89408.671805069913</v>
      </c>
    </row>
    <row r="88" spans="9:37">
      <c r="I88" s="2494">
        <v>47057</v>
      </c>
      <c r="J88" s="2488">
        <f>-'G-3.04,5.01 PF AMI'!AE129</f>
        <v>-315594.16877950181</v>
      </c>
      <c r="K88" s="2488">
        <f t="shared" si="27"/>
        <v>18304461.789211039</v>
      </c>
      <c r="L88" s="2488">
        <f t="shared" si="32"/>
        <v>20198026.80188806</v>
      </c>
      <c r="M88" s="2488">
        <f t="shared" si="25"/>
        <v>-3843936.9757343181</v>
      </c>
      <c r="N88" s="2488">
        <f t="shared" si="33"/>
        <v>-4241585.6283964915</v>
      </c>
      <c r="P88" s="2494">
        <v>47057</v>
      </c>
      <c r="Q88" s="2488">
        <f>-'G-3.04,5.01 PF AMI'!AK129</f>
        <v>-89408.671805069913</v>
      </c>
      <c r="R88" s="2488">
        <f t="shared" si="28"/>
        <v>5185702.964694025</v>
      </c>
      <c r="S88" s="2488">
        <f t="shared" si="34"/>
        <v>5722154.9955244437</v>
      </c>
      <c r="T88" s="2488">
        <f t="shared" si="26"/>
        <v>-1088997.6225857453</v>
      </c>
      <c r="U88" s="2488">
        <f t="shared" si="35"/>
        <v>-1201652.5490601331</v>
      </c>
      <c r="Y88" s="477">
        <v>81</v>
      </c>
      <c r="Z88" s="477">
        <v>202505</v>
      </c>
      <c r="AA88" s="2487">
        <f t="shared" si="29"/>
        <v>141673.76797421335</v>
      </c>
      <c r="AB88" s="2487">
        <f t="shared" si="29"/>
        <v>9212.1931736232491</v>
      </c>
      <c r="AC88" s="2487">
        <f t="shared" si="29"/>
        <v>180859.29027261797</v>
      </c>
      <c r="AD88" s="2487">
        <f t="shared" si="29"/>
        <v>-16151.082640952791</v>
      </c>
      <c r="AE88" s="2487">
        <f t="shared" si="30"/>
        <v>315594.16877950181</v>
      </c>
      <c r="AF88" s="2487"/>
      <c r="AG88" s="2487">
        <f t="shared" si="31"/>
        <v>28472.18673513988</v>
      </c>
      <c r="AH88" s="2487">
        <f t="shared" si="31"/>
        <v>3233.4334850305936</v>
      </c>
      <c r="AI88" s="2487">
        <f t="shared" si="31"/>
        <v>59670.591944930027</v>
      </c>
      <c r="AJ88" s="2487">
        <f t="shared" si="31"/>
        <v>-1967.5403600305935</v>
      </c>
      <c r="AK88" s="2487">
        <f t="shared" si="31"/>
        <v>89408.671805069913</v>
      </c>
    </row>
    <row r="89" spans="9:37">
      <c r="I89" s="2494">
        <v>47087</v>
      </c>
      <c r="J89" s="2488">
        <f>-'G-3.04,5.01 PF AMI'!AE130</f>
        <v>-315594.16877950181</v>
      </c>
      <c r="K89" s="2488">
        <f t="shared" si="27"/>
        <v>17988867.620431535</v>
      </c>
      <c r="L89" s="2488">
        <f t="shared" si="32"/>
        <v>19882432.633108556</v>
      </c>
      <c r="M89" s="2488">
        <f t="shared" si="25"/>
        <v>-3777662.2002906222</v>
      </c>
      <c r="N89" s="2488">
        <f t="shared" si="33"/>
        <v>-4175310.8529527956</v>
      </c>
      <c r="P89" s="2494">
        <v>47087</v>
      </c>
      <c r="Q89" s="2488">
        <f>-'G-3.04,5.01 PF AMI'!AK130</f>
        <v>-89408.671805069913</v>
      </c>
      <c r="R89" s="2488">
        <f t="shared" si="28"/>
        <v>5096294.2928889552</v>
      </c>
      <c r="S89" s="2488">
        <f t="shared" si="34"/>
        <v>5632746.3237193739</v>
      </c>
      <c r="T89" s="2488">
        <f t="shared" si="26"/>
        <v>-1070221.8015066807</v>
      </c>
      <c r="U89" s="2488">
        <f t="shared" si="35"/>
        <v>-1182876.7279810684</v>
      </c>
      <c r="Y89" s="477">
        <v>82</v>
      </c>
      <c r="Z89" s="477">
        <v>202506</v>
      </c>
      <c r="AA89" s="2487">
        <f t="shared" si="29"/>
        <v>141673.76797421335</v>
      </c>
      <c r="AB89" s="2487">
        <f t="shared" si="29"/>
        <v>9212.1931736232491</v>
      </c>
      <c r="AC89" s="2487">
        <f t="shared" si="29"/>
        <v>180859.29027261797</v>
      </c>
      <c r="AD89" s="2487">
        <f t="shared" si="29"/>
        <v>-16151.082640952791</v>
      </c>
      <c r="AE89" s="2487">
        <f t="shared" si="30"/>
        <v>315594.16877950181</v>
      </c>
      <c r="AF89" s="2487"/>
      <c r="AG89" s="2487">
        <f t="shared" si="31"/>
        <v>28472.18673513988</v>
      </c>
      <c r="AH89" s="2487">
        <f t="shared" si="31"/>
        <v>3233.4334850305936</v>
      </c>
      <c r="AI89" s="2487">
        <f t="shared" si="31"/>
        <v>59670.591944930027</v>
      </c>
      <c r="AJ89" s="2487">
        <f t="shared" si="31"/>
        <v>-1967.5403600305935</v>
      </c>
      <c r="AK89" s="2487">
        <f t="shared" si="31"/>
        <v>89408.671805069913</v>
      </c>
    </row>
    <row r="90" spans="9:37">
      <c r="I90" s="2494">
        <v>47118</v>
      </c>
      <c r="J90" s="2488">
        <f>-'G-3.04,5.01 PF AMI'!AE131</f>
        <v>-315594.16877950181</v>
      </c>
      <c r="K90" s="2488">
        <f t="shared" si="27"/>
        <v>17673273.451652031</v>
      </c>
      <c r="L90" s="2488">
        <f t="shared" si="32"/>
        <v>19566838.464329053</v>
      </c>
      <c r="M90" s="2488">
        <f t="shared" si="25"/>
        <v>-3711387.4248469262</v>
      </c>
      <c r="N90" s="2488">
        <f t="shared" si="33"/>
        <v>-4109036.0775091001</v>
      </c>
      <c r="P90" s="2494">
        <v>47118</v>
      </c>
      <c r="Q90" s="2488">
        <f>-'G-3.04,5.01 PF AMI'!AK131</f>
        <v>-89408.671805069913</v>
      </c>
      <c r="R90" s="2488">
        <f t="shared" si="28"/>
        <v>5006885.6210838854</v>
      </c>
      <c r="S90" s="2488">
        <f t="shared" si="34"/>
        <v>5543337.6519143032</v>
      </c>
      <c r="T90" s="2488">
        <f t="shared" si="26"/>
        <v>-1051445.9804276158</v>
      </c>
      <c r="U90" s="2488">
        <f t="shared" si="35"/>
        <v>-1164100.9069020038</v>
      </c>
      <c r="Y90" s="477">
        <v>83</v>
      </c>
      <c r="Z90" s="477">
        <v>202507</v>
      </c>
      <c r="AA90" s="2487">
        <f t="shared" si="29"/>
        <v>141673.76797421335</v>
      </c>
      <c r="AB90" s="2487">
        <f t="shared" si="29"/>
        <v>9212.1931736232491</v>
      </c>
      <c r="AC90" s="2487">
        <f t="shared" si="29"/>
        <v>180859.29027261797</v>
      </c>
      <c r="AD90" s="2487">
        <f t="shared" si="29"/>
        <v>-16151.082640952791</v>
      </c>
      <c r="AE90" s="2487">
        <f t="shared" si="30"/>
        <v>315594.16877950181</v>
      </c>
      <c r="AF90" s="2487"/>
      <c r="AG90" s="2487">
        <f t="shared" si="31"/>
        <v>28472.18673513988</v>
      </c>
      <c r="AH90" s="2487">
        <f t="shared" si="31"/>
        <v>3233.4334850305936</v>
      </c>
      <c r="AI90" s="2487">
        <f t="shared" si="31"/>
        <v>59670.591944930027</v>
      </c>
      <c r="AJ90" s="2487">
        <f t="shared" si="31"/>
        <v>-1967.5403600305935</v>
      </c>
      <c r="AK90" s="2487">
        <f t="shared" si="31"/>
        <v>89408.671805069913</v>
      </c>
    </row>
    <row r="91" spans="9:37">
      <c r="I91" s="2494">
        <v>47149</v>
      </c>
      <c r="J91" s="2488">
        <f>-'G-3.04,5.01 PF AMI'!AE132</f>
        <v>-315594.16877950181</v>
      </c>
      <c r="K91" s="2488">
        <f t="shared" si="27"/>
        <v>17357679.282872528</v>
      </c>
      <c r="L91" s="2488">
        <f t="shared" si="32"/>
        <v>19251244.295549549</v>
      </c>
      <c r="M91" s="2488">
        <f t="shared" si="25"/>
        <v>-3645112.6494032308</v>
      </c>
      <c r="N91" s="2488">
        <f t="shared" si="33"/>
        <v>-4042761.3020654046</v>
      </c>
      <c r="P91" s="2494">
        <v>47149</v>
      </c>
      <c r="Q91" s="2488">
        <f>-'G-3.04,5.01 PF AMI'!AK132</f>
        <v>-89408.671805069913</v>
      </c>
      <c r="R91" s="2488">
        <f t="shared" si="28"/>
        <v>4917476.9492788156</v>
      </c>
      <c r="S91" s="2488">
        <f t="shared" si="34"/>
        <v>5453928.9801092343</v>
      </c>
      <c r="T91" s="2488">
        <f t="shared" si="26"/>
        <v>-1032670.1593485513</v>
      </c>
      <c r="U91" s="2488">
        <f t="shared" si="35"/>
        <v>-1145325.0858229392</v>
      </c>
      <c r="Y91" s="477">
        <v>84</v>
      </c>
      <c r="Z91" s="477">
        <v>202508</v>
      </c>
      <c r="AA91" s="2487">
        <f t="shared" si="29"/>
        <v>141673.76797421335</v>
      </c>
      <c r="AB91" s="2487">
        <f t="shared" si="29"/>
        <v>9212.1931736232491</v>
      </c>
      <c r="AC91" s="2487">
        <f t="shared" si="29"/>
        <v>180859.29027261797</v>
      </c>
      <c r="AD91" s="2487">
        <f t="shared" si="29"/>
        <v>-16151.082640952791</v>
      </c>
      <c r="AE91" s="2487">
        <f t="shared" si="30"/>
        <v>315594.16877950181</v>
      </c>
      <c r="AF91" s="2487"/>
      <c r="AG91" s="2487">
        <f t="shared" si="31"/>
        <v>28472.18673513988</v>
      </c>
      <c r="AH91" s="2487">
        <f t="shared" si="31"/>
        <v>3233.4334850305936</v>
      </c>
      <c r="AI91" s="2487">
        <f t="shared" si="31"/>
        <v>59670.591944930027</v>
      </c>
      <c r="AJ91" s="2487">
        <f t="shared" si="31"/>
        <v>-1967.5403600305935</v>
      </c>
      <c r="AK91" s="2487">
        <f t="shared" si="31"/>
        <v>89408.671805069913</v>
      </c>
    </row>
    <row r="92" spans="9:37">
      <c r="I92" s="2494">
        <v>47177</v>
      </c>
      <c r="J92" s="2488">
        <f>-'G-3.04,5.01 PF AMI'!AE133</f>
        <v>-315594.16877950181</v>
      </c>
      <c r="K92" s="2488">
        <f t="shared" si="27"/>
        <v>17042085.114093024</v>
      </c>
      <c r="L92" s="2488">
        <f t="shared" si="32"/>
        <v>18935650.126770046</v>
      </c>
      <c r="M92" s="2488">
        <f t="shared" si="25"/>
        <v>-3578837.8739595348</v>
      </c>
      <c r="N92" s="2488">
        <f t="shared" si="33"/>
        <v>-3976486.5266217091</v>
      </c>
      <c r="P92" s="2494">
        <v>47177</v>
      </c>
      <c r="Q92" s="2488">
        <f>-'G-3.04,5.01 PF AMI'!AK133</f>
        <v>-89408.671805069913</v>
      </c>
      <c r="R92" s="2488">
        <f t="shared" si="28"/>
        <v>4828068.2774737459</v>
      </c>
      <c r="S92" s="2488">
        <f t="shared" si="34"/>
        <v>5364520.3083041636</v>
      </c>
      <c r="T92" s="2488">
        <f t="shared" si="26"/>
        <v>-1013894.3382694866</v>
      </c>
      <c r="U92" s="2488">
        <f t="shared" si="35"/>
        <v>-1126549.2647438745</v>
      </c>
      <c r="Y92" s="477">
        <v>85</v>
      </c>
      <c r="Z92" s="477">
        <v>202509</v>
      </c>
      <c r="AA92" s="2487">
        <f t="shared" si="29"/>
        <v>141673.76797421335</v>
      </c>
      <c r="AB92" s="2487">
        <f t="shared" si="29"/>
        <v>9212.1931736232491</v>
      </c>
      <c r="AC92" s="2487">
        <f t="shared" si="29"/>
        <v>180859.29027261797</v>
      </c>
      <c r="AD92" s="2487">
        <f t="shared" si="29"/>
        <v>-16151.082640952791</v>
      </c>
      <c r="AE92" s="2487">
        <f t="shared" si="30"/>
        <v>315594.16877950181</v>
      </c>
      <c r="AF92" s="2487"/>
      <c r="AG92" s="2487">
        <f t="shared" si="31"/>
        <v>28472.18673513988</v>
      </c>
      <c r="AH92" s="2487">
        <f t="shared" si="31"/>
        <v>3233.4334850305936</v>
      </c>
      <c r="AI92" s="2487">
        <f t="shared" si="31"/>
        <v>59670.591944930027</v>
      </c>
      <c r="AJ92" s="2487">
        <f t="shared" si="31"/>
        <v>-1967.5403600305935</v>
      </c>
      <c r="AK92" s="2487">
        <f t="shared" si="31"/>
        <v>89408.671805069913</v>
      </c>
    </row>
    <row r="93" spans="9:37">
      <c r="I93" s="2494">
        <v>47208</v>
      </c>
      <c r="J93" s="2488">
        <f>-'G-3.04,5.01 PF AMI'!AE134</f>
        <v>-315594.16877950181</v>
      </c>
      <c r="K93" s="2488">
        <f t="shared" si="27"/>
        <v>16726490.945313523</v>
      </c>
      <c r="L93" s="2488">
        <f t="shared" si="32"/>
        <v>18620055.957990546</v>
      </c>
      <c r="M93" s="2488">
        <f t="shared" si="25"/>
        <v>-3512563.0985158398</v>
      </c>
      <c r="N93" s="2488">
        <f t="shared" si="33"/>
        <v>-3910211.7511780136</v>
      </c>
      <c r="P93" s="2494">
        <v>47208</v>
      </c>
      <c r="Q93" s="2488">
        <f>-'G-3.04,5.01 PF AMI'!AK134</f>
        <v>-89408.671805069913</v>
      </c>
      <c r="R93" s="2488">
        <f t="shared" si="28"/>
        <v>4738659.6056686761</v>
      </c>
      <c r="S93" s="2488">
        <f t="shared" si="34"/>
        <v>5275111.6364990948</v>
      </c>
      <c r="T93" s="2488">
        <f t="shared" si="26"/>
        <v>-995118.51719042193</v>
      </c>
      <c r="U93" s="2488">
        <f t="shared" si="35"/>
        <v>-1107773.4436648099</v>
      </c>
      <c r="Y93" s="477">
        <v>86</v>
      </c>
      <c r="Z93" s="477">
        <v>202510</v>
      </c>
      <c r="AA93" s="2487">
        <f t="shared" ref="AA93:AD108" si="36">AA92</f>
        <v>141673.76797421335</v>
      </c>
      <c r="AB93" s="2487">
        <f t="shared" si="36"/>
        <v>9212.1931736232491</v>
      </c>
      <c r="AC93" s="2487">
        <f t="shared" si="36"/>
        <v>180859.29027261797</v>
      </c>
      <c r="AD93" s="2487">
        <f t="shared" si="36"/>
        <v>-16151.082640952791</v>
      </c>
      <c r="AE93" s="2487">
        <f t="shared" si="30"/>
        <v>315594.16877950181</v>
      </c>
      <c r="AF93" s="2487"/>
      <c r="AG93" s="2487">
        <f t="shared" ref="AG93:AK108" si="37">AG92</f>
        <v>28472.18673513988</v>
      </c>
      <c r="AH93" s="2487">
        <f t="shared" si="37"/>
        <v>3233.4334850305936</v>
      </c>
      <c r="AI93" s="2487">
        <f t="shared" si="37"/>
        <v>59670.591944930027</v>
      </c>
      <c r="AJ93" s="2487">
        <f t="shared" si="37"/>
        <v>-1967.5403600305935</v>
      </c>
      <c r="AK93" s="2487">
        <f t="shared" si="37"/>
        <v>89408.671805069913</v>
      </c>
    </row>
    <row r="94" spans="9:37">
      <c r="I94" s="2494">
        <v>47238</v>
      </c>
      <c r="J94" s="2488">
        <f>-'G-3.04,5.01 PF AMI'!AE135</f>
        <v>-315594.16877950181</v>
      </c>
      <c r="K94" s="2488">
        <f t="shared" si="27"/>
        <v>16410896.776534021</v>
      </c>
      <c r="L94" s="2488">
        <f t="shared" si="32"/>
        <v>18304461.789211039</v>
      </c>
      <c r="M94" s="2488">
        <f t="shared" si="25"/>
        <v>-3446288.3230721443</v>
      </c>
      <c r="N94" s="2488">
        <f t="shared" si="33"/>
        <v>-3843936.9757343177</v>
      </c>
      <c r="P94" s="2494">
        <v>47238</v>
      </c>
      <c r="Q94" s="2488">
        <f>-'G-3.04,5.01 PF AMI'!AK135</f>
        <v>-89408.671805069913</v>
      </c>
      <c r="R94" s="2488">
        <f t="shared" si="28"/>
        <v>4649250.9338636063</v>
      </c>
      <c r="S94" s="2488">
        <f t="shared" si="34"/>
        <v>5185702.9646940259</v>
      </c>
      <c r="T94" s="2488">
        <f t="shared" si="26"/>
        <v>-976342.69611135731</v>
      </c>
      <c r="U94" s="2488">
        <f t="shared" si="35"/>
        <v>-1088997.6225857453</v>
      </c>
      <c r="Y94" s="477">
        <v>87</v>
      </c>
      <c r="Z94" s="477">
        <v>202511</v>
      </c>
      <c r="AA94" s="2487">
        <f t="shared" si="36"/>
        <v>141673.76797421335</v>
      </c>
      <c r="AB94" s="2487">
        <f t="shared" si="36"/>
        <v>9212.1931736232491</v>
      </c>
      <c r="AC94" s="2487">
        <f t="shared" si="36"/>
        <v>180859.29027261797</v>
      </c>
      <c r="AD94" s="2487">
        <f t="shared" si="36"/>
        <v>-16151.082640952791</v>
      </c>
      <c r="AE94" s="2487">
        <f t="shared" si="30"/>
        <v>315594.16877950181</v>
      </c>
      <c r="AF94" s="2487"/>
      <c r="AG94" s="2487">
        <f t="shared" si="37"/>
        <v>28472.18673513988</v>
      </c>
      <c r="AH94" s="2487">
        <f t="shared" si="37"/>
        <v>3233.4334850305936</v>
      </c>
      <c r="AI94" s="2487">
        <f t="shared" si="37"/>
        <v>59670.591944930027</v>
      </c>
      <c r="AJ94" s="2487">
        <f t="shared" si="37"/>
        <v>-1967.5403600305935</v>
      </c>
      <c r="AK94" s="2487">
        <f t="shared" si="37"/>
        <v>89408.671805069913</v>
      </c>
    </row>
    <row r="95" spans="9:37">
      <c r="I95" s="2494">
        <v>47269</v>
      </c>
      <c r="J95" s="2488">
        <f>-'G-3.04,5.01 PF AMI'!AE136</f>
        <v>-315594.16877950181</v>
      </c>
      <c r="K95" s="2488">
        <f t="shared" si="27"/>
        <v>16095302.607754519</v>
      </c>
      <c r="L95" s="2488">
        <f t="shared" si="32"/>
        <v>17988867.620431535</v>
      </c>
      <c r="M95" s="2488">
        <f t="shared" si="25"/>
        <v>-3380013.5476284488</v>
      </c>
      <c r="N95" s="2488">
        <f t="shared" si="33"/>
        <v>-3777662.2002906222</v>
      </c>
      <c r="P95" s="2494">
        <v>47269</v>
      </c>
      <c r="Q95" s="2488">
        <f>-'G-3.04,5.01 PF AMI'!AK136</f>
        <v>-89408.671805069913</v>
      </c>
      <c r="R95" s="2488">
        <f t="shared" si="28"/>
        <v>4559842.2620585365</v>
      </c>
      <c r="S95" s="2488">
        <f t="shared" si="34"/>
        <v>5096294.2928889552</v>
      </c>
      <c r="T95" s="2488">
        <f t="shared" si="26"/>
        <v>-957566.87503229268</v>
      </c>
      <c r="U95" s="2488">
        <f t="shared" si="35"/>
        <v>-1070221.8015066807</v>
      </c>
      <c r="Y95" s="477">
        <v>88</v>
      </c>
      <c r="Z95" s="477">
        <v>202512</v>
      </c>
      <c r="AA95" s="2487">
        <f t="shared" si="36"/>
        <v>141673.76797421335</v>
      </c>
      <c r="AB95" s="2487">
        <f t="shared" si="36"/>
        <v>9212.1931736232491</v>
      </c>
      <c r="AC95" s="2487">
        <f t="shared" si="36"/>
        <v>180859.29027261797</v>
      </c>
      <c r="AD95" s="2487">
        <f t="shared" si="36"/>
        <v>-16151.082640952791</v>
      </c>
      <c r="AE95" s="2487">
        <f t="shared" si="30"/>
        <v>315594.16877950181</v>
      </c>
      <c r="AF95" s="2487"/>
      <c r="AG95" s="2487">
        <f t="shared" si="37"/>
        <v>28472.18673513988</v>
      </c>
      <c r="AH95" s="2487">
        <f t="shared" si="37"/>
        <v>3233.4334850305936</v>
      </c>
      <c r="AI95" s="2487">
        <f t="shared" si="37"/>
        <v>59670.591944930027</v>
      </c>
      <c r="AJ95" s="2487">
        <f t="shared" si="37"/>
        <v>-1967.5403600305935</v>
      </c>
      <c r="AK95" s="2487">
        <f t="shared" si="37"/>
        <v>89408.671805069913</v>
      </c>
    </row>
    <row r="96" spans="9:37">
      <c r="I96" s="2494">
        <v>47299</v>
      </c>
      <c r="J96" s="2488">
        <f>-'G-3.04,5.01 PF AMI'!AE137</f>
        <v>-315594.16877950181</v>
      </c>
      <c r="K96" s="2488">
        <f t="shared" si="27"/>
        <v>15779708.438975018</v>
      </c>
      <c r="L96" s="2488">
        <f t="shared" si="32"/>
        <v>17673273.451652031</v>
      </c>
      <c r="M96" s="2488">
        <f t="shared" si="25"/>
        <v>-3313738.7721847533</v>
      </c>
      <c r="N96" s="2488">
        <f t="shared" si="33"/>
        <v>-3711387.4248469262</v>
      </c>
      <c r="P96" s="2494">
        <v>47299</v>
      </c>
      <c r="Q96" s="2488">
        <f>-'G-3.04,5.01 PF AMI'!AK137</f>
        <v>-89408.671805069913</v>
      </c>
      <c r="R96" s="2488">
        <f t="shared" si="28"/>
        <v>4470433.5902534667</v>
      </c>
      <c r="S96" s="2488">
        <f t="shared" si="34"/>
        <v>5006885.6210838864</v>
      </c>
      <c r="T96" s="2488">
        <f t="shared" si="26"/>
        <v>-938791.05395322794</v>
      </c>
      <c r="U96" s="2488">
        <f t="shared" si="35"/>
        <v>-1051445.980427616</v>
      </c>
      <c r="Y96" s="477">
        <v>89</v>
      </c>
      <c r="Z96" s="477">
        <v>202601</v>
      </c>
      <c r="AA96" s="2487">
        <f t="shared" si="36"/>
        <v>141673.76797421335</v>
      </c>
      <c r="AB96" s="2487">
        <f t="shared" si="36"/>
        <v>9212.1931736232491</v>
      </c>
      <c r="AC96" s="2487">
        <f t="shared" si="36"/>
        <v>180859.29027261797</v>
      </c>
      <c r="AD96" s="2487">
        <f t="shared" si="36"/>
        <v>-16151.082640952791</v>
      </c>
      <c r="AE96" s="2487">
        <f t="shared" si="30"/>
        <v>315594.16877950181</v>
      </c>
      <c r="AF96" s="2487"/>
      <c r="AG96" s="2487">
        <f t="shared" si="37"/>
        <v>28472.18673513988</v>
      </c>
      <c r="AH96" s="2487">
        <f t="shared" si="37"/>
        <v>3233.4334850305936</v>
      </c>
      <c r="AI96" s="2487">
        <f t="shared" si="37"/>
        <v>59670.591944930027</v>
      </c>
      <c r="AJ96" s="2487">
        <f t="shared" si="37"/>
        <v>-1967.5403600305935</v>
      </c>
      <c r="AK96" s="2487">
        <f t="shared" si="37"/>
        <v>89408.671805069913</v>
      </c>
    </row>
    <row r="97" spans="9:37">
      <c r="I97" s="2494">
        <v>47330</v>
      </c>
      <c r="J97" s="2488">
        <f>-'G-3.04,5.01 PF AMI'!AE138</f>
        <v>-315594.16877950181</v>
      </c>
      <c r="K97" s="2488">
        <f t="shared" si="27"/>
        <v>15464114.270195516</v>
      </c>
      <c r="L97" s="2488">
        <f t="shared" si="32"/>
        <v>17357679.282872528</v>
      </c>
      <c r="M97" s="2488">
        <f t="shared" si="25"/>
        <v>-3247463.9967410583</v>
      </c>
      <c r="N97" s="2488">
        <f t="shared" si="33"/>
        <v>-3645112.6494032308</v>
      </c>
      <c r="P97" s="2494">
        <v>47330</v>
      </c>
      <c r="Q97" s="2488">
        <f>-'G-3.04,5.01 PF AMI'!AK138</f>
        <v>-89408.671805069913</v>
      </c>
      <c r="R97" s="2488">
        <f t="shared" si="28"/>
        <v>4381024.918448397</v>
      </c>
      <c r="S97" s="2488">
        <f t="shared" si="34"/>
        <v>4917476.9492788156</v>
      </c>
      <c r="T97" s="2488">
        <f t="shared" si="26"/>
        <v>-920015.23287416331</v>
      </c>
      <c r="U97" s="2488">
        <f t="shared" si="35"/>
        <v>-1032670.1593485513</v>
      </c>
      <c r="Y97" s="477">
        <v>90</v>
      </c>
      <c r="Z97" s="477">
        <v>202602</v>
      </c>
      <c r="AA97" s="2487">
        <f t="shared" si="36"/>
        <v>141673.76797421335</v>
      </c>
      <c r="AB97" s="2487">
        <f t="shared" si="36"/>
        <v>9212.1931736232491</v>
      </c>
      <c r="AC97" s="2487">
        <f t="shared" si="36"/>
        <v>180859.29027261797</v>
      </c>
      <c r="AD97" s="2487">
        <f t="shared" si="36"/>
        <v>-16151.082640952791</v>
      </c>
      <c r="AE97" s="2487">
        <f t="shared" si="30"/>
        <v>315594.16877950181</v>
      </c>
      <c r="AF97" s="2487"/>
      <c r="AG97" s="2487">
        <f t="shared" si="37"/>
        <v>28472.18673513988</v>
      </c>
      <c r="AH97" s="2487">
        <f t="shared" si="37"/>
        <v>3233.4334850305936</v>
      </c>
      <c r="AI97" s="2487">
        <f t="shared" si="37"/>
        <v>59670.591944930027</v>
      </c>
      <c r="AJ97" s="2487">
        <f t="shared" si="37"/>
        <v>-1967.5403600305935</v>
      </c>
      <c r="AK97" s="2487">
        <f t="shared" si="37"/>
        <v>89408.671805069913</v>
      </c>
    </row>
    <row r="98" spans="9:37">
      <c r="I98" s="2494">
        <v>47361</v>
      </c>
      <c r="J98" s="2488">
        <f>-'G-3.04,5.01 PF AMI'!AE139</f>
        <v>-315594.16877950181</v>
      </c>
      <c r="K98" s="2488">
        <f t="shared" si="27"/>
        <v>15148520.101416014</v>
      </c>
      <c r="L98" s="2488">
        <f t="shared" si="32"/>
        <v>17042085.114093024</v>
      </c>
      <c r="M98" s="2488">
        <f t="shared" si="25"/>
        <v>-3181189.2212973628</v>
      </c>
      <c r="N98" s="2488">
        <f t="shared" si="33"/>
        <v>-3578837.8739595353</v>
      </c>
      <c r="P98" s="2494">
        <v>47361</v>
      </c>
      <c r="Q98" s="2488">
        <f>-'G-3.04,5.01 PF AMI'!AK139</f>
        <v>-89408.671805069913</v>
      </c>
      <c r="R98" s="2488">
        <f t="shared" si="28"/>
        <v>4291616.2466433272</v>
      </c>
      <c r="S98" s="2488">
        <f t="shared" si="34"/>
        <v>4828068.2774737459</v>
      </c>
      <c r="T98" s="2488">
        <f t="shared" si="26"/>
        <v>-901239.41179509868</v>
      </c>
      <c r="U98" s="2488">
        <f t="shared" si="35"/>
        <v>-1013894.3382694867</v>
      </c>
      <c r="Y98" s="477">
        <v>91</v>
      </c>
      <c r="Z98" s="477">
        <v>202603</v>
      </c>
      <c r="AA98" s="2487">
        <f t="shared" si="36"/>
        <v>141673.76797421335</v>
      </c>
      <c r="AB98" s="2487">
        <f t="shared" si="36"/>
        <v>9212.1931736232491</v>
      </c>
      <c r="AC98" s="2487">
        <f t="shared" si="36"/>
        <v>180859.29027261797</v>
      </c>
      <c r="AD98" s="2487">
        <f t="shared" si="36"/>
        <v>-16151.082640952791</v>
      </c>
      <c r="AE98" s="2487">
        <f t="shared" si="30"/>
        <v>315594.16877950181</v>
      </c>
      <c r="AF98" s="2487"/>
      <c r="AG98" s="2487">
        <f t="shared" si="37"/>
        <v>28472.18673513988</v>
      </c>
      <c r="AH98" s="2487">
        <f t="shared" si="37"/>
        <v>3233.4334850305936</v>
      </c>
      <c r="AI98" s="2487">
        <f t="shared" si="37"/>
        <v>59670.591944930027</v>
      </c>
      <c r="AJ98" s="2487">
        <f t="shared" si="37"/>
        <v>-1967.5403600305935</v>
      </c>
      <c r="AK98" s="2487">
        <f t="shared" si="37"/>
        <v>89408.671805069913</v>
      </c>
    </row>
    <row r="99" spans="9:37">
      <c r="I99" s="2494">
        <v>47391</v>
      </c>
      <c r="J99" s="2488">
        <f>-'G-3.04,5.01 PF AMI'!AE140</f>
        <v>-315594.16877950181</v>
      </c>
      <c r="K99" s="2488">
        <f t="shared" si="27"/>
        <v>14832925.932636512</v>
      </c>
      <c r="L99" s="2488">
        <f t="shared" si="32"/>
        <v>16726490.945313526</v>
      </c>
      <c r="M99" s="2488">
        <f t="shared" si="25"/>
        <v>-3114914.4458536673</v>
      </c>
      <c r="N99" s="2488">
        <f t="shared" si="33"/>
        <v>-3512563.0985158389</v>
      </c>
      <c r="P99" s="2494">
        <v>47391</v>
      </c>
      <c r="Q99" s="2488">
        <f>-'G-3.04,5.01 PF AMI'!AK140</f>
        <v>-89408.671805069913</v>
      </c>
      <c r="R99" s="2488">
        <f t="shared" si="28"/>
        <v>4202207.5748382574</v>
      </c>
      <c r="S99" s="2488">
        <f t="shared" si="34"/>
        <v>4738659.6056686761</v>
      </c>
      <c r="T99" s="2488">
        <f t="shared" si="26"/>
        <v>-882463.59071603406</v>
      </c>
      <c r="U99" s="2488">
        <f t="shared" si="35"/>
        <v>-995118.51719042193</v>
      </c>
      <c r="Y99" s="477">
        <v>92</v>
      </c>
      <c r="Z99" s="477">
        <v>202604</v>
      </c>
      <c r="AA99" s="2487">
        <f t="shared" si="36"/>
        <v>141673.76797421335</v>
      </c>
      <c r="AB99" s="2487">
        <f t="shared" si="36"/>
        <v>9212.1931736232491</v>
      </c>
      <c r="AC99" s="2487">
        <f t="shared" si="36"/>
        <v>180859.29027261797</v>
      </c>
      <c r="AD99" s="2487">
        <f t="shared" si="36"/>
        <v>-16151.082640952791</v>
      </c>
      <c r="AE99" s="2487">
        <f t="shared" si="30"/>
        <v>315594.16877950181</v>
      </c>
      <c r="AF99" s="2487"/>
      <c r="AG99" s="2487">
        <f t="shared" si="37"/>
        <v>28472.18673513988</v>
      </c>
      <c r="AH99" s="2487">
        <f t="shared" si="37"/>
        <v>3233.4334850305936</v>
      </c>
      <c r="AI99" s="2487">
        <f t="shared" si="37"/>
        <v>59670.591944930027</v>
      </c>
      <c r="AJ99" s="2487">
        <f t="shared" si="37"/>
        <v>-1967.5403600305935</v>
      </c>
      <c r="AK99" s="2487">
        <f t="shared" si="37"/>
        <v>89408.671805069913</v>
      </c>
    </row>
    <row r="100" spans="9:37">
      <c r="I100" s="2494">
        <v>47422</v>
      </c>
      <c r="J100" s="2488">
        <f>-'G-3.04,5.01 PF AMI'!AE141</f>
        <v>-315594.16877950181</v>
      </c>
      <c r="K100" s="2488">
        <f t="shared" si="27"/>
        <v>14517331.763857011</v>
      </c>
      <c r="L100" s="2488">
        <f t="shared" si="32"/>
        <v>16410896.776534021</v>
      </c>
      <c r="M100" s="2488">
        <f t="shared" si="25"/>
        <v>-3048639.6704099723</v>
      </c>
      <c r="N100" s="2488">
        <f t="shared" si="33"/>
        <v>-3446288.3230721434</v>
      </c>
      <c r="P100" s="2494">
        <v>47422</v>
      </c>
      <c r="Q100" s="2488">
        <f>-'G-3.04,5.01 PF AMI'!AK141</f>
        <v>-89408.671805069913</v>
      </c>
      <c r="R100" s="2488">
        <f t="shared" si="28"/>
        <v>4112798.9030331876</v>
      </c>
      <c r="S100" s="2488">
        <f t="shared" si="34"/>
        <v>4649250.9338636054</v>
      </c>
      <c r="T100" s="2488">
        <f t="shared" si="26"/>
        <v>-863687.76963696931</v>
      </c>
      <c r="U100" s="2488">
        <f t="shared" si="35"/>
        <v>-976342.69611135731</v>
      </c>
      <c r="Y100" s="477">
        <v>93</v>
      </c>
      <c r="Z100" s="477">
        <v>202605</v>
      </c>
      <c r="AA100" s="2487">
        <f t="shared" si="36"/>
        <v>141673.76797421335</v>
      </c>
      <c r="AB100" s="2487">
        <f t="shared" si="36"/>
        <v>9212.1931736232491</v>
      </c>
      <c r="AC100" s="2487">
        <f t="shared" si="36"/>
        <v>180859.29027261797</v>
      </c>
      <c r="AD100" s="2487">
        <f t="shared" si="36"/>
        <v>-16151.082640952791</v>
      </c>
      <c r="AE100" s="2487">
        <f t="shared" si="30"/>
        <v>315594.16877950181</v>
      </c>
      <c r="AF100" s="2487"/>
      <c r="AG100" s="2487">
        <f t="shared" si="37"/>
        <v>28472.18673513988</v>
      </c>
      <c r="AH100" s="2487">
        <f t="shared" si="37"/>
        <v>3233.4334850305936</v>
      </c>
      <c r="AI100" s="2487">
        <f t="shared" si="37"/>
        <v>59670.591944930027</v>
      </c>
      <c r="AJ100" s="2487">
        <f t="shared" si="37"/>
        <v>-1967.5403600305935</v>
      </c>
      <c r="AK100" s="2487">
        <f t="shared" si="37"/>
        <v>89408.671805069913</v>
      </c>
    </row>
    <row r="101" spans="9:37">
      <c r="I101" s="2494">
        <v>47452</v>
      </c>
      <c r="J101" s="2488">
        <f>-'G-3.04,5.01 PF AMI'!AE142</f>
        <v>-315594.16877950181</v>
      </c>
      <c r="K101" s="2488">
        <f t="shared" si="27"/>
        <v>14201737.595077509</v>
      </c>
      <c r="L101" s="2488">
        <f t="shared" si="32"/>
        <v>16095302.607754519</v>
      </c>
      <c r="M101" s="2488">
        <f t="shared" si="25"/>
        <v>-2982364.8949662768</v>
      </c>
      <c r="N101" s="2488">
        <f t="shared" si="33"/>
        <v>-3380013.5476284479</v>
      </c>
      <c r="P101" s="2494">
        <v>47452</v>
      </c>
      <c r="Q101" s="2488">
        <f>-'G-3.04,5.01 PF AMI'!AK142</f>
        <v>-89408.671805069913</v>
      </c>
      <c r="R101" s="2488">
        <f t="shared" si="28"/>
        <v>4023390.2312281178</v>
      </c>
      <c r="S101" s="2488">
        <f t="shared" si="34"/>
        <v>4559842.2620585365</v>
      </c>
      <c r="T101" s="2488">
        <f t="shared" si="26"/>
        <v>-844911.94855790469</v>
      </c>
      <c r="U101" s="2488">
        <f t="shared" si="35"/>
        <v>-957566.87503229268</v>
      </c>
      <c r="Y101" s="477">
        <v>94</v>
      </c>
      <c r="Z101" s="477">
        <v>202606</v>
      </c>
      <c r="AA101" s="2487">
        <f t="shared" si="36"/>
        <v>141673.76797421335</v>
      </c>
      <c r="AB101" s="2487">
        <f t="shared" si="36"/>
        <v>9212.1931736232491</v>
      </c>
      <c r="AC101" s="2487">
        <f t="shared" si="36"/>
        <v>180859.29027261797</v>
      </c>
      <c r="AD101" s="2487">
        <f t="shared" si="36"/>
        <v>-16151.082640952791</v>
      </c>
      <c r="AE101" s="2487">
        <f t="shared" si="30"/>
        <v>315594.16877950181</v>
      </c>
      <c r="AF101" s="2487"/>
      <c r="AG101" s="2487">
        <f t="shared" si="37"/>
        <v>28472.18673513988</v>
      </c>
      <c r="AH101" s="2487">
        <f t="shared" si="37"/>
        <v>3233.4334850305936</v>
      </c>
      <c r="AI101" s="2487">
        <f t="shared" si="37"/>
        <v>59670.591944930027</v>
      </c>
      <c r="AJ101" s="2487">
        <f t="shared" si="37"/>
        <v>-1967.5403600305935</v>
      </c>
      <c r="AK101" s="2487">
        <f t="shared" si="37"/>
        <v>89408.671805069913</v>
      </c>
    </row>
    <row r="102" spans="9:37">
      <c r="I102" s="2494">
        <v>47483</v>
      </c>
      <c r="J102" s="2488">
        <f>-'G-3.04,5.01 PF AMI'!AE143</f>
        <v>-315594.16877950181</v>
      </c>
      <c r="K102" s="2488">
        <f t="shared" si="27"/>
        <v>13886143.426298007</v>
      </c>
      <c r="L102" s="2488">
        <f t="shared" si="32"/>
        <v>15779708.438975016</v>
      </c>
      <c r="M102" s="2488">
        <f t="shared" si="25"/>
        <v>-2916090.1195225813</v>
      </c>
      <c r="N102" s="2488">
        <f t="shared" si="33"/>
        <v>-3313738.7721847524</v>
      </c>
      <c r="P102" s="2494">
        <v>47483</v>
      </c>
      <c r="Q102" s="2488">
        <f>-'G-3.04,5.01 PF AMI'!AK143</f>
        <v>-89408.671805069913</v>
      </c>
      <c r="R102" s="2488">
        <f t="shared" si="28"/>
        <v>3933981.559423048</v>
      </c>
      <c r="S102" s="2488">
        <f t="shared" si="34"/>
        <v>4470433.5902534677</v>
      </c>
      <c r="T102" s="2488">
        <f t="shared" si="26"/>
        <v>-826136.12747884006</v>
      </c>
      <c r="U102" s="2488">
        <f t="shared" si="35"/>
        <v>-938791.05395322794</v>
      </c>
      <c r="Y102" s="477">
        <v>95</v>
      </c>
      <c r="Z102" s="477">
        <v>202607</v>
      </c>
      <c r="AA102" s="2487">
        <f t="shared" si="36"/>
        <v>141673.76797421335</v>
      </c>
      <c r="AB102" s="2487">
        <f t="shared" si="36"/>
        <v>9212.1931736232491</v>
      </c>
      <c r="AC102" s="2487">
        <f t="shared" si="36"/>
        <v>180859.29027261797</v>
      </c>
      <c r="AD102" s="2487">
        <f t="shared" si="36"/>
        <v>-16151.082640952791</v>
      </c>
      <c r="AE102" s="2487">
        <f t="shared" si="30"/>
        <v>315594.16877950181</v>
      </c>
      <c r="AF102" s="2487"/>
      <c r="AG102" s="2487">
        <f t="shared" si="37"/>
        <v>28472.18673513988</v>
      </c>
      <c r="AH102" s="2487">
        <f t="shared" si="37"/>
        <v>3233.4334850305936</v>
      </c>
      <c r="AI102" s="2487">
        <f t="shared" si="37"/>
        <v>59670.591944930027</v>
      </c>
      <c r="AJ102" s="2487">
        <f t="shared" si="37"/>
        <v>-1967.5403600305935</v>
      </c>
      <c r="AK102" s="2487">
        <f t="shared" si="37"/>
        <v>89408.671805069913</v>
      </c>
    </row>
    <row r="103" spans="9:37">
      <c r="I103" s="2494">
        <v>47514</v>
      </c>
      <c r="J103" s="2488">
        <f>-'G-3.04,5.01 PF AMI'!AE144</f>
        <v>-315594.16877950181</v>
      </c>
      <c r="K103" s="2488">
        <f t="shared" si="27"/>
        <v>13570549.257518506</v>
      </c>
      <c r="L103" s="2488">
        <f t="shared" si="32"/>
        <v>15464114.270195514</v>
      </c>
      <c r="M103" s="2488">
        <f t="shared" si="25"/>
        <v>-2849815.3440788859</v>
      </c>
      <c r="N103" s="2488">
        <f t="shared" si="33"/>
        <v>-3247463.9967410578</v>
      </c>
      <c r="P103" s="2494">
        <v>47514</v>
      </c>
      <c r="Q103" s="2488">
        <f>-'G-3.04,5.01 PF AMI'!AK144</f>
        <v>-89408.671805069913</v>
      </c>
      <c r="R103" s="2488">
        <f t="shared" si="28"/>
        <v>3844572.8876179783</v>
      </c>
      <c r="S103" s="2488">
        <f t="shared" si="34"/>
        <v>4381024.918448397</v>
      </c>
      <c r="T103" s="2488">
        <f t="shared" si="26"/>
        <v>-807360.30639977544</v>
      </c>
      <c r="U103" s="2488">
        <f t="shared" si="35"/>
        <v>-920015.23287416331</v>
      </c>
      <c r="Y103" s="477">
        <v>96</v>
      </c>
      <c r="Z103" s="477">
        <v>202608</v>
      </c>
      <c r="AA103" s="2487">
        <f t="shared" si="36"/>
        <v>141673.76797421335</v>
      </c>
      <c r="AB103" s="2487">
        <f t="shared" si="36"/>
        <v>9212.1931736232491</v>
      </c>
      <c r="AC103" s="2487">
        <f t="shared" si="36"/>
        <v>180859.29027261797</v>
      </c>
      <c r="AD103" s="2487">
        <f t="shared" si="36"/>
        <v>-16151.082640952791</v>
      </c>
      <c r="AE103" s="2487">
        <f t="shared" si="30"/>
        <v>315594.16877950181</v>
      </c>
      <c r="AF103" s="2487"/>
      <c r="AG103" s="2487">
        <f t="shared" si="37"/>
        <v>28472.18673513988</v>
      </c>
      <c r="AH103" s="2487">
        <f t="shared" si="37"/>
        <v>3233.4334850305936</v>
      </c>
      <c r="AI103" s="2487">
        <f t="shared" si="37"/>
        <v>59670.591944930027</v>
      </c>
      <c r="AJ103" s="2487">
        <f t="shared" si="37"/>
        <v>-1967.5403600305935</v>
      </c>
      <c r="AK103" s="2487">
        <f t="shared" si="37"/>
        <v>89408.671805069913</v>
      </c>
    </row>
    <row r="104" spans="9:37">
      <c r="I104" s="2494">
        <v>47542</v>
      </c>
      <c r="J104" s="2488">
        <f>-'G-3.04,5.01 PF AMI'!AE145</f>
        <v>-315594.16877950181</v>
      </c>
      <c r="K104" s="2488">
        <f t="shared" si="27"/>
        <v>13254955.088739004</v>
      </c>
      <c r="L104" s="2488">
        <f t="shared" si="32"/>
        <v>15148520.101416014</v>
      </c>
      <c r="M104" s="2488">
        <f t="shared" si="25"/>
        <v>-2783540.5686351908</v>
      </c>
      <c r="N104" s="2488">
        <f t="shared" si="33"/>
        <v>-3181189.2212973624</v>
      </c>
      <c r="P104" s="2494">
        <v>47542</v>
      </c>
      <c r="Q104" s="2488">
        <f>-'G-3.04,5.01 PF AMI'!AK145</f>
        <v>-89408.671805069913</v>
      </c>
      <c r="R104" s="2488">
        <f t="shared" si="28"/>
        <v>3755164.2158129085</v>
      </c>
      <c r="S104" s="2488">
        <f t="shared" si="34"/>
        <v>4291616.2466433272</v>
      </c>
      <c r="T104" s="2488">
        <f t="shared" si="26"/>
        <v>-788584.48532071081</v>
      </c>
      <c r="U104" s="2488">
        <f t="shared" si="35"/>
        <v>-901239.41179509868</v>
      </c>
      <c r="Y104" s="477">
        <v>97</v>
      </c>
      <c r="Z104" s="477">
        <v>202609</v>
      </c>
      <c r="AA104" s="2487">
        <f t="shared" si="36"/>
        <v>141673.76797421335</v>
      </c>
      <c r="AB104" s="2487">
        <f t="shared" si="36"/>
        <v>9212.1931736232491</v>
      </c>
      <c r="AC104" s="2487">
        <f t="shared" si="36"/>
        <v>180859.29027261797</v>
      </c>
      <c r="AD104" s="2487">
        <f t="shared" si="36"/>
        <v>-16151.082640952791</v>
      </c>
      <c r="AE104" s="2487">
        <f t="shared" si="30"/>
        <v>315594.16877950181</v>
      </c>
      <c r="AF104" s="2487"/>
      <c r="AG104" s="2487">
        <f t="shared" si="37"/>
        <v>28472.18673513988</v>
      </c>
      <c r="AH104" s="2487">
        <f t="shared" si="37"/>
        <v>3233.4334850305936</v>
      </c>
      <c r="AI104" s="2487">
        <f t="shared" si="37"/>
        <v>59670.591944930027</v>
      </c>
      <c r="AJ104" s="2487">
        <f t="shared" si="37"/>
        <v>-1967.5403600305935</v>
      </c>
      <c r="AK104" s="2487">
        <f t="shared" si="37"/>
        <v>89408.671805069913</v>
      </c>
    </row>
    <row r="105" spans="9:37">
      <c r="I105" s="2494">
        <v>47573</v>
      </c>
      <c r="J105" s="2488">
        <f>-'G-3.04,5.01 PF AMI'!AE146</f>
        <v>-315594.16877950181</v>
      </c>
      <c r="K105" s="2488">
        <f t="shared" si="27"/>
        <v>12939360.919959502</v>
      </c>
      <c r="L105" s="2488">
        <f t="shared" si="32"/>
        <v>14832925.932636509</v>
      </c>
      <c r="M105" s="2488">
        <f t="shared" si="25"/>
        <v>-2717265.7931914954</v>
      </c>
      <c r="N105" s="2488">
        <f t="shared" si="33"/>
        <v>-3114914.4458536678</v>
      </c>
      <c r="P105" s="2494">
        <v>47573</v>
      </c>
      <c r="Q105" s="2488">
        <f>-'G-3.04,5.01 PF AMI'!AK146</f>
        <v>-89408.671805069913</v>
      </c>
      <c r="R105" s="2488">
        <f t="shared" si="28"/>
        <v>3665755.5440078387</v>
      </c>
      <c r="S105" s="2488">
        <f t="shared" si="34"/>
        <v>4202207.5748382574</v>
      </c>
      <c r="T105" s="2488">
        <f t="shared" si="26"/>
        <v>-769808.66424164607</v>
      </c>
      <c r="U105" s="2488">
        <f t="shared" si="35"/>
        <v>-882463.59071603406</v>
      </c>
      <c r="Y105" s="477">
        <v>98</v>
      </c>
      <c r="Z105" s="477">
        <v>202610</v>
      </c>
      <c r="AA105" s="2487">
        <f t="shared" si="36"/>
        <v>141673.76797421335</v>
      </c>
      <c r="AB105" s="2487">
        <f t="shared" si="36"/>
        <v>9212.1931736232491</v>
      </c>
      <c r="AC105" s="2487">
        <f t="shared" si="36"/>
        <v>180859.29027261797</v>
      </c>
      <c r="AD105" s="2487">
        <f t="shared" si="36"/>
        <v>-16151.082640952791</v>
      </c>
      <c r="AE105" s="2487">
        <f t="shared" si="30"/>
        <v>315594.16877950181</v>
      </c>
      <c r="AF105" s="2487"/>
      <c r="AG105" s="2487">
        <f t="shared" si="37"/>
        <v>28472.18673513988</v>
      </c>
      <c r="AH105" s="2487">
        <f t="shared" si="37"/>
        <v>3233.4334850305936</v>
      </c>
      <c r="AI105" s="2487">
        <f t="shared" si="37"/>
        <v>59670.591944930027</v>
      </c>
      <c r="AJ105" s="2487">
        <f t="shared" si="37"/>
        <v>-1967.5403600305935</v>
      </c>
      <c r="AK105" s="2487">
        <f t="shared" si="37"/>
        <v>89408.671805069913</v>
      </c>
    </row>
    <row r="106" spans="9:37">
      <c r="I106" s="2494">
        <v>47603</v>
      </c>
      <c r="J106" s="2488">
        <f>-'G-3.04,5.01 PF AMI'!AE147</f>
        <v>-315594.16877950181</v>
      </c>
      <c r="K106" s="2488">
        <f t="shared" si="27"/>
        <v>12623766.751180001</v>
      </c>
      <c r="L106" s="2488">
        <f t="shared" si="32"/>
        <v>14517331.763857013</v>
      </c>
      <c r="M106" s="2488">
        <f t="shared" si="25"/>
        <v>-2650991.0177477999</v>
      </c>
      <c r="N106" s="2488">
        <f t="shared" si="33"/>
        <v>-3048639.6704099723</v>
      </c>
      <c r="P106" s="2494">
        <v>47603</v>
      </c>
      <c r="Q106" s="2488">
        <f>-'G-3.04,5.01 PF AMI'!AK147</f>
        <v>-89408.671805069913</v>
      </c>
      <c r="R106" s="2488">
        <f t="shared" si="28"/>
        <v>3576346.8722027689</v>
      </c>
      <c r="S106" s="2488">
        <f t="shared" si="34"/>
        <v>4112798.9030331871</v>
      </c>
      <c r="T106" s="2488">
        <f t="shared" si="26"/>
        <v>-751032.84316258144</v>
      </c>
      <c r="U106" s="2488">
        <f t="shared" si="35"/>
        <v>-863687.76963696943</v>
      </c>
      <c r="Y106" s="477">
        <v>99</v>
      </c>
      <c r="Z106" s="477">
        <v>202611</v>
      </c>
      <c r="AA106" s="2487">
        <f t="shared" si="36"/>
        <v>141673.76797421335</v>
      </c>
      <c r="AB106" s="2487">
        <f t="shared" si="36"/>
        <v>9212.1931736232491</v>
      </c>
      <c r="AC106" s="2487">
        <f t="shared" si="36"/>
        <v>180859.29027261797</v>
      </c>
      <c r="AD106" s="2487">
        <f t="shared" si="36"/>
        <v>-16151.082640952791</v>
      </c>
      <c r="AE106" s="2487">
        <f t="shared" si="30"/>
        <v>315594.16877950181</v>
      </c>
      <c r="AF106" s="2487"/>
      <c r="AG106" s="2487">
        <f t="shared" si="37"/>
        <v>28472.18673513988</v>
      </c>
      <c r="AH106" s="2487">
        <f t="shared" si="37"/>
        <v>3233.4334850305936</v>
      </c>
      <c r="AI106" s="2487">
        <f t="shared" si="37"/>
        <v>59670.591944930027</v>
      </c>
      <c r="AJ106" s="2487">
        <f t="shared" si="37"/>
        <v>-1967.5403600305935</v>
      </c>
      <c r="AK106" s="2487">
        <f t="shared" si="37"/>
        <v>89408.671805069913</v>
      </c>
    </row>
    <row r="107" spans="9:37">
      <c r="I107" s="2494">
        <v>47634</v>
      </c>
      <c r="J107" s="2488">
        <f>-'G-3.04,5.01 PF AMI'!AE148</f>
        <v>-315594.16877950181</v>
      </c>
      <c r="K107" s="2488">
        <f t="shared" si="27"/>
        <v>12308172.582400499</v>
      </c>
      <c r="L107" s="2488">
        <f t="shared" si="32"/>
        <v>14201737.595077509</v>
      </c>
      <c r="M107" s="2488">
        <f t="shared" si="25"/>
        <v>-2584716.2423041048</v>
      </c>
      <c r="N107" s="2488">
        <f t="shared" si="33"/>
        <v>-2982364.8949662768</v>
      </c>
      <c r="P107" s="2494">
        <v>47634</v>
      </c>
      <c r="Q107" s="2488">
        <f>-'G-3.04,5.01 PF AMI'!AK148</f>
        <v>-89408.671805069913</v>
      </c>
      <c r="R107" s="2488">
        <f t="shared" si="28"/>
        <v>3486938.2003976991</v>
      </c>
      <c r="S107" s="2488">
        <f t="shared" si="34"/>
        <v>4023390.2312281174</v>
      </c>
      <c r="T107" s="2488">
        <f t="shared" si="26"/>
        <v>-732257.02208351681</v>
      </c>
      <c r="U107" s="2488">
        <f t="shared" si="35"/>
        <v>-844911.94855790457</v>
      </c>
      <c r="Y107" s="477">
        <v>100</v>
      </c>
      <c r="Z107" s="477">
        <v>202612</v>
      </c>
      <c r="AA107" s="2487">
        <f t="shared" si="36"/>
        <v>141673.76797421335</v>
      </c>
      <c r="AB107" s="2487">
        <f t="shared" si="36"/>
        <v>9212.1931736232491</v>
      </c>
      <c r="AC107" s="2487">
        <f t="shared" si="36"/>
        <v>180859.29027261797</v>
      </c>
      <c r="AD107" s="2487">
        <f t="shared" si="36"/>
        <v>-16151.082640952791</v>
      </c>
      <c r="AE107" s="2487">
        <f t="shared" si="30"/>
        <v>315594.16877950181</v>
      </c>
      <c r="AF107" s="2487"/>
      <c r="AG107" s="2487">
        <f t="shared" si="37"/>
        <v>28472.18673513988</v>
      </c>
      <c r="AH107" s="2487">
        <f t="shared" si="37"/>
        <v>3233.4334850305936</v>
      </c>
      <c r="AI107" s="2487">
        <f t="shared" si="37"/>
        <v>59670.591944930027</v>
      </c>
      <c r="AJ107" s="2487">
        <f t="shared" si="37"/>
        <v>-1967.5403600305935</v>
      </c>
      <c r="AK107" s="2487">
        <f t="shared" si="37"/>
        <v>89408.671805069913</v>
      </c>
    </row>
    <row r="108" spans="9:37">
      <c r="I108" s="2494">
        <v>47664</v>
      </c>
      <c r="J108" s="2488">
        <f>-'G-3.04,5.01 PF AMI'!AE149</f>
        <v>-315594.16877950181</v>
      </c>
      <c r="K108" s="2488">
        <f t="shared" si="27"/>
        <v>11992578.413620997</v>
      </c>
      <c r="L108" s="2488">
        <f t="shared" si="32"/>
        <v>13886143.426298007</v>
      </c>
      <c r="M108" s="2488">
        <f t="shared" si="25"/>
        <v>-2518441.4668604094</v>
      </c>
      <c r="N108" s="2488">
        <f t="shared" si="33"/>
        <v>-2916090.1195225813</v>
      </c>
      <c r="P108" s="2494">
        <v>47664</v>
      </c>
      <c r="Q108" s="2488">
        <f>-'G-3.04,5.01 PF AMI'!AK149</f>
        <v>-89408.671805069913</v>
      </c>
      <c r="R108" s="2488">
        <f t="shared" si="28"/>
        <v>3397529.5285926294</v>
      </c>
      <c r="S108" s="2488">
        <f t="shared" si="34"/>
        <v>3933981.559423048</v>
      </c>
      <c r="T108" s="2488">
        <f t="shared" si="26"/>
        <v>-713481.20100445219</v>
      </c>
      <c r="U108" s="2488">
        <f t="shared" si="35"/>
        <v>-826136.12747884018</v>
      </c>
      <c r="Y108" s="477">
        <v>101</v>
      </c>
      <c r="Z108" s="477">
        <v>202701</v>
      </c>
      <c r="AA108" s="2487">
        <f t="shared" si="36"/>
        <v>141673.76797421335</v>
      </c>
      <c r="AB108" s="2487">
        <f t="shared" si="36"/>
        <v>9212.1931736232491</v>
      </c>
      <c r="AC108" s="2487">
        <f t="shared" si="36"/>
        <v>180859.29027261797</v>
      </c>
      <c r="AD108" s="2487">
        <f t="shared" si="36"/>
        <v>-16151.082640952791</v>
      </c>
      <c r="AE108" s="2487">
        <f t="shared" si="30"/>
        <v>315594.16877950181</v>
      </c>
      <c r="AF108" s="2487"/>
      <c r="AG108" s="2487">
        <f t="shared" si="37"/>
        <v>28472.18673513988</v>
      </c>
      <c r="AH108" s="2487">
        <f t="shared" si="37"/>
        <v>3233.4334850305936</v>
      </c>
      <c r="AI108" s="2487">
        <f t="shared" si="37"/>
        <v>59670.591944930027</v>
      </c>
      <c r="AJ108" s="2487">
        <f t="shared" si="37"/>
        <v>-1967.5403600305935</v>
      </c>
      <c r="AK108" s="2487">
        <f t="shared" si="37"/>
        <v>89408.671805069913</v>
      </c>
    </row>
    <row r="109" spans="9:37">
      <c r="I109" s="2494">
        <v>47695</v>
      </c>
      <c r="J109" s="2488">
        <f>-'G-3.04,5.01 PF AMI'!AE150</f>
        <v>-315594.16877950181</v>
      </c>
      <c r="K109" s="2488">
        <f t="shared" si="27"/>
        <v>11676984.244841496</v>
      </c>
      <c r="L109" s="2488">
        <f t="shared" si="32"/>
        <v>13570549.257518508</v>
      </c>
      <c r="M109" s="2488">
        <f t="shared" si="25"/>
        <v>-2452166.6914167139</v>
      </c>
      <c r="N109" s="2488">
        <f t="shared" si="33"/>
        <v>-2849815.3440788868</v>
      </c>
      <c r="P109" s="2494">
        <v>47695</v>
      </c>
      <c r="Q109" s="2488">
        <f>-'G-3.04,5.01 PF AMI'!AK150</f>
        <v>-89408.671805069913</v>
      </c>
      <c r="R109" s="2488">
        <f t="shared" si="28"/>
        <v>3308120.8567875596</v>
      </c>
      <c r="S109" s="2488">
        <f t="shared" si="34"/>
        <v>3844572.8876179787</v>
      </c>
      <c r="T109" s="2488">
        <f t="shared" si="26"/>
        <v>-694705.37992538745</v>
      </c>
      <c r="U109" s="2488">
        <f t="shared" si="35"/>
        <v>-807360.30639977555</v>
      </c>
      <c r="Y109" s="477">
        <v>102</v>
      </c>
      <c r="Z109" s="477">
        <v>202702</v>
      </c>
      <c r="AA109" s="2487">
        <f t="shared" ref="AA109:AD124" si="38">AA108</f>
        <v>141673.76797421335</v>
      </c>
      <c r="AB109" s="2487">
        <f t="shared" si="38"/>
        <v>9212.1931736232491</v>
      </c>
      <c r="AC109" s="2487">
        <f t="shared" si="38"/>
        <v>180859.29027261797</v>
      </c>
      <c r="AD109" s="2487">
        <f t="shared" si="38"/>
        <v>-16151.082640952791</v>
      </c>
      <c r="AE109" s="2487">
        <f t="shared" ref="AE109:AE172" si="39">SUM(AA109:AD109)</f>
        <v>315594.16877950181</v>
      </c>
      <c r="AF109" s="2487"/>
      <c r="AG109" s="2487">
        <f t="shared" ref="AG109:AK124" si="40">AG108</f>
        <v>28472.18673513988</v>
      </c>
      <c r="AH109" s="2487">
        <f t="shared" si="40"/>
        <v>3233.4334850305936</v>
      </c>
      <c r="AI109" s="2487">
        <f t="shared" si="40"/>
        <v>59670.591944930027</v>
      </c>
      <c r="AJ109" s="2487">
        <f t="shared" si="40"/>
        <v>-1967.5403600305935</v>
      </c>
      <c r="AK109" s="2487">
        <f t="shared" si="40"/>
        <v>89408.671805069913</v>
      </c>
    </row>
    <row r="110" spans="9:37">
      <c r="I110" s="2494">
        <v>47726</v>
      </c>
      <c r="J110" s="2488">
        <f>-'G-3.04,5.01 PF AMI'!AE151</f>
        <v>-315594.16877950181</v>
      </c>
      <c r="K110" s="2488">
        <f t="shared" si="27"/>
        <v>11361390.076061994</v>
      </c>
      <c r="L110" s="2488">
        <f t="shared" si="32"/>
        <v>13254955.088739006</v>
      </c>
      <c r="M110" s="2488">
        <f t="shared" si="25"/>
        <v>-2385891.9159730184</v>
      </c>
      <c r="N110" s="2488">
        <f t="shared" si="33"/>
        <v>-2783540.5686351913</v>
      </c>
      <c r="P110" s="2494">
        <v>47726</v>
      </c>
      <c r="Q110" s="2488">
        <f>-'G-3.04,5.01 PF AMI'!AK151</f>
        <v>-89408.671805069913</v>
      </c>
      <c r="R110" s="2488">
        <f t="shared" si="28"/>
        <v>3218712.1849824898</v>
      </c>
      <c r="S110" s="2488">
        <f t="shared" si="34"/>
        <v>3755164.215812909</v>
      </c>
      <c r="T110" s="2488">
        <f t="shared" si="26"/>
        <v>-675929.55884632282</v>
      </c>
      <c r="U110" s="2488">
        <f t="shared" si="35"/>
        <v>-788584.48532071069</v>
      </c>
      <c r="Y110" s="477">
        <v>103</v>
      </c>
      <c r="Z110" s="477">
        <v>202703</v>
      </c>
      <c r="AA110" s="2487">
        <f t="shared" si="38"/>
        <v>141673.76797421335</v>
      </c>
      <c r="AB110" s="2487">
        <f t="shared" si="38"/>
        <v>9212.1931736232491</v>
      </c>
      <c r="AC110" s="2487">
        <f t="shared" si="38"/>
        <v>180859.29027261797</v>
      </c>
      <c r="AD110" s="2487">
        <f t="shared" si="38"/>
        <v>-16151.082640952791</v>
      </c>
      <c r="AE110" s="2487">
        <f t="shared" si="39"/>
        <v>315594.16877950181</v>
      </c>
      <c r="AF110" s="2487"/>
      <c r="AG110" s="2487">
        <f t="shared" si="40"/>
        <v>28472.18673513988</v>
      </c>
      <c r="AH110" s="2487">
        <f t="shared" si="40"/>
        <v>3233.4334850305936</v>
      </c>
      <c r="AI110" s="2487">
        <f t="shared" si="40"/>
        <v>59670.591944930027</v>
      </c>
      <c r="AJ110" s="2487">
        <f t="shared" si="40"/>
        <v>-1967.5403600305935</v>
      </c>
      <c r="AK110" s="2487">
        <f t="shared" si="40"/>
        <v>89408.671805069913</v>
      </c>
    </row>
    <row r="111" spans="9:37">
      <c r="I111" s="2494">
        <v>47756</v>
      </c>
      <c r="J111" s="2488">
        <f>-'G-3.04,5.01 PF AMI'!AE152</f>
        <v>-315594.16877950181</v>
      </c>
      <c r="K111" s="2488">
        <f t="shared" si="27"/>
        <v>11045795.907282492</v>
      </c>
      <c r="L111" s="2488">
        <f t="shared" si="32"/>
        <v>12939360.919959502</v>
      </c>
      <c r="M111" s="2488">
        <f t="shared" si="25"/>
        <v>-2319617.1405293234</v>
      </c>
      <c r="N111" s="2488">
        <f t="shared" si="33"/>
        <v>-2717265.7931914958</v>
      </c>
      <c r="P111" s="2494">
        <v>47756</v>
      </c>
      <c r="Q111" s="2488">
        <f>-'G-3.04,5.01 PF AMI'!AK152</f>
        <v>-89408.671805069913</v>
      </c>
      <c r="R111" s="2488">
        <f t="shared" si="28"/>
        <v>3129303.51317742</v>
      </c>
      <c r="S111" s="2488">
        <f t="shared" si="34"/>
        <v>3665755.5440078392</v>
      </c>
      <c r="T111" s="2488">
        <f t="shared" si="26"/>
        <v>-657153.73776725819</v>
      </c>
      <c r="U111" s="2488">
        <f t="shared" si="35"/>
        <v>-769808.66424164607</v>
      </c>
      <c r="Y111" s="477">
        <v>104</v>
      </c>
      <c r="Z111" s="477">
        <v>202704</v>
      </c>
      <c r="AA111" s="2487">
        <f t="shared" si="38"/>
        <v>141673.76797421335</v>
      </c>
      <c r="AB111" s="2487">
        <f t="shared" si="38"/>
        <v>9212.1931736232491</v>
      </c>
      <c r="AC111" s="2487">
        <f t="shared" si="38"/>
        <v>180859.29027261797</v>
      </c>
      <c r="AD111" s="2487">
        <f t="shared" si="38"/>
        <v>-16151.082640952791</v>
      </c>
      <c r="AE111" s="2487">
        <f t="shared" si="39"/>
        <v>315594.16877950181</v>
      </c>
      <c r="AF111" s="2487"/>
      <c r="AG111" s="2487">
        <f t="shared" si="40"/>
        <v>28472.18673513988</v>
      </c>
      <c r="AH111" s="2487">
        <f t="shared" si="40"/>
        <v>3233.4334850305936</v>
      </c>
      <c r="AI111" s="2487">
        <f t="shared" si="40"/>
        <v>59670.591944930027</v>
      </c>
      <c r="AJ111" s="2487">
        <f t="shared" si="40"/>
        <v>-1967.5403600305935</v>
      </c>
      <c r="AK111" s="2487">
        <f t="shared" si="40"/>
        <v>89408.671805069913</v>
      </c>
    </row>
    <row r="112" spans="9:37">
      <c r="I112" s="2494">
        <v>47787</v>
      </c>
      <c r="J112" s="2488">
        <f>-'G-3.04,5.01 PF AMI'!AE153</f>
        <v>-315594.16877950181</v>
      </c>
      <c r="K112" s="2488">
        <f t="shared" si="27"/>
        <v>10730201.73850299</v>
      </c>
      <c r="L112" s="2488">
        <f t="shared" si="32"/>
        <v>12623766.751180001</v>
      </c>
      <c r="M112" s="2488">
        <f t="shared" si="25"/>
        <v>-2253342.3650856279</v>
      </c>
      <c r="N112" s="2488">
        <f t="shared" si="33"/>
        <v>-2650991.0177478003</v>
      </c>
      <c r="P112" s="2494">
        <v>47787</v>
      </c>
      <c r="Q112" s="2488">
        <f>-'G-3.04,5.01 PF AMI'!AK153</f>
        <v>-89408.671805069913</v>
      </c>
      <c r="R112" s="2488">
        <f t="shared" si="28"/>
        <v>3039894.8413723502</v>
      </c>
      <c r="S112" s="2488">
        <f t="shared" si="34"/>
        <v>3576346.8722027694</v>
      </c>
      <c r="T112" s="2488">
        <f t="shared" si="26"/>
        <v>-638377.91668819357</v>
      </c>
      <c r="U112" s="2488">
        <f t="shared" si="35"/>
        <v>-751032.84316258144</v>
      </c>
      <c r="Y112" s="477">
        <v>105</v>
      </c>
      <c r="Z112" s="477">
        <v>202705</v>
      </c>
      <c r="AA112" s="2487">
        <f t="shared" si="38"/>
        <v>141673.76797421335</v>
      </c>
      <c r="AB112" s="2487">
        <f t="shared" si="38"/>
        <v>9212.1931736232491</v>
      </c>
      <c r="AC112" s="2487">
        <f t="shared" si="38"/>
        <v>180859.29027261797</v>
      </c>
      <c r="AD112" s="2487">
        <f t="shared" si="38"/>
        <v>-16151.082640952791</v>
      </c>
      <c r="AE112" s="2487">
        <f t="shared" si="39"/>
        <v>315594.16877950181</v>
      </c>
      <c r="AF112" s="2487"/>
      <c r="AG112" s="2487">
        <f t="shared" si="40"/>
        <v>28472.18673513988</v>
      </c>
      <c r="AH112" s="2487">
        <f t="shared" si="40"/>
        <v>3233.4334850305936</v>
      </c>
      <c r="AI112" s="2487">
        <f t="shared" si="40"/>
        <v>59670.591944930027</v>
      </c>
      <c r="AJ112" s="2487">
        <f t="shared" si="40"/>
        <v>-1967.5403600305935</v>
      </c>
      <c r="AK112" s="2487">
        <f t="shared" si="40"/>
        <v>89408.671805069913</v>
      </c>
    </row>
    <row r="113" spans="9:37">
      <c r="I113" s="2494">
        <v>47817</v>
      </c>
      <c r="J113" s="2488">
        <f>-'G-3.04,5.01 PF AMI'!AE154</f>
        <v>-315594.16877950181</v>
      </c>
      <c r="K113" s="2488">
        <f t="shared" si="27"/>
        <v>10414607.569723489</v>
      </c>
      <c r="L113" s="2488">
        <f t="shared" si="32"/>
        <v>12308172.582400499</v>
      </c>
      <c r="M113" s="2488">
        <f t="shared" si="25"/>
        <v>-2187067.5896419324</v>
      </c>
      <c r="N113" s="2488">
        <f t="shared" si="33"/>
        <v>-2584716.2423041048</v>
      </c>
      <c r="P113" s="2494">
        <v>47817</v>
      </c>
      <c r="Q113" s="2488">
        <f>-'G-3.04,5.01 PF AMI'!AK154</f>
        <v>-89408.671805069913</v>
      </c>
      <c r="R113" s="2488">
        <f t="shared" si="28"/>
        <v>2950486.1695672804</v>
      </c>
      <c r="S113" s="2488">
        <f t="shared" si="34"/>
        <v>3486938.2003976987</v>
      </c>
      <c r="T113" s="2488">
        <f t="shared" si="26"/>
        <v>-619602.09560912882</v>
      </c>
      <c r="U113" s="2488">
        <f t="shared" si="35"/>
        <v>-732257.02208351681</v>
      </c>
      <c r="Y113" s="477">
        <v>106</v>
      </c>
      <c r="Z113" s="477">
        <v>202706</v>
      </c>
      <c r="AA113" s="2487">
        <f t="shared" si="38"/>
        <v>141673.76797421335</v>
      </c>
      <c r="AB113" s="2487">
        <f t="shared" si="38"/>
        <v>9212.1931736232491</v>
      </c>
      <c r="AC113" s="2487">
        <f t="shared" si="38"/>
        <v>180859.29027261797</v>
      </c>
      <c r="AD113" s="2487">
        <f t="shared" si="38"/>
        <v>-16151.082640952791</v>
      </c>
      <c r="AE113" s="2487">
        <f t="shared" si="39"/>
        <v>315594.16877950181</v>
      </c>
      <c r="AF113" s="2487"/>
      <c r="AG113" s="2487">
        <f t="shared" si="40"/>
        <v>28472.18673513988</v>
      </c>
      <c r="AH113" s="2487">
        <f t="shared" si="40"/>
        <v>3233.4334850305936</v>
      </c>
      <c r="AI113" s="2487">
        <f t="shared" si="40"/>
        <v>59670.591944930027</v>
      </c>
      <c r="AJ113" s="2487">
        <f t="shared" si="40"/>
        <v>-1967.5403600305935</v>
      </c>
      <c r="AK113" s="2487">
        <f t="shared" si="40"/>
        <v>89408.671805069913</v>
      </c>
    </row>
    <row r="114" spans="9:37">
      <c r="I114" s="2494">
        <v>47848</v>
      </c>
      <c r="J114" s="2488">
        <f>-'G-3.04,5.01 PF AMI'!AE155</f>
        <v>-315594.16877950181</v>
      </c>
      <c r="K114" s="2488">
        <f t="shared" si="27"/>
        <v>10099013.400943987</v>
      </c>
      <c r="L114" s="2488">
        <f t="shared" si="32"/>
        <v>11992578.413620995</v>
      </c>
      <c r="M114" s="2488">
        <f t="shared" si="25"/>
        <v>-2120792.8141982374</v>
      </c>
      <c r="N114" s="2488">
        <f t="shared" si="33"/>
        <v>-2518441.4668604094</v>
      </c>
      <c r="P114" s="2494">
        <v>47848</v>
      </c>
      <c r="Q114" s="2488">
        <f>-'G-3.04,5.01 PF AMI'!AK155</f>
        <v>-89408.671805069913</v>
      </c>
      <c r="R114" s="2488">
        <f t="shared" si="28"/>
        <v>2861077.4977622107</v>
      </c>
      <c r="S114" s="2488">
        <f t="shared" si="34"/>
        <v>3397529.5285926289</v>
      </c>
      <c r="T114" s="2488">
        <f t="shared" si="26"/>
        <v>-600826.2745300642</v>
      </c>
      <c r="U114" s="2488">
        <f t="shared" si="35"/>
        <v>-713481.20100445219</v>
      </c>
      <c r="Y114" s="477">
        <v>107</v>
      </c>
      <c r="Z114" s="477">
        <v>202707</v>
      </c>
      <c r="AA114" s="2487">
        <f t="shared" si="38"/>
        <v>141673.76797421335</v>
      </c>
      <c r="AB114" s="2487">
        <f t="shared" si="38"/>
        <v>9212.1931736232491</v>
      </c>
      <c r="AC114" s="2487">
        <f t="shared" si="38"/>
        <v>180859.29027261797</v>
      </c>
      <c r="AD114" s="2487">
        <f t="shared" si="38"/>
        <v>-16151.082640952791</v>
      </c>
      <c r="AE114" s="2487">
        <f t="shared" si="39"/>
        <v>315594.16877950181</v>
      </c>
      <c r="AF114" s="2487"/>
      <c r="AG114" s="2487">
        <f t="shared" si="40"/>
        <v>28472.18673513988</v>
      </c>
      <c r="AH114" s="2487">
        <f t="shared" si="40"/>
        <v>3233.4334850305936</v>
      </c>
      <c r="AI114" s="2487">
        <f t="shared" si="40"/>
        <v>59670.591944930027</v>
      </c>
      <c r="AJ114" s="2487">
        <f t="shared" si="40"/>
        <v>-1967.5403600305935</v>
      </c>
      <c r="AK114" s="2487">
        <f t="shared" si="40"/>
        <v>89408.671805069913</v>
      </c>
    </row>
    <row r="115" spans="9:37">
      <c r="I115" s="2494">
        <v>47879</v>
      </c>
      <c r="J115" s="2488">
        <f>-'G-3.04,5.01 PF AMI'!AE156</f>
        <v>-315594.16877950181</v>
      </c>
      <c r="K115" s="2488">
        <f t="shared" si="27"/>
        <v>9783419.2321644854</v>
      </c>
      <c r="L115" s="2488">
        <f t="shared" si="32"/>
        <v>11676984.244841496</v>
      </c>
      <c r="M115" s="2488">
        <f t="shared" si="25"/>
        <v>-2054518.0387545419</v>
      </c>
      <c r="N115" s="2488">
        <f t="shared" si="33"/>
        <v>-2452166.6914167139</v>
      </c>
      <c r="P115" s="2494">
        <v>47879</v>
      </c>
      <c r="Q115" s="2488">
        <f>-'G-3.04,5.01 PF AMI'!AK156</f>
        <v>-89408.671805069913</v>
      </c>
      <c r="R115" s="2488">
        <f t="shared" si="28"/>
        <v>2771668.8259571409</v>
      </c>
      <c r="S115" s="2488">
        <f t="shared" si="34"/>
        <v>3308120.85678756</v>
      </c>
      <c r="T115" s="2488">
        <f t="shared" si="26"/>
        <v>-582050.45345099957</v>
      </c>
      <c r="U115" s="2488">
        <f t="shared" si="35"/>
        <v>-694705.37992538756</v>
      </c>
      <c r="Y115" s="477">
        <v>108</v>
      </c>
      <c r="Z115" s="477">
        <v>202708</v>
      </c>
      <c r="AA115" s="2487">
        <f t="shared" si="38"/>
        <v>141673.76797421335</v>
      </c>
      <c r="AB115" s="2487">
        <f t="shared" si="38"/>
        <v>9212.1931736232491</v>
      </c>
      <c r="AC115" s="2487">
        <f t="shared" si="38"/>
        <v>180859.29027261797</v>
      </c>
      <c r="AD115" s="2487">
        <f t="shared" si="38"/>
        <v>-16151.082640952791</v>
      </c>
      <c r="AE115" s="2487">
        <f t="shared" si="39"/>
        <v>315594.16877950181</v>
      </c>
      <c r="AF115" s="2487"/>
      <c r="AG115" s="2487">
        <f t="shared" si="40"/>
        <v>28472.18673513988</v>
      </c>
      <c r="AH115" s="2487">
        <f t="shared" si="40"/>
        <v>3233.4334850305936</v>
      </c>
      <c r="AI115" s="2487">
        <f t="shared" si="40"/>
        <v>59670.591944930027</v>
      </c>
      <c r="AJ115" s="2487">
        <f t="shared" si="40"/>
        <v>-1967.5403600305935</v>
      </c>
      <c r="AK115" s="2487">
        <f t="shared" si="40"/>
        <v>89408.671805069913</v>
      </c>
    </row>
    <row r="116" spans="9:37">
      <c r="I116" s="2494">
        <v>47907</v>
      </c>
      <c r="J116" s="2488">
        <f>-'G-3.04,5.01 PF AMI'!AE157</f>
        <v>-315594.16877950181</v>
      </c>
      <c r="K116" s="2488">
        <f t="shared" si="27"/>
        <v>9467825.0633849837</v>
      </c>
      <c r="L116" s="2488">
        <f t="shared" si="32"/>
        <v>11361390.076061994</v>
      </c>
      <c r="M116" s="2488">
        <f t="shared" si="25"/>
        <v>-1988243.2633108464</v>
      </c>
      <c r="N116" s="2488">
        <f t="shared" si="33"/>
        <v>-2385891.9159730184</v>
      </c>
      <c r="P116" s="2494">
        <v>47907</v>
      </c>
      <c r="Q116" s="2488">
        <f>-'G-3.04,5.01 PF AMI'!AK157</f>
        <v>-89408.671805069913</v>
      </c>
      <c r="R116" s="2488">
        <f t="shared" si="28"/>
        <v>2682260.1541520711</v>
      </c>
      <c r="S116" s="2488">
        <f t="shared" si="34"/>
        <v>3218712.1849824898</v>
      </c>
      <c r="T116" s="2488">
        <f t="shared" si="26"/>
        <v>-563274.63237193495</v>
      </c>
      <c r="U116" s="2488">
        <f t="shared" si="35"/>
        <v>-675929.55884632282</v>
      </c>
      <c r="Y116" s="477">
        <v>109</v>
      </c>
      <c r="Z116" s="477">
        <v>202709</v>
      </c>
      <c r="AA116" s="2487">
        <f t="shared" si="38"/>
        <v>141673.76797421335</v>
      </c>
      <c r="AB116" s="2487">
        <f t="shared" si="38"/>
        <v>9212.1931736232491</v>
      </c>
      <c r="AC116" s="2487">
        <f t="shared" si="38"/>
        <v>180859.29027261797</v>
      </c>
      <c r="AD116" s="2487">
        <f t="shared" si="38"/>
        <v>-16151.082640952791</v>
      </c>
      <c r="AE116" s="2487">
        <f t="shared" si="39"/>
        <v>315594.16877950181</v>
      </c>
      <c r="AF116" s="2487"/>
      <c r="AG116" s="2487">
        <f t="shared" si="40"/>
        <v>28472.18673513988</v>
      </c>
      <c r="AH116" s="2487">
        <f t="shared" si="40"/>
        <v>3233.4334850305936</v>
      </c>
      <c r="AI116" s="2487">
        <f t="shared" si="40"/>
        <v>59670.591944930027</v>
      </c>
      <c r="AJ116" s="2487">
        <f t="shared" si="40"/>
        <v>-1967.5403600305935</v>
      </c>
      <c r="AK116" s="2487">
        <f t="shared" si="40"/>
        <v>89408.671805069913</v>
      </c>
    </row>
    <row r="117" spans="9:37">
      <c r="I117" s="2494">
        <v>47938</v>
      </c>
      <c r="J117" s="2488">
        <f>-'G-3.04,5.01 PF AMI'!AE158</f>
        <v>-315594.16877950181</v>
      </c>
      <c r="K117" s="2488">
        <f t="shared" si="27"/>
        <v>9152230.894605482</v>
      </c>
      <c r="L117" s="2488">
        <f t="shared" si="32"/>
        <v>11045795.907282492</v>
      </c>
      <c r="M117" s="2488">
        <f t="shared" si="25"/>
        <v>-1921968.4878671512</v>
      </c>
      <c r="N117" s="2488">
        <f t="shared" si="33"/>
        <v>-2319617.1405293229</v>
      </c>
      <c r="P117" s="2494">
        <v>47938</v>
      </c>
      <c r="Q117" s="2488">
        <f>-'G-3.04,5.01 PF AMI'!AK158</f>
        <v>-89408.671805069913</v>
      </c>
      <c r="R117" s="2488">
        <f t="shared" si="28"/>
        <v>2592851.4823470013</v>
      </c>
      <c r="S117" s="2488">
        <f t="shared" si="34"/>
        <v>3129303.5131774205</v>
      </c>
      <c r="T117" s="2488">
        <f t="shared" si="26"/>
        <v>-544498.8112928702</v>
      </c>
      <c r="U117" s="2488">
        <f t="shared" si="35"/>
        <v>-657153.73776725808</v>
      </c>
      <c r="Y117" s="477">
        <v>110</v>
      </c>
      <c r="Z117" s="477">
        <v>202710</v>
      </c>
      <c r="AA117" s="2487">
        <f t="shared" si="38"/>
        <v>141673.76797421335</v>
      </c>
      <c r="AB117" s="2487">
        <f t="shared" si="38"/>
        <v>9212.1931736232491</v>
      </c>
      <c r="AC117" s="2487">
        <f t="shared" si="38"/>
        <v>180859.29027261797</v>
      </c>
      <c r="AD117" s="2487">
        <f t="shared" si="38"/>
        <v>-16151.082640952791</v>
      </c>
      <c r="AE117" s="2487">
        <f t="shared" si="39"/>
        <v>315594.16877950181</v>
      </c>
      <c r="AF117" s="2487"/>
      <c r="AG117" s="2487">
        <f t="shared" si="40"/>
        <v>28472.18673513988</v>
      </c>
      <c r="AH117" s="2487">
        <f t="shared" si="40"/>
        <v>3233.4334850305936</v>
      </c>
      <c r="AI117" s="2487">
        <f t="shared" si="40"/>
        <v>59670.591944930027</v>
      </c>
      <c r="AJ117" s="2487">
        <f t="shared" si="40"/>
        <v>-1967.5403600305935</v>
      </c>
      <c r="AK117" s="2487">
        <f t="shared" si="40"/>
        <v>89408.671805069913</v>
      </c>
    </row>
    <row r="118" spans="9:37">
      <c r="I118" s="2494">
        <v>47968</v>
      </c>
      <c r="J118" s="2488">
        <f>-'G-3.04,5.01 PF AMI'!AE159</f>
        <v>-315594.16877950181</v>
      </c>
      <c r="K118" s="2488">
        <f t="shared" si="27"/>
        <v>8836636.7258259803</v>
      </c>
      <c r="L118" s="2488">
        <f t="shared" si="32"/>
        <v>10730201.73850299</v>
      </c>
      <c r="M118" s="2488">
        <f t="shared" si="25"/>
        <v>-1855693.7124234559</v>
      </c>
      <c r="N118" s="2488">
        <f t="shared" si="33"/>
        <v>-2253342.3650856279</v>
      </c>
      <c r="P118" s="2494">
        <v>47968</v>
      </c>
      <c r="Q118" s="2488">
        <f>-'G-3.04,5.01 PF AMI'!AK159</f>
        <v>-89408.671805069913</v>
      </c>
      <c r="R118" s="2488">
        <f t="shared" si="28"/>
        <v>2503442.8105419315</v>
      </c>
      <c r="S118" s="2488">
        <f t="shared" si="34"/>
        <v>3039894.8413723507</v>
      </c>
      <c r="T118" s="2488">
        <f t="shared" si="26"/>
        <v>-525722.99021380558</v>
      </c>
      <c r="U118" s="2488">
        <f t="shared" si="35"/>
        <v>-638377.91668819345</v>
      </c>
      <c r="Y118" s="477">
        <v>111</v>
      </c>
      <c r="Z118" s="477">
        <v>202711</v>
      </c>
      <c r="AA118" s="2487">
        <f t="shared" si="38"/>
        <v>141673.76797421335</v>
      </c>
      <c r="AB118" s="2487">
        <f t="shared" si="38"/>
        <v>9212.1931736232491</v>
      </c>
      <c r="AC118" s="2487">
        <f t="shared" si="38"/>
        <v>180859.29027261797</v>
      </c>
      <c r="AD118" s="2487">
        <f t="shared" si="38"/>
        <v>-16151.082640952791</v>
      </c>
      <c r="AE118" s="2487">
        <f t="shared" si="39"/>
        <v>315594.16877950181</v>
      </c>
      <c r="AF118" s="2487"/>
      <c r="AG118" s="2487">
        <f t="shared" si="40"/>
        <v>28472.18673513988</v>
      </c>
      <c r="AH118" s="2487">
        <f t="shared" si="40"/>
        <v>3233.4334850305936</v>
      </c>
      <c r="AI118" s="2487">
        <f t="shared" si="40"/>
        <v>59670.591944930027</v>
      </c>
      <c r="AJ118" s="2487">
        <f t="shared" si="40"/>
        <v>-1967.5403600305935</v>
      </c>
      <c r="AK118" s="2487">
        <f t="shared" si="40"/>
        <v>89408.671805069913</v>
      </c>
    </row>
    <row r="119" spans="9:37">
      <c r="I119" s="2494">
        <v>47999</v>
      </c>
      <c r="J119" s="2488">
        <f>-'G-3.04,5.01 PF AMI'!AE160</f>
        <v>-315594.16877950181</v>
      </c>
      <c r="K119" s="2488">
        <f t="shared" si="27"/>
        <v>8521042.5570464786</v>
      </c>
      <c r="L119" s="2488">
        <f t="shared" si="32"/>
        <v>10414607.569723489</v>
      </c>
      <c r="M119" s="2488">
        <f t="shared" si="25"/>
        <v>-1789418.9369797604</v>
      </c>
      <c r="N119" s="2488">
        <f t="shared" si="33"/>
        <v>-2187067.5896419324</v>
      </c>
      <c r="P119" s="2494">
        <v>47999</v>
      </c>
      <c r="Q119" s="2488">
        <f>-'G-3.04,5.01 PF AMI'!AK160</f>
        <v>-89408.671805069913</v>
      </c>
      <c r="R119" s="2488">
        <f t="shared" si="28"/>
        <v>2414034.1387368618</v>
      </c>
      <c r="S119" s="2488">
        <f t="shared" si="34"/>
        <v>2950486.1695672809</v>
      </c>
      <c r="T119" s="2488">
        <f t="shared" si="26"/>
        <v>-506947.16913474095</v>
      </c>
      <c r="U119" s="2488">
        <f t="shared" si="35"/>
        <v>-619602.09560912882</v>
      </c>
      <c r="Y119" s="477">
        <v>112</v>
      </c>
      <c r="Z119" s="477">
        <v>202712</v>
      </c>
      <c r="AA119" s="2487">
        <f t="shared" si="38"/>
        <v>141673.76797421335</v>
      </c>
      <c r="AB119" s="2487">
        <f t="shared" si="38"/>
        <v>9212.1931736232491</v>
      </c>
      <c r="AC119" s="2487">
        <f t="shared" si="38"/>
        <v>180859.29027261797</v>
      </c>
      <c r="AD119" s="2487">
        <f t="shared" si="38"/>
        <v>-16151.082640952791</v>
      </c>
      <c r="AE119" s="2487">
        <f t="shared" si="39"/>
        <v>315594.16877950181</v>
      </c>
      <c r="AF119" s="2487"/>
      <c r="AG119" s="2487">
        <f t="shared" si="40"/>
        <v>28472.18673513988</v>
      </c>
      <c r="AH119" s="2487">
        <f t="shared" si="40"/>
        <v>3233.4334850305936</v>
      </c>
      <c r="AI119" s="2487">
        <f t="shared" si="40"/>
        <v>59670.591944930027</v>
      </c>
      <c r="AJ119" s="2487">
        <f t="shared" si="40"/>
        <v>-1967.5403600305935</v>
      </c>
      <c r="AK119" s="2487">
        <f t="shared" si="40"/>
        <v>89408.671805069913</v>
      </c>
    </row>
    <row r="120" spans="9:37">
      <c r="I120" s="2494">
        <v>48029</v>
      </c>
      <c r="J120" s="2488">
        <f>-'G-3.04,5.01 PF AMI'!AE161</f>
        <v>-315594.16877950181</v>
      </c>
      <c r="K120" s="2488">
        <f t="shared" si="27"/>
        <v>8205448.3882669769</v>
      </c>
      <c r="L120" s="2488">
        <f t="shared" si="32"/>
        <v>10099013.400943987</v>
      </c>
      <c r="M120" s="2488">
        <f t="shared" si="25"/>
        <v>-1723144.1615360652</v>
      </c>
      <c r="N120" s="2488">
        <f t="shared" si="33"/>
        <v>-2120792.8141982369</v>
      </c>
      <c r="P120" s="2494">
        <v>48029</v>
      </c>
      <c r="Q120" s="2488">
        <f>-'G-3.04,5.01 PF AMI'!AK161</f>
        <v>-89408.671805069913</v>
      </c>
      <c r="R120" s="2488">
        <f t="shared" si="28"/>
        <v>2324625.466931792</v>
      </c>
      <c r="S120" s="2488">
        <f t="shared" si="34"/>
        <v>2861077.4977622107</v>
      </c>
      <c r="T120" s="2488">
        <f t="shared" si="26"/>
        <v>-488171.34805567632</v>
      </c>
      <c r="U120" s="2488">
        <f t="shared" si="35"/>
        <v>-600826.2745300642</v>
      </c>
      <c r="Y120" s="477">
        <v>113</v>
      </c>
      <c r="Z120" s="477">
        <v>202801</v>
      </c>
      <c r="AA120" s="2487">
        <f t="shared" si="38"/>
        <v>141673.76797421335</v>
      </c>
      <c r="AB120" s="2487">
        <f t="shared" si="38"/>
        <v>9212.1931736232491</v>
      </c>
      <c r="AC120" s="2487">
        <f t="shared" si="38"/>
        <v>180859.29027261797</v>
      </c>
      <c r="AD120" s="2487">
        <f t="shared" si="38"/>
        <v>-16151.082640952791</v>
      </c>
      <c r="AE120" s="2487">
        <f t="shared" si="39"/>
        <v>315594.16877950181</v>
      </c>
      <c r="AF120" s="2487"/>
      <c r="AG120" s="2487">
        <f t="shared" si="40"/>
        <v>28472.18673513988</v>
      </c>
      <c r="AH120" s="2487">
        <f t="shared" si="40"/>
        <v>3233.4334850305936</v>
      </c>
      <c r="AI120" s="2487">
        <f t="shared" si="40"/>
        <v>59670.591944930027</v>
      </c>
      <c r="AJ120" s="2487">
        <f t="shared" si="40"/>
        <v>-1967.5403600305935</v>
      </c>
      <c r="AK120" s="2487">
        <f t="shared" si="40"/>
        <v>89408.671805069913</v>
      </c>
    </row>
    <row r="121" spans="9:37">
      <c r="I121" s="2494">
        <v>48060</v>
      </c>
      <c r="J121" s="2488">
        <f>-'G-3.04,5.01 PF AMI'!AE162</f>
        <v>-315594.16877950181</v>
      </c>
      <c r="K121" s="2488">
        <f t="shared" si="27"/>
        <v>7889854.2194874752</v>
      </c>
      <c r="L121" s="2488">
        <f t="shared" si="32"/>
        <v>9783419.2321644854</v>
      </c>
      <c r="M121" s="2488">
        <f t="shared" si="25"/>
        <v>-1656869.3860923697</v>
      </c>
      <c r="N121" s="2488">
        <f t="shared" si="33"/>
        <v>-2054518.0387545414</v>
      </c>
      <c r="P121" s="2494">
        <v>48060</v>
      </c>
      <c r="Q121" s="2488">
        <f>-'G-3.04,5.01 PF AMI'!AK162</f>
        <v>-89408.671805069913</v>
      </c>
      <c r="R121" s="2488">
        <f t="shared" si="28"/>
        <v>2235216.7951267222</v>
      </c>
      <c r="S121" s="2488">
        <f t="shared" si="34"/>
        <v>2771668.8259571414</v>
      </c>
      <c r="T121" s="2488">
        <f t="shared" si="26"/>
        <v>-469395.52697661164</v>
      </c>
      <c r="U121" s="2488">
        <f t="shared" si="35"/>
        <v>-582050.45345099957</v>
      </c>
      <c r="Y121" s="477">
        <v>114</v>
      </c>
      <c r="Z121" s="477">
        <v>202802</v>
      </c>
      <c r="AA121" s="2487">
        <f t="shared" si="38"/>
        <v>141673.76797421335</v>
      </c>
      <c r="AB121" s="2487">
        <f t="shared" si="38"/>
        <v>9212.1931736232491</v>
      </c>
      <c r="AC121" s="2487">
        <f t="shared" si="38"/>
        <v>180859.29027261797</v>
      </c>
      <c r="AD121" s="2487">
        <f t="shared" si="38"/>
        <v>-16151.082640952791</v>
      </c>
      <c r="AE121" s="2487">
        <f t="shared" si="39"/>
        <v>315594.16877950181</v>
      </c>
      <c r="AF121" s="2487"/>
      <c r="AG121" s="2487">
        <f t="shared" si="40"/>
        <v>28472.18673513988</v>
      </c>
      <c r="AH121" s="2487">
        <f t="shared" si="40"/>
        <v>3233.4334850305936</v>
      </c>
      <c r="AI121" s="2487">
        <f t="shared" si="40"/>
        <v>59670.591944930027</v>
      </c>
      <c r="AJ121" s="2487">
        <f t="shared" si="40"/>
        <v>-1967.5403600305935</v>
      </c>
      <c r="AK121" s="2487">
        <f t="shared" si="40"/>
        <v>89408.671805069913</v>
      </c>
    </row>
    <row r="122" spans="9:37">
      <c r="I122" s="2494">
        <v>48091</v>
      </c>
      <c r="J122" s="2488">
        <f>-'G-3.04,5.01 PF AMI'!AE163</f>
        <v>-315594.16877950181</v>
      </c>
      <c r="K122" s="2488">
        <f t="shared" si="27"/>
        <v>7574260.0507079735</v>
      </c>
      <c r="L122" s="2488">
        <f t="shared" si="32"/>
        <v>9467825.0633849837</v>
      </c>
      <c r="M122" s="2488">
        <f t="shared" si="25"/>
        <v>-1590594.6106486744</v>
      </c>
      <c r="N122" s="2488">
        <f t="shared" si="33"/>
        <v>-1988243.2633108459</v>
      </c>
      <c r="P122" s="2494">
        <v>48091</v>
      </c>
      <c r="Q122" s="2488">
        <f>-'G-3.04,5.01 PF AMI'!AK163</f>
        <v>-89408.671805069913</v>
      </c>
      <c r="R122" s="2488">
        <f t="shared" si="28"/>
        <v>2145808.1233216524</v>
      </c>
      <c r="S122" s="2488">
        <f t="shared" si="34"/>
        <v>2682260.1541520711</v>
      </c>
      <c r="T122" s="2488">
        <f t="shared" si="26"/>
        <v>-450619.70589754701</v>
      </c>
      <c r="U122" s="2488">
        <f t="shared" si="35"/>
        <v>-563274.63237193495</v>
      </c>
      <c r="Y122" s="477">
        <v>115</v>
      </c>
      <c r="Z122" s="477">
        <v>202803</v>
      </c>
      <c r="AA122" s="2487">
        <f t="shared" si="38"/>
        <v>141673.76797421335</v>
      </c>
      <c r="AB122" s="2487">
        <f t="shared" si="38"/>
        <v>9212.1931736232491</v>
      </c>
      <c r="AC122" s="2487">
        <f t="shared" si="38"/>
        <v>180859.29027261797</v>
      </c>
      <c r="AD122" s="2487">
        <f t="shared" si="38"/>
        <v>-16151.082640952791</v>
      </c>
      <c r="AE122" s="2487">
        <f t="shared" si="39"/>
        <v>315594.16877950181</v>
      </c>
      <c r="AF122" s="2487"/>
      <c r="AG122" s="2487">
        <f t="shared" si="40"/>
        <v>28472.18673513988</v>
      </c>
      <c r="AH122" s="2487">
        <f t="shared" si="40"/>
        <v>3233.4334850305936</v>
      </c>
      <c r="AI122" s="2487">
        <f t="shared" si="40"/>
        <v>59670.591944930027</v>
      </c>
      <c r="AJ122" s="2487">
        <f t="shared" si="40"/>
        <v>-1967.5403600305935</v>
      </c>
      <c r="AK122" s="2487">
        <f t="shared" si="40"/>
        <v>89408.671805069913</v>
      </c>
    </row>
    <row r="123" spans="9:37">
      <c r="I123" s="2494">
        <v>48121</v>
      </c>
      <c r="J123" s="2488">
        <f>-'G-3.04,5.01 PF AMI'!AE164</f>
        <v>-315594.16877950181</v>
      </c>
      <c r="K123" s="2488">
        <f t="shared" si="27"/>
        <v>7258665.8819284718</v>
      </c>
      <c r="L123" s="2488">
        <f t="shared" si="32"/>
        <v>9152230.894605482</v>
      </c>
      <c r="M123" s="2488">
        <f t="shared" si="25"/>
        <v>-1524319.8352049789</v>
      </c>
      <c r="N123" s="2488">
        <f t="shared" si="33"/>
        <v>-1921968.4878671507</v>
      </c>
      <c r="P123" s="2494">
        <v>48121</v>
      </c>
      <c r="Q123" s="2488">
        <f>-'G-3.04,5.01 PF AMI'!AK164</f>
        <v>-89408.671805069913</v>
      </c>
      <c r="R123" s="2488">
        <f t="shared" si="28"/>
        <v>2056399.4515165824</v>
      </c>
      <c r="S123" s="2488">
        <f t="shared" si="34"/>
        <v>2592851.4823470018</v>
      </c>
      <c r="T123" s="2488">
        <f t="shared" si="26"/>
        <v>-431843.88481848227</v>
      </c>
      <c r="U123" s="2488">
        <f t="shared" si="35"/>
        <v>-544498.81129287032</v>
      </c>
      <c r="Y123" s="477">
        <v>116</v>
      </c>
      <c r="Z123" s="477">
        <v>202804</v>
      </c>
      <c r="AA123" s="2487">
        <f t="shared" si="38"/>
        <v>141673.76797421335</v>
      </c>
      <c r="AB123" s="2487">
        <f t="shared" si="38"/>
        <v>9212.1931736232491</v>
      </c>
      <c r="AC123" s="2487">
        <f t="shared" si="38"/>
        <v>180859.29027261797</v>
      </c>
      <c r="AD123" s="2487">
        <f t="shared" si="38"/>
        <v>-16151.082640952791</v>
      </c>
      <c r="AE123" s="2487">
        <f t="shared" si="39"/>
        <v>315594.16877950181</v>
      </c>
      <c r="AF123" s="2487"/>
      <c r="AG123" s="2487">
        <f t="shared" si="40"/>
        <v>28472.18673513988</v>
      </c>
      <c r="AH123" s="2487">
        <f t="shared" si="40"/>
        <v>3233.4334850305936</v>
      </c>
      <c r="AI123" s="2487">
        <f t="shared" si="40"/>
        <v>59670.591944930027</v>
      </c>
      <c r="AJ123" s="2487">
        <f t="shared" si="40"/>
        <v>-1967.5403600305935</v>
      </c>
      <c r="AK123" s="2487">
        <f t="shared" si="40"/>
        <v>89408.671805069913</v>
      </c>
    </row>
    <row r="124" spans="9:37">
      <c r="I124" s="2494">
        <v>48152</v>
      </c>
      <c r="J124" s="2488">
        <f>-'G-3.04,5.01 PF AMI'!AE165</f>
        <v>-315594.16877950181</v>
      </c>
      <c r="K124" s="2488">
        <f t="shared" si="27"/>
        <v>6943071.7131489702</v>
      </c>
      <c r="L124" s="2488">
        <f t="shared" si="32"/>
        <v>8836636.7258259803</v>
      </c>
      <c r="M124" s="2488">
        <f t="shared" si="25"/>
        <v>-1458045.0597612837</v>
      </c>
      <c r="N124" s="2488">
        <f t="shared" si="33"/>
        <v>-1855693.7124234552</v>
      </c>
      <c r="P124" s="2494">
        <v>48152</v>
      </c>
      <c r="Q124" s="2488">
        <f>-'G-3.04,5.01 PF AMI'!AK165</f>
        <v>-89408.671805069913</v>
      </c>
      <c r="R124" s="2488">
        <f t="shared" si="28"/>
        <v>1966990.7797115124</v>
      </c>
      <c r="S124" s="2488">
        <f t="shared" si="34"/>
        <v>2503442.8105419315</v>
      </c>
      <c r="T124" s="2488">
        <f t="shared" si="26"/>
        <v>-413068.06373941759</v>
      </c>
      <c r="U124" s="2488">
        <f t="shared" si="35"/>
        <v>-525722.99021380569</v>
      </c>
      <c r="Y124" s="477">
        <v>117</v>
      </c>
      <c r="Z124" s="477">
        <v>202805</v>
      </c>
      <c r="AA124" s="2487">
        <f t="shared" si="38"/>
        <v>141673.76797421335</v>
      </c>
      <c r="AB124" s="2487">
        <f t="shared" si="38"/>
        <v>9212.1931736232491</v>
      </c>
      <c r="AC124" s="2487">
        <f t="shared" si="38"/>
        <v>180859.29027261797</v>
      </c>
      <c r="AD124" s="2487">
        <f t="shared" si="38"/>
        <v>-16151.082640952791</v>
      </c>
      <c r="AE124" s="2487">
        <f t="shared" si="39"/>
        <v>315594.16877950181</v>
      </c>
      <c r="AF124" s="2487"/>
      <c r="AG124" s="2487">
        <f t="shared" si="40"/>
        <v>28472.18673513988</v>
      </c>
      <c r="AH124" s="2487">
        <f t="shared" si="40"/>
        <v>3233.4334850305936</v>
      </c>
      <c r="AI124" s="2487">
        <f t="shared" si="40"/>
        <v>59670.591944930027</v>
      </c>
      <c r="AJ124" s="2487">
        <f t="shared" si="40"/>
        <v>-1967.5403600305935</v>
      </c>
      <c r="AK124" s="2487">
        <f t="shared" si="40"/>
        <v>89408.671805069913</v>
      </c>
    </row>
    <row r="125" spans="9:37">
      <c r="I125" s="2494">
        <v>48182</v>
      </c>
      <c r="J125" s="2488">
        <f>-'G-3.04,5.01 PF AMI'!AE166</f>
        <v>-315594.16877950181</v>
      </c>
      <c r="K125" s="2488">
        <f t="shared" si="27"/>
        <v>6627477.5443694685</v>
      </c>
      <c r="L125" s="2488">
        <f t="shared" si="32"/>
        <v>8521042.5570464786</v>
      </c>
      <c r="M125" s="2488">
        <f t="shared" si="25"/>
        <v>-1391770.2843175884</v>
      </c>
      <c r="N125" s="2488">
        <f t="shared" si="33"/>
        <v>-1789418.9369797602</v>
      </c>
      <c r="P125" s="2494">
        <v>48182</v>
      </c>
      <c r="Q125" s="2488">
        <f>-'G-3.04,5.01 PF AMI'!AK166</f>
        <v>-89408.671805069913</v>
      </c>
      <c r="R125" s="2488">
        <f t="shared" si="28"/>
        <v>1877582.1079064424</v>
      </c>
      <c r="S125" s="2488">
        <f t="shared" si="34"/>
        <v>2414034.1387368618</v>
      </c>
      <c r="T125" s="2488">
        <f t="shared" si="26"/>
        <v>-394292.2426603529</v>
      </c>
      <c r="U125" s="2488">
        <f t="shared" si="35"/>
        <v>-506947.16913474101</v>
      </c>
      <c r="Y125" s="477">
        <v>118</v>
      </c>
      <c r="Z125" s="477">
        <v>202806</v>
      </c>
      <c r="AA125" s="2487">
        <f t="shared" ref="AA125:AD140" si="41">AA124</f>
        <v>141673.76797421335</v>
      </c>
      <c r="AB125" s="2487">
        <f t="shared" si="41"/>
        <v>9212.1931736232491</v>
      </c>
      <c r="AC125" s="2487">
        <f t="shared" si="41"/>
        <v>180859.29027261797</v>
      </c>
      <c r="AD125" s="2487">
        <f t="shared" si="41"/>
        <v>-16151.082640952791</v>
      </c>
      <c r="AE125" s="2487">
        <f t="shared" si="39"/>
        <v>315594.16877950181</v>
      </c>
      <c r="AF125" s="2487"/>
      <c r="AG125" s="2487">
        <f t="shared" ref="AG125:AK140" si="42">AG124</f>
        <v>28472.18673513988</v>
      </c>
      <c r="AH125" s="2487">
        <f t="shared" si="42"/>
        <v>3233.4334850305936</v>
      </c>
      <c r="AI125" s="2487">
        <f t="shared" si="42"/>
        <v>59670.591944930027</v>
      </c>
      <c r="AJ125" s="2487">
        <f t="shared" si="42"/>
        <v>-1967.5403600305935</v>
      </c>
      <c r="AK125" s="2487">
        <f t="shared" si="42"/>
        <v>89408.671805069913</v>
      </c>
    </row>
    <row r="126" spans="9:37">
      <c r="I126" s="2494">
        <v>48213</v>
      </c>
      <c r="J126" s="2488">
        <f>-'G-3.04,5.01 PF AMI'!AE167</f>
        <v>-315594.16877950181</v>
      </c>
      <c r="K126" s="2488">
        <f t="shared" si="27"/>
        <v>6311883.3755899668</v>
      </c>
      <c r="L126" s="2488">
        <f t="shared" si="32"/>
        <v>8205448.3882669779</v>
      </c>
      <c r="M126" s="2488">
        <f t="shared" si="25"/>
        <v>-1325495.5088738929</v>
      </c>
      <c r="N126" s="2488">
        <f t="shared" si="33"/>
        <v>-1723144.1615360652</v>
      </c>
      <c r="P126" s="2494">
        <v>48213</v>
      </c>
      <c r="Q126" s="2488">
        <f>-'G-3.04,5.01 PF AMI'!AK167</f>
        <v>-89408.671805069913</v>
      </c>
      <c r="R126" s="2488">
        <f t="shared" si="28"/>
        <v>1788173.4361013724</v>
      </c>
      <c r="S126" s="2488">
        <f t="shared" si="34"/>
        <v>2324625.466931792</v>
      </c>
      <c r="T126" s="2488">
        <f t="shared" si="26"/>
        <v>-375516.42158128816</v>
      </c>
      <c r="U126" s="2488">
        <f t="shared" si="35"/>
        <v>-488171.34805567627</v>
      </c>
      <c r="Y126" s="477">
        <v>119</v>
      </c>
      <c r="Z126" s="477">
        <v>202807</v>
      </c>
      <c r="AA126" s="2487">
        <f t="shared" si="41"/>
        <v>141673.76797421335</v>
      </c>
      <c r="AB126" s="2487">
        <f t="shared" si="41"/>
        <v>9212.1931736232491</v>
      </c>
      <c r="AC126" s="2487">
        <f t="shared" si="41"/>
        <v>180859.29027261797</v>
      </c>
      <c r="AD126" s="2487">
        <f t="shared" si="41"/>
        <v>-16151.082640952791</v>
      </c>
      <c r="AE126" s="2487">
        <f t="shared" si="39"/>
        <v>315594.16877950181</v>
      </c>
      <c r="AF126" s="2487"/>
      <c r="AG126" s="2487">
        <f t="shared" si="42"/>
        <v>28472.18673513988</v>
      </c>
      <c r="AH126" s="2487">
        <f t="shared" si="42"/>
        <v>3233.4334850305936</v>
      </c>
      <c r="AI126" s="2487">
        <f t="shared" si="42"/>
        <v>59670.591944930027</v>
      </c>
      <c r="AJ126" s="2487">
        <f t="shared" si="42"/>
        <v>-1967.5403600305935</v>
      </c>
      <c r="AK126" s="2487">
        <f t="shared" si="42"/>
        <v>89408.671805069913</v>
      </c>
    </row>
    <row r="127" spans="9:37">
      <c r="I127" s="2494">
        <v>48244</v>
      </c>
      <c r="J127" s="2488">
        <f>-'G-3.04,5.01 PF AMI'!AE168</f>
        <v>-315594.16877950181</v>
      </c>
      <c r="K127" s="2488">
        <f t="shared" si="27"/>
        <v>5996289.2068104651</v>
      </c>
      <c r="L127" s="2488">
        <f t="shared" si="32"/>
        <v>7889854.2194874762</v>
      </c>
      <c r="M127" s="2488">
        <f t="shared" si="25"/>
        <v>-1259220.7334301977</v>
      </c>
      <c r="N127" s="2488">
        <f t="shared" si="33"/>
        <v>-1656869.3860923697</v>
      </c>
      <c r="P127" s="2494">
        <v>48244</v>
      </c>
      <c r="Q127" s="2488">
        <f>-'G-3.04,5.01 PF AMI'!AK168</f>
        <v>-89408.671805069913</v>
      </c>
      <c r="R127" s="2488">
        <f t="shared" si="28"/>
        <v>1698764.7642963023</v>
      </c>
      <c r="S127" s="2488">
        <f t="shared" si="34"/>
        <v>2235216.7951267222</v>
      </c>
      <c r="T127" s="2488">
        <f t="shared" si="26"/>
        <v>-356740.60050222347</v>
      </c>
      <c r="U127" s="2488">
        <f t="shared" si="35"/>
        <v>-469395.52697661152</v>
      </c>
      <c r="Y127" s="477">
        <v>120</v>
      </c>
      <c r="Z127" s="477">
        <v>202808</v>
      </c>
      <c r="AA127" s="2487">
        <f t="shared" si="41"/>
        <v>141673.76797421335</v>
      </c>
      <c r="AB127" s="2487">
        <f t="shared" si="41"/>
        <v>9212.1931736232491</v>
      </c>
      <c r="AC127" s="2487">
        <f t="shared" si="41"/>
        <v>180859.29027261797</v>
      </c>
      <c r="AD127" s="2487">
        <f t="shared" si="41"/>
        <v>-16151.082640952791</v>
      </c>
      <c r="AE127" s="2487">
        <f t="shared" si="39"/>
        <v>315594.16877950181</v>
      </c>
      <c r="AF127" s="2487"/>
      <c r="AG127" s="2487">
        <f t="shared" si="42"/>
        <v>28472.18673513988</v>
      </c>
      <c r="AH127" s="2487">
        <f t="shared" si="42"/>
        <v>3233.4334850305936</v>
      </c>
      <c r="AI127" s="2487">
        <f t="shared" si="42"/>
        <v>59670.591944930027</v>
      </c>
      <c r="AJ127" s="2487">
        <f t="shared" si="42"/>
        <v>-1967.5403600305935</v>
      </c>
      <c r="AK127" s="2487">
        <f t="shared" si="42"/>
        <v>89408.671805069913</v>
      </c>
    </row>
    <row r="128" spans="9:37">
      <c r="I128" s="2494">
        <v>48273</v>
      </c>
      <c r="J128" s="2488">
        <f>-'G-3.04,5.01 PF AMI'!AE169</f>
        <v>-315594.16877950181</v>
      </c>
      <c r="K128" s="2488">
        <f t="shared" si="27"/>
        <v>5680695.0380309634</v>
      </c>
      <c r="L128" s="2488">
        <f t="shared" si="32"/>
        <v>7574260.0507079735</v>
      </c>
      <c r="M128" s="2488">
        <f t="shared" si="25"/>
        <v>-1192945.9579865022</v>
      </c>
      <c r="N128" s="2488">
        <f t="shared" si="33"/>
        <v>-1590594.6106486749</v>
      </c>
      <c r="P128" s="2494">
        <v>48273</v>
      </c>
      <c r="Q128" s="2488">
        <f>-'G-3.04,5.01 PF AMI'!AK169</f>
        <v>-89408.671805069913</v>
      </c>
      <c r="R128" s="2488">
        <f t="shared" si="28"/>
        <v>1609356.0924912323</v>
      </c>
      <c r="S128" s="2488">
        <f t="shared" si="34"/>
        <v>2145808.1233216519</v>
      </c>
      <c r="T128" s="2488">
        <f t="shared" si="26"/>
        <v>-337964.77942315879</v>
      </c>
      <c r="U128" s="2488">
        <f t="shared" si="35"/>
        <v>-450619.70589754684</v>
      </c>
      <c r="Y128" s="477">
        <v>121</v>
      </c>
      <c r="Z128" s="477">
        <v>202809</v>
      </c>
      <c r="AA128" s="2487">
        <f t="shared" si="41"/>
        <v>141673.76797421335</v>
      </c>
      <c r="AB128" s="2487">
        <f t="shared" si="41"/>
        <v>9212.1931736232491</v>
      </c>
      <c r="AC128" s="2487">
        <f t="shared" si="41"/>
        <v>180859.29027261797</v>
      </c>
      <c r="AD128" s="2487">
        <f t="shared" si="41"/>
        <v>-16151.082640952791</v>
      </c>
      <c r="AE128" s="2487">
        <f t="shared" si="39"/>
        <v>315594.16877950181</v>
      </c>
      <c r="AF128" s="2487"/>
      <c r="AG128" s="2487">
        <f t="shared" si="42"/>
        <v>28472.18673513988</v>
      </c>
      <c r="AH128" s="2487">
        <f t="shared" si="42"/>
        <v>3233.4334850305936</v>
      </c>
      <c r="AI128" s="2487">
        <f t="shared" si="42"/>
        <v>59670.591944930027</v>
      </c>
      <c r="AJ128" s="2487">
        <f t="shared" si="42"/>
        <v>-1967.5403600305935</v>
      </c>
      <c r="AK128" s="2487">
        <f t="shared" si="42"/>
        <v>89408.671805069913</v>
      </c>
    </row>
    <row r="129" spans="9:37">
      <c r="I129" s="2494">
        <v>48304</v>
      </c>
      <c r="J129" s="2488">
        <f>-'G-3.04,5.01 PF AMI'!AE170</f>
        <v>-315594.16877950181</v>
      </c>
      <c r="K129" s="2488">
        <f t="shared" si="27"/>
        <v>5365100.8692514617</v>
      </c>
      <c r="L129" s="2488">
        <f t="shared" si="32"/>
        <v>7258665.8819284728</v>
      </c>
      <c r="M129" s="2488">
        <f t="shared" si="25"/>
        <v>-1126671.182542807</v>
      </c>
      <c r="N129" s="2488">
        <f t="shared" si="33"/>
        <v>-1524319.8352049794</v>
      </c>
      <c r="P129" s="2494">
        <v>48304</v>
      </c>
      <c r="Q129" s="2488">
        <f>-'G-3.04,5.01 PF AMI'!AK170</f>
        <v>-89408.671805069913</v>
      </c>
      <c r="R129" s="2488">
        <f t="shared" si="28"/>
        <v>1519947.4206861623</v>
      </c>
      <c r="S129" s="2488">
        <f t="shared" si="34"/>
        <v>2056399.4515165819</v>
      </c>
      <c r="T129" s="2488">
        <f t="shared" si="26"/>
        <v>-319188.95834409405</v>
      </c>
      <c r="U129" s="2488">
        <f t="shared" si="35"/>
        <v>-431843.88481848221</v>
      </c>
      <c r="Y129" s="477">
        <v>122</v>
      </c>
      <c r="Z129" s="477">
        <v>202810</v>
      </c>
      <c r="AA129" s="2487">
        <f t="shared" si="41"/>
        <v>141673.76797421335</v>
      </c>
      <c r="AB129" s="2487">
        <f t="shared" si="41"/>
        <v>9212.1931736232491</v>
      </c>
      <c r="AC129" s="2487">
        <f t="shared" si="41"/>
        <v>180859.29027261797</v>
      </c>
      <c r="AD129" s="2487">
        <f t="shared" si="41"/>
        <v>-16151.082640952791</v>
      </c>
      <c r="AE129" s="2487">
        <f t="shared" si="39"/>
        <v>315594.16877950181</v>
      </c>
      <c r="AF129" s="2487"/>
      <c r="AG129" s="2487">
        <f t="shared" si="42"/>
        <v>28472.18673513988</v>
      </c>
      <c r="AH129" s="2487">
        <f t="shared" si="42"/>
        <v>3233.4334850305936</v>
      </c>
      <c r="AI129" s="2487">
        <f t="shared" si="42"/>
        <v>59670.591944930027</v>
      </c>
      <c r="AJ129" s="2487">
        <f t="shared" si="42"/>
        <v>-1967.5403600305935</v>
      </c>
      <c r="AK129" s="2487">
        <f t="shared" si="42"/>
        <v>89408.671805069913</v>
      </c>
    </row>
    <row r="130" spans="9:37">
      <c r="I130" s="2494">
        <v>48334</v>
      </c>
      <c r="J130" s="2488">
        <f>-'G-3.04,5.01 PF AMI'!AE171</f>
        <v>-315594.16877950181</v>
      </c>
      <c r="K130" s="2488">
        <f t="shared" si="27"/>
        <v>5049506.70047196</v>
      </c>
      <c r="L130" s="2488">
        <f t="shared" si="32"/>
        <v>6943071.7131489702</v>
      </c>
      <c r="M130" s="2488">
        <f t="shared" si="25"/>
        <v>-1060396.4070991115</v>
      </c>
      <c r="N130" s="2488">
        <f t="shared" si="33"/>
        <v>-1458045.0597612837</v>
      </c>
      <c r="P130" s="2494">
        <v>48334</v>
      </c>
      <c r="Q130" s="2488">
        <f>-'G-3.04,5.01 PF AMI'!AK171</f>
        <v>-89408.671805069913</v>
      </c>
      <c r="R130" s="2488">
        <f t="shared" si="28"/>
        <v>1430538.7488810923</v>
      </c>
      <c r="S130" s="2488">
        <f t="shared" si="34"/>
        <v>1966990.7797115122</v>
      </c>
      <c r="T130" s="2488">
        <f t="shared" si="26"/>
        <v>-300413.13726502936</v>
      </c>
      <c r="U130" s="2488">
        <f t="shared" si="35"/>
        <v>-413068.06373941759</v>
      </c>
      <c r="Y130" s="477">
        <v>123</v>
      </c>
      <c r="Z130" s="477">
        <v>202811</v>
      </c>
      <c r="AA130" s="2487">
        <f t="shared" si="41"/>
        <v>141673.76797421335</v>
      </c>
      <c r="AB130" s="2487">
        <f t="shared" si="41"/>
        <v>9212.1931736232491</v>
      </c>
      <c r="AC130" s="2487">
        <f t="shared" si="41"/>
        <v>180859.29027261797</v>
      </c>
      <c r="AD130" s="2487">
        <f t="shared" si="41"/>
        <v>-16151.082640952791</v>
      </c>
      <c r="AE130" s="2487">
        <f t="shared" si="39"/>
        <v>315594.16877950181</v>
      </c>
      <c r="AF130" s="2487"/>
      <c r="AG130" s="2487">
        <f t="shared" si="42"/>
        <v>28472.18673513988</v>
      </c>
      <c r="AH130" s="2487">
        <f t="shared" si="42"/>
        <v>3233.4334850305936</v>
      </c>
      <c r="AI130" s="2487">
        <f t="shared" si="42"/>
        <v>59670.591944930027</v>
      </c>
      <c r="AJ130" s="2487">
        <f t="shared" si="42"/>
        <v>-1967.5403600305935</v>
      </c>
      <c r="AK130" s="2487">
        <f t="shared" si="42"/>
        <v>89408.671805069913</v>
      </c>
    </row>
    <row r="131" spans="9:37">
      <c r="I131" s="2494">
        <v>48365</v>
      </c>
      <c r="J131" s="2488">
        <f>-'G-3.04,5.01 PF AMI'!AE172</f>
        <v>-315594.16877950181</v>
      </c>
      <c r="K131" s="2488">
        <f t="shared" si="27"/>
        <v>4733912.5316924583</v>
      </c>
      <c r="L131" s="2488">
        <f t="shared" si="32"/>
        <v>6627477.5443694694</v>
      </c>
      <c r="M131" s="2488">
        <f t="shared" ref="M131:M146" si="43">K131*-0.21</f>
        <v>-994121.63165541622</v>
      </c>
      <c r="N131" s="2488">
        <f t="shared" si="33"/>
        <v>-1391770.2843175882</v>
      </c>
      <c r="P131" s="2494">
        <v>48365</v>
      </c>
      <c r="Q131" s="2488">
        <f>-'G-3.04,5.01 PF AMI'!AK172</f>
        <v>-89408.671805069913</v>
      </c>
      <c r="R131" s="2488">
        <f t="shared" si="28"/>
        <v>1341130.0770760223</v>
      </c>
      <c r="S131" s="2488">
        <f t="shared" si="34"/>
        <v>1877582.1079064421</v>
      </c>
      <c r="T131" s="2488">
        <f t="shared" ref="T131:T146" si="44">R131*-0.21</f>
        <v>-281637.31618596468</v>
      </c>
      <c r="U131" s="2488">
        <f t="shared" si="35"/>
        <v>-394292.2426603529</v>
      </c>
      <c r="Y131" s="477">
        <v>124</v>
      </c>
      <c r="Z131" s="477">
        <v>202812</v>
      </c>
      <c r="AA131" s="2487">
        <f t="shared" si="41"/>
        <v>141673.76797421335</v>
      </c>
      <c r="AB131" s="2487">
        <f t="shared" si="41"/>
        <v>9212.1931736232491</v>
      </c>
      <c r="AC131" s="2487">
        <f t="shared" si="41"/>
        <v>180859.29027261797</v>
      </c>
      <c r="AD131" s="2487">
        <f t="shared" si="41"/>
        <v>-16151.082640952791</v>
      </c>
      <c r="AE131" s="2487">
        <f t="shared" si="39"/>
        <v>315594.16877950181</v>
      </c>
      <c r="AF131" s="2487"/>
      <c r="AG131" s="2487">
        <f t="shared" si="42"/>
        <v>28472.18673513988</v>
      </c>
      <c r="AH131" s="2487">
        <f t="shared" si="42"/>
        <v>3233.4334850305936</v>
      </c>
      <c r="AI131" s="2487">
        <f t="shared" si="42"/>
        <v>59670.591944930027</v>
      </c>
      <c r="AJ131" s="2487">
        <f t="shared" si="42"/>
        <v>-1967.5403600305935</v>
      </c>
      <c r="AK131" s="2487">
        <f t="shared" si="42"/>
        <v>89408.671805069913</v>
      </c>
    </row>
    <row r="132" spans="9:37">
      <c r="I132" s="2494">
        <v>48395</v>
      </c>
      <c r="J132" s="2488">
        <f>-'G-3.04,5.01 PF AMI'!AE173</f>
        <v>-315594.16877950181</v>
      </c>
      <c r="K132" s="2488">
        <f t="shared" ref="K132:K146" si="45">J132+K131</f>
        <v>4418318.3629129566</v>
      </c>
      <c r="L132" s="2488">
        <f t="shared" si="32"/>
        <v>6311883.3755899677</v>
      </c>
      <c r="M132" s="2488">
        <f t="shared" si="43"/>
        <v>-927846.85621172085</v>
      </c>
      <c r="N132" s="2488">
        <f t="shared" si="33"/>
        <v>-1325495.5088738927</v>
      </c>
      <c r="P132" s="2494">
        <v>48395</v>
      </c>
      <c r="Q132" s="2488">
        <f>-'G-3.04,5.01 PF AMI'!AK173</f>
        <v>-89408.671805069913</v>
      </c>
      <c r="R132" s="2488">
        <f t="shared" ref="R132:R146" si="46">Q132+R131</f>
        <v>1251721.4052709523</v>
      </c>
      <c r="S132" s="2488">
        <f t="shared" si="34"/>
        <v>1788173.4361013724</v>
      </c>
      <c r="T132" s="2488">
        <f t="shared" si="44"/>
        <v>-262861.49510689999</v>
      </c>
      <c r="U132" s="2488">
        <f t="shared" si="35"/>
        <v>-375516.42158128816</v>
      </c>
      <c r="Y132" s="477">
        <v>125</v>
      </c>
      <c r="Z132" s="477">
        <v>202901</v>
      </c>
      <c r="AA132" s="2487">
        <f t="shared" si="41"/>
        <v>141673.76797421335</v>
      </c>
      <c r="AB132" s="2487">
        <f t="shared" si="41"/>
        <v>9212.1931736232491</v>
      </c>
      <c r="AC132" s="2487">
        <f t="shared" si="41"/>
        <v>180859.29027261797</v>
      </c>
      <c r="AD132" s="2487">
        <f t="shared" si="41"/>
        <v>-16151.082640952791</v>
      </c>
      <c r="AE132" s="2487">
        <f t="shared" si="39"/>
        <v>315594.16877950181</v>
      </c>
      <c r="AF132" s="2487"/>
      <c r="AG132" s="2487">
        <f t="shared" si="42"/>
        <v>28472.18673513988</v>
      </c>
      <c r="AH132" s="2487">
        <f t="shared" si="42"/>
        <v>3233.4334850305936</v>
      </c>
      <c r="AI132" s="2487">
        <f t="shared" si="42"/>
        <v>59670.591944930027</v>
      </c>
      <c r="AJ132" s="2487">
        <f t="shared" si="42"/>
        <v>-1967.5403600305935</v>
      </c>
      <c r="AK132" s="2487">
        <f t="shared" si="42"/>
        <v>89408.671805069913</v>
      </c>
    </row>
    <row r="133" spans="9:37">
      <c r="I133" s="2494">
        <v>48426</v>
      </c>
      <c r="J133" s="2488">
        <f>-'G-3.04,5.01 PF AMI'!AE174</f>
        <v>-315594.16877950181</v>
      </c>
      <c r="K133" s="2488">
        <f t="shared" si="45"/>
        <v>4102724.1941334549</v>
      </c>
      <c r="L133" s="2488">
        <f t="shared" si="32"/>
        <v>5996289.2068104642</v>
      </c>
      <c r="M133" s="2488">
        <f t="shared" si="43"/>
        <v>-861572.08076802548</v>
      </c>
      <c r="N133" s="2488">
        <f t="shared" si="33"/>
        <v>-1259220.7334301975</v>
      </c>
      <c r="P133" s="2494">
        <v>48426</v>
      </c>
      <c r="Q133" s="2488">
        <f>-'G-3.04,5.01 PF AMI'!AK174</f>
        <v>-89408.671805069913</v>
      </c>
      <c r="R133" s="2488">
        <f t="shared" si="46"/>
        <v>1162312.7334658823</v>
      </c>
      <c r="S133" s="2488">
        <f t="shared" si="34"/>
        <v>1698764.7642963023</v>
      </c>
      <c r="T133" s="2488">
        <f t="shared" si="44"/>
        <v>-244085.67402783525</v>
      </c>
      <c r="U133" s="2488">
        <f t="shared" si="35"/>
        <v>-356740.60050222347</v>
      </c>
      <c r="Y133" s="477">
        <v>126</v>
      </c>
      <c r="Z133" s="477">
        <v>202902</v>
      </c>
      <c r="AA133" s="2487">
        <f t="shared" si="41"/>
        <v>141673.76797421335</v>
      </c>
      <c r="AB133" s="2487">
        <f t="shared" si="41"/>
        <v>9212.1931736232491</v>
      </c>
      <c r="AC133" s="2487">
        <f t="shared" si="41"/>
        <v>180859.29027261797</v>
      </c>
      <c r="AD133" s="2487">
        <f t="shared" si="41"/>
        <v>-16151.082640952791</v>
      </c>
      <c r="AE133" s="2487">
        <f t="shared" si="39"/>
        <v>315594.16877950181</v>
      </c>
      <c r="AF133" s="2487"/>
      <c r="AG133" s="2487">
        <f t="shared" si="42"/>
        <v>28472.18673513988</v>
      </c>
      <c r="AH133" s="2487">
        <f t="shared" si="42"/>
        <v>3233.4334850305936</v>
      </c>
      <c r="AI133" s="2487">
        <f t="shared" si="42"/>
        <v>59670.591944930027</v>
      </c>
      <c r="AJ133" s="2487">
        <f t="shared" si="42"/>
        <v>-1967.5403600305935</v>
      </c>
      <c r="AK133" s="2487">
        <f t="shared" si="42"/>
        <v>89408.671805069913</v>
      </c>
    </row>
    <row r="134" spans="9:37">
      <c r="I134" s="2494">
        <v>48457</v>
      </c>
      <c r="J134" s="2488">
        <f>-'G-3.04,5.01 PF AMI'!AE175</f>
        <v>-315594.16877950181</v>
      </c>
      <c r="K134" s="2488">
        <f t="shared" si="45"/>
        <v>3787130.0253539532</v>
      </c>
      <c r="L134" s="2488">
        <f t="shared" si="32"/>
        <v>5680695.0380309643</v>
      </c>
      <c r="M134" s="2488">
        <f t="shared" si="43"/>
        <v>-795297.30532433011</v>
      </c>
      <c r="N134" s="2488">
        <f t="shared" si="33"/>
        <v>-1192945.957986502</v>
      </c>
      <c r="P134" s="2494">
        <v>48457</v>
      </c>
      <c r="Q134" s="2488">
        <f>-'G-3.04,5.01 PF AMI'!AK175</f>
        <v>-89408.671805069913</v>
      </c>
      <c r="R134" s="2488">
        <f t="shared" si="46"/>
        <v>1072904.0616608122</v>
      </c>
      <c r="S134" s="2488">
        <f t="shared" si="34"/>
        <v>1609356.0924912326</v>
      </c>
      <c r="T134" s="2488">
        <f t="shared" si="44"/>
        <v>-225309.85294877057</v>
      </c>
      <c r="U134" s="2488">
        <f t="shared" si="35"/>
        <v>-337964.77942315879</v>
      </c>
      <c r="Y134" s="477">
        <v>127</v>
      </c>
      <c r="Z134" s="477">
        <v>202903</v>
      </c>
      <c r="AA134" s="2487">
        <f t="shared" si="41"/>
        <v>141673.76797421335</v>
      </c>
      <c r="AB134" s="2487">
        <f t="shared" si="41"/>
        <v>9212.1931736232491</v>
      </c>
      <c r="AC134" s="2487">
        <f t="shared" si="41"/>
        <v>180859.29027261797</v>
      </c>
      <c r="AD134" s="2487">
        <f t="shared" si="41"/>
        <v>-16151.082640952791</v>
      </c>
      <c r="AE134" s="2487">
        <f t="shared" si="39"/>
        <v>315594.16877950181</v>
      </c>
      <c r="AF134" s="2487"/>
      <c r="AG134" s="2487">
        <f t="shared" si="42"/>
        <v>28472.18673513988</v>
      </c>
      <c r="AH134" s="2487">
        <f t="shared" si="42"/>
        <v>3233.4334850305936</v>
      </c>
      <c r="AI134" s="2487">
        <f t="shared" si="42"/>
        <v>59670.591944930027</v>
      </c>
      <c r="AJ134" s="2487">
        <f t="shared" si="42"/>
        <v>-1967.5403600305935</v>
      </c>
      <c r="AK134" s="2487">
        <f t="shared" si="42"/>
        <v>89408.671805069913</v>
      </c>
    </row>
    <row r="135" spans="9:37">
      <c r="I135" s="2494">
        <v>48487</v>
      </c>
      <c r="J135" s="2488">
        <f>-'G-3.04,5.01 PF AMI'!AE176</f>
        <v>-315594.16877950181</v>
      </c>
      <c r="K135" s="2488">
        <f t="shared" si="45"/>
        <v>3471535.8565744516</v>
      </c>
      <c r="L135" s="2488">
        <f t="shared" si="32"/>
        <v>5365100.8692514617</v>
      </c>
      <c r="M135" s="2488">
        <f t="shared" si="43"/>
        <v>-729022.52988063474</v>
      </c>
      <c r="N135" s="2488">
        <f t="shared" si="33"/>
        <v>-1126671.1825428067</v>
      </c>
      <c r="P135" s="2494">
        <v>48487</v>
      </c>
      <c r="Q135" s="2488">
        <f>-'G-3.04,5.01 PF AMI'!AK176</f>
        <v>-89408.671805069913</v>
      </c>
      <c r="R135" s="2488">
        <f t="shared" si="46"/>
        <v>983495.38985574234</v>
      </c>
      <c r="S135" s="2488">
        <f t="shared" si="34"/>
        <v>1519947.4206861623</v>
      </c>
      <c r="T135" s="2488">
        <f t="shared" si="44"/>
        <v>-206534.03186970588</v>
      </c>
      <c r="U135" s="2488">
        <f t="shared" si="35"/>
        <v>-319188.95834409405</v>
      </c>
      <c r="Y135" s="477">
        <v>128</v>
      </c>
      <c r="Z135" s="477">
        <v>202904</v>
      </c>
      <c r="AA135" s="2487">
        <f t="shared" si="41"/>
        <v>141673.76797421335</v>
      </c>
      <c r="AB135" s="2487">
        <f t="shared" si="41"/>
        <v>9212.1931736232491</v>
      </c>
      <c r="AC135" s="2487">
        <f t="shared" si="41"/>
        <v>180859.29027261797</v>
      </c>
      <c r="AD135" s="2487">
        <f t="shared" si="41"/>
        <v>-16151.082640952791</v>
      </c>
      <c r="AE135" s="2487">
        <f t="shared" si="39"/>
        <v>315594.16877950181</v>
      </c>
      <c r="AF135" s="2487"/>
      <c r="AG135" s="2487">
        <f t="shared" si="42"/>
        <v>28472.18673513988</v>
      </c>
      <c r="AH135" s="2487">
        <f t="shared" si="42"/>
        <v>3233.4334850305936</v>
      </c>
      <c r="AI135" s="2487">
        <f t="shared" si="42"/>
        <v>59670.591944930027</v>
      </c>
      <c r="AJ135" s="2487">
        <f t="shared" si="42"/>
        <v>-1967.5403600305935</v>
      </c>
      <c r="AK135" s="2487">
        <f t="shared" si="42"/>
        <v>89408.671805069913</v>
      </c>
    </row>
    <row r="136" spans="9:37">
      <c r="I136" s="2494">
        <v>48518</v>
      </c>
      <c r="J136" s="2488">
        <f>-'G-3.04,5.01 PF AMI'!AE177</f>
        <v>-315594.16877950181</v>
      </c>
      <c r="K136" s="2488">
        <f t="shared" si="45"/>
        <v>3155941.6877949499</v>
      </c>
      <c r="L136" s="2488">
        <f t="shared" si="32"/>
        <v>5049506.70047196</v>
      </c>
      <c r="M136" s="2488">
        <f t="shared" si="43"/>
        <v>-662747.75443693949</v>
      </c>
      <c r="N136" s="2488">
        <f t="shared" si="33"/>
        <v>-1060396.4070991117</v>
      </c>
      <c r="P136" s="2494">
        <v>48518</v>
      </c>
      <c r="Q136" s="2488">
        <f>-'G-3.04,5.01 PF AMI'!AK177</f>
        <v>-89408.671805069913</v>
      </c>
      <c r="R136" s="2488">
        <f t="shared" si="46"/>
        <v>894086.71805067244</v>
      </c>
      <c r="S136" s="2488">
        <f t="shared" si="34"/>
        <v>1430538.7488810923</v>
      </c>
      <c r="T136" s="2488">
        <f t="shared" si="44"/>
        <v>-187758.2107906412</v>
      </c>
      <c r="U136" s="2488">
        <f t="shared" si="35"/>
        <v>-300413.13726502942</v>
      </c>
      <c r="Y136" s="477">
        <v>129</v>
      </c>
      <c r="Z136" s="477">
        <v>202905</v>
      </c>
      <c r="AA136" s="2487">
        <f t="shared" si="41"/>
        <v>141673.76797421335</v>
      </c>
      <c r="AB136" s="2487">
        <f t="shared" si="41"/>
        <v>9212.1931736232491</v>
      </c>
      <c r="AC136" s="2487">
        <f t="shared" si="41"/>
        <v>180859.29027261797</v>
      </c>
      <c r="AD136" s="2487">
        <f t="shared" si="41"/>
        <v>-16151.082640952791</v>
      </c>
      <c r="AE136" s="2487">
        <f t="shared" si="39"/>
        <v>315594.16877950181</v>
      </c>
      <c r="AF136" s="2487"/>
      <c r="AG136" s="2487">
        <f t="shared" si="42"/>
        <v>28472.18673513988</v>
      </c>
      <c r="AH136" s="2487">
        <f t="shared" si="42"/>
        <v>3233.4334850305936</v>
      </c>
      <c r="AI136" s="2487">
        <f t="shared" si="42"/>
        <v>59670.591944930027</v>
      </c>
      <c r="AJ136" s="2487">
        <f t="shared" si="42"/>
        <v>-1967.5403600305935</v>
      </c>
      <c r="AK136" s="2487">
        <f t="shared" si="42"/>
        <v>89408.671805069913</v>
      </c>
    </row>
    <row r="137" spans="9:37">
      <c r="I137" s="2494">
        <v>48548</v>
      </c>
      <c r="J137" s="2488">
        <f>-'G-3.04,5.01 PF AMI'!AE178</f>
        <v>-315594.16877950181</v>
      </c>
      <c r="K137" s="2488">
        <f t="shared" si="45"/>
        <v>2840347.5190154482</v>
      </c>
      <c r="L137" s="2488">
        <f t="shared" si="32"/>
        <v>4733912.5316924592</v>
      </c>
      <c r="M137" s="2488">
        <f t="shared" si="43"/>
        <v>-596472.97899324412</v>
      </c>
      <c r="N137" s="2488">
        <f t="shared" si="33"/>
        <v>-994121.63165541645</v>
      </c>
      <c r="P137" s="2494">
        <v>48548</v>
      </c>
      <c r="Q137" s="2488">
        <f>-'G-3.04,5.01 PF AMI'!AK178</f>
        <v>-89408.671805069913</v>
      </c>
      <c r="R137" s="2488">
        <f t="shared" si="46"/>
        <v>804678.04624560254</v>
      </c>
      <c r="S137" s="2488">
        <f t="shared" si="34"/>
        <v>1341130.0770760223</v>
      </c>
      <c r="T137" s="2488">
        <f t="shared" si="44"/>
        <v>-168982.38971157651</v>
      </c>
      <c r="U137" s="2488">
        <f t="shared" si="35"/>
        <v>-281637.31618596468</v>
      </c>
      <c r="Y137" s="477">
        <v>130</v>
      </c>
      <c r="Z137" s="477">
        <v>202906</v>
      </c>
      <c r="AA137" s="2487">
        <f t="shared" si="41"/>
        <v>141673.76797421335</v>
      </c>
      <c r="AB137" s="2487">
        <f t="shared" si="41"/>
        <v>9212.1931736232491</v>
      </c>
      <c r="AC137" s="2487">
        <f t="shared" si="41"/>
        <v>180859.29027261797</v>
      </c>
      <c r="AD137" s="2487">
        <f t="shared" si="41"/>
        <v>-16151.082640952791</v>
      </c>
      <c r="AE137" s="2487">
        <f t="shared" si="39"/>
        <v>315594.16877950181</v>
      </c>
      <c r="AF137" s="2487"/>
      <c r="AG137" s="2487">
        <f t="shared" si="42"/>
        <v>28472.18673513988</v>
      </c>
      <c r="AH137" s="2487">
        <f t="shared" si="42"/>
        <v>3233.4334850305936</v>
      </c>
      <c r="AI137" s="2487">
        <f t="shared" si="42"/>
        <v>59670.591944930027</v>
      </c>
      <c r="AJ137" s="2487">
        <f t="shared" si="42"/>
        <v>-1967.5403600305935</v>
      </c>
      <c r="AK137" s="2487">
        <f t="shared" si="42"/>
        <v>89408.671805069913</v>
      </c>
    </row>
    <row r="138" spans="9:37">
      <c r="I138" s="2494">
        <v>48579</v>
      </c>
      <c r="J138" s="2488">
        <f>-'G-3.04,5.01 PF AMI'!AE179</f>
        <v>-315594.16877950181</v>
      </c>
      <c r="K138" s="2488">
        <f t="shared" si="45"/>
        <v>2524753.3502359465</v>
      </c>
      <c r="L138" s="2488">
        <f t="shared" si="32"/>
        <v>4418318.3629129566</v>
      </c>
      <c r="M138" s="2488">
        <f t="shared" si="43"/>
        <v>-530198.20354954875</v>
      </c>
      <c r="N138" s="2488">
        <f t="shared" si="33"/>
        <v>-927846.85621172097</v>
      </c>
      <c r="P138" s="2494">
        <v>48579</v>
      </c>
      <c r="Q138" s="2488">
        <f>-'G-3.04,5.01 PF AMI'!AK179</f>
        <v>-89408.671805069913</v>
      </c>
      <c r="R138" s="2488">
        <f t="shared" si="46"/>
        <v>715269.37444053264</v>
      </c>
      <c r="S138" s="2488">
        <f t="shared" si="34"/>
        <v>1251721.4052709525</v>
      </c>
      <c r="T138" s="2488">
        <f t="shared" si="44"/>
        <v>-150206.56863251186</v>
      </c>
      <c r="U138" s="2488">
        <f t="shared" si="35"/>
        <v>-262861.49510689994</v>
      </c>
      <c r="Y138" s="477">
        <v>131</v>
      </c>
      <c r="Z138" s="477">
        <v>202907</v>
      </c>
      <c r="AA138" s="2487">
        <f t="shared" si="41"/>
        <v>141673.76797421335</v>
      </c>
      <c r="AB138" s="2487">
        <f t="shared" si="41"/>
        <v>9212.1931736232491</v>
      </c>
      <c r="AC138" s="2487">
        <f t="shared" si="41"/>
        <v>180859.29027261797</v>
      </c>
      <c r="AD138" s="2487">
        <f t="shared" si="41"/>
        <v>-16151.082640952791</v>
      </c>
      <c r="AE138" s="2487">
        <f t="shared" si="39"/>
        <v>315594.16877950181</v>
      </c>
      <c r="AF138" s="2487"/>
      <c r="AG138" s="2487">
        <f t="shared" si="42"/>
        <v>28472.18673513988</v>
      </c>
      <c r="AH138" s="2487">
        <f t="shared" si="42"/>
        <v>3233.4334850305936</v>
      </c>
      <c r="AI138" s="2487">
        <f t="shared" si="42"/>
        <v>59670.591944930027</v>
      </c>
      <c r="AJ138" s="2487">
        <f t="shared" si="42"/>
        <v>-1967.5403600305935</v>
      </c>
      <c r="AK138" s="2487">
        <f t="shared" si="42"/>
        <v>89408.671805069913</v>
      </c>
    </row>
    <row r="139" spans="9:37">
      <c r="I139" s="2494">
        <v>48610</v>
      </c>
      <c r="J139" s="2488">
        <f>-'G-3.04,5.01 PF AMI'!AE180</f>
        <v>-315594.16877950181</v>
      </c>
      <c r="K139" s="2488">
        <f t="shared" si="45"/>
        <v>2209159.1814564448</v>
      </c>
      <c r="L139" s="2488">
        <f t="shared" si="32"/>
        <v>4102724.1941334549</v>
      </c>
      <c r="M139" s="2488">
        <f t="shared" si="43"/>
        <v>-463923.42810585338</v>
      </c>
      <c r="N139" s="2488">
        <f t="shared" si="33"/>
        <v>-861572.0807680256</v>
      </c>
      <c r="P139" s="2494">
        <v>48610</v>
      </c>
      <c r="Q139" s="2488">
        <f>-'G-3.04,5.01 PF AMI'!AK180</f>
        <v>-89408.671805069913</v>
      </c>
      <c r="R139" s="2488">
        <f t="shared" si="46"/>
        <v>625860.70263546275</v>
      </c>
      <c r="S139" s="2488">
        <f t="shared" si="34"/>
        <v>1162312.7334658823</v>
      </c>
      <c r="T139" s="2488">
        <f t="shared" si="44"/>
        <v>-131430.74755344717</v>
      </c>
      <c r="U139" s="2488">
        <f t="shared" si="35"/>
        <v>-244085.67402783528</v>
      </c>
      <c r="Y139" s="477">
        <v>132</v>
      </c>
      <c r="Z139" s="477">
        <v>202908</v>
      </c>
      <c r="AA139" s="2487">
        <f t="shared" si="41"/>
        <v>141673.76797421335</v>
      </c>
      <c r="AB139" s="2487">
        <f t="shared" si="41"/>
        <v>9212.1931736232491</v>
      </c>
      <c r="AC139" s="2487">
        <f t="shared" si="41"/>
        <v>180859.29027261797</v>
      </c>
      <c r="AD139" s="2487">
        <f t="shared" si="41"/>
        <v>-16151.082640952791</v>
      </c>
      <c r="AE139" s="2487">
        <f t="shared" si="39"/>
        <v>315594.16877950181</v>
      </c>
      <c r="AF139" s="2487"/>
      <c r="AG139" s="2487">
        <f t="shared" si="42"/>
        <v>28472.18673513988</v>
      </c>
      <c r="AH139" s="2487">
        <f t="shared" si="42"/>
        <v>3233.4334850305936</v>
      </c>
      <c r="AI139" s="2487">
        <f t="shared" si="42"/>
        <v>59670.591944930027</v>
      </c>
      <c r="AJ139" s="2487">
        <f t="shared" si="42"/>
        <v>-1967.5403600305935</v>
      </c>
      <c r="AK139" s="2487">
        <f t="shared" si="42"/>
        <v>89408.671805069913</v>
      </c>
    </row>
    <row r="140" spans="9:37">
      <c r="I140" s="2494">
        <v>48638</v>
      </c>
      <c r="J140" s="2488">
        <f>-'G-3.04,5.01 PF AMI'!AE181</f>
        <v>-315594.16877950181</v>
      </c>
      <c r="K140" s="2488">
        <f t="shared" si="45"/>
        <v>1893565.0126769431</v>
      </c>
      <c r="L140" s="2488">
        <f t="shared" si="32"/>
        <v>3787130.0253539537</v>
      </c>
      <c r="M140" s="2488">
        <f t="shared" si="43"/>
        <v>-397648.65266215801</v>
      </c>
      <c r="N140" s="2488">
        <f t="shared" si="33"/>
        <v>-795297.30532433011</v>
      </c>
      <c r="P140" s="2494">
        <v>48638</v>
      </c>
      <c r="Q140" s="2488">
        <f>-'G-3.04,5.01 PF AMI'!AK181</f>
        <v>-89408.671805069913</v>
      </c>
      <c r="R140" s="2488">
        <f t="shared" si="46"/>
        <v>536452.03083039285</v>
      </c>
      <c r="S140" s="2488">
        <f t="shared" si="34"/>
        <v>1072904.0616608125</v>
      </c>
      <c r="T140" s="2488">
        <f t="shared" si="44"/>
        <v>-112654.92647438249</v>
      </c>
      <c r="U140" s="2488">
        <f t="shared" si="35"/>
        <v>-225309.8529487706</v>
      </c>
      <c r="Y140" s="477">
        <v>133</v>
      </c>
      <c r="Z140" s="477">
        <v>202909</v>
      </c>
      <c r="AA140" s="2487">
        <f t="shared" si="41"/>
        <v>141673.76797421335</v>
      </c>
      <c r="AB140" s="2487">
        <f t="shared" si="41"/>
        <v>9212.1931736232491</v>
      </c>
      <c r="AC140" s="2487">
        <f t="shared" si="41"/>
        <v>180859.29027261797</v>
      </c>
      <c r="AD140" s="2487">
        <f t="shared" si="41"/>
        <v>-16151.082640952791</v>
      </c>
      <c r="AE140" s="2487">
        <f t="shared" si="39"/>
        <v>315594.16877950181</v>
      </c>
      <c r="AF140" s="2487"/>
      <c r="AG140" s="2487">
        <f t="shared" si="42"/>
        <v>28472.18673513988</v>
      </c>
      <c r="AH140" s="2487">
        <f t="shared" si="42"/>
        <v>3233.4334850305936</v>
      </c>
      <c r="AI140" s="2487">
        <f t="shared" si="42"/>
        <v>59670.591944930027</v>
      </c>
      <c r="AJ140" s="2487">
        <f t="shared" si="42"/>
        <v>-1967.5403600305935</v>
      </c>
      <c r="AK140" s="2487">
        <f t="shared" si="42"/>
        <v>89408.671805069913</v>
      </c>
    </row>
    <row r="141" spans="9:37">
      <c r="I141" s="2494">
        <v>48669</v>
      </c>
      <c r="J141" s="2488">
        <f>-'G-3.04,5.01 PF AMI'!AE182</f>
        <v>-315594.16877950181</v>
      </c>
      <c r="K141" s="2488">
        <f t="shared" si="45"/>
        <v>1577970.8438974414</v>
      </c>
      <c r="L141" s="2488">
        <f t="shared" si="32"/>
        <v>3471535.856574452</v>
      </c>
      <c r="M141" s="2488">
        <f t="shared" si="43"/>
        <v>-331373.8772184627</v>
      </c>
      <c r="N141" s="2488">
        <f t="shared" si="33"/>
        <v>-729022.52988063486</v>
      </c>
      <c r="P141" s="2494">
        <v>48669</v>
      </c>
      <c r="Q141" s="2488">
        <f>-'G-3.04,5.01 PF AMI'!AK182</f>
        <v>-89408.671805069913</v>
      </c>
      <c r="R141" s="2488">
        <f t="shared" si="46"/>
        <v>447043.35902532295</v>
      </c>
      <c r="S141" s="2488">
        <f t="shared" si="34"/>
        <v>983495.38985574245</v>
      </c>
      <c r="T141" s="2488">
        <f t="shared" si="44"/>
        <v>-93879.10539531782</v>
      </c>
      <c r="U141" s="2488">
        <f t="shared" si="35"/>
        <v>-206534.03186970591</v>
      </c>
      <c r="Y141" s="477">
        <v>134</v>
      </c>
      <c r="Z141" s="477">
        <v>202910</v>
      </c>
      <c r="AA141" s="2487">
        <f t="shared" ref="AA141:AD156" si="47">AA140</f>
        <v>141673.76797421335</v>
      </c>
      <c r="AB141" s="2487">
        <f t="shared" si="47"/>
        <v>9212.1931736232491</v>
      </c>
      <c r="AC141" s="2487">
        <f t="shared" si="47"/>
        <v>180859.29027261797</v>
      </c>
      <c r="AD141" s="2487">
        <f t="shared" si="47"/>
        <v>-16151.082640952791</v>
      </c>
      <c r="AE141" s="2487">
        <f t="shared" si="39"/>
        <v>315594.16877950181</v>
      </c>
      <c r="AF141" s="2487"/>
      <c r="AG141" s="2487">
        <f t="shared" ref="AG141:AK156" si="48">AG140</f>
        <v>28472.18673513988</v>
      </c>
      <c r="AH141" s="2487">
        <f t="shared" si="48"/>
        <v>3233.4334850305936</v>
      </c>
      <c r="AI141" s="2487">
        <f t="shared" si="48"/>
        <v>59670.591944930027</v>
      </c>
      <c r="AJ141" s="2487">
        <f t="shared" si="48"/>
        <v>-1967.5403600305935</v>
      </c>
      <c r="AK141" s="2487">
        <f t="shared" si="48"/>
        <v>89408.671805069913</v>
      </c>
    </row>
    <row r="142" spans="9:37">
      <c r="I142" s="2494">
        <v>48699</v>
      </c>
      <c r="J142" s="2488">
        <f>-'G-3.04,5.01 PF AMI'!AE183</f>
        <v>-315594.16877950181</v>
      </c>
      <c r="K142" s="2488">
        <f t="shared" si="45"/>
        <v>1262376.6751179397</v>
      </c>
      <c r="L142" s="2488">
        <f t="shared" si="32"/>
        <v>3155941.6877949503</v>
      </c>
      <c r="M142" s="2488">
        <f t="shared" si="43"/>
        <v>-265099.10177476733</v>
      </c>
      <c r="N142" s="2488">
        <f t="shared" si="33"/>
        <v>-662747.75443693949</v>
      </c>
      <c r="P142" s="2494">
        <v>48699</v>
      </c>
      <c r="Q142" s="2488">
        <f>-'G-3.04,5.01 PF AMI'!AK183</f>
        <v>-89408.671805069913</v>
      </c>
      <c r="R142" s="2488">
        <f t="shared" si="46"/>
        <v>357634.68722025305</v>
      </c>
      <c r="S142" s="2488">
        <f t="shared" si="34"/>
        <v>894086.71805067267</v>
      </c>
      <c r="T142" s="2488">
        <f t="shared" si="44"/>
        <v>-75103.284316253135</v>
      </c>
      <c r="U142" s="2488">
        <f t="shared" si="35"/>
        <v>-187758.21079064126</v>
      </c>
      <c r="Y142" s="477">
        <v>135</v>
      </c>
      <c r="Z142" s="477">
        <v>202911</v>
      </c>
      <c r="AA142" s="2487">
        <f t="shared" si="47"/>
        <v>141673.76797421335</v>
      </c>
      <c r="AB142" s="2487">
        <f t="shared" si="47"/>
        <v>9212.1931736232491</v>
      </c>
      <c r="AC142" s="2487">
        <f t="shared" si="47"/>
        <v>180859.29027261797</v>
      </c>
      <c r="AD142" s="2487">
        <f t="shared" si="47"/>
        <v>-16151.082640952791</v>
      </c>
      <c r="AE142" s="2487">
        <f t="shared" si="39"/>
        <v>315594.16877950181</v>
      </c>
      <c r="AF142" s="2487"/>
      <c r="AG142" s="2487">
        <f t="shared" si="48"/>
        <v>28472.18673513988</v>
      </c>
      <c r="AH142" s="2487">
        <f t="shared" si="48"/>
        <v>3233.4334850305936</v>
      </c>
      <c r="AI142" s="2487">
        <f t="shared" si="48"/>
        <v>59670.591944930027</v>
      </c>
      <c r="AJ142" s="2487">
        <f t="shared" si="48"/>
        <v>-1967.5403600305935</v>
      </c>
      <c r="AK142" s="2487">
        <f t="shared" si="48"/>
        <v>89408.671805069913</v>
      </c>
    </row>
    <row r="143" spans="9:37">
      <c r="I143" s="2494">
        <v>48730</v>
      </c>
      <c r="J143" s="2488">
        <f>-'G-3.04,5.01 PF AMI'!AE184</f>
        <v>-315594.16877950181</v>
      </c>
      <c r="K143" s="2488">
        <f t="shared" si="45"/>
        <v>946782.5063384379</v>
      </c>
      <c r="L143" s="2488">
        <f t="shared" si="32"/>
        <v>2840347.5190154486</v>
      </c>
      <c r="M143" s="2488">
        <f t="shared" si="43"/>
        <v>-198824.32633107196</v>
      </c>
      <c r="N143" s="2488">
        <f t="shared" si="33"/>
        <v>-596472.97899324412</v>
      </c>
      <c r="P143" s="2494">
        <v>48730</v>
      </c>
      <c r="Q143" s="2488">
        <f>-'G-3.04,5.01 PF AMI'!AK184</f>
        <v>-89408.671805069913</v>
      </c>
      <c r="R143" s="2488">
        <f t="shared" si="46"/>
        <v>268226.01541518315</v>
      </c>
      <c r="S143" s="2488">
        <f t="shared" si="34"/>
        <v>804678.04624560277</v>
      </c>
      <c r="T143" s="2488">
        <f t="shared" si="44"/>
        <v>-56327.463237188458</v>
      </c>
      <c r="U143" s="2488">
        <f t="shared" si="35"/>
        <v>-168982.38971157654</v>
      </c>
      <c r="Y143" s="477">
        <v>136</v>
      </c>
      <c r="Z143" s="477">
        <v>202912</v>
      </c>
      <c r="AA143" s="2487">
        <f t="shared" si="47"/>
        <v>141673.76797421335</v>
      </c>
      <c r="AB143" s="2487">
        <f t="shared" si="47"/>
        <v>9212.1931736232491</v>
      </c>
      <c r="AC143" s="2487">
        <f t="shared" si="47"/>
        <v>180859.29027261797</v>
      </c>
      <c r="AD143" s="2487">
        <f t="shared" si="47"/>
        <v>-16151.082640952791</v>
      </c>
      <c r="AE143" s="2487">
        <f t="shared" si="39"/>
        <v>315594.16877950181</v>
      </c>
      <c r="AF143" s="2487"/>
      <c r="AG143" s="2487">
        <f t="shared" si="48"/>
        <v>28472.18673513988</v>
      </c>
      <c r="AH143" s="2487">
        <f t="shared" si="48"/>
        <v>3233.4334850305936</v>
      </c>
      <c r="AI143" s="2487">
        <f t="shared" si="48"/>
        <v>59670.591944930027</v>
      </c>
      <c r="AJ143" s="2487">
        <f t="shared" si="48"/>
        <v>-1967.5403600305935</v>
      </c>
      <c r="AK143" s="2487">
        <f t="shared" si="48"/>
        <v>89408.671805069913</v>
      </c>
    </row>
    <row r="144" spans="9:37">
      <c r="I144" s="2494">
        <v>48760</v>
      </c>
      <c r="J144" s="2488">
        <f>-'G-3.04,5.01 PF AMI'!AE185</f>
        <v>-315594.16877950181</v>
      </c>
      <c r="K144" s="2488">
        <f t="shared" si="45"/>
        <v>631188.33755893609</v>
      </c>
      <c r="L144" s="2488">
        <f t="shared" si="32"/>
        <v>2524753.3502359469</v>
      </c>
      <c r="M144" s="2488">
        <f t="shared" si="43"/>
        <v>-132549.55088737656</v>
      </c>
      <c r="N144" s="2488">
        <f t="shared" si="33"/>
        <v>-530198.20354954863</v>
      </c>
      <c r="P144" s="2494">
        <v>48760</v>
      </c>
      <c r="Q144" s="2488">
        <f>-'G-3.04,5.01 PF AMI'!AK185</f>
        <v>-89408.671805069913</v>
      </c>
      <c r="R144" s="2488">
        <f t="shared" si="46"/>
        <v>178817.34361011325</v>
      </c>
      <c r="S144" s="2488">
        <f t="shared" si="34"/>
        <v>715269.37444053264</v>
      </c>
      <c r="T144" s="2488">
        <f t="shared" si="44"/>
        <v>-37551.642158123781</v>
      </c>
      <c r="U144" s="2488">
        <f t="shared" si="35"/>
        <v>-150206.56863251186</v>
      </c>
      <c r="Y144" s="477">
        <v>137</v>
      </c>
      <c r="Z144" s="477">
        <v>203001</v>
      </c>
      <c r="AA144" s="2487">
        <f t="shared" si="47"/>
        <v>141673.76797421335</v>
      </c>
      <c r="AB144" s="2487">
        <f t="shared" si="47"/>
        <v>9212.1931736232491</v>
      </c>
      <c r="AC144" s="2487">
        <f t="shared" si="47"/>
        <v>180859.29027261797</v>
      </c>
      <c r="AD144" s="2487">
        <f t="shared" si="47"/>
        <v>-16151.082640952791</v>
      </c>
      <c r="AE144" s="2487">
        <f t="shared" si="39"/>
        <v>315594.16877950181</v>
      </c>
      <c r="AF144" s="2487"/>
      <c r="AG144" s="2487">
        <f t="shared" si="48"/>
        <v>28472.18673513988</v>
      </c>
      <c r="AH144" s="2487">
        <f t="shared" si="48"/>
        <v>3233.4334850305936</v>
      </c>
      <c r="AI144" s="2487">
        <f t="shared" si="48"/>
        <v>59670.591944930027</v>
      </c>
      <c r="AJ144" s="2487">
        <f t="shared" si="48"/>
        <v>-1967.5403600305935</v>
      </c>
      <c r="AK144" s="2487">
        <f t="shared" si="48"/>
        <v>89408.671805069913</v>
      </c>
    </row>
    <row r="145" spans="9:37">
      <c r="I145" s="2494">
        <v>48791</v>
      </c>
      <c r="J145" s="2488">
        <f>-'G-3.04,5.01 PF AMI'!AE186</f>
        <v>-315594.16877950181</v>
      </c>
      <c r="K145" s="2488">
        <f t="shared" si="45"/>
        <v>315594.16877943429</v>
      </c>
      <c r="L145" s="2488">
        <f t="shared" si="32"/>
        <v>2209159.1814564448</v>
      </c>
      <c r="M145" s="2488">
        <f t="shared" si="43"/>
        <v>-66274.775443681196</v>
      </c>
      <c r="N145" s="2488">
        <f t="shared" si="33"/>
        <v>-463923.42810585332</v>
      </c>
      <c r="P145" s="2494">
        <v>48791</v>
      </c>
      <c r="Q145" s="2488">
        <f>-'G-3.04,5.01 PF AMI'!AK186</f>
        <v>-89408.671805069913</v>
      </c>
      <c r="R145" s="2488">
        <f t="shared" si="46"/>
        <v>89408.671805043341</v>
      </c>
      <c r="S145" s="2488">
        <f t="shared" si="34"/>
        <v>625860.70263546275</v>
      </c>
      <c r="T145" s="2488">
        <f t="shared" si="44"/>
        <v>-18775.8210790591</v>
      </c>
      <c r="U145" s="2488">
        <f t="shared" si="35"/>
        <v>-131430.74755344717</v>
      </c>
      <c r="Y145" s="477">
        <v>138</v>
      </c>
      <c r="Z145" s="477">
        <v>203002</v>
      </c>
      <c r="AA145" s="2487">
        <f t="shared" si="47"/>
        <v>141673.76797421335</v>
      </c>
      <c r="AB145" s="2487">
        <f t="shared" si="47"/>
        <v>9212.1931736232491</v>
      </c>
      <c r="AC145" s="2487">
        <f t="shared" si="47"/>
        <v>180859.29027261797</v>
      </c>
      <c r="AD145" s="2487">
        <f t="shared" si="47"/>
        <v>-16151.082640952791</v>
      </c>
      <c r="AE145" s="2487">
        <f t="shared" si="39"/>
        <v>315594.16877950181</v>
      </c>
      <c r="AF145" s="2487"/>
      <c r="AG145" s="2487">
        <f t="shared" si="48"/>
        <v>28472.18673513988</v>
      </c>
      <c r="AH145" s="2487">
        <f t="shared" si="48"/>
        <v>3233.4334850305936</v>
      </c>
      <c r="AI145" s="2487">
        <f t="shared" si="48"/>
        <v>59670.591944930027</v>
      </c>
      <c r="AJ145" s="2487">
        <f t="shared" si="48"/>
        <v>-1967.5403600305935</v>
      </c>
      <c r="AK145" s="2487">
        <f t="shared" si="48"/>
        <v>89408.671805069913</v>
      </c>
    </row>
    <row r="146" spans="9:37">
      <c r="I146" s="2494">
        <v>48822</v>
      </c>
      <c r="J146" s="2488">
        <f>-'G-3.04,5.01 PF AMI'!AE187</f>
        <v>-315594.16877950181</v>
      </c>
      <c r="K146" s="2488">
        <f t="shared" si="45"/>
        <v>-6.7520886659622192E-8</v>
      </c>
      <c r="L146" s="2488">
        <f t="shared" si="32"/>
        <v>1893565.0126769424</v>
      </c>
      <c r="M146" s="2488">
        <f t="shared" si="43"/>
        <v>1.417938619852066E-8</v>
      </c>
      <c r="N146" s="2488">
        <f t="shared" si="33"/>
        <v>-397648.65266215801</v>
      </c>
      <c r="P146" s="2494">
        <v>48822</v>
      </c>
      <c r="Q146" s="2488">
        <f>-'G-3.04,5.01 PF AMI'!AK187</f>
        <v>-89408.671805069913</v>
      </c>
      <c r="R146" s="2488">
        <f t="shared" si="46"/>
        <v>-2.6571797206997871E-8</v>
      </c>
      <c r="S146" s="2488">
        <f t="shared" si="34"/>
        <v>536452.03083039285</v>
      </c>
      <c r="T146" s="2488">
        <f t="shared" si="44"/>
        <v>5.5800774134695527E-9</v>
      </c>
      <c r="U146" s="2488">
        <f t="shared" si="35"/>
        <v>-112654.92647438248</v>
      </c>
      <c r="Y146" s="477">
        <v>139</v>
      </c>
      <c r="Z146" s="477">
        <v>203003</v>
      </c>
      <c r="AA146" s="2487">
        <f t="shared" si="47"/>
        <v>141673.76797421335</v>
      </c>
      <c r="AB146" s="2487">
        <f t="shared" si="47"/>
        <v>9212.1931736232491</v>
      </c>
      <c r="AC146" s="2487">
        <f t="shared" si="47"/>
        <v>180859.29027261797</v>
      </c>
      <c r="AD146" s="2487">
        <f t="shared" si="47"/>
        <v>-16151.082640952791</v>
      </c>
      <c r="AE146" s="2487">
        <f t="shared" si="39"/>
        <v>315594.16877950181</v>
      </c>
      <c r="AF146" s="2487"/>
      <c r="AG146" s="2487">
        <f t="shared" si="48"/>
        <v>28472.18673513988</v>
      </c>
      <c r="AH146" s="2487">
        <f t="shared" si="48"/>
        <v>3233.4334850305936</v>
      </c>
      <c r="AI146" s="2487">
        <f t="shared" si="48"/>
        <v>59670.591944930027</v>
      </c>
      <c r="AJ146" s="2487">
        <f t="shared" si="48"/>
        <v>-1967.5403600305935</v>
      </c>
      <c r="AK146" s="2487">
        <f t="shared" si="48"/>
        <v>89408.671805069913</v>
      </c>
    </row>
    <row r="147" spans="9:37">
      <c r="Y147" s="477">
        <v>140</v>
      </c>
      <c r="Z147" s="477">
        <v>203004</v>
      </c>
      <c r="AA147" s="2487">
        <f t="shared" si="47"/>
        <v>141673.76797421335</v>
      </c>
      <c r="AB147" s="2487">
        <f t="shared" si="47"/>
        <v>9212.1931736232491</v>
      </c>
      <c r="AC147" s="2487">
        <f t="shared" si="47"/>
        <v>180859.29027261797</v>
      </c>
      <c r="AD147" s="2487">
        <f t="shared" si="47"/>
        <v>-16151.082640952791</v>
      </c>
      <c r="AE147" s="2487">
        <f t="shared" si="39"/>
        <v>315594.16877950181</v>
      </c>
      <c r="AF147" s="2487"/>
      <c r="AG147" s="2487">
        <f t="shared" si="48"/>
        <v>28472.18673513988</v>
      </c>
      <c r="AH147" s="2487">
        <f t="shared" si="48"/>
        <v>3233.4334850305936</v>
      </c>
      <c r="AI147" s="2487">
        <f t="shared" si="48"/>
        <v>59670.591944930027</v>
      </c>
      <c r="AJ147" s="2487">
        <f t="shared" si="48"/>
        <v>-1967.5403600305935</v>
      </c>
      <c r="AK147" s="2487">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487">
        <f t="shared" si="47"/>
        <v>141673.76797421335</v>
      </c>
      <c r="AB148" s="2487">
        <f t="shared" si="47"/>
        <v>9212.1931736232491</v>
      </c>
      <c r="AC148" s="2487">
        <f t="shared" si="47"/>
        <v>180859.29027261797</v>
      </c>
      <c r="AD148" s="2487">
        <f t="shared" si="47"/>
        <v>-16151.082640952791</v>
      </c>
      <c r="AE148" s="2487">
        <f t="shared" si="39"/>
        <v>315594.16877950181</v>
      </c>
      <c r="AF148" s="2487"/>
      <c r="AG148" s="2487">
        <f t="shared" si="48"/>
        <v>28472.18673513988</v>
      </c>
      <c r="AH148" s="2487">
        <f t="shared" si="48"/>
        <v>3233.4334850305936</v>
      </c>
      <c r="AI148" s="2487">
        <f t="shared" si="48"/>
        <v>59670.591944930027</v>
      </c>
      <c r="AJ148" s="2487">
        <f t="shared" si="48"/>
        <v>-1967.5403600305935</v>
      </c>
      <c r="AK148" s="2487">
        <f t="shared" si="48"/>
        <v>89408.671805069913</v>
      </c>
    </row>
    <row r="149" spans="9:37" ht="15.75" thickBot="1">
      <c r="I149" s="2539" t="s">
        <v>2239</v>
      </c>
      <c r="K149" s="888">
        <f>L24</f>
        <v>40458494.093229346</v>
      </c>
      <c r="L149" s="888">
        <f>N24</f>
        <v>-8496283.7595781591</v>
      </c>
      <c r="M149" s="2540">
        <f>SUM(K149:L149)</f>
        <v>31962210.333651185</v>
      </c>
      <c r="N149" s="2540">
        <f>SUM(J13:J24)</f>
        <v>-4036891.9831665209</v>
      </c>
      <c r="P149" s="2539" t="s">
        <v>2240</v>
      </c>
      <c r="R149" s="888">
        <f>S24</f>
        <v>11472218.493236439</v>
      </c>
      <c r="S149" s="888">
        <f>U24</f>
        <v>-2409165.8835796528</v>
      </c>
      <c r="T149" s="2540">
        <f>SUM(R149:S149)</f>
        <v>9063052.6096567865</v>
      </c>
      <c r="U149" s="2540">
        <f>SUM(Q13:Q24)</f>
        <v>-1184538.070410839</v>
      </c>
      <c r="V149" s="929"/>
      <c r="Y149" s="477">
        <v>142</v>
      </c>
      <c r="Z149" s="477">
        <v>203006</v>
      </c>
      <c r="AA149" s="2487">
        <f t="shared" si="47"/>
        <v>141673.76797421335</v>
      </c>
      <c r="AB149" s="2487">
        <f t="shared" si="47"/>
        <v>9212.1931736232491</v>
      </c>
      <c r="AC149" s="2487">
        <f t="shared" si="47"/>
        <v>180859.29027261797</v>
      </c>
      <c r="AD149" s="2487">
        <f t="shared" si="47"/>
        <v>-16151.082640952791</v>
      </c>
      <c r="AE149" s="2487">
        <f t="shared" si="39"/>
        <v>315594.16877950181</v>
      </c>
      <c r="AF149" s="2487"/>
      <c r="AG149" s="2487">
        <f t="shared" si="48"/>
        <v>28472.18673513988</v>
      </c>
      <c r="AH149" s="2487">
        <f t="shared" si="48"/>
        <v>3233.4334850305936</v>
      </c>
      <c r="AI149" s="2487">
        <f t="shared" si="48"/>
        <v>59670.591944930027</v>
      </c>
      <c r="AJ149" s="2487">
        <f t="shared" si="48"/>
        <v>-1967.5403600305935</v>
      </c>
      <c r="AK149" s="2487">
        <f t="shared" si="48"/>
        <v>89408.671805069913</v>
      </c>
    </row>
    <row r="150" spans="9:37" ht="16.5" thickTop="1" thickBot="1">
      <c r="K150" s="888"/>
      <c r="L150" s="2541" t="s">
        <v>2241</v>
      </c>
      <c r="M150" s="2542">
        <f>M152-M149</f>
        <v>-7528909.7867421545</v>
      </c>
      <c r="N150" s="2542">
        <f>N152-N149</f>
        <v>249761.95781250019</v>
      </c>
      <c r="S150" s="2541" t="s">
        <v>2241</v>
      </c>
      <c r="T150" s="2542">
        <f>T152-T149</f>
        <v>-2141033.238508299</v>
      </c>
      <c r="U150" s="2542">
        <f>U152-U149</f>
        <v>111634.00875000004</v>
      </c>
      <c r="Y150" s="477">
        <v>143</v>
      </c>
      <c r="Z150" s="477">
        <v>203007</v>
      </c>
      <c r="AA150" s="2487">
        <f t="shared" si="47"/>
        <v>141673.76797421335</v>
      </c>
      <c r="AB150" s="2487">
        <f t="shared" si="47"/>
        <v>9212.1931736232491</v>
      </c>
      <c r="AC150" s="2487">
        <f t="shared" si="47"/>
        <v>180859.29027261797</v>
      </c>
      <c r="AD150" s="2487">
        <f t="shared" si="47"/>
        <v>-16151.082640952791</v>
      </c>
      <c r="AE150" s="2487">
        <f t="shared" si="39"/>
        <v>315594.16877950181</v>
      </c>
      <c r="AF150" s="2487"/>
      <c r="AG150" s="2487">
        <f t="shared" si="48"/>
        <v>28472.18673513988</v>
      </c>
      <c r="AH150" s="2487">
        <f t="shared" si="48"/>
        <v>3233.4334850305936</v>
      </c>
      <c r="AI150" s="2487">
        <f t="shared" si="48"/>
        <v>59670.591944930027</v>
      </c>
      <c r="AJ150" s="2487">
        <f t="shared" si="48"/>
        <v>-1967.5403600305935</v>
      </c>
      <c r="AK150" s="2487">
        <f t="shared" si="48"/>
        <v>89408.671805069913</v>
      </c>
    </row>
    <row r="151" spans="9:37" ht="14.25" thickTop="1" thickBot="1">
      <c r="K151" s="954" t="s">
        <v>132</v>
      </c>
      <c r="L151" s="954" t="s">
        <v>2153</v>
      </c>
      <c r="M151" s="954" t="s">
        <v>2238</v>
      </c>
      <c r="N151" s="954" t="s">
        <v>411</v>
      </c>
      <c r="R151" s="954" t="s">
        <v>132</v>
      </c>
      <c r="S151" s="954" t="s">
        <v>2153</v>
      </c>
      <c r="T151" s="954" t="s">
        <v>2238</v>
      </c>
      <c r="U151" s="954" t="s">
        <v>411</v>
      </c>
      <c r="Y151" s="477">
        <v>144</v>
      </c>
      <c r="Z151" s="477">
        <v>203008</v>
      </c>
      <c r="AA151" s="2487">
        <f t="shared" si="47"/>
        <v>141673.76797421335</v>
      </c>
      <c r="AB151" s="2487">
        <f t="shared" si="47"/>
        <v>9212.1931736232491</v>
      </c>
      <c r="AC151" s="2487">
        <f t="shared" si="47"/>
        <v>180859.29027261797</v>
      </c>
      <c r="AD151" s="2487">
        <f t="shared" si="47"/>
        <v>-16151.082640952791</v>
      </c>
      <c r="AE151" s="2487">
        <f t="shared" si="39"/>
        <v>315594.16877950181</v>
      </c>
      <c r="AF151" s="2487"/>
      <c r="AG151" s="2487">
        <f t="shared" si="48"/>
        <v>28472.18673513988</v>
      </c>
      <c r="AH151" s="2487">
        <f t="shared" si="48"/>
        <v>3233.4334850305936</v>
      </c>
      <c r="AI151" s="2487">
        <f t="shared" si="48"/>
        <v>59670.591944930027</v>
      </c>
      <c r="AJ151" s="2487">
        <f t="shared" si="48"/>
        <v>-1967.5403600305935</v>
      </c>
      <c r="AK151" s="2487">
        <f t="shared" si="48"/>
        <v>89408.671805069913</v>
      </c>
    </row>
    <row r="152" spans="9:37" ht="15.75" thickBot="1">
      <c r="I152" s="2543" t="s">
        <v>2242</v>
      </c>
      <c r="K152" s="888">
        <f>L54</f>
        <v>30928228.540391181</v>
      </c>
      <c r="L152" s="888">
        <f>N54</f>
        <v>-6494927.9934821492</v>
      </c>
      <c r="M152" s="2544">
        <f>SUM(K152:L152)</f>
        <v>24433300.546909031</v>
      </c>
      <c r="N152" s="2545">
        <f>SUM(J43:J54)</f>
        <v>-3787130.0253540208</v>
      </c>
      <c r="P152" s="2546" t="s">
        <v>2242</v>
      </c>
      <c r="R152" s="888">
        <f>S54</f>
        <v>8762049.83689682</v>
      </c>
      <c r="S152" s="888">
        <f>U54</f>
        <v>-1840030.4657483322</v>
      </c>
      <c r="T152" s="2544">
        <f>SUM(R152:S152)</f>
        <v>6922019.3711484876</v>
      </c>
      <c r="U152" s="2545">
        <f>SUM(Q43:Q54)</f>
        <v>-1072904.061660839</v>
      </c>
      <c r="Y152" s="477">
        <v>145</v>
      </c>
      <c r="Z152" s="477">
        <v>203009</v>
      </c>
      <c r="AA152" s="2487">
        <f t="shared" si="47"/>
        <v>141673.76797421335</v>
      </c>
      <c r="AB152" s="2487">
        <f t="shared" si="47"/>
        <v>9212.1931736232491</v>
      </c>
      <c r="AC152" s="2487">
        <f t="shared" si="47"/>
        <v>180859.29027261797</v>
      </c>
      <c r="AD152" s="2487">
        <f t="shared" si="47"/>
        <v>-16151.082640952791</v>
      </c>
      <c r="AE152" s="2487">
        <f t="shared" si="39"/>
        <v>315594.16877950181</v>
      </c>
      <c r="AF152" s="2487"/>
      <c r="AG152" s="2487">
        <f t="shared" si="48"/>
        <v>28472.18673513988</v>
      </c>
      <c r="AH152" s="2487">
        <f t="shared" si="48"/>
        <v>3233.4334850305936</v>
      </c>
      <c r="AI152" s="2487">
        <f t="shared" si="48"/>
        <v>59670.591944930027</v>
      </c>
      <c r="AJ152" s="2487">
        <f t="shared" si="48"/>
        <v>-1967.5403600305935</v>
      </c>
      <c r="AK152" s="2487">
        <f t="shared" si="48"/>
        <v>89408.671805069913</v>
      </c>
    </row>
    <row r="153" spans="9:37" ht="13.5" thickBot="1">
      <c r="Y153" s="477">
        <v>146</v>
      </c>
      <c r="Z153" s="477">
        <v>203010</v>
      </c>
      <c r="AA153" s="2487">
        <f t="shared" si="47"/>
        <v>141673.76797421335</v>
      </c>
      <c r="AB153" s="2487">
        <f t="shared" si="47"/>
        <v>9212.1931736232491</v>
      </c>
      <c r="AC153" s="2487">
        <f t="shared" si="47"/>
        <v>180859.29027261797</v>
      </c>
      <c r="AD153" s="2487">
        <f t="shared" si="47"/>
        <v>-16151.082640952791</v>
      </c>
      <c r="AE153" s="2487">
        <f t="shared" si="39"/>
        <v>315594.16877950181</v>
      </c>
      <c r="AF153" s="2487"/>
      <c r="AG153" s="2487">
        <f t="shared" si="48"/>
        <v>28472.18673513988</v>
      </c>
      <c r="AH153" s="2487">
        <f t="shared" si="48"/>
        <v>3233.4334850305936</v>
      </c>
      <c r="AI153" s="2487">
        <f t="shared" si="48"/>
        <v>59670.591944930027</v>
      </c>
      <c r="AJ153" s="2487">
        <f t="shared" si="48"/>
        <v>-1967.5403600305935</v>
      </c>
      <c r="AK153" s="2487">
        <f t="shared" si="48"/>
        <v>89408.671805069913</v>
      </c>
    </row>
    <row r="154" spans="9:37" ht="16.5" thickTop="1" thickBot="1">
      <c r="L154" s="2541" t="s">
        <v>2241</v>
      </c>
      <c r="M154" s="2542">
        <f>M156-M152</f>
        <v>-2991832.7200296894</v>
      </c>
      <c r="N154" s="2542">
        <f>N156-N152</f>
        <v>0</v>
      </c>
      <c r="S154" s="2541" t="s">
        <v>2241</v>
      </c>
      <c r="T154" s="2542">
        <f>T156-T152</f>
        <v>-847594.2087120628</v>
      </c>
      <c r="U154" s="2542">
        <f>U156-U152</f>
        <v>0</v>
      </c>
      <c r="Y154" s="477">
        <v>147</v>
      </c>
      <c r="Z154" s="477">
        <v>203011</v>
      </c>
      <c r="AA154" s="2487">
        <f t="shared" si="47"/>
        <v>141673.76797421335</v>
      </c>
      <c r="AB154" s="2487">
        <f t="shared" si="47"/>
        <v>9212.1931736232491</v>
      </c>
      <c r="AC154" s="2487">
        <f t="shared" si="47"/>
        <v>180859.29027261797</v>
      </c>
      <c r="AD154" s="2487">
        <f t="shared" si="47"/>
        <v>-16151.082640952791</v>
      </c>
      <c r="AE154" s="2487">
        <f t="shared" si="39"/>
        <v>315594.16877950181</v>
      </c>
      <c r="AF154" s="2487"/>
      <c r="AG154" s="2487">
        <f t="shared" si="48"/>
        <v>28472.18673513988</v>
      </c>
      <c r="AH154" s="2487">
        <f t="shared" si="48"/>
        <v>3233.4334850305936</v>
      </c>
      <c r="AI154" s="2487">
        <f t="shared" si="48"/>
        <v>59670.591944930027</v>
      </c>
      <c r="AJ154" s="2487">
        <f t="shared" si="48"/>
        <v>-1967.5403600305935</v>
      </c>
      <c r="AK154" s="2487">
        <f t="shared" si="48"/>
        <v>89408.671805069913</v>
      </c>
    </row>
    <row r="155" spans="9:37" ht="14.25" thickTop="1" thickBot="1">
      <c r="Y155" s="477">
        <v>148</v>
      </c>
      <c r="Z155" s="477">
        <v>203012</v>
      </c>
      <c r="AA155" s="2487">
        <f t="shared" si="47"/>
        <v>141673.76797421335</v>
      </c>
      <c r="AB155" s="2487">
        <f t="shared" si="47"/>
        <v>9212.1931736232491</v>
      </c>
      <c r="AC155" s="2487">
        <f t="shared" si="47"/>
        <v>180859.29027261797</v>
      </c>
      <c r="AD155" s="2487">
        <f t="shared" si="47"/>
        <v>-16151.082640952791</v>
      </c>
      <c r="AE155" s="2487">
        <f t="shared" si="39"/>
        <v>315594.16877950181</v>
      </c>
      <c r="AF155" s="2487"/>
      <c r="AG155" s="2487">
        <f t="shared" si="48"/>
        <v>28472.18673513988</v>
      </c>
      <c r="AH155" s="2487">
        <f t="shared" si="48"/>
        <v>3233.4334850305936</v>
      </c>
      <c r="AI155" s="2487">
        <f t="shared" si="48"/>
        <v>59670.591944930027</v>
      </c>
      <c r="AJ155" s="2487">
        <f t="shared" si="48"/>
        <v>-1967.5403600305935</v>
      </c>
      <c r="AK155" s="2487">
        <f t="shared" si="48"/>
        <v>89408.671805069913</v>
      </c>
    </row>
    <row r="156" spans="9:37" ht="15.75" thickBot="1">
      <c r="I156" s="2543" t="s">
        <v>2243</v>
      </c>
      <c r="K156" s="888">
        <f>L66</f>
        <v>27141098.515037138</v>
      </c>
      <c r="L156" s="888">
        <f>N66</f>
        <v>-5699630.6881577978</v>
      </c>
      <c r="M156" s="2545">
        <f>SUM(K156:L156)</f>
        <v>21441467.826879341</v>
      </c>
      <c r="N156" s="2545">
        <f>SUM(J55:J66)</f>
        <v>-3787130.0253540208</v>
      </c>
      <c r="P156" s="2546" t="s">
        <v>2243</v>
      </c>
      <c r="R156" s="888">
        <f>S66</f>
        <v>7689145.7752359807</v>
      </c>
      <c r="S156" s="888">
        <f>U66</f>
        <v>-1614720.6127995558</v>
      </c>
      <c r="T156" s="2544">
        <f>SUM(R156:S156)</f>
        <v>6074425.1624364248</v>
      </c>
      <c r="U156" s="2545">
        <f>SUM(Q55:Q66)</f>
        <v>-1072904.061660839</v>
      </c>
      <c r="Y156" s="477">
        <v>149</v>
      </c>
      <c r="Z156" s="477">
        <v>203101</v>
      </c>
      <c r="AA156" s="2487">
        <f t="shared" si="47"/>
        <v>141673.76797421335</v>
      </c>
      <c r="AB156" s="2487">
        <f t="shared" si="47"/>
        <v>9212.1931736232491</v>
      </c>
      <c r="AC156" s="2487">
        <f t="shared" si="47"/>
        <v>180859.29027261797</v>
      </c>
      <c r="AD156" s="2487">
        <f t="shared" si="47"/>
        <v>-16151.082640952791</v>
      </c>
      <c r="AE156" s="2487">
        <f t="shared" si="39"/>
        <v>315594.16877950181</v>
      </c>
      <c r="AF156" s="2487"/>
      <c r="AG156" s="2487">
        <f t="shared" si="48"/>
        <v>28472.18673513988</v>
      </c>
      <c r="AH156" s="2487">
        <f t="shared" si="48"/>
        <v>3233.4334850305936</v>
      </c>
      <c r="AI156" s="2487">
        <f t="shared" si="48"/>
        <v>59670.591944930027</v>
      </c>
      <c r="AJ156" s="2487">
        <f t="shared" si="48"/>
        <v>-1967.5403600305935</v>
      </c>
      <c r="AK156" s="2487">
        <f t="shared" si="48"/>
        <v>89408.671805069913</v>
      </c>
    </row>
    <row r="157" spans="9:37">
      <c r="Y157" s="477">
        <v>150</v>
      </c>
      <c r="Z157" s="477">
        <v>203102</v>
      </c>
      <c r="AA157" s="2487">
        <f t="shared" ref="AA157:AD172" si="49">AA156</f>
        <v>141673.76797421335</v>
      </c>
      <c r="AB157" s="2487">
        <f t="shared" si="49"/>
        <v>9212.1931736232491</v>
      </c>
      <c r="AC157" s="2487">
        <f t="shared" si="49"/>
        <v>180859.29027261797</v>
      </c>
      <c r="AD157" s="2487">
        <f t="shared" si="49"/>
        <v>-16151.082640952791</v>
      </c>
      <c r="AE157" s="2487">
        <f t="shared" si="39"/>
        <v>315594.16877950181</v>
      </c>
      <c r="AF157" s="2487"/>
      <c r="AG157" s="2487">
        <f t="shared" ref="AG157:AK172" si="50">AG156</f>
        <v>28472.18673513988</v>
      </c>
      <c r="AH157" s="2487">
        <f t="shared" si="50"/>
        <v>3233.4334850305936</v>
      </c>
      <c r="AI157" s="2487">
        <f t="shared" si="50"/>
        <v>59670.591944930027</v>
      </c>
      <c r="AJ157" s="2487">
        <f t="shared" si="50"/>
        <v>-1967.5403600305935</v>
      </c>
      <c r="AK157" s="2487">
        <f t="shared" si="50"/>
        <v>89408.671805069913</v>
      </c>
    </row>
    <row r="158" spans="9:37">
      <c r="Y158" s="477">
        <v>151</v>
      </c>
      <c r="Z158" s="477">
        <v>203103</v>
      </c>
      <c r="AA158" s="2487">
        <f t="shared" si="49"/>
        <v>141673.76797421335</v>
      </c>
      <c r="AB158" s="2487">
        <f t="shared" si="49"/>
        <v>9212.1931736232491</v>
      </c>
      <c r="AC158" s="2487">
        <f t="shared" si="49"/>
        <v>180859.29027261797</v>
      </c>
      <c r="AD158" s="2487">
        <f t="shared" si="49"/>
        <v>-16151.082640952791</v>
      </c>
      <c r="AE158" s="2487">
        <f t="shared" si="39"/>
        <v>315594.16877950181</v>
      </c>
      <c r="AF158" s="2487"/>
      <c r="AG158" s="2487">
        <f t="shared" si="50"/>
        <v>28472.18673513988</v>
      </c>
      <c r="AH158" s="2487">
        <f t="shared" si="50"/>
        <v>3233.4334850305936</v>
      </c>
      <c r="AI158" s="2487">
        <f t="shared" si="50"/>
        <v>59670.591944930027</v>
      </c>
      <c r="AJ158" s="2487">
        <f t="shared" si="50"/>
        <v>-1967.5403600305935</v>
      </c>
      <c r="AK158" s="2487">
        <f t="shared" si="50"/>
        <v>89408.671805069913</v>
      </c>
    </row>
    <row r="159" spans="9:37">
      <c r="Y159" s="477">
        <v>152</v>
      </c>
      <c r="Z159" s="477">
        <v>203104</v>
      </c>
      <c r="AA159" s="2487">
        <f t="shared" si="49"/>
        <v>141673.76797421335</v>
      </c>
      <c r="AB159" s="2487">
        <f t="shared" si="49"/>
        <v>9212.1931736232491</v>
      </c>
      <c r="AC159" s="2487">
        <f t="shared" si="49"/>
        <v>180859.29027261797</v>
      </c>
      <c r="AD159" s="2487">
        <f t="shared" si="49"/>
        <v>-16151.082640952791</v>
      </c>
      <c r="AE159" s="2487">
        <f t="shared" si="39"/>
        <v>315594.16877950181</v>
      </c>
      <c r="AF159" s="2487"/>
      <c r="AG159" s="2487">
        <f t="shared" si="50"/>
        <v>28472.18673513988</v>
      </c>
      <c r="AH159" s="2487">
        <f t="shared" si="50"/>
        <v>3233.4334850305936</v>
      </c>
      <c r="AI159" s="2487">
        <f t="shared" si="50"/>
        <v>59670.591944930027</v>
      </c>
      <c r="AJ159" s="2487">
        <f t="shared" si="50"/>
        <v>-1967.5403600305935</v>
      </c>
      <c r="AK159" s="2487">
        <f t="shared" si="50"/>
        <v>89408.671805069913</v>
      </c>
    </row>
    <row r="160" spans="9:37">
      <c r="Y160" s="477">
        <v>153</v>
      </c>
      <c r="Z160" s="477">
        <v>203105</v>
      </c>
      <c r="AA160" s="2487">
        <f t="shared" si="49"/>
        <v>141673.76797421335</v>
      </c>
      <c r="AB160" s="2487">
        <f t="shared" si="49"/>
        <v>9212.1931736232491</v>
      </c>
      <c r="AC160" s="2487">
        <f t="shared" si="49"/>
        <v>180859.29027261797</v>
      </c>
      <c r="AD160" s="2487">
        <f t="shared" si="49"/>
        <v>-16151.082640952791</v>
      </c>
      <c r="AE160" s="2487">
        <f t="shared" si="39"/>
        <v>315594.16877950181</v>
      </c>
      <c r="AF160" s="2487"/>
      <c r="AG160" s="2487">
        <f t="shared" si="50"/>
        <v>28472.18673513988</v>
      </c>
      <c r="AH160" s="2487">
        <f t="shared" si="50"/>
        <v>3233.4334850305936</v>
      </c>
      <c r="AI160" s="2487">
        <f t="shared" si="50"/>
        <v>59670.591944930027</v>
      </c>
      <c r="AJ160" s="2487">
        <f t="shared" si="50"/>
        <v>-1967.5403600305935</v>
      </c>
      <c r="AK160" s="2487">
        <f t="shared" si="50"/>
        <v>89408.671805069913</v>
      </c>
    </row>
    <row r="161" spans="25:37">
      <c r="Y161" s="477">
        <v>154</v>
      </c>
      <c r="Z161" s="477">
        <v>203106</v>
      </c>
      <c r="AA161" s="2487">
        <f t="shared" si="49"/>
        <v>141673.76797421335</v>
      </c>
      <c r="AB161" s="2487">
        <f t="shared" si="49"/>
        <v>9212.1931736232491</v>
      </c>
      <c r="AC161" s="2487">
        <f t="shared" si="49"/>
        <v>180859.29027261797</v>
      </c>
      <c r="AD161" s="2487">
        <f t="shared" si="49"/>
        <v>-16151.082640952791</v>
      </c>
      <c r="AE161" s="2487">
        <f t="shared" si="39"/>
        <v>315594.16877950181</v>
      </c>
      <c r="AF161" s="2487"/>
      <c r="AG161" s="2487">
        <f t="shared" si="50"/>
        <v>28472.18673513988</v>
      </c>
      <c r="AH161" s="2487">
        <f t="shared" si="50"/>
        <v>3233.4334850305936</v>
      </c>
      <c r="AI161" s="2487">
        <f t="shared" si="50"/>
        <v>59670.591944930027</v>
      </c>
      <c r="AJ161" s="2487">
        <f t="shared" si="50"/>
        <v>-1967.5403600305935</v>
      </c>
      <c r="AK161" s="2487">
        <f t="shared" si="50"/>
        <v>89408.671805069913</v>
      </c>
    </row>
    <row r="162" spans="25:37">
      <c r="Y162" s="477">
        <v>155</v>
      </c>
      <c r="Z162" s="477">
        <v>203107</v>
      </c>
      <c r="AA162" s="2487">
        <f t="shared" si="49"/>
        <v>141673.76797421335</v>
      </c>
      <c r="AB162" s="2487">
        <f t="shared" si="49"/>
        <v>9212.1931736232491</v>
      </c>
      <c r="AC162" s="2487">
        <f t="shared" si="49"/>
        <v>180859.29027261797</v>
      </c>
      <c r="AD162" s="2487">
        <f t="shared" si="49"/>
        <v>-16151.082640952791</v>
      </c>
      <c r="AE162" s="2487">
        <f t="shared" si="39"/>
        <v>315594.16877950181</v>
      </c>
      <c r="AF162" s="2487"/>
      <c r="AG162" s="2487">
        <f t="shared" si="50"/>
        <v>28472.18673513988</v>
      </c>
      <c r="AH162" s="2487">
        <f t="shared" si="50"/>
        <v>3233.4334850305936</v>
      </c>
      <c r="AI162" s="2487">
        <f t="shared" si="50"/>
        <v>59670.591944930027</v>
      </c>
      <c r="AJ162" s="2487">
        <f t="shared" si="50"/>
        <v>-1967.5403600305935</v>
      </c>
      <c r="AK162" s="2487">
        <f t="shared" si="50"/>
        <v>89408.671805069913</v>
      </c>
    </row>
    <row r="163" spans="25:37">
      <c r="Y163" s="477">
        <v>156</v>
      </c>
      <c r="Z163" s="477">
        <v>203108</v>
      </c>
      <c r="AA163" s="2487">
        <f t="shared" si="49"/>
        <v>141673.76797421335</v>
      </c>
      <c r="AB163" s="2487">
        <f t="shared" si="49"/>
        <v>9212.1931736232491</v>
      </c>
      <c r="AC163" s="2487">
        <f t="shared" si="49"/>
        <v>180859.29027261797</v>
      </c>
      <c r="AD163" s="2487">
        <f t="shared" si="49"/>
        <v>-16151.082640952791</v>
      </c>
      <c r="AE163" s="2487">
        <f t="shared" si="39"/>
        <v>315594.16877950181</v>
      </c>
      <c r="AF163" s="2487"/>
      <c r="AG163" s="2487">
        <f t="shared" si="50"/>
        <v>28472.18673513988</v>
      </c>
      <c r="AH163" s="2487">
        <f t="shared" si="50"/>
        <v>3233.4334850305936</v>
      </c>
      <c r="AI163" s="2487">
        <f t="shared" si="50"/>
        <v>59670.591944930027</v>
      </c>
      <c r="AJ163" s="2487">
        <f t="shared" si="50"/>
        <v>-1967.5403600305935</v>
      </c>
      <c r="AK163" s="2487">
        <f t="shared" si="50"/>
        <v>89408.671805069913</v>
      </c>
    </row>
    <row r="164" spans="25:37">
      <c r="Y164" s="477">
        <v>157</v>
      </c>
      <c r="Z164" s="477">
        <v>203109</v>
      </c>
      <c r="AA164" s="2487">
        <f t="shared" si="49"/>
        <v>141673.76797421335</v>
      </c>
      <c r="AB164" s="2487">
        <f t="shared" si="49"/>
        <v>9212.1931736232491</v>
      </c>
      <c r="AC164" s="2487">
        <f t="shared" si="49"/>
        <v>180859.29027261797</v>
      </c>
      <c r="AD164" s="2487">
        <f t="shared" si="49"/>
        <v>-16151.082640952791</v>
      </c>
      <c r="AE164" s="2487">
        <f t="shared" si="39"/>
        <v>315594.16877950181</v>
      </c>
      <c r="AF164" s="2487"/>
      <c r="AG164" s="2487">
        <f t="shared" si="50"/>
        <v>28472.18673513988</v>
      </c>
      <c r="AH164" s="2487">
        <f t="shared" si="50"/>
        <v>3233.4334850305936</v>
      </c>
      <c r="AI164" s="2487">
        <f t="shared" si="50"/>
        <v>59670.591944930027</v>
      </c>
      <c r="AJ164" s="2487">
        <f t="shared" si="50"/>
        <v>-1967.5403600305935</v>
      </c>
      <c r="AK164" s="2487">
        <f t="shared" si="50"/>
        <v>89408.671805069913</v>
      </c>
    </row>
    <row r="165" spans="25:37">
      <c r="Y165" s="477">
        <v>158</v>
      </c>
      <c r="Z165" s="477">
        <v>203110</v>
      </c>
      <c r="AA165" s="2487">
        <f t="shared" si="49"/>
        <v>141673.76797421335</v>
      </c>
      <c r="AB165" s="2487">
        <f t="shared" si="49"/>
        <v>9212.1931736232491</v>
      </c>
      <c r="AC165" s="2487">
        <f t="shared" si="49"/>
        <v>180859.29027261797</v>
      </c>
      <c r="AD165" s="2487">
        <f t="shared" si="49"/>
        <v>-16151.082640952791</v>
      </c>
      <c r="AE165" s="2487">
        <f t="shared" si="39"/>
        <v>315594.16877950181</v>
      </c>
      <c r="AF165" s="2487"/>
      <c r="AG165" s="2487">
        <f t="shared" si="50"/>
        <v>28472.18673513988</v>
      </c>
      <c r="AH165" s="2487">
        <f t="shared" si="50"/>
        <v>3233.4334850305936</v>
      </c>
      <c r="AI165" s="2487">
        <f t="shared" si="50"/>
        <v>59670.591944930027</v>
      </c>
      <c r="AJ165" s="2487">
        <f t="shared" si="50"/>
        <v>-1967.5403600305935</v>
      </c>
      <c r="AK165" s="2487">
        <f t="shared" si="50"/>
        <v>89408.671805069913</v>
      </c>
    </row>
    <row r="166" spans="25:37">
      <c r="Y166" s="477">
        <v>159</v>
      </c>
      <c r="Z166" s="477">
        <v>203111</v>
      </c>
      <c r="AA166" s="2487">
        <f t="shared" si="49"/>
        <v>141673.76797421335</v>
      </c>
      <c r="AB166" s="2487">
        <f t="shared" si="49"/>
        <v>9212.1931736232491</v>
      </c>
      <c r="AC166" s="2487">
        <f t="shared" si="49"/>
        <v>180859.29027261797</v>
      </c>
      <c r="AD166" s="2487">
        <f t="shared" si="49"/>
        <v>-16151.082640952791</v>
      </c>
      <c r="AE166" s="2487">
        <f t="shared" si="39"/>
        <v>315594.16877950181</v>
      </c>
      <c r="AF166" s="2487"/>
      <c r="AG166" s="2487">
        <f t="shared" si="50"/>
        <v>28472.18673513988</v>
      </c>
      <c r="AH166" s="2487">
        <f t="shared" si="50"/>
        <v>3233.4334850305936</v>
      </c>
      <c r="AI166" s="2487">
        <f t="shared" si="50"/>
        <v>59670.591944930027</v>
      </c>
      <c r="AJ166" s="2487">
        <f t="shared" si="50"/>
        <v>-1967.5403600305935</v>
      </c>
      <c r="AK166" s="2487">
        <f t="shared" si="50"/>
        <v>89408.671805069913</v>
      </c>
    </row>
    <row r="167" spans="25:37">
      <c r="Y167" s="477">
        <v>160</v>
      </c>
      <c r="Z167" s="477">
        <v>203112</v>
      </c>
      <c r="AA167" s="2487">
        <f t="shared" si="49"/>
        <v>141673.76797421335</v>
      </c>
      <c r="AB167" s="2487">
        <f t="shared" si="49"/>
        <v>9212.1931736232491</v>
      </c>
      <c r="AC167" s="2487">
        <f t="shared" si="49"/>
        <v>180859.29027261797</v>
      </c>
      <c r="AD167" s="2487">
        <f t="shared" si="49"/>
        <v>-16151.082640952791</v>
      </c>
      <c r="AE167" s="2487">
        <f t="shared" si="39"/>
        <v>315594.16877950181</v>
      </c>
      <c r="AF167" s="2487"/>
      <c r="AG167" s="2487">
        <f t="shared" si="50"/>
        <v>28472.18673513988</v>
      </c>
      <c r="AH167" s="2487">
        <f t="shared" si="50"/>
        <v>3233.4334850305936</v>
      </c>
      <c r="AI167" s="2487">
        <f t="shared" si="50"/>
        <v>59670.591944930027</v>
      </c>
      <c r="AJ167" s="2487">
        <f t="shared" si="50"/>
        <v>-1967.5403600305935</v>
      </c>
      <c r="AK167" s="2487">
        <f t="shared" si="50"/>
        <v>89408.671805069913</v>
      </c>
    </row>
    <row r="168" spans="25:37">
      <c r="Y168" s="477">
        <v>161</v>
      </c>
      <c r="Z168" s="477">
        <v>203201</v>
      </c>
      <c r="AA168" s="2487">
        <f t="shared" si="49"/>
        <v>141673.76797421335</v>
      </c>
      <c r="AB168" s="2487">
        <f t="shared" si="49"/>
        <v>9212.1931736232491</v>
      </c>
      <c r="AC168" s="2487">
        <f t="shared" si="49"/>
        <v>180859.29027261797</v>
      </c>
      <c r="AD168" s="2487">
        <f t="shared" si="49"/>
        <v>-16151.082640952791</v>
      </c>
      <c r="AE168" s="2487">
        <f t="shared" si="39"/>
        <v>315594.16877950181</v>
      </c>
      <c r="AF168" s="2487"/>
      <c r="AG168" s="2487">
        <f t="shared" si="50"/>
        <v>28472.18673513988</v>
      </c>
      <c r="AH168" s="2487">
        <f t="shared" si="50"/>
        <v>3233.4334850305936</v>
      </c>
      <c r="AI168" s="2487">
        <f t="shared" si="50"/>
        <v>59670.591944930027</v>
      </c>
      <c r="AJ168" s="2487">
        <f t="shared" si="50"/>
        <v>-1967.5403600305935</v>
      </c>
      <c r="AK168" s="2487">
        <f t="shared" si="50"/>
        <v>89408.671805069913</v>
      </c>
    </row>
    <row r="169" spans="25:37">
      <c r="Y169" s="477">
        <v>162</v>
      </c>
      <c r="Z169" s="477">
        <v>203202</v>
      </c>
      <c r="AA169" s="2487">
        <f t="shared" si="49"/>
        <v>141673.76797421335</v>
      </c>
      <c r="AB169" s="2487">
        <f t="shared" si="49"/>
        <v>9212.1931736232491</v>
      </c>
      <c r="AC169" s="2487">
        <f t="shared" si="49"/>
        <v>180859.29027261797</v>
      </c>
      <c r="AD169" s="2487">
        <f t="shared" si="49"/>
        <v>-16151.082640952791</v>
      </c>
      <c r="AE169" s="2487">
        <f t="shared" si="39"/>
        <v>315594.16877950181</v>
      </c>
      <c r="AF169" s="2487"/>
      <c r="AG169" s="2487">
        <f t="shared" si="50"/>
        <v>28472.18673513988</v>
      </c>
      <c r="AH169" s="2487">
        <f t="shared" si="50"/>
        <v>3233.4334850305936</v>
      </c>
      <c r="AI169" s="2487">
        <f t="shared" si="50"/>
        <v>59670.591944930027</v>
      </c>
      <c r="AJ169" s="2487">
        <f t="shared" si="50"/>
        <v>-1967.5403600305935</v>
      </c>
      <c r="AK169" s="2487">
        <f t="shared" si="50"/>
        <v>89408.671805069913</v>
      </c>
    </row>
    <row r="170" spans="25:37">
      <c r="Y170" s="477">
        <v>163</v>
      </c>
      <c r="Z170" s="477">
        <v>203203</v>
      </c>
      <c r="AA170" s="2487">
        <f t="shared" si="49"/>
        <v>141673.76797421335</v>
      </c>
      <c r="AB170" s="2487">
        <f t="shared" si="49"/>
        <v>9212.1931736232491</v>
      </c>
      <c r="AC170" s="2487">
        <f t="shared" si="49"/>
        <v>180859.29027261797</v>
      </c>
      <c r="AD170" s="2487">
        <f t="shared" si="49"/>
        <v>-16151.082640952791</v>
      </c>
      <c r="AE170" s="2487">
        <f t="shared" si="39"/>
        <v>315594.16877950181</v>
      </c>
      <c r="AF170" s="2487"/>
      <c r="AG170" s="2487">
        <f t="shared" si="50"/>
        <v>28472.18673513988</v>
      </c>
      <c r="AH170" s="2487">
        <f t="shared" si="50"/>
        <v>3233.4334850305936</v>
      </c>
      <c r="AI170" s="2487">
        <f t="shared" si="50"/>
        <v>59670.591944930027</v>
      </c>
      <c r="AJ170" s="2487">
        <f t="shared" si="50"/>
        <v>-1967.5403600305935</v>
      </c>
      <c r="AK170" s="2487">
        <f t="shared" si="50"/>
        <v>89408.671805069913</v>
      </c>
    </row>
    <row r="171" spans="25:37">
      <c r="Y171" s="477">
        <v>164</v>
      </c>
      <c r="Z171" s="477">
        <v>203204</v>
      </c>
      <c r="AA171" s="2487">
        <f t="shared" si="49"/>
        <v>141673.76797421335</v>
      </c>
      <c r="AB171" s="2487">
        <f t="shared" si="49"/>
        <v>9212.1931736232491</v>
      </c>
      <c r="AC171" s="2487">
        <f t="shared" si="49"/>
        <v>180859.29027261797</v>
      </c>
      <c r="AD171" s="2487">
        <f t="shared" si="49"/>
        <v>-16151.082640952791</v>
      </c>
      <c r="AE171" s="2487">
        <f t="shared" si="39"/>
        <v>315594.16877950181</v>
      </c>
      <c r="AF171" s="2487"/>
      <c r="AG171" s="2487">
        <f t="shared" si="50"/>
        <v>28472.18673513988</v>
      </c>
      <c r="AH171" s="2487">
        <f t="shared" si="50"/>
        <v>3233.4334850305936</v>
      </c>
      <c r="AI171" s="2487">
        <f t="shared" si="50"/>
        <v>59670.591944930027</v>
      </c>
      <c r="AJ171" s="2487">
        <f t="shared" si="50"/>
        <v>-1967.5403600305935</v>
      </c>
      <c r="AK171" s="2487">
        <f t="shared" si="50"/>
        <v>89408.671805069913</v>
      </c>
    </row>
    <row r="172" spans="25:37">
      <c r="Y172" s="477">
        <v>165</v>
      </c>
      <c r="Z172" s="477">
        <v>203205</v>
      </c>
      <c r="AA172" s="2487">
        <f t="shared" si="49"/>
        <v>141673.76797421335</v>
      </c>
      <c r="AB172" s="2487">
        <f t="shared" si="49"/>
        <v>9212.1931736232491</v>
      </c>
      <c r="AC172" s="2487">
        <f t="shared" si="49"/>
        <v>180859.29027261797</v>
      </c>
      <c r="AD172" s="2487">
        <f t="shared" si="49"/>
        <v>-16151.082640952791</v>
      </c>
      <c r="AE172" s="2487">
        <f t="shared" si="39"/>
        <v>315594.16877950181</v>
      </c>
      <c r="AF172" s="2487"/>
      <c r="AG172" s="2487">
        <f t="shared" si="50"/>
        <v>28472.18673513988</v>
      </c>
      <c r="AH172" s="2487">
        <f t="shared" si="50"/>
        <v>3233.4334850305936</v>
      </c>
      <c r="AI172" s="2487">
        <f t="shared" si="50"/>
        <v>59670.591944930027</v>
      </c>
      <c r="AJ172" s="2487">
        <f t="shared" si="50"/>
        <v>-1967.5403600305935</v>
      </c>
      <c r="AK172" s="2487">
        <f t="shared" si="50"/>
        <v>89408.671805069913</v>
      </c>
    </row>
    <row r="173" spans="25:37">
      <c r="Y173" s="477">
        <v>166</v>
      </c>
      <c r="Z173" s="477">
        <v>203206</v>
      </c>
      <c r="AA173" s="2487">
        <f t="shared" ref="AA173:AD187" si="51">AA172</f>
        <v>141673.76797421335</v>
      </c>
      <c r="AB173" s="2487">
        <f t="shared" si="51"/>
        <v>9212.1931736232491</v>
      </c>
      <c r="AC173" s="2487">
        <f t="shared" si="51"/>
        <v>180859.29027261797</v>
      </c>
      <c r="AD173" s="2487">
        <f t="shared" si="51"/>
        <v>-16151.082640952791</v>
      </c>
      <c r="AE173" s="2487">
        <f t="shared" ref="AE173:AE187" si="52">SUM(AA173:AD173)</f>
        <v>315594.16877950181</v>
      </c>
      <c r="AF173" s="2487"/>
      <c r="AG173" s="2487">
        <f t="shared" ref="AG173:AK187" si="53">AG172</f>
        <v>28472.18673513988</v>
      </c>
      <c r="AH173" s="2487">
        <f t="shared" si="53"/>
        <v>3233.4334850305936</v>
      </c>
      <c r="AI173" s="2487">
        <f t="shared" si="53"/>
        <v>59670.591944930027</v>
      </c>
      <c r="AJ173" s="2487">
        <f t="shared" si="53"/>
        <v>-1967.5403600305935</v>
      </c>
      <c r="AK173" s="2487">
        <f t="shared" si="53"/>
        <v>89408.671805069913</v>
      </c>
    </row>
    <row r="174" spans="25:37">
      <c r="Y174" s="477">
        <v>167</v>
      </c>
      <c r="Z174" s="477">
        <v>203207</v>
      </c>
      <c r="AA174" s="2487">
        <f t="shared" si="51"/>
        <v>141673.76797421335</v>
      </c>
      <c r="AB174" s="2487">
        <f t="shared" si="51"/>
        <v>9212.1931736232491</v>
      </c>
      <c r="AC174" s="2487">
        <f t="shared" si="51"/>
        <v>180859.29027261797</v>
      </c>
      <c r="AD174" s="2487">
        <f t="shared" si="51"/>
        <v>-16151.082640952791</v>
      </c>
      <c r="AE174" s="2487">
        <f t="shared" si="52"/>
        <v>315594.16877950181</v>
      </c>
      <c r="AF174" s="2487"/>
      <c r="AG174" s="2487">
        <f t="shared" si="53"/>
        <v>28472.18673513988</v>
      </c>
      <c r="AH174" s="2487">
        <f t="shared" si="53"/>
        <v>3233.4334850305936</v>
      </c>
      <c r="AI174" s="2487">
        <f t="shared" si="53"/>
        <v>59670.591944930027</v>
      </c>
      <c r="AJ174" s="2487">
        <f t="shared" si="53"/>
        <v>-1967.5403600305935</v>
      </c>
      <c r="AK174" s="2487">
        <f t="shared" si="53"/>
        <v>89408.671805069913</v>
      </c>
    </row>
    <row r="175" spans="25:37">
      <c r="Y175" s="477">
        <v>168</v>
      </c>
      <c r="Z175" s="477">
        <v>203208</v>
      </c>
      <c r="AA175" s="2487">
        <f t="shared" si="51"/>
        <v>141673.76797421335</v>
      </c>
      <c r="AB175" s="2487">
        <f t="shared" si="51"/>
        <v>9212.1931736232491</v>
      </c>
      <c r="AC175" s="2487">
        <f t="shared" si="51"/>
        <v>180859.29027261797</v>
      </c>
      <c r="AD175" s="2487">
        <f t="shared" si="51"/>
        <v>-16151.082640952791</v>
      </c>
      <c r="AE175" s="2487">
        <f t="shared" si="52"/>
        <v>315594.16877950181</v>
      </c>
      <c r="AF175" s="2487"/>
      <c r="AG175" s="2487">
        <f t="shared" si="53"/>
        <v>28472.18673513988</v>
      </c>
      <c r="AH175" s="2487">
        <f t="shared" si="53"/>
        <v>3233.4334850305936</v>
      </c>
      <c r="AI175" s="2487">
        <f t="shared" si="53"/>
        <v>59670.591944930027</v>
      </c>
      <c r="AJ175" s="2487">
        <f t="shared" si="53"/>
        <v>-1967.5403600305935</v>
      </c>
      <c r="AK175" s="2487">
        <f t="shared" si="53"/>
        <v>89408.671805069913</v>
      </c>
    </row>
    <row r="176" spans="25:37">
      <c r="Y176" s="477">
        <v>169</v>
      </c>
      <c r="Z176" s="477">
        <v>203209</v>
      </c>
      <c r="AA176" s="2487">
        <f t="shared" si="51"/>
        <v>141673.76797421335</v>
      </c>
      <c r="AB176" s="2487">
        <f t="shared" si="51"/>
        <v>9212.1931736232491</v>
      </c>
      <c r="AC176" s="2487">
        <f t="shared" si="51"/>
        <v>180859.29027261797</v>
      </c>
      <c r="AD176" s="2487">
        <f t="shared" si="51"/>
        <v>-16151.082640952791</v>
      </c>
      <c r="AE176" s="2487">
        <f t="shared" si="52"/>
        <v>315594.16877950181</v>
      </c>
      <c r="AF176" s="2487"/>
      <c r="AG176" s="2487">
        <f t="shared" si="53"/>
        <v>28472.18673513988</v>
      </c>
      <c r="AH176" s="2487">
        <f t="shared" si="53"/>
        <v>3233.4334850305936</v>
      </c>
      <c r="AI176" s="2487">
        <f t="shared" si="53"/>
        <v>59670.591944930027</v>
      </c>
      <c r="AJ176" s="2487">
        <f t="shared" si="53"/>
        <v>-1967.5403600305935</v>
      </c>
      <c r="AK176" s="2487">
        <f t="shared" si="53"/>
        <v>89408.671805069913</v>
      </c>
    </row>
    <row r="177" spans="25:37">
      <c r="Y177" s="477">
        <v>170</v>
      </c>
      <c r="Z177" s="477">
        <v>203210</v>
      </c>
      <c r="AA177" s="2487">
        <f t="shared" si="51"/>
        <v>141673.76797421335</v>
      </c>
      <c r="AB177" s="2487">
        <f t="shared" si="51"/>
        <v>9212.1931736232491</v>
      </c>
      <c r="AC177" s="2487">
        <f t="shared" si="51"/>
        <v>180859.29027261797</v>
      </c>
      <c r="AD177" s="2487">
        <f t="shared" si="51"/>
        <v>-16151.082640952791</v>
      </c>
      <c r="AE177" s="2487">
        <f t="shared" si="52"/>
        <v>315594.16877950181</v>
      </c>
      <c r="AF177" s="2487"/>
      <c r="AG177" s="2487">
        <f t="shared" si="53"/>
        <v>28472.18673513988</v>
      </c>
      <c r="AH177" s="2487">
        <f t="shared" si="53"/>
        <v>3233.4334850305936</v>
      </c>
      <c r="AI177" s="2487">
        <f t="shared" si="53"/>
        <v>59670.591944930027</v>
      </c>
      <c r="AJ177" s="2487">
        <f t="shared" si="53"/>
        <v>-1967.5403600305935</v>
      </c>
      <c r="AK177" s="2487">
        <f t="shared" si="53"/>
        <v>89408.671805069913</v>
      </c>
    </row>
    <row r="178" spans="25:37">
      <c r="Y178" s="477">
        <v>171</v>
      </c>
      <c r="Z178" s="477">
        <v>203211</v>
      </c>
      <c r="AA178" s="2487">
        <f t="shared" si="51"/>
        <v>141673.76797421335</v>
      </c>
      <c r="AB178" s="2487">
        <f t="shared" si="51"/>
        <v>9212.1931736232491</v>
      </c>
      <c r="AC178" s="2487">
        <f t="shared" si="51"/>
        <v>180859.29027261797</v>
      </c>
      <c r="AD178" s="2487">
        <f t="shared" si="51"/>
        <v>-16151.082640952791</v>
      </c>
      <c r="AE178" s="2487">
        <f t="shared" si="52"/>
        <v>315594.16877950181</v>
      </c>
      <c r="AF178" s="2487"/>
      <c r="AG178" s="2487">
        <f t="shared" si="53"/>
        <v>28472.18673513988</v>
      </c>
      <c r="AH178" s="2487">
        <f t="shared" si="53"/>
        <v>3233.4334850305936</v>
      </c>
      <c r="AI178" s="2487">
        <f t="shared" si="53"/>
        <v>59670.591944930027</v>
      </c>
      <c r="AJ178" s="2487">
        <f t="shared" si="53"/>
        <v>-1967.5403600305935</v>
      </c>
      <c r="AK178" s="2487">
        <f t="shared" si="53"/>
        <v>89408.671805069913</v>
      </c>
    </row>
    <row r="179" spans="25:37">
      <c r="Y179" s="477">
        <v>172</v>
      </c>
      <c r="Z179" s="477">
        <v>203212</v>
      </c>
      <c r="AA179" s="2487">
        <f t="shared" si="51"/>
        <v>141673.76797421335</v>
      </c>
      <c r="AB179" s="2487">
        <f t="shared" si="51"/>
        <v>9212.1931736232491</v>
      </c>
      <c r="AC179" s="2487">
        <f t="shared" si="51"/>
        <v>180859.29027261797</v>
      </c>
      <c r="AD179" s="2487">
        <f t="shared" si="51"/>
        <v>-16151.082640952791</v>
      </c>
      <c r="AE179" s="2487">
        <f t="shared" si="52"/>
        <v>315594.16877950181</v>
      </c>
      <c r="AF179" s="2487"/>
      <c r="AG179" s="2487">
        <f t="shared" si="53"/>
        <v>28472.18673513988</v>
      </c>
      <c r="AH179" s="2487">
        <f t="shared" si="53"/>
        <v>3233.4334850305936</v>
      </c>
      <c r="AI179" s="2487">
        <f t="shared" si="53"/>
        <v>59670.591944930027</v>
      </c>
      <c r="AJ179" s="2487">
        <f t="shared" si="53"/>
        <v>-1967.5403600305935</v>
      </c>
      <c r="AK179" s="2487">
        <f t="shared" si="53"/>
        <v>89408.671805069913</v>
      </c>
    </row>
    <row r="180" spans="25:37">
      <c r="Y180" s="477">
        <v>173</v>
      </c>
      <c r="Z180" s="477">
        <v>203301</v>
      </c>
      <c r="AA180" s="2487">
        <f t="shared" si="51"/>
        <v>141673.76797421335</v>
      </c>
      <c r="AB180" s="2487">
        <f t="shared" si="51"/>
        <v>9212.1931736232491</v>
      </c>
      <c r="AC180" s="2487">
        <f t="shared" si="51"/>
        <v>180859.29027261797</v>
      </c>
      <c r="AD180" s="2487">
        <f t="shared" si="51"/>
        <v>-16151.082640952791</v>
      </c>
      <c r="AE180" s="2487">
        <f t="shared" si="52"/>
        <v>315594.16877950181</v>
      </c>
      <c r="AF180" s="2487"/>
      <c r="AG180" s="2487">
        <f t="shared" si="53"/>
        <v>28472.18673513988</v>
      </c>
      <c r="AH180" s="2487">
        <f t="shared" si="53"/>
        <v>3233.4334850305936</v>
      </c>
      <c r="AI180" s="2487">
        <f t="shared" si="53"/>
        <v>59670.591944930027</v>
      </c>
      <c r="AJ180" s="2487">
        <f t="shared" si="53"/>
        <v>-1967.5403600305935</v>
      </c>
      <c r="AK180" s="2487">
        <f t="shared" si="53"/>
        <v>89408.671805069913</v>
      </c>
    </row>
    <row r="181" spans="25:37">
      <c r="Y181" s="477">
        <v>174</v>
      </c>
      <c r="Z181" s="477">
        <v>203302</v>
      </c>
      <c r="AA181" s="2487">
        <f t="shared" si="51"/>
        <v>141673.76797421335</v>
      </c>
      <c r="AB181" s="2487">
        <f t="shared" si="51"/>
        <v>9212.1931736232491</v>
      </c>
      <c r="AC181" s="2487">
        <f t="shared" si="51"/>
        <v>180859.29027261797</v>
      </c>
      <c r="AD181" s="2487">
        <f t="shared" si="51"/>
        <v>-16151.082640952791</v>
      </c>
      <c r="AE181" s="2487">
        <f t="shared" si="52"/>
        <v>315594.16877950181</v>
      </c>
      <c r="AF181" s="2487"/>
      <c r="AG181" s="2487">
        <f t="shared" si="53"/>
        <v>28472.18673513988</v>
      </c>
      <c r="AH181" s="2487">
        <f t="shared" si="53"/>
        <v>3233.4334850305936</v>
      </c>
      <c r="AI181" s="2487">
        <f t="shared" si="53"/>
        <v>59670.591944930027</v>
      </c>
      <c r="AJ181" s="2487">
        <f t="shared" si="53"/>
        <v>-1967.5403600305935</v>
      </c>
      <c r="AK181" s="2487">
        <f t="shared" si="53"/>
        <v>89408.671805069913</v>
      </c>
    </row>
    <row r="182" spans="25:37">
      <c r="Y182" s="477">
        <v>175</v>
      </c>
      <c r="Z182" s="477">
        <v>203303</v>
      </c>
      <c r="AA182" s="2487">
        <f t="shared" si="51"/>
        <v>141673.76797421335</v>
      </c>
      <c r="AB182" s="2487">
        <f t="shared" si="51"/>
        <v>9212.1931736232491</v>
      </c>
      <c r="AC182" s="2487">
        <f t="shared" si="51"/>
        <v>180859.29027261797</v>
      </c>
      <c r="AD182" s="2487">
        <f t="shared" si="51"/>
        <v>-16151.082640952791</v>
      </c>
      <c r="AE182" s="2487">
        <f t="shared" si="52"/>
        <v>315594.16877950181</v>
      </c>
      <c r="AF182" s="2487"/>
      <c r="AG182" s="2487">
        <f t="shared" si="53"/>
        <v>28472.18673513988</v>
      </c>
      <c r="AH182" s="2487">
        <f t="shared" si="53"/>
        <v>3233.4334850305936</v>
      </c>
      <c r="AI182" s="2487">
        <f t="shared" si="53"/>
        <v>59670.591944930027</v>
      </c>
      <c r="AJ182" s="2487">
        <f t="shared" si="53"/>
        <v>-1967.5403600305935</v>
      </c>
      <c r="AK182" s="2487">
        <f t="shared" si="53"/>
        <v>89408.671805069913</v>
      </c>
    </row>
    <row r="183" spans="25:37">
      <c r="Y183" s="477">
        <v>176</v>
      </c>
      <c r="Z183" s="477">
        <v>203304</v>
      </c>
      <c r="AA183" s="2487">
        <f t="shared" si="51"/>
        <v>141673.76797421335</v>
      </c>
      <c r="AB183" s="2487">
        <f t="shared" si="51"/>
        <v>9212.1931736232491</v>
      </c>
      <c r="AC183" s="2487">
        <f t="shared" si="51"/>
        <v>180859.29027261797</v>
      </c>
      <c r="AD183" s="2487">
        <f t="shared" si="51"/>
        <v>-16151.082640952791</v>
      </c>
      <c r="AE183" s="2487">
        <f t="shared" si="52"/>
        <v>315594.16877950181</v>
      </c>
      <c r="AF183" s="2487"/>
      <c r="AG183" s="2487">
        <f t="shared" si="53"/>
        <v>28472.18673513988</v>
      </c>
      <c r="AH183" s="2487">
        <f t="shared" si="53"/>
        <v>3233.4334850305936</v>
      </c>
      <c r="AI183" s="2487">
        <f t="shared" si="53"/>
        <v>59670.591944930027</v>
      </c>
      <c r="AJ183" s="2487">
        <f t="shared" si="53"/>
        <v>-1967.5403600305935</v>
      </c>
      <c r="AK183" s="2487">
        <f t="shared" si="53"/>
        <v>89408.671805069913</v>
      </c>
    </row>
    <row r="184" spans="25:37">
      <c r="Y184" s="477">
        <v>177</v>
      </c>
      <c r="Z184" s="477">
        <v>203305</v>
      </c>
      <c r="AA184" s="2487">
        <f t="shared" si="51"/>
        <v>141673.76797421335</v>
      </c>
      <c r="AB184" s="2487">
        <f t="shared" si="51"/>
        <v>9212.1931736232491</v>
      </c>
      <c r="AC184" s="2487">
        <f t="shared" si="51"/>
        <v>180859.29027261797</v>
      </c>
      <c r="AD184" s="2487">
        <f t="shared" si="51"/>
        <v>-16151.082640952791</v>
      </c>
      <c r="AE184" s="2487">
        <f t="shared" si="52"/>
        <v>315594.16877950181</v>
      </c>
      <c r="AF184" s="2487"/>
      <c r="AG184" s="2487">
        <f t="shared" si="53"/>
        <v>28472.18673513988</v>
      </c>
      <c r="AH184" s="2487">
        <f t="shared" si="53"/>
        <v>3233.4334850305936</v>
      </c>
      <c r="AI184" s="2487">
        <f t="shared" si="53"/>
        <v>59670.591944930027</v>
      </c>
      <c r="AJ184" s="2487">
        <f t="shared" si="53"/>
        <v>-1967.5403600305935</v>
      </c>
      <c r="AK184" s="2487">
        <f t="shared" si="53"/>
        <v>89408.671805069913</v>
      </c>
    </row>
    <row r="185" spans="25:37">
      <c r="Y185" s="477">
        <v>178</v>
      </c>
      <c r="Z185" s="477">
        <v>203306</v>
      </c>
      <c r="AA185" s="2487">
        <f t="shared" si="51"/>
        <v>141673.76797421335</v>
      </c>
      <c r="AB185" s="2487">
        <f t="shared" si="51"/>
        <v>9212.1931736232491</v>
      </c>
      <c r="AC185" s="2487">
        <f t="shared" si="51"/>
        <v>180859.29027261797</v>
      </c>
      <c r="AD185" s="2487">
        <f t="shared" si="51"/>
        <v>-16151.082640952791</v>
      </c>
      <c r="AE185" s="2487">
        <f t="shared" si="52"/>
        <v>315594.16877950181</v>
      </c>
      <c r="AF185" s="2487"/>
      <c r="AG185" s="2487">
        <f t="shared" si="53"/>
        <v>28472.18673513988</v>
      </c>
      <c r="AH185" s="2487">
        <f t="shared" si="53"/>
        <v>3233.4334850305936</v>
      </c>
      <c r="AI185" s="2487">
        <f t="shared" si="53"/>
        <v>59670.591944930027</v>
      </c>
      <c r="AJ185" s="2487">
        <f t="shared" si="53"/>
        <v>-1967.5403600305935</v>
      </c>
      <c r="AK185" s="2487">
        <f t="shared" si="53"/>
        <v>89408.671805069913</v>
      </c>
    </row>
    <row r="186" spans="25:37">
      <c r="Y186" s="477">
        <v>179</v>
      </c>
      <c r="Z186" s="477">
        <v>203307</v>
      </c>
      <c r="AA186" s="2487">
        <f t="shared" si="51"/>
        <v>141673.76797421335</v>
      </c>
      <c r="AB186" s="2487">
        <f t="shared" si="51"/>
        <v>9212.1931736232491</v>
      </c>
      <c r="AC186" s="2487">
        <f t="shared" si="51"/>
        <v>180859.29027261797</v>
      </c>
      <c r="AD186" s="2487">
        <f t="shared" si="51"/>
        <v>-16151.082640952791</v>
      </c>
      <c r="AE186" s="2487">
        <f t="shared" si="52"/>
        <v>315594.16877950181</v>
      </c>
      <c r="AF186" s="2487"/>
      <c r="AG186" s="2487">
        <f t="shared" si="53"/>
        <v>28472.18673513988</v>
      </c>
      <c r="AH186" s="2487">
        <f t="shared" si="53"/>
        <v>3233.4334850305936</v>
      </c>
      <c r="AI186" s="2487">
        <f t="shared" si="53"/>
        <v>59670.591944930027</v>
      </c>
      <c r="AJ186" s="2487">
        <f t="shared" si="53"/>
        <v>-1967.5403600305935</v>
      </c>
      <c r="AK186" s="2487">
        <f t="shared" si="53"/>
        <v>89408.671805069913</v>
      </c>
    </row>
    <row r="187" spans="25:37">
      <c r="Y187" s="477">
        <v>180</v>
      </c>
      <c r="Z187" s="477">
        <v>203308</v>
      </c>
      <c r="AA187" s="2487">
        <f t="shared" si="51"/>
        <v>141673.76797421335</v>
      </c>
      <c r="AB187" s="2487">
        <f t="shared" si="51"/>
        <v>9212.1931736232491</v>
      </c>
      <c r="AC187" s="2487">
        <f t="shared" si="51"/>
        <v>180859.29027261797</v>
      </c>
      <c r="AD187" s="2487">
        <f t="shared" si="51"/>
        <v>-16151.082640952791</v>
      </c>
      <c r="AE187" s="2487">
        <f t="shared" si="52"/>
        <v>315594.16877950181</v>
      </c>
      <c r="AF187" s="2547"/>
      <c r="AG187" s="2487">
        <f t="shared" si="53"/>
        <v>28472.18673513988</v>
      </c>
      <c r="AH187" s="2487">
        <f t="shared" si="53"/>
        <v>3233.4334850305936</v>
      </c>
      <c r="AI187" s="2487">
        <f t="shared" si="53"/>
        <v>59670.591944930027</v>
      </c>
      <c r="AJ187" s="2487">
        <f t="shared" si="53"/>
        <v>-1967.5403600305935</v>
      </c>
      <c r="AK187" s="2487">
        <f t="shared" si="53"/>
        <v>89408.671805069913</v>
      </c>
    </row>
    <row r="188" spans="25:37" ht="13.5" thickBot="1">
      <c r="AA188" s="2548">
        <f>SUM(AA32:AA187)</f>
        <v>20369297.999999966</v>
      </c>
      <c r="AB188" s="2548">
        <f>SUM(AB32:AB187)</f>
        <v>1416996.949999999</v>
      </c>
      <c r="AC188" s="2548">
        <f>SUM(AC32:AC187)</f>
        <v>26272192.700000063</v>
      </c>
      <c r="AD188" s="2548">
        <f>SUM(AD32:AD187)</f>
        <v>-2304116.6200000066</v>
      </c>
      <c r="AE188" s="2548">
        <f>SUM(AE32:AE187)</f>
        <v>45754371.030000024</v>
      </c>
      <c r="AF188" s="2547"/>
      <c r="AG188" s="2548">
        <f>SUM(AG32:AG187)</f>
        <v>4107086.9999999921</v>
      </c>
      <c r="AH188" s="2548">
        <f>SUM(AH32:AH187)</f>
        <v>500540.57000000105</v>
      </c>
      <c r="AI188" s="2548">
        <f>SUM(AI32:AI187)</f>
        <v>8724633.7700000033</v>
      </c>
      <c r="AJ188" s="2548">
        <f>SUM(AJ32:AJ187)</f>
        <v>-267736.25000000023</v>
      </c>
      <c r="AK188" s="2548">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2.75"/>
  <cols>
    <col min="1" max="1" width="26" style="477" bestFit="1" customWidth="1"/>
    <col min="2" max="2" width="16.42578125" style="2549" customWidth="1"/>
    <col min="3" max="3" width="9.5703125" style="477" customWidth="1"/>
    <col min="4" max="4" width="16" style="477" customWidth="1"/>
    <col min="5" max="5" width="9.5703125" style="477" bestFit="1" customWidth="1"/>
    <col min="6" max="6" width="12.42578125" style="477" bestFit="1" customWidth="1"/>
    <col min="7" max="9" width="11.28515625" style="477" bestFit="1" customWidth="1"/>
    <col min="10" max="10" width="3.5703125" style="477" bestFit="1" customWidth="1"/>
    <col min="11" max="11" width="11.28515625" style="477" bestFit="1" customWidth="1"/>
    <col min="12" max="13" width="12.42578125" style="477" bestFit="1" customWidth="1"/>
    <col min="14" max="14" width="3.28515625" style="477" bestFit="1" customWidth="1"/>
    <col min="15" max="15" width="9.140625" style="477" bestFit="1" customWidth="1"/>
    <col min="16" max="16" width="12.42578125" style="477" bestFit="1" customWidth="1"/>
    <col min="17" max="17" width="11.28515625" style="477" bestFit="1" customWidth="1"/>
    <col min="18" max="18" width="12.42578125" style="477" bestFit="1" customWidth="1"/>
    <col min="19" max="19" width="11.85546875" style="477" customWidth="1"/>
    <col min="20" max="20" width="12.42578125" style="477" bestFit="1" customWidth="1"/>
    <col min="21" max="21" width="4" style="477" customWidth="1"/>
    <col min="22" max="22" width="6.85546875" style="477" customWidth="1"/>
    <col min="23" max="23" width="10" style="477" customWidth="1"/>
    <col min="24" max="24" width="3" style="477" customWidth="1"/>
    <col min="25" max="29" width="13" style="477" customWidth="1"/>
    <col min="30" max="30" width="3.85546875" style="477" customWidth="1"/>
    <col min="31" max="31" width="12.5703125" style="477" customWidth="1"/>
    <col min="32" max="32" width="12.28515625" style="477" customWidth="1"/>
    <col min="33" max="33" width="13.42578125" style="477" customWidth="1"/>
    <col min="34" max="34" width="13.28515625" style="477" bestFit="1" customWidth="1"/>
    <col min="35" max="35" width="11.5703125" style="477" bestFit="1" customWidth="1"/>
    <col min="36" max="36" width="6.28515625" style="477" bestFit="1" customWidth="1"/>
    <col min="37" max="38" width="14" style="477" bestFit="1" customWidth="1"/>
    <col min="39" max="39" width="14" style="477" customWidth="1"/>
    <col min="40" max="40" width="14" style="477" bestFit="1" customWidth="1"/>
    <col min="41" max="41" width="8.85546875" style="477"/>
    <col min="42" max="42" width="1.7109375" style="1008" customWidth="1"/>
    <col min="44" max="44" width="12.42578125" style="2582" customWidth="1"/>
    <col min="45" max="46" width="16.28515625" style="2582" customWidth="1"/>
    <col min="47" max="47" width="17.5703125" style="2582" customWidth="1"/>
    <col min="48" max="48" width="33.85546875" style="2582" customWidth="1"/>
    <col min="50" max="50" width="1.5703125" style="1008" customWidth="1"/>
    <col min="52" max="52" width="22.85546875" style="477" bestFit="1" customWidth="1"/>
    <col min="53" max="53" width="16.42578125" style="2549" bestFit="1" customWidth="1"/>
    <col min="54" max="56" width="13.140625" style="477" bestFit="1" customWidth="1"/>
    <col min="57" max="58" width="13.42578125" style="477" customWidth="1"/>
    <col min="59" max="59" width="9" style="477"/>
    <col min="60" max="60" width="25.140625" style="477" bestFit="1" customWidth="1"/>
    <col min="61" max="61" width="16.42578125" style="477" bestFit="1" customWidth="1"/>
    <col min="62" max="62" width="12" style="477" bestFit="1" customWidth="1"/>
    <col min="63" max="63" width="11.85546875" style="477" bestFit="1" customWidth="1"/>
    <col min="64" max="64" width="13.140625" style="477" bestFit="1" customWidth="1"/>
    <col min="65" max="67" width="8.85546875" style="477"/>
    <col min="68" max="68" width="1.5703125" style="1008" customWidth="1"/>
    <col min="70" max="70" width="22.85546875" style="477" bestFit="1" customWidth="1"/>
    <col min="71" max="71" width="23.7109375" style="2608" bestFit="1" customWidth="1"/>
    <col min="72" max="73" width="8.42578125" style="477" bestFit="1" customWidth="1"/>
    <col min="74" max="74" width="11.28515625" style="477" bestFit="1" customWidth="1"/>
    <col min="75" max="76" width="9.5703125" style="477" bestFit="1" customWidth="1"/>
    <col min="77" max="77" width="11.5703125" style="477" bestFit="1" customWidth="1"/>
    <col min="78" max="78" width="9.5703125" style="954" bestFit="1" customWidth="1"/>
    <col min="79" max="79" width="11.5703125" style="477" bestFit="1" customWidth="1"/>
    <col min="80" max="80" width="11.42578125" style="477" bestFit="1" customWidth="1"/>
    <col min="81" max="81" width="10.140625" style="477" bestFit="1" customWidth="1"/>
    <col min="82" max="82" width="12.140625" style="477" bestFit="1" customWidth="1"/>
    <col min="83" max="83" width="8.85546875" style="477"/>
    <col min="84" max="84" width="17.5703125" style="477" bestFit="1" customWidth="1"/>
    <col min="85" max="85" width="8.85546875" style="477"/>
    <col min="86" max="86" width="1.5703125" style="1008" customWidth="1"/>
    <col min="88" max="88" width="23" style="477" bestFit="1" customWidth="1"/>
    <col min="89" max="89" width="23.7109375" style="477" bestFit="1" customWidth="1"/>
    <col min="90" max="90" width="26.42578125" style="477" bestFit="1" customWidth="1"/>
    <col min="91" max="91" width="11.140625" style="477" customWidth="1"/>
    <col min="92" max="92" width="8.85546875" style="477"/>
    <col min="93" max="93" width="10.5703125" style="477" bestFit="1" customWidth="1"/>
    <col min="94" max="94" width="9.5703125" style="477" bestFit="1" customWidth="1"/>
    <col min="95" max="98" width="8.85546875" style="477"/>
    <col min="99" max="99" width="13.85546875" style="477" bestFit="1" customWidth="1"/>
    <col min="100" max="103" width="8.85546875" style="477"/>
  </cols>
  <sheetData>
    <row r="1" spans="1:102">
      <c r="A1" s="1569" t="s">
        <v>679</v>
      </c>
      <c r="B1" s="1569" t="s">
        <v>1701</v>
      </c>
      <c r="D1" s="1414" t="s">
        <v>2290</v>
      </c>
      <c r="AR1" s="2584" t="s">
        <v>111</v>
      </c>
      <c r="AZ1" s="1414" t="s">
        <v>2330</v>
      </c>
      <c r="BR1" s="1414" t="s">
        <v>2344</v>
      </c>
    </row>
    <row r="2" spans="1:102">
      <c r="A2" s="1569" t="s">
        <v>1758</v>
      </c>
      <c r="B2" s="1569" t="s">
        <v>1745</v>
      </c>
      <c r="D2" s="1414" t="s">
        <v>2289</v>
      </c>
      <c r="AR2" s="2582" t="s">
        <v>2329</v>
      </c>
      <c r="AZ2" s="1414" t="s">
        <v>2331</v>
      </c>
      <c r="BR2" s="1414" t="s">
        <v>2343</v>
      </c>
      <c r="CJ2" s="1569" t="s">
        <v>1758</v>
      </c>
      <c r="CK2" s="1569" t="s">
        <v>1745</v>
      </c>
      <c r="CT2" s="477" t="s">
        <v>696</v>
      </c>
      <c r="CW2" s="477" t="s">
        <v>699</v>
      </c>
    </row>
    <row r="3" spans="1:102">
      <c r="A3" s="1570" t="s">
        <v>1065</v>
      </c>
      <c r="B3" s="1570" t="s">
        <v>2276</v>
      </c>
      <c r="AR3" s="2602"/>
      <c r="CJ3" s="1570" t="s">
        <v>2350</v>
      </c>
      <c r="CK3" s="1570" t="s">
        <v>2349</v>
      </c>
      <c r="CT3" s="477">
        <v>0.64400000000000002</v>
      </c>
      <c r="CU3" s="477" t="s">
        <v>2348</v>
      </c>
      <c r="CW3" s="477">
        <v>0.65400999999999998</v>
      </c>
      <c r="CX3" s="477" t="s">
        <v>2256</v>
      </c>
    </row>
    <row r="4" spans="1:102">
      <c r="B4" s="477"/>
      <c r="AR4" s="2602"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549"/>
      <c r="AR5" s="2602"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616" t="s">
        <v>2268</v>
      </c>
      <c r="G6" s="1418" t="s">
        <v>680</v>
      </c>
      <c r="H6" s="1418"/>
      <c r="I6" s="1418"/>
      <c r="J6" s="1418"/>
      <c r="K6" s="1418"/>
      <c r="L6" s="2616" t="s">
        <v>2267</v>
      </c>
      <c r="M6" s="1418" t="s">
        <v>978</v>
      </c>
      <c r="AR6" s="2602" t="s">
        <v>2326</v>
      </c>
      <c r="AZ6" s="1569" t="s">
        <v>1758</v>
      </c>
      <c r="BA6" s="1569" t="s">
        <v>1745</v>
      </c>
      <c r="BH6" s="1569" t="s">
        <v>1758</v>
      </c>
      <c r="BI6" s="1569" t="s">
        <v>1745</v>
      </c>
      <c r="BR6" s="1569" t="s">
        <v>1758</v>
      </c>
      <c r="BS6" s="1569" t="s">
        <v>1745</v>
      </c>
      <c r="CJ6" s="182">
        <v>500000</v>
      </c>
      <c r="CK6" s="888">
        <v>4000</v>
      </c>
      <c r="CL6" s="888"/>
      <c r="CM6" s="477">
        <f t="shared" ref="CM6:CM16" si="0">$CT$3</f>
        <v>0.64400000000000002</v>
      </c>
      <c r="CO6" s="2615">
        <f t="shared" ref="CO6:CO30" si="1">+CK6*CM6</f>
        <v>2576</v>
      </c>
      <c r="CP6" s="2615">
        <f t="shared" ref="CP6:CP30" si="2">+CL6*CN6</f>
        <v>0</v>
      </c>
      <c r="CT6" s="477">
        <v>0.66942999999999997</v>
      </c>
      <c r="CU6" s="477" t="s">
        <v>2345</v>
      </c>
      <c r="CW6" s="477">
        <v>0.67015999999999998</v>
      </c>
      <c r="CX6" s="477" t="s">
        <v>2252</v>
      </c>
    </row>
    <row r="7" spans="1:102">
      <c r="A7" s="1421" t="s">
        <v>1170</v>
      </c>
      <c r="B7" s="1421" t="s">
        <v>678</v>
      </c>
      <c r="C7" s="1421" t="s">
        <v>677</v>
      </c>
      <c r="D7" s="1421" t="s">
        <v>683</v>
      </c>
      <c r="E7" s="1421" t="s">
        <v>763</v>
      </c>
      <c r="F7" s="2617"/>
      <c r="G7" s="1421" t="s">
        <v>678</v>
      </c>
      <c r="H7" s="1421" t="s">
        <v>677</v>
      </c>
      <c r="I7" s="1421" t="s">
        <v>683</v>
      </c>
      <c r="J7" s="1421" t="s">
        <v>676</v>
      </c>
      <c r="K7" s="1421" t="s">
        <v>763</v>
      </c>
      <c r="L7" s="2617"/>
      <c r="M7" s="1421"/>
      <c r="AZ7" s="1569" t="s">
        <v>2277</v>
      </c>
      <c r="BA7" s="1569" t="s">
        <v>2276</v>
      </c>
      <c r="BH7" s="1569" t="s">
        <v>2277</v>
      </c>
      <c r="BI7" s="1569" t="s">
        <v>2276</v>
      </c>
      <c r="BR7" s="1569" t="s">
        <v>2277</v>
      </c>
      <c r="BS7" s="1569" t="s">
        <v>2282</v>
      </c>
      <c r="CJ7" s="182">
        <v>506000</v>
      </c>
      <c r="CK7" s="888">
        <v>1000</v>
      </c>
      <c r="CL7" s="888"/>
      <c r="CM7" s="477">
        <f t="shared" si="0"/>
        <v>0.64400000000000002</v>
      </c>
      <c r="CO7" s="2615">
        <f t="shared" si="1"/>
        <v>644</v>
      </c>
      <c r="CP7" s="2615">
        <f t="shared" si="2"/>
        <v>0</v>
      </c>
      <c r="CW7" s="477">
        <v>0.6845</v>
      </c>
      <c r="CX7" s="477" t="s">
        <v>2250</v>
      </c>
    </row>
    <row r="8" spans="1:102">
      <c r="A8" s="182" t="s">
        <v>2288</v>
      </c>
      <c r="B8" s="1210">
        <v>11564.9</v>
      </c>
      <c r="C8" s="1210">
        <v>0</v>
      </c>
      <c r="D8" s="1210"/>
      <c r="E8" s="1210"/>
      <c r="F8" s="2618">
        <v>11564.9</v>
      </c>
      <c r="G8" s="1210"/>
      <c r="H8" s="1210">
        <v>2558.16</v>
      </c>
      <c r="I8" s="1210">
        <v>433.55</v>
      </c>
      <c r="J8" s="1210"/>
      <c r="K8" s="1210">
        <v>4975.13</v>
      </c>
      <c r="L8" s="2618">
        <v>7966.84</v>
      </c>
      <c r="M8" s="1210">
        <v>19531.739999999998</v>
      </c>
      <c r="AZ8" s="1569" t="s">
        <v>1058</v>
      </c>
      <c r="BA8" s="1569" t="s">
        <v>2276</v>
      </c>
      <c r="BH8" s="1569" t="s">
        <v>1058</v>
      </c>
      <c r="BI8" s="1569" t="s">
        <v>2276</v>
      </c>
      <c r="BR8" s="1570" t="s">
        <v>2340</v>
      </c>
      <c r="BS8" s="1570" t="s">
        <v>1759</v>
      </c>
      <c r="CJ8" s="182">
        <v>535000</v>
      </c>
      <c r="CK8" s="888">
        <v>8700</v>
      </c>
      <c r="CL8" s="888"/>
      <c r="CM8" s="477">
        <f t="shared" si="0"/>
        <v>0.64400000000000002</v>
      </c>
      <c r="CO8" s="2615">
        <f t="shared" si="1"/>
        <v>5602.8</v>
      </c>
      <c r="CP8" s="2615">
        <f t="shared" si="2"/>
        <v>0</v>
      </c>
    </row>
    <row r="9" spans="1:102">
      <c r="A9" s="182" t="s">
        <v>2287</v>
      </c>
      <c r="B9" s="1210">
        <v>4741.97</v>
      </c>
      <c r="C9" s="1210"/>
      <c r="D9" s="1210"/>
      <c r="E9" s="1210"/>
      <c r="F9" s="2618">
        <v>4741.97</v>
      </c>
      <c r="G9" s="1210">
        <v>286.53999999999996</v>
      </c>
      <c r="H9" s="1210"/>
      <c r="I9" s="1210"/>
      <c r="J9" s="1210"/>
      <c r="K9" s="1210"/>
      <c r="L9" s="2618">
        <v>286.53999999999996</v>
      </c>
      <c r="M9" s="1210">
        <v>5028.51</v>
      </c>
      <c r="AR9" s="2602"/>
      <c r="AZ9" s="1570" t="s">
        <v>1057</v>
      </c>
      <c r="BA9" s="1570" t="s">
        <v>2276</v>
      </c>
      <c r="BH9" s="1570" t="s">
        <v>1057</v>
      </c>
      <c r="BI9" s="1570" t="s">
        <v>2276</v>
      </c>
      <c r="BS9" s="477"/>
      <c r="CJ9" s="182">
        <v>537000</v>
      </c>
      <c r="CK9" s="888">
        <v>500</v>
      </c>
      <c r="CL9" s="888"/>
      <c r="CM9" s="477">
        <f t="shared" si="0"/>
        <v>0.64400000000000002</v>
      </c>
      <c r="CO9" s="2615">
        <f t="shared" si="1"/>
        <v>322</v>
      </c>
      <c r="CP9" s="2615">
        <f t="shared" si="2"/>
        <v>0</v>
      </c>
    </row>
    <row r="10" spans="1:102">
      <c r="A10" s="182" t="s">
        <v>2286</v>
      </c>
      <c r="B10" s="1210">
        <v>84664.810000000114</v>
      </c>
      <c r="C10" s="1210">
        <v>163.07999999999998</v>
      </c>
      <c r="D10" s="1210"/>
      <c r="E10" s="1210">
        <v>726.8599999999999</v>
      </c>
      <c r="F10" s="2618">
        <v>85554.750000000116</v>
      </c>
      <c r="G10" s="1210">
        <v>7898.2899999999981</v>
      </c>
      <c r="H10" s="1210"/>
      <c r="I10" s="1210">
        <v>16407.8</v>
      </c>
      <c r="J10" s="1210"/>
      <c r="K10" s="1210">
        <v>9559.5000000000036</v>
      </c>
      <c r="L10" s="2618">
        <v>33865.589999999997</v>
      </c>
      <c r="M10" s="1210">
        <v>119420.34000000011</v>
      </c>
      <c r="AS10" s="2592"/>
      <c r="AT10" s="2592"/>
      <c r="AU10" s="2592"/>
      <c r="AV10" s="2592"/>
      <c r="BA10" s="477"/>
      <c r="BR10" s="1418" t="s">
        <v>2332</v>
      </c>
      <c r="BS10" s="1418" t="s">
        <v>1252</v>
      </c>
      <c r="BT10" s="1418"/>
      <c r="BU10" s="1418"/>
      <c r="BV10" s="1418"/>
      <c r="BW10" s="1418"/>
      <c r="BX10" s="1418"/>
      <c r="BY10" s="1418"/>
      <c r="BZ10" s="1418"/>
      <c r="CA10" s="1418"/>
      <c r="CJ10" s="182">
        <v>538000</v>
      </c>
      <c r="CK10" s="888">
        <v>1000</v>
      </c>
      <c r="CL10" s="888"/>
      <c r="CM10" s="477">
        <f t="shared" si="0"/>
        <v>0.64400000000000002</v>
      </c>
      <c r="CO10" s="2615">
        <f t="shared" si="1"/>
        <v>644</v>
      </c>
      <c r="CP10" s="2615">
        <f t="shared" si="2"/>
        <v>0</v>
      </c>
    </row>
    <row r="11" spans="1:102">
      <c r="A11" s="182" t="s">
        <v>2285</v>
      </c>
      <c r="B11" s="1210">
        <v>71745.839999999982</v>
      </c>
      <c r="C11" s="1210">
        <v>11126.350000000002</v>
      </c>
      <c r="D11" s="1210">
        <v>57609.840000000026</v>
      </c>
      <c r="E11" s="1210">
        <v>13587.680000000002</v>
      </c>
      <c r="F11" s="2618">
        <v>154069.71000000002</v>
      </c>
      <c r="G11" s="1210">
        <v>106359.04999999996</v>
      </c>
      <c r="H11" s="1210">
        <v>105566.14</v>
      </c>
      <c r="I11" s="1210">
        <v>514462.3800000007</v>
      </c>
      <c r="J11" s="1210"/>
      <c r="K11" s="1210">
        <v>1257872.7700000068</v>
      </c>
      <c r="L11" s="2618">
        <v>1984260.3400000073</v>
      </c>
      <c r="M11" s="1210">
        <v>2138330.0500000073</v>
      </c>
      <c r="AR11" s="2594" t="s">
        <v>2325</v>
      </c>
      <c r="AS11" s="2592"/>
      <c r="AT11" s="2592"/>
      <c r="AU11" s="2601"/>
      <c r="AZ11" s="1418" t="s">
        <v>2332</v>
      </c>
      <c r="BA11" s="1418" t="s">
        <v>1252</v>
      </c>
      <c r="BB11" s="1418"/>
      <c r="BC11" s="1418"/>
      <c r="BD11" s="1418"/>
      <c r="BH11" s="1418" t="s">
        <v>2274</v>
      </c>
      <c r="BI11" s="1418" t="s">
        <v>1252</v>
      </c>
      <c r="BJ11" s="1418"/>
      <c r="BK11" s="1418"/>
      <c r="BL11" s="1418"/>
      <c r="BR11" s="1418"/>
      <c r="BS11" s="1418" t="s">
        <v>682</v>
      </c>
      <c r="BT11" s="1418"/>
      <c r="BU11" s="1418"/>
      <c r="BV11" s="2616" t="s">
        <v>2268</v>
      </c>
      <c r="BW11" s="1418" t="s">
        <v>681</v>
      </c>
      <c r="BX11" s="1418"/>
      <c r="BY11" s="1418"/>
      <c r="BZ11" s="2616" t="s">
        <v>2342</v>
      </c>
      <c r="CA11" s="1418" t="s">
        <v>978</v>
      </c>
      <c r="CB11" s="477" t="s">
        <v>2341</v>
      </c>
      <c r="CD11" s="477" t="s">
        <v>2339</v>
      </c>
      <c r="CE11" s="477" t="s">
        <v>2266</v>
      </c>
      <c r="CF11" s="477" t="s">
        <v>537</v>
      </c>
      <c r="CJ11" s="182">
        <v>539000</v>
      </c>
      <c r="CK11" s="888">
        <v>4000</v>
      </c>
      <c r="CL11" s="888"/>
      <c r="CM11" s="477">
        <f t="shared" si="0"/>
        <v>0.64400000000000002</v>
      </c>
      <c r="CO11" s="2615">
        <f t="shared" si="1"/>
        <v>2576</v>
      </c>
      <c r="CP11" s="2615">
        <f t="shared" si="2"/>
        <v>0</v>
      </c>
    </row>
    <row r="12" spans="1:102">
      <c r="A12" s="182" t="s">
        <v>2284</v>
      </c>
      <c r="B12" s="1210">
        <v>3013.2699999999995</v>
      </c>
      <c r="C12" s="1210"/>
      <c r="D12" s="1210"/>
      <c r="E12" s="1210"/>
      <c r="F12" s="2618">
        <v>3013.2699999999995</v>
      </c>
      <c r="G12" s="1210"/>
      <c r="H12" s="1210"/>
      <c r="I12" s="1210"/>
      <c r="J12" s="1210"/>
      <c r="K12" s="1210"/>
      <c r="L12" s="2618"/>
      <c r="M12" s="1210">
        <v>3013.2699999999995</v>
      </c>
      <c r="AR12" s="2594"/>
      <c r="AS12" s="2592"/>
      <c r="AT12" s="2592"/>
      <c r="AU12" s="2601"/>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617"/>
      <c r="BW12" s="1421" t="s">
        <v>677</v>
      </c>
      <c r="BX12" s="1421" t="s">
        <v>683</v>
      </c>
      <c r="BY12" s="1421" t="s">
        <v>763</v>
      </c>
      <c r="BZ12" s="2617"/>
      <c r="CA12" s="1421"/>
      <c r="CJ12" s="182">
        <v>546000</v>
      </c>
      <c r="CK12" s="888">
        <v>750</v>
      </c>
      <c r="CL12" s="888"/>
      <c r="CM12" s="477">
        <f t="shared" si="0"/>
        <v>0.64400000000000002</v>
      </c>
      <c r="CO12" s="2615">
        <f t="shared" si="1"/>
        <v>483</v>
      </c>
      <c r="CP12" s="2615">
        <f t="shared" si="2"/>
        <v>0</v>
      </c>
    </row>
    <row r="13" spans="1:102">
      <c r="A13" s="182" t="s">
        <v>2283</v>
      </c>
      <c r="B13" s="1210">
        <v>21109.56</v>
      </c>
      <c r="C13" s="1210"/>
      <c r="D13" s="1210"/>
      <c r="E13" s="1210"/>
      <c r="F13" s="2618">
        <v>21109.56</v>
      </c>
      <c r="G13" s="1210"/>
      <c r="H13" s="1210"/>
      <c r="I13" s="1210"/>
      <c r="J13" s="1210"/>
      <c r="K13" s="1210"/>
      <c r="L13" s="2618"/>
      <c r="M13" s="1210">
        <v>21109.56</v>
      </c>
      <c r="AR13" s="2594" t="s">
        <v>2324</v>
      </c>
      <c r="AS13" s="2592"/>
      <c r="AT13" s="2592"/>
      <c r="AU13" s="2592"/>
      <c r="AV13" s="2592"/>
      <c r="AZ13" s="182">
        <v>903000</v>
      </c>
      <c r="BA13" s="888">
        <v>531852.82000000018</v>
      </c>
      <c r="BB13" s="888">
        <v>2967768.66</v>
      </c>
      <c r="BC13" s="888">
        <v>476786.54000000015</v>
      </c>
      <c r="BD13" s="888">
        <v>3976408.0200000005</v>
      </c>
      <c r="BE13" s="2603">
        <f t="shared" ref="BE13:BE44" si="3">BC13/BD13</f>
        <v>0.11990382717314811</v>
      </c>
      <c r="BF13" s="1144">
        <f t="shared" ref="BF13:BF44" si="4">1-BE13</f>
        <v>0.88009617282685193</v>
      </c>
      <c r="BH13" s="182">
        <v>903000</v>
      </c>
      <c r="BI13" s="888">
        <v>349534.29999999993</v>
      </c>
      <c r="BJ13" s="888">
        <v>1950488.3399999936</v>
      </c>
      <c r="BK13" s="888">
        <v>274899.06000000041</v>
      </c>
      <c r="BL13" s="888">
        <v>2574921.6999999941</v>
      </c>
      <c r="BM13" s="2603">
        <f t="shared" ref="BM13:BM46" si="5">BK13/BL13</f>
        <v>0.10676016284301035</v>
      </c>
      <c r="BN13" s="1144">
        <f t="shared" ref="BN13:BN46" si="6">1-BM13</f>
        <v>0.89323983715698962</v>
      </c>
      <c r="BR13" s="182">
        <v>535000</v>
      </c>
      <c r="BS13" s="1210"/>
      <c r="BT13" s="1210"/>
      <c r="BU13" s="1210"/>
      <c r="BV13" s="2618"/>
      <c r="BW13" s="1210">
        <v>2658.65</v>
      </c>
      <c r="BX13" s="1210"/>
      <c r="BY13" s="1210"/>
      <c r="BZ13" s="2618">
        <v>2658.65</v>
      </c>
      <c r="CA13" s="1210">
        <v>2658.65</v>
      </c>
      <c r="CB13" s="2576">
        <v>1</v>
      </c>
      <c r="CC13" s="2612">
        <v>0.64400000000000002</v>
      </c>
      <c r="CD13" s="1210">
        <f t="shared" ref="CD13:CD21" si="7">(CC13*BS13)+(CC13*BW13)</f>
        <v>1712.1706000000001</v>
      </c>
      <c r="CE13" s="1210">
        <f t="shared" ref="CE13:CE21" si="8">BU13+BY13</f>
        <v>0</v>
      </c>
      <c r="CF13" s="1210">
        <f t="shared" ref="CF13:CF21" si="9">SUM(CD13:CE13)</f>
        <v>1712.1706000000001</v>
      </c>
      <c r="CJ13" s="182">
        <v>549000</v>
      </c>
      <c r="CK13" s="888">
        <v>750</v>
      </c>
      <c r="CL13" s="888"/>
      <c r="CM13" s="477">
        <f t="shared" si="0"/>
        <v>0.64400000000000002</v>
      </c>
      <c r="CO13" s="2615">
        <f t="shared" si="1"/>
        <v>483</v>
      </c>
      <c r="CP13" s="2615">
        <f t="shared" si="2"/>
        <v>0</v>
      </c>
    </row>
    <row r="14" spans="1:102">
      <c r="A14" s="182" t="s">
        <v>2282</v>
      </c>
      <c r="B14" s="1210">
        <v>8831485.8700000774</v>
      </c>
      <c r="C14" s="1210">
        <v>231721.54000000012</v>
      </c>
      <c r="D14" s="1210">
        <v>180913.12999999995</v>
      </c>
      <c r="E14" s="1210">
        <v>236778.05999999985</v>
      </c>
      <c r="F14" s="2618">
        <v>9480898.6000000797</v>
      </c>
      <c r="G14" s="1210">
        <v>2217956.260000003</v>
      </c>
      <c r="H14" s="1210">
        <v>198202.85</v>
      </c>
      <c r="I14" s="1210">
        <v>221284.99999999988</v>
      </c>
      <c r="J14" s="1210"/>
      <c r="K14" s="1210">
        <v>857939.02000000153</v>
      </c>
      <c r="L14" s="2618">
        <v>3495383.1300000045</v>
      </c>
      <c r="M14" s="1210">
        <v>12976281.730000084</v>
      </c>
      <c r="AR14" s="2582" t="s">
        <v>2323</v>
      </c>
      <c r="AS14" s="2592"/>
      <c r="AT14" s="2592"/>
      <c r="AU14" s="2591">
        <v>3.5000000000000003E-2</v>
      </c>
      <c r="AV14" s="2592"/>
      <c r="AZ14" s="182">
        <v>587000</v>
      </c>
      <c r="BA14" s="888">
        <v>66848.670000000013</v>
      </c>
      <c r="BB14" s="888">
        <v>79409.84</v>
      </c>
      <c r="BC14" s="888">
        <v>470194.3300000013</v>
      </c>
      <c r="BD14" s="888">
        <v>616452.84000000125</v>
      </c>
      <c r="BE14" s="2603">
        <f t="shared" si="3"/>
        <v>0.7627417695082731</v>
      </c>
      <c r="BF14" s="1144">
        <f t="shared" si="4"/>
        <v>0.2372582304917269</v>
      </c>
      <c r="BH14" s="182">
        <v>880000</v>
      </c>
      <c r="BI14" s="888">
        <v>187518.41000000009</v>
      </c>
      <c r="BJ14" s="888">
        <v>226750.12999999995</v>
      </c>
      <c r="BK14" s="888">
        <v>1155585.8700000043</v>
      </c>
      <c r="BL14" s="888">
        <v>1569854.4100000043</v>
      </c>
      <c r="BM14" s="2603">
        <f t="shared" si="5"/>
        <v>0.73611021674296606</v>
      </c>
      <c r="BN14" s="1144">
        <f t="shared" si="6"/>
        <v>0.26388978325703394</v>
      </c>
      <c r="BR14" s="182">
        <v>557000</v>
      </c>
      <c r="BS14" s="1210"/>
      <c r="BT14" s="1210"/>
      <c r="BU14" s="1210"/>
      <c r="BV14" s="2618"/>
      <c r="BW14" s="1210">
        <v>275587.59000000003</v>
      </c>
      <c r="BX14" s="1210"/>
      <c r="BY14" s="1210"/>
      <c r="BZ14" s="2618">
        <v>275587.59000000003</v>
      </c>
      <c r="CA14" s="1210">
        <v>275587.59000000003</v>
      </c>
      <c r="CB14" s="2576">
        <v>1</v>
      </c>
      <c r="CC14" s="2612">
        <v>0.64400000000000002</v>
      </c>
      <c r="CD14" s="1210">
        <f t="shared" si="7"/>
        <v>177478.40796000001</v>
      </c>
      <c r="CE14" s="1210">
        <f t="shared" si="8"/>
        <v>0</v>
      </c>
      <c r="CF14" s="1210">
        <f t="shared" si="9"/>
        <v>177478.40796000001</v>
      </c>
      <c r="CJ14" s="182">
        <v>551000</v>
      </c>
      <c r="CK14" s="888">
        <v>1500</v>
      </c>
      <c r="CL14" s="888"/>
      <c r="CM14" s="477">
        <f t="shared" si="0"/>
        <v>0.64400000000000002</v>
      </c>
      <c r="CO14" s="2615">
        <f t="shared" si="1"/>
        <v>966</v>
      </c>
      <c r="CP14" s="2615">
        <f t="shared" si="2"/>
        <v>0</v>
      </c>
    </row>
    <row r="15" spans="1:102">
      <c r="A15" s="182" t="s">
        <v>2281</v>
      </c>
      <c r="B15" s="1210">
        <v>468163.04999999778</v>
      </c>
      <c r="C15" s="1210">
        <v>9714.0600000000013</v>
      </c>
      <c r="D15" s="1210">
        <v>126132.03999999985</v>
      </c>
      <c r="E15" s="1210">
        <v>206603.76000000013</v>
      </c>
      <c r="F15" s="2618">
        <v>810612.9099999977</v>
      </c>
      <c r="G15" s="1210">
        <v>800750.8400000009</v>
      </c>
      <c r="H15" s="1210">
        <v>676175.01999999979</v>
      </c>
      <c r="I15" s="1210">
        <v>963011.57000000181</v>
      </c>
      <c r="J15" s="1210"/>
      <c r="K15" s="1210">
        <v>2762022.4699999923</v>
      </c>
      <c r="L15" s="2618">
        <v>5201959.8999999948</v>
      </c>
      <c r="M15" s="1210">
        <v>6012572.8099999931</v>
      </c>
      <c r="AR15" s="2582" t="s">
        <v>2322</v>
      </c>
      <c r="AS15" s="2592"/>
      <c r="AT15" s="2592"/>
      <c r="AU15" s="2590"/>
      <c r="AZ15" s="182">
        <v>584000</v>
      </c>
      <c r="BA15" s="888">
        <v>2047.25</v>
      </c>
      <c r="BB15" s="888"/>
      <c r="BC15" s="888">
        <v>461947.87999999977</v>
      </c>
      <c r="BD15" s="888">
        <v>463995.12999999977</v>
      </c>
      <c r="BE15" s="2603">
        <f t="shared" si="3"/>
        <v>0.99558777696653844</v>
      </c>
      <c r="BF15" s="1144">
        <f t="shared" si="4"/>
        <v>4.4122230334615598E-3</v>
      </c>
      <c r="BH15" s="182">
        <v>920000</v>
      </c>
      <c r="BI15" s="888">
        <v>4314238.6099999985</v>
      </c>
      <c r="BJ15" s="888">
        <v>1339071.3799999969</v>
      </c>
      <c r="BK15" s="888">
        <v>608723.81000000041</v>
      </c>
      <c r="BL15" s="888">
        <v>6262033.7999999961</v>
      </c>
      <c r="BM15" s="2603">
        <f t="shared" si="5"/>
        <v>9.7208643300520162E-2</v>
      </c>
      <c r="BN15" s="1144">
        <f t="shared" si="6"/>
        <v>0.90279135669947985</v>
      </c>
      <c r="BR15" s="182">
        <v>560000</v>
      </c>
      <c r="BS15" s="1210"/>
      <c r="BT15" s="1210"/>
      <c r="BU15" s="1210"/>
      <c r="BV15" s="2618"/>
      <c r="BW15" s="1210">
        <v>1687.69</v>
      </c>
      <c r="BX15" s="1210"/>
      <c r="BY15" s="1210"/>
      <c r="BZ15" s="2618">
        <v>1687.69</v>
      </c>
      <c r="CA15" s="1210">
        <v>1687.69</v>
      </c>
      <c r="CB15" s="2576">
        <v>1</v>
      </c>
      <c r="CC15" s="2612">
        <v>0.64400000000000002</v>
      </c>
      <c r="CD15" s="1210">
        <f t="shared" si="7"/>
        <v>1086.8723600000001</v>
      </c>
      <c r="CE15" s="1210">
        <f t="shared" si="8"/>
        <v>0</v>
      </c>
      <c r="CF15" s="1210">
        <f t="shared" si="9"/>
        <v>1086.8723600000001</v>
      </c>
      <c r="CJ15" s="182">
        <v>557000</v>
      </c>
      <c r="CK15" s="888">
        <v>16000</v>
      </c>
      <c r="CL15" s="888"/>
      <c r="CM15" s="477">
        <f t="shared" si="0"/>
        <v>0.64400000000000002</v>
      </c>
      <c r="CO15" s="2615">
        <f t="shared" si="1"/>
        <v>10304</v>
      </c>
      <c r="CP15" s="2615">
        <f t="shared" si="2"/>
        <v>0</v>
      </c>
    </row>
    <row r="16" spans="1:102">
      <c r="A16" s="182" t="s">
        <v>2280</v>
      </c>
      <c r="B16" s="1210">
        <v>1797230.100000001</v>
      </c>
      <c r="C16" s="1210">
        <v>46632.59</v>
      </c>
      <c r="D16" s="1210">
        <v>59252.160000000033</v>
      </c>
      <c r="E16" s="1210">
        <v>85855.679999999993</v>
      </c>
      <c r="F16" s="2618">
        <v>1988970.530000001</v>
      </c>
      <c r="G16" s="1210">
        <v>583292.00000000012</v>
      </c>
      <c r="H16" s="1210">
        <v>169449.77999999991</v>
      </c>
      <c r="I16" s="1210">
        <v>227768.2999999999</v>
      </c>
      <c r="J16" s="1210"/>
      <c r="K16" s="1210">
        <v>697171.57000000018</v>
      </c>
      <c r="L16" s="2618">
        <v>1677681.6500000001</v>
      </c>
      <c r="M16" s="1210">
        <v>3666652.1800000011</v>
      </c>
      <c r="AS16" s="2592"/>
      <c r="AT16" s="2600" t="str">
        <f xml:space="preserve"> "268/365 ="</f>
        <v>268/365 =</v>
      </c>
      <c r="AU16" s="2597">
        <f>ROUND(268/365,3)</f>
        <v>0.73399999999999999</v>
      </c>
      <c r="AV16" s="2592"/>
      <c r="AZ16" s="182">
        <v>593000</v>
      </c>
      <c r="BA16" s="888">
        <v>4121</v>
      </c>
      <c r="BB16" s="888">
        <v>533.80999999999995</v>
      </c>
      <c r="BC16" s="888">
        <v>2245295.2099999962</v>
      </c>
      <c r="BD16" s="888">
        <v>2249950.0199999963</v>
      </c>
      <c r="BE16" s="2603">
        <f t="shared" si="3"/>
        <v>0.99793114959949192</v>
      </c>
      <c r="BF16" s="1144">
        <f t="shared" si="4"/>
        <v>2.0688504005080821E-3</v>
      </c>
      <c r="BH16" s="182">
        <v>874000</v>
      </c>
      <c r="BI16" s="888">
        <v>271985.87999999995</v>
      </c>
      <c r="BJ16" s="888">
        <v>359027.87</v>
      </c>
      <c r="BK16" s="888">
        <v>1031072.0600000022</v>
      </c>
      <c r="BL16" s="888">
        <v>1662085.8100000022</v>
      </c>
      <c r="BM16" s="2603">
        <f t="shared" si="5"/>
        <v>0.62034827191022157</v>
      </c>
      <c r="BN16" s="1144">
        <f t="shared" si="6"/>
        <v>0.37965172808977843</v>
      </c>
      <c r="BR16" s="182">
        <v>580000</v>
      </c>
      <c r="BS16" s="1210"/>
      <c r="BT16" s="1210"/>
      <c r="BU16" s="1210"/>
      <c r="BV16" s="2618"/>
      <c r="BW16" s="1210">
        <v>54212.670000000013</v>
      </c>
      <c r="BX16" s="1210"/>
      <c r="BY16" s="1210"/>
      <c r="BZ16" s="2618">
        <v>54212.670000000013</v>
      </c>
      <c r="CA16" s="1210">
        <v>54212.670000000013</v>
      </c>
      <c r="CB16" s="2576">
        <v>3</v>
      </c>
      <c r="CC16" s="2612">
        <v>0.64117999999999997</v>
      </c>
      <c r="CD16" s="1210">
        <f t="shared" si="7"/>
        <v>34760.079750600009</v>
      </c>
      <c r="CE16" s="1210">
        <f t="shared" si="8"/>
        <v>0</v>
      </c>
      <c r="CF16" s="1210">
        <f t="shared" si="9"/>
        <v>34760.079750600009</v>
      </c>
      <c r="CJ16" s="182">
        <v>561510</v>
      </c>
      <c r="CK16" s="888">
        <v>4250</v>
      </c>
      <c r="CL16" s="888"/>
      <c r="CM16" s="477">
        <f t="shared" si="0"/>
        <v>0.64400000000000002</v>
      </c>
      <c r="CO16" s="2615">
        <f t="shared" si="1"/>
        <v>2737</v>
      </c>
      <c r="CP16" s="2615">
        <f t="shared" si="2"/>
        <v>0</v>
      </c>
    </row>
    <row r="17" spans="1:94" ht="13.5" thickBot="1">
      <c r="A17" s="1489" t="s">
        <v>978</v>
      </c>
      <c r="B17" s="2619">
        <v>11293719.370000076</v>
      </c>
      <c r="C17" s="2619">
        <v>299357.62000000011</v>
      </c>
      <c r="D17" s="2619">
        <v>423907.16999999987</v>
      </c>
      <c r="E17" s="2619">
        <v>543552.04</v>
      </c>
      <c r="F17" s="2619">
        <v>12560536.200000079</v>
      </c>
      <c r="G17" s="2619">
        <v>3716542.9800000037</v>
      </c>
      <c r="H17" s="2619">
        <v>1151951.9499999997</v>
      </c>
      <c r="I17" s="2619">
        <v>1943368.6000000022</v>
      </c>
      <c r="J17" s="2619"/>
      <c r="K17" s="2619">
        <v>5589540.4600000009</v>
      </c>
      <c r="L17" s="2619">
        <v>12401403.990000008</v>
      </c>
      <c r="M17" s="2619">
        <v>24961940.190000087</v>
      </c>
      <c r="AR17" s="2584" t="s">
        <v>2321</v>
      </c>
      <c r="AS17" s="2592"/>
      <c r="AT17" s="2592"/>
      <c r="AU17" s="2586">
        <f>ROUND(AU14*AU16,5)</f>
        <v>2.5690000000000001E-2</v>
      </c>
      <c r="AV17" s="2592"/>
      <c r="AZ17" s="182">
        <v>588000</v>
      </c>
      <c r="BA17" s="888">
        <v>1285961.0299999998</v>
      </c>
      <c r="BB17" s="888">
        <v>507035.42000000004</v>
      </c>
      <c r="BC17" s="888">
        <v>3812221.4699999909</v>
      </c>
      <c r="BD17" s="888">
        <v>5605217.9199999906</v>
      </c>
      <c r="BE17" s="2603">
        <f t="shared" si="3"/>
        <v>0.68012011743514822</v>
      </c>
      <c r="BF17" s="1144">
        <f t="shared" si="4"/>
        <v>0.31987988256485178</v>
      </c>
      <c r="BH17" s="182">
        <v>879000</v>
      </c>
      <c r="BI17" s="888">
        <v>-688.77999999999975</v>
      </c>
      <c r="BJ17" s="888">
        <v>77081.140000000014</v>
      </c>
      <c r="BK17" s="888">
        <v>1531736.2400000016</v>
      </c>
      <c r="BL17" s="888">
        <v>1608128.6000000017</v>
      </c>
      <c r="BM17" s="2603">
        <f t="shared" si="5"/>
        <v>0.95249611256214206</v>
      </c>
      <c r="BN17" s="1144">
        <f t="shared" si="6"/>
        <v>4.7503887437857939E-2</v>
      </c>
      <c r="BR17" s="182">
        <v>920000</v>
      </c>
      <c r="BS17" s="1210">
        <v>2176014.5099999998</v>
      </c>
      <c r="BT17" s="1210"/>
      <c r="BU17" s="1210"/>
      <c r="BV17" s="2618">
        <v>2176014.5099999998</v>
      </c>
      <c r="BW17" s="1210"/>
      <c r="BX17" s="1210"/>
      <c r="BY17" s="1210"/>
      <c r="BZ17" s="2618"/>
      <c r="CA17" s="1210">
        <v>2176014.5099999998</v>
      </c>
      <c r="CB17" s="2576">
        <v>4</v>
      </c>
      <c r="CC17" s="2612">
        <v>0.66942999999999997</v>
      </c>
      <c r="CD17" s="1210">
        <f t="shared" si="7"/>
        <v>1456689.3934292998</v>
      </c>
      <c r="CE17" s="1210">
        <f t="shared" si="8"/>
        <v>0</v>
      </c>
      <c r="CF17" s="1210">
        <f t="shared" si="9"/>
        <v>1456689.3934292998</v>
      </c>
      <c r="CJ17" s="182">
        <v>580000</v>
      </c>
      <c r="CK17" s="888">
        <v>22700</v>
      </c>
      <c r="CL17" s="888"/>
      <c r="CM17" s="477">
        <f>$CT$5</f>
        <v>0.64117999999999997</v>
      </c>
      <c r="CO17" s="2615">
        <f t="shared" si="1"/>
        <v>14554.786</v>
      </c>
      <c r="CP17" s="2615">
        <f t="shared" si="2"/>
        <v>0</v>
      </c>
    </row>
    <row r="18" spans="1:94" ht="13.5" thickTop="1">
      <c r="AS18" s="2592"/>
      <c r="AT18" s="2592"/>
      <c r="AU18" s="2590"/>
      <c r="AV18" s="2592"/>
      <c r="AZ18" s="182">
        <v>920000</v>
      </c>
      <c r="BA18" s="888">
        <v>16571977.949999994</v>
      </c>
      <c r="BB18" s="888">
        <v>4921667.3199999956</v>
      </c>
      <c r="BC18" s="888">
        <v>1352512.3499999989</v>
      </c>
      <c r="BD18" s="888">
        <v>22846157.619999986</v>
      </c>
      <c r="BE18" s="2603">
        <f t="shared" si="3"/>
        <v>5.9200867493621002E-2</v>
      </c>
      <c r="BF18" s="1144">
        <f t="shared" si="4"/>
        <v>0.94079913250637903</v>
      </c>
      <c r="BH18" s="182">
        <v>892000</v>
      </c>
      <c r="BI18" s="888">
        <v>30247.089999999989</v>
      </c>
      <c r="BJ18" s="888">
        <v>4857.3499999999995</v>
      </c>
      <c r="BK18" s="888">
        <v>674340.96000000148</v>
      </c>
      <c r="BL18" s="888">
        <v>709445.40000000142</v>
      </c>
      <c r="BM18" s="2603">
        <f t="shared" si="5"/>
        <v>0.95051847541755874</v>
      </c>
      <c r="BN18" s="1144">
        <f t="shared" si="6"/>
        <v>4.9481524582441261E-2</v>
      </c>
      <c r="BR18" s="182">
        <v>921000</v>
      </c>
      <c r="BS18" s="1210">
        <v>1732.0800000000004</v>
      </c>
      <c r="BT18" s="1210"/>
      <c r="BU18" s="1210"/>
      <c r="BV18" s="2618">
        <v>1732.0800000000004</v>
      </c>
      <c r="BW18" s="1210"/>
      <c r="BX18" s="1210"/>
      <c r="BY18" s="1210"/>
      <c r="BZ18" s="2618"/>
      <c r="CA18" s="1210">
        <v>1732.0800000000004</v>
      </c>
      <c r="CB18" s="2576">
        <v>4</v>
      </c>
      <c r="CC18" s="2612">
        <v>0.66942999999999997</v>
      </c>
      <c r="CD18" s="1210">
        <f t="shared" si="7"/>
        <v>1159.5063144000003</v>
      </c>
      <c r="CE18" s="1210">
        <f t="shared" si="8"/>
        <v>0</v>
      </c>
      <c r="CF18" s="1210">
        <f t="shared" si="9"/>
        <v>1159.5063144000003</v>
      </c>
      <c r="CJ18" s="182">
        <v>586000</v>
      </c>
      <c r="CK18" s="888">
        <v>1000</v>
      </c>
      <c r="CL18" s="888"/>
      <c r="CM18" s="477">
        <f>$CT$5</f>
        <v>0.64117999999999997</v>
      </c>
      <c r="CO18" s="2615">
        <f t="shared" si="1"/>
        <v>641.17999999999995</v>
      </c>
      <c r="CP18" s="2615">
        <f t="shared" si="2"/>
        <v>0</v>
      </c>
    </row>
    <row r="19" spans="1:94">
      <c r="AR19" s="2594" t="s">
        <v>2320</v>
      </c>
      <c r="AS19" s="2593"/>
      <c r="AT19" s="2592"/>
      <c r="AU19" s="2583"/>
      <c r="AV19" s="2592"/>
      <c r="AZ19" s="182">
        <v>566000</v>
      </c>
      <c r="BA19" s="888">
        <v>255303.76999999993</v>
      </c>
      <c r="BB19" s="888">
        <v>1100544.6600000011</v>
      </c>
      <c r="BC19" s="888">
        <v>342278.25999999989</v>
      </c>
      <c r="BD19" s="888">
        <v>1698126.6900000009</v>
      </c>
      <c r="BE19" s="2603">
        <f t="shared" si="3"/>
        <v>0.20156226388503423</v>
      </c>
      <c r="BF19" s="1144">
        <f t="shared" si="4"/>
        <v>0.79843773611496571</v>
      </c>
      <c r="BH19" s="182">
        <v>893000</v>
      </c>
      <c r="BI19" s="888"/>
      <c r="BJ19" s="888"/>
      <c r="BK19" s="888">
        <v>1149558.1200000006</v>
      </c>
      <c r="BL19" s="888">
        <v>1149558.1200000006</v>
      </c>
      <c r="BM19" s="2603">
        <f t="shared" si="5"/>
        <v>1</v>
      </c>
      <c r="BN19" s="1144">
        <f t="shared" si="6"/>
        <v>0</v>
      </c>
      <c r="BR19" s="182">
        <v>926100</v>
      </c>
      <c r="BS19" s="1210">
        <v>1108.31</v>
      </c>
      <c r="BT19" s="1210"/>
      <c r="BU19" s="1210"/>
      <c r="BV19" s="2618">
        <v>1108.31</v>
      </c>
      <c r="BW19" s="1210"/>
      <c r="BX19" s="1210"/>
      <c r="BY19" s="1210"/>
      <c r="BZ19" s="2618"/>
      <c r="CA19" s="1210">
        <v>1108.31</v>
      </c>
      <c r="CB19" s="2576">
        <v>4</v>
      </c>
      <c r="CC19" s="2612">
        <v>0.66942999999999997</v>
      </c>
      <c r="CD19" s="1210">
        <f t="shared" si="7"/>
        <v>741.93596329999991</v>
      </c>
      <c r="CE19" s="1210">
        <f t="shared" si="8"/>
        <v>0</v>
      </c>
      <c r="CF19" s="1210">
        <f t="shared" si="9"/>
        <v>741.93596329999991</v>
      </c>
      <c r="CJ19" s="182">
        <v>588000</v>
      </c>
      <c r="CK19" s="888">
        <v>8200</v>
      </c>
      <c r="CL19" s="888"/>
      <c r="CM19" s="477">
        <f>$CT$5</f>
        <v>0.64117999999999997</v>
      </c>
      <c r="CO19" s="2615">
        <f t="shared" si="1"/>
        <v>5257.6759999999995</v>
      </c>
      <c r="CP19" s="2615">
        <f t="shared" si="2"/>
        <v>0</v>
      </c>
    </row>
    <row r="20" spans="1:94">
      <c r="AR20" s="2582" t="s">
        <v>2319</v>
      </c>
      <c r="AS20" s="2592"/>
      <c r="AT20" s="2592"/>
      <c r="AU20" s="2591">
        <v>0.04</v>
      </c>
      <c r="AZ20" s="182">
        <v>542000</v>
      </c>
      <c r="BA20" s="888">
        <v>2966.71</v>
      </c>
      <c r="BB20" s="888">
        <v>1160.68</v>
      </c>
      <c r="BC20" s="888">
        <v>207126.68999999997</v>
      </c>
      <c r="BD20" s="888">
        <v>211254.08</v>
      </c>
      <c r="BE20" s="2603">
        <f t="shared" si="3"/>
        <v>0.98046243651246867</v>
      </c>
      <c r="BF20" s="1144">
        <f t="shared" si="4"/>
        <v>1.9537563487531329E-2</v>
      </c>
      <c r="BH20" s="182">
        <v>928000</v>
      </c>
      <c r="BI20" s="888">
        <v>282277.44</v>
      </c>
      <c r="BJ20" s="888">
        <v>3087.7499999999995</v>
      </c>
      <c r="BK20" s="888"/>
      <c r="BL20" s="888">
        <v>285365.19</v>
      </c>
      <c r="BM20" s="2603">
        <f t="shared" si="5"/>
        <v>0</v>
      </c>
      <c r="BN20" s="1144">
        <f t="shared" si="6"/>
        <v>1</v>
      </c>
      <c r="BR20" s="182">
        <v>928000</v>
      </c>
      <c r="BS20" s="1210"/>
      <c r="BT20" s="1210">
        <v>33886.32</v>
      </c>
      <c r="BU20" s="1210">
        <v>36784.270000000004</v>
      </c>
      <c r="BV20" s="2618">
        <v>70670.59</v>
      </c>
      <c r="BW20" s="1210"/>
      <c r="BX20" s="1210">
        <v>2047.5900000000001</v>
      </c>
      <c r="BY20" s="1210">
        <v>1331.73</v>
      </c>
      <c r="BZ20" s="2618">
        <v>3379.32</v>
      </c>
      <c r="CA20" s="1210">
        <v>74049.909999999989</v>
      </c>
      <c r="CB20" s="2576">
        <v>4</v>
      </c>
      <c r="CC20" s="2612">
        <v>0.66942999999999997</v>
      </c>
      <c r="CD20" s="1210">
        <f t="shared" si="7"/>
        <v>0</v>
      </c>
      <c r="CE20" s="1210">
        <f t="shared" si="8"/>
        <v>38116.000000000007</v>
      </c>
      <c r="CF20" s="1210">
        <f t="shared" si="9"/>
        <v>38116.000000000007</v>
      </c>
      <c r="CJ20" s="182">
        <v>590000</v>
      </c>
      <c r="CK20" s="888">
        <v>13000</v>
      </c>
      <c r="CL20" s="888"/>
      <c r="CM20" s="477">
        <f>$CT$5</f>
        <v>0.64117999999999997</v>
      </c>
      <c r="CO20" s="2615">
        <f t="shared" si="1"/>
        <v>8335.34</v>
      </c>
      <c r="CP20" s="2615">
        <f t="shared" si="2"/>
        <v>0</v>
      </c>
    </row>
    <row r="21" spans="1:94">
      <c r="A21" s="2620" t="s">
        <v>679</v>
      </c>
      <c r="B21" s="2620" t="s">
        <v>1701</v>
      </c>
      <c r="D21" s="1414" t="s">
        <v>2279</v>
      </c>
      <c r="AR21" s="2582" t="s">
        <v>2318</v>
      </c>
      <c r="AU21" s="2590"/>
      <c r="AZ21" s="182">
        <v>592000</v>
      </c>
      <c r="BA21" s="888">
        <v>567.72</v>
      </c>
      <c r="BB21" s="888">
        <v>29.01</v>
      </c>
      <c r="BC21" s="888">
        <v>441030.86999999976</v>
      </c>
      <c r="BD21" s="888">
        <v>441627.59999999974</v>
      </c>
      <c r="BE21" s="2603">
        <f t="shared" si="3"/>
        <v>0.99864879368952486</v>
      </c>
      <c r="BF21" s="1144">
        <f t="shared" si="4"/>
        <v>1.3512063104751393E-3</v>
      </c>
      <c r="BH21" s="182">
        <v>908000</v>
      </c>
      <c r="BI21" s="888">
        <v>171274.4</v>
      </c>
      <c r="BJ21" s="888"/>
      <c r="BK21" s="888"/>
      <c r="BL21" s="888">
        <v>171274.4</v>
      </c>
      <c r="BM21" s="2603">
        <f t="shared" si="5"/>
        <v>0</v>
      </c>
      <c r="BN21" s="1144">
        <f t="shared" si="6"/>
        <v>1</v>
      </c>
      <c r="BR21" s="182">
        <v>930200</v>
      </c>
      <c r="BS21" s="1210">
        <v>28951.18</v>
      </c>
      <c r="BT21" s="1210"/>
      <c r="BU21" s="1210"/>
      <c r="BV21" s="2618">
        <v>28951.18</v>
      </c>
      <c r="BW21" s="1210"/>
      <c r="BX21" s="1210"/>
      <c r="BY21" s="1210"/>
      <c r="BZ21" s="2618"/>
      <c r="CA21" s="1210">
        <v>28951.18</v>
      </c>
      <c r="CB21" s="2576">
        <v>4</v>
      </c>
      <c r="CC21" s="2612">
        <v>0.66942999999999997</v>
      </c>
      <c r="CD21" s="1210">
        <f t="shared" si="7"/>
        <v>19380.788427399999</v>
      </c>
      <c r="CE21" s="1210">
        <f t="shared" si="8"/>
        <v>0</v>
      </c>
      <c r="CF21" s="1210">
        <f t="shared" si="9"/>
        <v>19380.788427399999</v>
      </c>
      <c r="CJ21" s="182">
        <v>813000</v>
      </c>
      <c r="CK21" s="888"/>
      <c r="CL21" s="888">
        <v>3792.45</v>
      </c>
      <c r="CN21" s="477">
        <f>CW7</f>
        <v>0.6845</v>
      </c>
      <c r="CO21" s="2615">
        <f t="shared" si="1"/>
        <v>0</v>
      </c>
      <c r="CP21" s="2615">
        <f t="shared" si="2"/>
        <v>2595.9320250000001</v>
      </c>
    </row>
    <row r="22" spans="1:94">
      <c r="A22" s="2620" t="s">
        <v>1758</v>
      </c>
      <c r="B22" s="2620" t="s">
        <v>1745</v>
      </c>
      <c r="D22" s="1414" t="s">
        <v>2278</v>
      </c>
      <c r="AT22" s="2589" t="str">
        <f>"365/365="</f>
        <v>365/365=</v>
      </c>
      <c r="AU22" s="2588">
        <f>ROUND(365/365,3)</f>
        <v>1</v>
      </c>
      <c r="AZ22" s="182">
        <v>595000</v>
      </c>
      <c r="BA22" s="888"/>
      <c r="BB22" s="888">
        <v>159.72999999999999</v>
      </c>
      <c r="BC22" s="888">
        <v>354095.21000000066</v>
      </c>
      <c r="BD22" s="888">
        <v>354254.94000000064</v>
      </c>
      <c r="BE22" s="2603">
        <f t="shared" si="3"/>
        <v>0.99954911002793645</v>
      </c>
      <c r="BF22" s="1144">
        <f t="shared" si="4"/>
        <v>4.5088997206355064E-4</v>
      </c>
      <c r="BH22" s="182">
        <v>921000</v>
      </c>
      <c r="BI22" s="888">
        <v>29125.799999999916</v>
      </c>
      <c r="BJ22" s="888">
        <v>2572.4199999999996</v>
      </c>
      <c r="BK22" s="888">
        <v>14798.119999999964</v>
      </c>
      <c r="BL22" s="888">
        <v>46496.33999999988</v>
      </c>
      <c r="BM22" s="2603">
        <f t="shared" si="5"/>
        <v>0.31826419025669556</v>
      </c>
      <c r="BN22" s="1144">
        <f t="shared" si="6"/>
        <v>0.68173580974330439</v>
      </c>
      <c r="BR22" s="1489" t="s">
        <v>978</v>
      </c>
      <c r="BS22" s="2619">
        <v>2207806.08</v>
      </c>
      <c r="BT22" s="2619">
        <v>33886.32</v>
      </c>
      <c r="BU22" s="2619">
        <v>36784.270000000004</v>
      </c>
      <c r="BV22" s="2619">
        <v>2278476.67</v>
      </c>
      <c r="BW22" s="2619">
        <v>334146.60000000009</v>
      </c>
      <c r="BX22" s="2619">
        <v>2047.5900000000001</v>
      </c>
      <c r="BY22" s="2619">
        <v>1331.73</v>
      </c>
      <c r="BZ22" s="2619">
        <v>337525.9200000001</v>
      </c>
      <c r="CA22" s="2619">
        <v>2616002.5900000003</v>
      </c>
      <c r="CD22" s="1210">
        <f>SUM(CD13:CD21)</f>
        <v>1693009.1548049997</v>
      </c>
      <c r="CE22" s="1210">
        <f>SUM(CE13:CE21)</f>
        <v>38116.000000000007</v>
      </c>
      <c r="CF22" s="2611">
        <f>SUM(CF13:CF21)</f>
        <v>1731125.1548049997</v>
      </c>
      <c r="CJ22" s="182">
        <v>870000</v>
      </c>
      <c r="CK22" s="888"/>
      <c r="CL22" s="888">
        <v>2758.4100000000003</v>
      </c>
      <c r="CN22" s="477">
        <f>CW4</f>
        <v>0.71040000000000003</v>
      </c>
      <c r="CO22" s="2615">
        <f t="shared" si="1"/>
        <v>0</v>
      </c>
      <c r="CP22" s="2615">
        <f t="shared" si="2"/>
        <v>1959.5744640000003</v>
      </c>
    </row>
    <row r="23" spans="1:94" ht="13.5" thickBot="1">
      <c r="A23" s="2620" t="s">
        <v>2277</v>
      </c>
      <c r="B23" s="2620" t="s">
        <v>2276</v>
      </c>
      <c r="D23" s="1414" t="s">
        <v>2275</v>
      </c>
      <c r="AR23" s="2584" t="s">
        <v>2302</v>
      </c>
      <c r="AU23" s="2586">
        <f>ROUND(AU20*AU22,5)</f>
        <v>0.04</v>
      </c>
      <c r="AV23" s="2592"/>
      <c r="AZ23" s="182">
        <v>538000</v>
      </c>
      <c r="BA23" s="888">
        <v>-8.5265128291212022E-14</v>
      </c>
      <c r="BB23" s="888">
        <v>18109.099999999999</v>
      </c>
      <c r="BC23" s="888">
        <v>5838299.2800000198</v>
      </c>
      <c r="BD23" s="888">
        <v>5856408.3800000194</v>
      </c>
      <c r="BE23" s="2603">
        <f t="shared" si="3"/>
        <v>0.99690781468351097</v>
      </c>
      <c r="BF23" s="1144">
        <f t="shared" si="4"/>
        <v>3.0921853164890267E-3</v>
      </c>
      <c r="BH23" s="182">
        <v>891000</v>
      </c>
      <c r="BI23" s="888">
        <v>1588.13</v>
      </c>
      <c r="BJ23" s="888">
        <v>679.5</v>
      </c>
      <c r="BK23" s="888">
        <v>40194.999999999993</v>
      </c>
      <c r="BL23" s="888">
        <v>42462.62999999999</v>
      </c>
      <c r="BM23" s="2603">
        <f t="shared" si="5"/>
        <v>0.94659704309412773</v>
      </c>
      <c r="BN23" s="1144">
        <f t="shared" si="6"/>
        <v>5.3402956905872268E-2</v>
      </c>
      <c r="BR23" s="182"/>
      <c r="BS23" s="2613"/>
      <c r="BT23" s="2613"/>
      <c r="BU23" s="2613"/>
      <c r="BV23" s="2613"/>
      <c r="BW23" s="2613"/>
      <c r="BX23" s="2613"/>
      <c r="BY23" s="2613"/>
      <c r="CJ23" s="182">
        <v>902000</v>
      </c>
      <c r="CK23" s="888">
        <v>1357.41</v>
      </c>
      <c r="CL23" s="888">
        <v>892.58999999999992</v>
      </c>
      <c r="CM23" s="477">
        <f>$CT$4</f>
        <v>0.65115999999999996</v>
      </c>
      <c r="CN23" s="477">
        <f>$CW$3</f>
        <v>0.65400999999999998</v>
      </c>
      <c r="CO23" s="2615">
        <f t="shared" si="1"/>
        <v>883.89109559999997</v>
      </c>
      <c r="CP23" s="2615">
        <f t="shared" si="2"/>
        <v>583.76278589999993</v>
      </c>
    </row>
    <row r="24" spans="1:94" ht="13.5" thickTop="1">
      <c r="B24" s="477"/>
      <c r="AU24" s="2590"/>
      <c r="AZ24" s="182">
        <v>598000</v>
      </c>
      <c r="BA24" s="888">
        <v>37736.550000000003</v>
      </c>
      <c r="BB24" s="888">
        <v>1091.0299999999997</v>
      </c>
      <c r="BC24" s="888">
        <v>613479.72</v>
      </c>
      <c r="BD24" s="888">
        <v>652307.29999999993</v>
      </c>
      <c r="BE24" s="2603">
        <f t="shared" si="3"/>
        <v>0.94047655146585063</v>
      </c>
      <c r="BF24" s="1144">
        <f t="shared" si="4"/>
        <v>5.952344853414937E-2</v>
      </c>
      <c r="BH24" s="182">
        <v>887000</v>
      </c>
      <c r="BI24" s="888">
        <v>1395.75</v>
      </c>
      <c r="BJ24" s="888">
        <v>43880.099999999991</v>
      </c>
      <c r="BK24" s="888">
        <v>614212.83000000182</v>
      </c>
      <c r="BL24" s="888">
        <v>659488.6800000018</v>
      </c>
      <c r="BM24" s="2603">
        <f t="shared" si="5"/>
        <v>0.93134703995222501</v>
      </c>
      <c r="BN24" s="1144">
        <f t="shared" si="6"/>
        <v>6.8652960047774991E-2</v>
      </c>
      <c r="BS24" s="477"/>
      <c r="BT24" s="2613"/>
      <c r="BU24" s="2613"/>
      <c r="BV24" s="2613"/>
      <c r="BW24" s="2613"/>
      <c r="BX24" s="2613"/>
      <c r="BY24" s="2613"/>
      <c r="CJ24" s="182">
        <v>903000</v>
      </c>
      <c r="CK24" s="888">
        <v>1043.2</v>
      </c>
      <c r="CL24" s="888">
        <v>685.22</v>
      </c>
      <c r="CM24" s="477">
        <f>$CT$4</f>
        <v>0.65115999999999996</v>
      </c>
      <c r="CN24" s="477">
        <f>$CW$3</f>
        <v>0.65400999999999998</v>
      </c>
      <c r="CO24" s="2615">
        <f t="shared" si="1"/>
        <v>679.29011200000002</v>
      </c>
      <c r="CP24" s="2615">
        <f t="shared" si="2"/>
        <v>448.1407322</v>
      </c>
    </row>
    <row r="25" spans="1:94">
      <c r="A25" s="2621" t="s">
        <v>2274</v>
      </c>
      <c r="B25" s="2621" t="s">
        <v>1252</v>
      </c>
      <c r="C25" s="2621"/>
      <c r="D25" s="2621"/>
      <c r="E25" s="2621"/>
      <c r="F25" s="2621"/>
      <c r="G25" s="2621"/>
      <c r="H25" s="2621"/>
      <c r="I25" s="2621"/>
      <c r="J25" s="2621"/>
      <c r="K25" s="2621"/>
      <c r="L25" s="2621"/>
      <c r="M25" s="2621"/>
      <c r="O25" s="2579" t="s">
        <v>763</v>
      </c>
      <c r="P25" s="2578" t="s">
        <v>2273</v>
      </c>
      <c r="Q25" s="2578"/>
      <c r="R25" s="2578" t="s">
        <v>2272</v>
      </c>
      <c r="S25" s="2578" t="s">
        <v>2271</v>
      </c>
      <c r="T25" s="2578" t="s">
        <v>2270</v>
      </c>
      <c r="V25" s="3867" t="s">
        <v>1121</v>
      </c>
      <c r="W25" s="3867"/>
      <c r="Y25" s="3868" t="s">
        <v>2261</v>
      </c>
      <c r="Z25" s="3869"/>
      <c r="AA25" s="3869"/>
      <c r="AB25" s="3869"/>
      <c r="AC25" s="3870"/>
      <c r="AE25" s="3868" t="s">
        <v>2262</v>
      </c>
      <c r="AF25" s="3869"/>
      <c r="AG25" s="3869"/>
      <c r="AH25" s="3869"/>
      <c r="AI25" s="3870"/>
      <c r="AK25" s="3871" t="s">
        <v>2269</v>
      </c>
      <c r="AL25" s="3872"/>
      <c r="AM25" s="3872"/>
      <c r="AN25" s="3873"/>
      <c r="AR25" s="2594" t="s">
        <v>2317</v>
      </c>
      <c r="AS25" s="2593"/>
      <c r="AT25" s="2592"/>
      <c r="AU25" s="2583"/>
      <c r="AV25" s="2592"/>
      <c r="AZ25" s="182">
        <v>928000</v>
      </c>
      <c r="BA25" s="888">
        <v>1083652.9099999999</v>
      </c>
      <c r="BB25" s="888">
        <v>11615.29</v>
      </c>
      <c r="BC25" s="888"/>
      <c r="BD25" s="888">
        <v>1095268.2</v>
      </c>
      <c r="BE25" s="2603">
        <f t="shared" si="3"/>
        <v>0</v>
      </c>
      <c r="BF25" s="1144">
        <f t="shared" si="4"/>
        <v>1</v>
      </c>
      <c r="BH25" s="182">
        <v>878000</v>
      </c>
      <c r="BI25" s="888">
        <v>1465.1</v>
      </c>
      <c r="BJ25" s="888">
        <v>433.55</v>
      </c>
      <c r="BK25" s="888">
        <v>4825.3200000000015</v>
      </c>
      <c r="BL25" s="888">
        <v>6723.9700000000012</v>
      </c>
      <c r="BM25" s="2603">
        <f t="shared" si="5"/>
        <v>0.71762961464729924</v>
      </c>
      <c r="BN25" s="1144">
        <f t="shared" si="6"/>
        <v>0.28237038535270076</v>
      </c>
      <c r="BR25" s="1569" t="s">
        <v>679</v>
      </c>
      <c r="BS25" s="1569" t="s">
        <v>1701</v>
      </c>
      <c r="CJ25" s="182">
        <v>920000</v>
      </c>
      <c r="CK25" s="888">
        <v>100369.36999999991</v>
      </c>
      <c r="CL25" s="888">
        <v>26033.869999999988</v>
      </c>
      <c r="CM25" s="477">
        <f t="shared" ref="CM25:CM30" si="10">$CT$6</f>
        <v>0.66942999999999997</v>
      </c>
      <c r="CN25" s="477">
        <f t="shared" ref="CN25:CN30" si="11">$CW$5</f>
        <v>0.71745999999999999</v>
      </c>
      <c r="CO25" s="2615">
        <f t="shared" si="1"/>
        <v>67190.267359099933</v>
      </c>
      <c r="CP25" s="2615">
        <f t="shared" si="2"/>
        <v>18678.260370199991</v>
      </c>
    </row>
    <row r="26" spans="1:94" ht="38.25">
      <c r="A26" s="2621"/>
      <c r="B26" s="2621" t="s">
        <v>682</v>
      </c>
      <c r="C26" s="2621"/>
      <c r="D26" s="2621"/>
      <c r="E26" s="2621"/>
      <c r="F26" s="2622" t="s">
        <v>2268</v>
      </c>
      <c r="G26" s="2621" t="s">
        <v>680</v>
      </c>
      <c r="H26" s="2621"/>
      <c r="I26" s="2621"/>
      <c r="J26" s="2621"/>
      <c r="K26" s="2621"/>
      <c r="L26" s="2622" t="s">
        <v>2267</v>
      </c>
      <c r="M26" s="2621" t="s">
        <v>978</v>
      </c>
      <c r="O26" s="2581" t="s">
        <v>739</v>
      </c>
      <c r="P26" s="2578" t="s">
        <v>739</v>
      </c>
      <c r="Q26" s="2578" t="s">
        <v>2266</v>
      </c>
      <c r="R26" s="2578" t="s">
        <v>2265</v>
      </c>
      <c r="S26" s="2578" t="s">
        <v>2264</v>
      </c>
      <c r="T26" s="2578" t="s">
        <v>2263</v>
      </c>
      <c r="V26" s="2578" t="s">
        <v>2262</v>
      </c>
      <c r="W26" s="2578" t="s">
        <v>2261</v>
      </c>
      <c r="Y26" s="2580" t="s">
        <v>2351</v>
      </c>
      <c r="Z26" s="2580" t="s">
        <v>2352</v>
      </c>
      <c r="AA26" s="2580">
        <v>2024</v>
      </c>
      <c r="AB26" s="2580">
        <v>2025</v>
      </c>
      <c r="AC26" s="2580">
        <v>2026</v>
      </c>
      <c r="AE26" s="2580" t="s">
        <v>2351</v>
      </c>
      <c r="AF26" s="2580" t="s">
        <v>2352</v>
      </c>
      <c r="AG26" s="2580">
        <v>2024</v>
      </c>
      <c r="AH26" s="2580">
        <v>2025</v>
      </c>
      <c r="AI26" s="2580">
        <v>2026</v>
      </c>
      <c r="AK26" s="2564" t="s">
        <v>2353</v>
      </c>
      <c r="AL26" s="2564">
        <v>2024</v>
      </c>
      <c r="AM26" s="2564">
        <v>2025</v>
      </c>
      <c r="AN26" s="2564">
        <v>2026</v>
      </c>
      <c r="AR26" s="2582" t="s">
        <v>2316</v>
      </c>
      <c r="AS26" s="2592"/>
      <c r="AT26" s="2592"/>
      <c r="AU26" s="2591">
        <v>0.04</v>
      </c>
      <c r="AV26" s="2592"/>
      <c r="AZ26" s="182">
        <v>583000</v>
      </c>
      <c r="BA26" s="888">
        <v>380808.91999999993</v>
      </c>
      <c r="BB26" s="888">
        <v>7041.88</v>
      </c>
      <c r="BC26" s="888">
        <v>822342.47000000137</v>
      </c>
      <c r="BD26" s="888">
        <v>1210193.2700000014</v>
      </c>
      <c r="BE26" s="2603">
        <f t="shared" si="3"/>
        <v>0.67951333922060264</v>
      </c>
      <c r="BF26" s="1144">
        <f t="shared" si="4"/>
        <v>0.32048666077939736</v>
      </c>
      <c r="BH26" s="182">
        <v>905000</v>
      </c>
      <c r="BI26" s="888">
        <v>17353.530000000002</v>
      </c>
      <c r="BJ26" s="888">
        <v>146695.41000000041</v>
      </c>
      <c r="BK26" s="888">
        <v>3075.5300000000007</v>
      </c>
      <c r="BL26" s="888">
        <v>167124.47000000041</v>
      </c>
      <c r="BM26" s="2603">
        <f t="shared" si="5"/>
        <v>1.840263128433552E-2</v>
      </c>
      <c r="BN26" s="1144">
        <f t="shared" si="6"/>
        <v>0.9815973687156645</v>
      </c>
      <c r="BR26" s="1569" t="s">
        <v>1758</v>
      </c>
      <c r="BS26" s="1569" t="s">
        <v>1745</v>
      </c>
      <c r="CJ26" s="182">
        <v>921000</v>
      </c>
      <c r="CK26" s="888">
        <v>3704.2</v>
      </c>
      <c r="CL26" s="888">
        <v>1067.97</v>
      </c>
      <c r="CM26" s="477">
        <f t="shared" si="10"/>
        <v>0.66942999999999997</v>
      </c>
      <c r="CN26" s="477">
        <f t="shared" si="11"/>
        <v>0.71745999999999999</v>
      </c>
      <c r="CO26" s="2615">
        <f t="shared" si="1"/>
        <v>2479.7026059999998</v>
      </c>
      <c r="CP26" s="2615">
        <f t="shared" si="2"/>
        <v>766.22575619999998</v>
      </c>
    </row>
    <row r="27" spans="1:94">
      <c r="A27" s="2621" t="s">
        <v>1170</v>
      </c>
      <c r="B27" s="2621" t="s">
        <v>678</v>
      </c>
      <c r="C27" s="2621" t="s">
        <v>677</v>
      </c>
      <c r="D27" s="2621" t="s">
        <v>683</v>
      </c>
      <c r="E27" s="2621" t="s">
        <v>763</v>
      </c>
      <c r="F27" s="2622"/>
      <c r="G27" s="2621" t="s">
        <v>678</v>
      </c>
      <c r="H27" s="2621" t="s">
        <v>677</v>
      </c>
      <c r="I27" s="2621" t="s">
        <v>683</v>
      </c>
      <c r="J27" s="2621" t="s">
        <v>676</v>
      </c>
      <c r="K27" s="2621" t="s">
        <v>763</v>
      </c>
      <c r="L27" s="2622"/>
      <c r="M27" s="2621"/>
      <c r="O27" s="2579" t="s">
        <v>2260</v>
      </c>
      <c r="P27" s="2578"/>
      <c r="Q27" s="2578"/>
      <c r="R27" s="2578" t="s">
        <v>24</v>
      </c>
      <c r="S27" s="2578" t="s">
        <v>2259</v>
      </c>
      <c r="T27" s="2578" t="s">
        <v>11</v>
      </c>
      <c r="V27" s="2269"/>
      <c r="W27" s="2269"/>
      <c r="Y27" s="950"/>
      <c r="Z27" s="2577">
        <f>+'G-3.05,5.02 PF NE Labor'!AU44</f>
        <v>3.9960000000000002E-2</v>
      </c>
      <c r="AA27" s="1130">
        <f>+'G-3.05,5.02 PF NE Labor'!AU50</f>
        <v>0.04</v>
      </c>
      <c r="AB27" s="1130">
        <f>+'G-3.05,5.02 PF NE Labor'!AU56</f>
        <v>3.3520000000000001E-2</v>
      </c>
      <c r="AC27" s="1130">
        <f>+'G-3.05,5.02 PF NE Labor'!AU62</f>
        <v>0.04</v>
      </c>
      <c r="AE27" s="950"/>
      <c r="AF27" s="2577">
        <f>'G-3.05,5.02 PF NE Labor'!AU17</f>
        <v>2.5690000000000001E-2</v>
      </c>
      <c r="AG27" s="1130">
        <f>+'G-3.05,5.02 PF NE Labor'!AU23</f>
        <v>0.04</v>
      </c>
      <c r="AH27" s="1130">
        <f>+'G-3.05,5.02 PF NE Labor'!AU29</f>
        <v>3.056E-2</v>
      </c>
      <c r="AI27" s="1130">
        <f>+'G-3.05,5.02 PF NE Labor'!AU36</f>
        <v>0.04</v>
      </c>
      <c r="AK27" s="1130"/>
      <c r="AL27" s="1130"/>
      <c r="AM27" s="1130"/>
      <c r="AN27" s="1130"/>
      <c r="AR27" s="2582" t="s">
        <v>2315</v>
      </c>
      <c r="AU27" s="2590"/>
      <c r="AZ27" s="182">
        <v>594000</v>
      </c>
      <c r="BA27" s="888"/>
      <c r="BB27" s="888"/>
      <c r="BC27" s="888">
        <v>614973.21000000136</v>
      </c>
      <c r="BD27" s="888">
        <v>614973.21000000136</v>
      </c>
      <c r="BE27" s="2603">
        <f t="shared" si="3"/>
        <v>1</v>
      </c>
      <c r="BF27" s="1144">
        <f t="shared" si="4"/>
        <v>0</v>
      </c>
      <c r="BH27" s="182">
        <v>813000</v>
      </c>
      <c r="BI27" s="888">
        <v>674111.46000000008</v>
      </c>
      <c r="BJ27" s="888"/>
      <c r="BK27" s="888"/>
      <c r="BL27" s="888">
        <v>674111.46000000008</v>
      </c>
      <c r="BM27" s="2603">
        <f t="shared" si="5"/>
        <v>0</v>
      </c>
      <c r="BN27" s="1144">
        <f t="shared" si="6"/>
        <v>1</v>
      </c>
      <c r="BR27" s="1569" t="s">
        <v>2277</v>
      </c>
      <c r="BS27" s="1569" t="s">
        <v>2276</v>
      </c>
      <c r="CJ27" s="182">
        <v>926100</v>
      </c>
      <c r="CK27" s="888">
        <v>4948.6599999999989</v>
      </c>
      <c r="CL27" s="888">
        <v>1415.96</v>
      </c>
      <c r="CM27" s="477">
        <f t="shared" si="10"/>
        <v>0.66942999999999997</v>
      </c>
      <c r="CN27" s="477">
        <f t="shared" si="11"/>
        <v>0.71745999999999999</v>
      </c>
      <c r="CO27" s="2615">
        <f t="shared" si="1"/>
        <v>3312.7814637999991</v>
      </c>
      <c r="CP27" s="2615">
        <f t="shared" si="2"/>
        <v>1015.8946616000001</v>
      </c>
    </row>
    <row r="28" spans="1:94">
      <c r="A28" s="2573">
        <v>813000</v>
      </c>
      <c r="B28" s="2569"/>
      <c r="C28" s="2569"/>
      <c r="D28" s="2569"/>
      <c r="E28" s="2569"/>
      <c r="F28" s="2623"/>
      <c r="G28" s="2569">
        <v>885318.23999999976</v>
      </c>
      <c r="H28" s="2569"/>
      <c r="I28" s="2569"/>
      <c r="J28" s="2569"/>
      <c r="K28" s="2569">
        <v>77311.630000000019</v>
      </c>
      <c r="L28" s="2623">
        <v>962629.86999999976</v>
      </c>
      <c r="M28" s="2569">
        <v>962629.86999999976</v>
      </c>
      <c r="N28" s="2576">
        <f>$B$72</f>
        <v>10</v>
      </c>
      <c r="O28" s="2575">
        <f t="shared" ref="O28:O60" si="12">IF(N28=$B$69,$C$69,IF(N28=$B$70,$C$70,IF(N28=$B$71,$C$71,IF(N28=$B$72,$C$72,IF(N28=$B$73,$C$73,0)))))</f>
        <v>0.67015999999999998</v>
      </c>
      <c r="P28" s="2569">
        <f t="shared" ref="P28:P60" si="13">(O28*B28)+(O28*C28)+(O28*G28)+(O28*H28)</f>
        <v>593304.87171839981</v>
      </c>
      <c r="Q28" s="2569">
        <f t="shared" ref="Q28:Q60" si="14">E28+K28</f>
        <v>77311.630000000019</v>
      </c>
      <c r="R28" s="2569">
        <f t="shared" ref="R28:R60" si="15">Q28+P28</f>
        <v>670616.50171839981</v>
      </c>
      <c r="S28" s="2569">
        <f>-IFERROR(VLOOKUP(A28,'G-3.05,5.02 PF NE Labor'!$BR$33:$CD$40,13,FALSE),0)</f>
        <v>-88837.656097600004</v>
      </c>
      <c r="T28" s="2569">
        <f t="shared" ref="T28:T61" si="16">R28+S28</f>
        <v>581778.84562079981</v>
      </c>
      <c r="V28" s="2568">
        <f>VLOOKUP(A28,'G-3.05,5.02 PF NE Labor'!$BH$13:$BN$46,6,FALSE)</f>
        <v>0</v>
      </c>
      <c r="W28" s="2568">
        <f>VLOOKUP(A28,'G-3.05,5.02 PF NE Labor'!$BH$13:$BN$46,7,FALSE)</f>
        <v>1</v>
      </c>
      <c r="Y28" s="2574">
        <f t="shared" ref="Y28:Y60" si="17">T28*W28</f>
        <v>581778.84562079981</v>
      </c>
      <c r="Z28" s="2574">
        <f t="shared" ref="Z28:Z60" si="18">Y28*$Z$27</f>
        <v>23247.882671007163</v>
      </c>
      <c r="AA28" s="2574">
        <f t="shared" ref="AA28:AA60" si="19">(Y28+Z28)*$AA$27</f>
        <v>24201.06913167228</v>
      </c>
      <c r="AB28" s="2574">
        <f t="shared" ref="AB28:AB60" si="20">(Y28+Z28+AA28)*$AB$27</f>
        <v>21091.715769635026</v>
      </c>
      <c r="AC28" s="2574">
        <f t="shared" ref="AC28:AC60" si="21">(Y28+Z28+AA28+AB28)*$AC$27</f>
        <v>26012.780527724572</v>
      </c>
      <c r="AE28" s="2574">
        <f t="shared" ref="AE28:AE60" si="22">T28*V28</f>
        <v>0</v>
      </c>
      <c r="AF28" s="2574">
        <f t="shared" ref="AF28:AF60" si="23">AE28*$AF$27</f>
        <v>0</v>
      </c>
      <c r="AG28" s="2574">
        <f t="shared" ref="AG28:AG60" si="24">(AE28+AF28)*$AG$27</f>
        <v>0</v>
      </c>
      <c r="AH28" s="2574">
        <f t="shared" ref="AH28:AH60" si="25">(AE28+AF28+AG28)*$AH$27</f>
        <v>0</v>
      </c>
      <c r="AI28" s="2574">
        <f t="shared" ref="AI28:AI60" si="26">(AE28+AF28+AG28+AH28)*$AI$27</f>
        <v>0</v>
      </c>
      <c r="AK28" s="2574">
        <f t="shared" ref="AK28:AK60" si="27">AE28+AF28+Y28+Z28</f>
        <v>605026.728291807</v>
      </c>
      <c r="AL28" s="2574">
        <f t="shared" ref="AL28:AL60" si="28">AK28+AG28+AA28</f>
        <v>629227.79742347926</v>
      </c>
      <c r="AM28" s="2574">
        <f t="shared" ref="AM28:AM60" si="29">AK28+AH28+AB28</f>
        <v>626118.44406144205</v>
      </c>
      <c r="AN28" s="2574">
        <f t="shared" ref="AN28:AN60" si="30">AL28+AI28+AC28</f>
        <v>655240.5779512038</v>
      </c>
      <c r="AT28" s="2589" t="str">
        <f>"279/365="</f>
        <v>279/365=</v>
      </c>
      <c r="AU28" s="2588">
        <f>ROUND(279/365,3)</f>
        <v>0.76400000000000001</v>
      </c>
      <c r="AV28" s="2582" t="s">
        <v>2314</v>
      </c>
      <c r="AZ28" s="182">
        <v>569000</v>
      </c>
      <c r="BA28" s="888">
        <v>469.47</v>
      </c>
      <c r="BB28" s="888">
        <v>22.09</v>
      </c>
      <c r="BC28" s="888">
        <v>351317.9099999998</v>
      </c>
      <c r="BD28" s="888">
        <v>351809.4699999998</v>
      </c>
      <c r="BE28" s="2603">
        <f t="shared" si="3"/>
        <v>0.99860276643491153</v>
      </c>
      <c r="BF28" s="1144">
        <f t="shared" si="4"/>
        <v>1.3972335650884737E-3</v>
      </c>
      <c r="BH28" s="182">
        <v>930200</v>
      </c>
      <c r="BI28" s="888">
        <v>100807.71000000004</v>
      </c>
      <c r="BJ28" s="888">
        <v>9153.6099999999988</v>
      </c>
      <c r="BK28" s="888">
        <v>39095.129999999983</v>
      </c>
      <c r="BL28" s="888">
        <v>149056.45000000001</v>
      </c>
      <c r="BM28" s="2603">
        <f t="shared" si="5"/>
        <v>0.2622840541284861</v>
      </c>
      <c r="BN28" s="1144">
        <f t="shared" si="6"/>
        <v>0.7377159458715139</v>
      </c>
      <c r="BR28" s="1570" t="s">
        <v>2340</v>
      </c>
      <c r="BS28" s="1570" t="s">
        <v>1759</v>
      </c>
      <c r="CJ28" s="182">
        <v>928000</v>
      </c>
      <c r="CK28" s="888">
        <v>5864.91</v>
      </c>
      <c r="CL28" s="888">
        <v>1131.74</v>
      </c>
      <c r="CM28" s="477">
        <f t="shared" si="10"/>
        <v>0.66942999999999997</v>
      </c>
      <c r="CN28" s="477">
        <f t="shared" si="11"/>
        <v>0.71745999999999999</v>
      </c>
      <c r="CO28" s="2615">
        <f t="shared" si="1"/>
        <v>3926.1467012999997</v>
      </c>
      <c r="CP28" s="2615">
        <f t="shared" si="2"/>
        <v>811.97818040000004</v>
      </c>
    </row>
    <row r="29" spans="1:94" ht="13.5" thickBot="1">
      <c r="A29" s="2573">
        <v>870000</v>
      </c>
      <c r="B29" s="2569"/>
      <c r="C29" s="2569"/>
      <c r="D29" s="2569"/>
      <c r="E29" s="2569"/>
      <c r="F29" s="2623"/>
      <c r="G29" s="2569">
        <v>1362115.0700000003</v>
      </c>
      <c r="H29" s="2569">
        <v>145621.05999999997</v>
      </c>
      <c r="I29" s="2569">
        <v>59038.150000000016</v>
      </c>
      <c r="J29" s="2569"/>
      <c r="K29" s="2569">
        <v>278570.35000000015</v>
      </c>
      <c r="L29" s="2623">
        <v>1845344.6300000004</v>
      </c>
      <c r="M29" s="2569">
        <v>1845344.6300000004</v>
      </c>
      <c r="N29" s="2576">
        <f>$B$73</f>
        <v>1</v>
      </c>
      <c r="O29" s="2575">
        <f t="shared" si="12"/>
        <v>0.6845</v>
      </c>
      <c r="P29" s="2569">
        <f t="shared" si="13"/>
        <v>1032045.3809850002</v>
      </c>
      <c r="Q29" s="2569">
        <f t="shared" si="14"/>
        <v>278570.35000000015</v>
      </c>
      <c r="R29" s="2569">
        <f t="shared" si="15"/>
        <v>1310615.7309850003</v>
      </c>
      <c r="S29" s="2569">
        <f>-IFERROR(VLOOKUP(A29,'G-3.05,5.02 PF NE Labor'!$BR$33:$CD$40,13,FALSE),0)</f>
        <v>-21433.876224</v>
      </c>
      <c r="T29" s="2569">
        <f t="shared" si="16"/>
        <v>1289181.8547610003</v>
      </c>
      <c r="V29" s="2568">
        <f>VLOOKUP(A29,'G-3.05,5.02 PF NE Labor'!$BH$13:$BN$46,6,FALSE)</f>
        <v>0.17943009357075734</v>
      </c>
      <c r="W29" s="2568">
        <f>VLOOKUP(A29,'G-3.05,5.02 PF NE Labor'!$BH$13:$BN$46,7,FALSE)</f>
        <v>0.82056990642924266</v>
      </c>
      <c r="Y29" s="2574">
        <f t="shared" si="17"/>
        <v>1057863.8339315115</v>
      </c>
      <c r="Z29" s="2574">
        <f t="shared" si="18"/>
        <v>42272.238803903201</v>
      </c>
      <c r="AA29" s="2574">
        <f t="shared" si="19"/>
        <v>44005.442909416583</v>
      </c>
      <c r="AB29" s="2574">
        <f t="shared" si="20"/>
        <v>38351.623604414737</v>
      </c>
      <c r="AC29" s="2574">
        <f t="shared" si="21"/>
        <v>47299.725569969836</v>
      </c>
      <c r="AE29" s="2574">
        <f t="shared" si="22"/>
        <v>231318.02082948879</v>
      </c>
      <c r="AF29" s="2574">
        <f t="shared" si="23"/>
        <v>5942.5599551095675</v>
      </c>
      <c r="AG29" s="2574">
        <f t="shared" si="24"/>
        <v>9490.4232313839348</v>
      </c>
      <c r="AH29" s="2574">
        <f t="shared" si="25"/>
        <v>7540.7106827284188</v>
      </c>
      <c r="AI29" s="2574">
        <f t="shared" si="26"/>
        <v>10171.668587948428</v>
      </c>
      <c r="AK29" s="2574">
        <f t="shared" si="27"/>
        <v>1337396.653520013</v>
      </c>
      <c r="AL29" s="2574">
        <f t="shared" si="28"/>
        <v>1390892.5196608135</v>
      </c>
      <c r="AM29" s="2574">
        <f t="shared" si="29"/>
        <v>1383288.9878071561</v>
      </c>
      <c r="AN29" s="2574">
        <f t="shared" si="30"/>
        <v>1448363.9138187317</v>
      </c>
      <c r="AR29" s="2584" t="s">
        <v>2297</v>
      </c>
      <c r="AU29" s="2586">
        <f>ROUND(AU26*AU28,5)</f>
        <v>3.056E-2</v>
      </c>
      <c r="AV29" s="2592"/>
      <c r="AZ29" s="182">
        <v>908000</v>
      </c>
      <c r="BA29" s="888">
        <v>254269.15000000005</v>
      </c>
      <c r="BB29" s="888">
        <v>2130.2399999999998</v>
      </c>
      <c r="BC29" s="888"/>
      <c r="BD29" s="888">
        <v>256399.39000000004</v>
      </c>
      <c r="BE29" s="2603">
        <f t="shared" si="3"/>
        <v>0</v>
      </c>
      <c r="BF29" s="1144">
        <f t="shared" si="4"/>
        <v>1</v>
      </c>
      <c r="BH29" s="182">
        <v>870000</v>
      </c>
      <c r="BI29" s="888">
        <v>978833.13999999943</v>
      </c>
      <c r="BJ29" s="888">
        <v>272025.54000000004</v>
      </c>
      <c r="BK29" s="888">
        <v>273519.28000000009</v>
      </c>
      <c r="BL29" s="888">
        <v>1524377.9599999995</v>
      </c>
      <c r="BM29" s="2603">
        <f t="shared" si="5"/>
        <v>0.17943009357075734</v>
      </c>
      <c r="BN29" s="1144">
        <f t="shared" si="6"/>
        <v>0.82056990642924266</v>
      </c>
      <c r="BS29" s="477"/>
      <c r="CJ29" s="182">
        <v>930200</v>
      </c>
      <c r="CK29" s="888">
        <v>16483.999999999996</v>
      </c>
      <c r="CL29" s="888">
        <v>6804.5300000000007</v>
      </c>
      <c r="CM29" s="477">
        <f t="shared" si="10"/>
        <v>0.66942999999999997</v>
      </c>
      <c r="CN29" s="477">
        <f t="shared" si="11"/>
        <v>0.71745999999999999</v>
      </c>
      <c r="CO29" s="2615">
        <f t="shared" si="1"/>
        <v>11034.884119999997</v>
      </c>
      <c r="CP29" s="2615">
        <f t="shared" si="2"/>
        <v>4881.9780938000004</v>
      </c>
    </row>
    <row r="30" spans="1:94" ht="13.5" thickTop="1">
      <c r="A30" s="2573">
        <v>874000</v>
      </c>
      <c r="B30" s="2569"/>
      <c r="C30" s="2569"/>
      <c r="D30" s="2569"/>
      <c r="E30" s="2569"/>
      <c r="F30" s="2623"/>
      <c r="G30" s="2569">
        <v>477468.77000000014</v>
      </c>
      <c r="H30" s="2569">
        <v>372224.4099999998</v>
      </c>
      <c r="I30" s="2569">
        <v>248402.2699999999</v>
      </c>
      <c r="J30" s="2569"/>
      <c r="K30" s="2569">
        <v>839363.40000000119</v>
      </c>
      <c r="L30" s="2623">
        <v>1937458.850000001</v>
      </c>
      <c r="M30" s="2569">
        <v>1937458.850000001</v>
      </c>
      <c r="N30" s="2576">
        <f t="shared" ref="N30:N45" si="31">$B$70</f>
        <v>3</v>
      </c>
      <c r="O30" s="2575">
        <f t="shared" si="12"/>
        <v>0.71040000000000003</v>
      </c>
      <c r="P30" s="2569">
        <f t="shared" si="13"/>
        <v>603622.035072</v>
      </c>
      <c r="Q30" s="2569">
        <f t="shared" si="14"/>
        <v>839363.40000000119</v>
      </c>
      <c r="R30" s="2569">
        <f t="shared" si="15"/>
        <v>1442985.4350720011</v>
      </c>
      <c r="S30" s="2569">
        <f>-IFERROR(VLOOKUP(A30,'G-3.05,5.02 PF NE Labor'!$BR$33:$CD$40,13,FALSE),0)</f>
        <v>0</v>
      </c>
      <c r="T30" s="2569">
        <f t="shared" si="16"/>
        <v>1442985.4350720011</v>
      </c>
      <c r="V30" s="2568">
        <f>VLOOKUP(A30,'G-3.05,5.02 PF NE Labor'!$BH$13:$BN$46,6,FALSE)</f>
        <v>0.62034827191022157</v>
      </c>
      <c r="W30" s="2568">
        <f>VLOOKUP(A30,'G-3.05,5.02 PF NE Labor'!$BH$13:$BN$46,7,FALSE)</f>
        <v>0.37965172808977843</v>
      </c>
      <c r="Y30" s="2574">
        <f t="shared" si="17"/>
        <v>547831.91403346602</v>
      </c>
      <c r="Z30" s="2574">
        <f t="shared" si="18"/>
        <v>21891.363284777304</v>
      </c>
      <c r="AA30" s="2574">
        <f t="shared" si="19"/>
        <v>22788.93109272973</v>
      </c>
      <c r="AB30" s="2574">
        <f t="shared" si="20"/>
        <v>19861.009225935813</v>
      </c>
      <c r="AC30" s="2574">
        <f t="shared" si="21"/>
        <v>24494.928705476352</v>
      </c>
      <c r="AE30" s="2574">
        <f t="shared" si="22"/>
        <v>895153.52103853505</v>
      </c>
      <c r="AF30" s="2574">
        <f t="shared" si="23"/>
        <v>22996.493955479968</v>
      </c>
      <c r="AG30" s="2574">
        <f t="shared" si="24"/>
        <v>36726.000599760599</v>
      </c>
      <c r="AH30" s="2574">
        <f t="shared" si="25"/>
        <v>29181.01103654578</v>
      </c>
      <c r="AI30" s="2574">
        <f t="shared" si="26"/>
        <v>39362.281065212854</v>
      </c>
      <c r="AK30" s="2574">
        <f t="shared" si="27"/>
        <v>1487873.2923122584</v>
      </c>
      <c r="AL30" s="2574">
        <f t="shared" si="28"/>
        <v>1547388.2240047487</v>
      </c>
      <c r="AM30" s="2574">
        <f t="shared" si="29"/>
        <v>1536915.31257474</v>
      </c>
      <c r="AN30" s="2574">
        <f t="shared" si="30"/>
        <v>1611245.433775438</v>
      </c>
      <c r="AU30" s="2590"/>
      <c r="AZ30" s="182">
        <v>590000</v>
      </c>
      <c r="BA30" s="888">
        <v>511168.4599999999</v>
      </c>
      <c r="BB30" s="888">
        <v>118586.17999999995</v>
      </c>
      <c r="BC30" s="888">
        <v>163070.54000000004</v>
      </c>
      <c r="BD30" s="888">
        <v>792825.17999999993</v>
      </c>
      <c r="BE30" s="2603">
        <f t="shared" si="3"/>
        <v>0.20568284675317711</v>
      </c>
      <c r="BF30" s="1144">
        <f t="shared" si="4"/>
        <v>0.79431715324682295</v>
      </c>
      <c r="BH30" s="182">
        <v>923000</v>
      </c>
      <c r="BI30" s="888">
        <v>606.25000000000023</v>
      </c>
      <c r="BJ30" s="888">
        <v>691.15</v>
      </c>
      <c r="BK30" s="888">
        <v>48.2</v>
      </c>
      <c r="BL30" s="888">
        <v>1345.6000000000001</v>
      </c>
      <c r="BM30" s="2603">
        <f t="shared" si="5"/>
        <v>3.5820451843043992E-2</v>
      </c>
      <c r="BN30" s="1144">
        <f t="shared" si="6"/>
        <v>0.96417954815695606</v>
      </c>
      <c r="BR30" s="1418" t="s">
        <v>2274</v>
      </c>
      <c r="BS30" s="1418" t="s">
        <v>1252</v>
      </c>
      <c r="BT30" s="1418"/>
      <c r="BU30" s="1418"/>
      <c r="BV30" s="1418"/>
      <c r="BW30" s="1418"/>
      <c r="BX30" s="1418"/>
      <c r="BY30" s="1418"/>
      <c r="BZ30" s="477"/>
      <c r="CJ30" s="182">
        <v>935000</v>
      </c>
      <c r="CK30" s="888">
        <v>1060.43</v>
      </c>
      <c r="CL30" s="888">
        <v>303.42</v>
      </c>
      <c r="CM30" s="477">
        <f t="shared" si="10"/>
        <v>0.66942999999999997</v>
      </c>
      <c r="CN30" s="477">
        <f t="shared" si="11"/>
        <v>0.71745999999999999</v>
      </c>
      <c r="CO30" s="2614">
        <f t="shared" si="1"/>
        <v>709.88365490000001</v>
      </c>
      <c r="CP30" s="2614">
        <f t="shared" si="2"/>
        <v>217.69171320000001</v>
      </c>
    </row>
    <row r="31" spans="1:94">
      <c r="A31" s="2573">
        <v>875000</v>
      </c>
      <c r="B31" s="2569"/>
      <c r="C31" s="2569"/>
      <c r="D31" s="2569"/>
      <c r="E31" s="2569"/>
      <c r="F31" s="2623"/>
      <c r="G31" s="2569"/>
      <c r="H31" s="2569"/>
      <c r="I31" s="2569">
        <v>46696.010000000017</v>
      </c>
      <c r="J31" s="2569"/>
      <c r="K31" s="2569">
        <v>70940.190000000017</v>
      </c>
      <c r="L31" s="2623">
        <v>117636.20000000004</v>
      </c>
      <c r="M31" s="2569">
        <v>117636.20000000004</v>
      </c>
      <c r="N31" s="2576">
        <f t="shared" si="31"/>
        <v>3</v>
      </c>
      <c r="O31" s="2575">
        <f t="shared" si="12"/>
        <v>0.71040000000000003</v>
      </c>
      <c r="P31" s="2569">
        <f t="shared" si="13"/>
        <v>0</v>
      </c>
      <c r="Q31" s="2569">
        <f t="shared" si="14"/>
        <v>70940.190000000017</v>
      </c>
      <c r="R31" s="2569">
        <f t="shared" si="15"/>
        <v>70940.190000000017</v>
      </c>
      <c r="S31" s="2569">
        <f>-IFERROR(VLOOKUP(A31,'G-3.05,5.02 PF NE Labor'!$BR$33:$CD$40,13,FALSE),0)</f>
        <v>0</v>
      </c>
      <c r="T31" s="2569">
        <f t="shared" si="16"/>
        <v>70940.190000000017</v>
      </c>
      <c r="V31" s="2568">
        <f>VLOOKUP(A31,'G-3.05,5.02 PF NE Labor'!$BH$13:$BN$46,6,FALSE)</f>
        <v>1</v>
      </c>
      <c r="W31" s="2568">
        <f>VLOOKUP(A31,'G-3.05,5.02 PF NE Labor'!$BH$13:$BN$46,7,FALSE)</f>
        <v>0</v>
      </c>
      <c r="Y31" s="2574">
        <f t="shared" si="17"/>
        <v>0</v>
      </c>
      <c r="Z31" s="2574">
        <f t="shared" si="18"/>
        <v>0</v>
      </c>
      <c r="AA31" s="2574">
        <f t="shared" si="19"/>
        <v>0</v>
      </c>
      <c r="AB31" s="2574">
        <f t="shared" si="20"/>
        <v>0</v>
      </c>
      <c r="AC31" s="2574">
        <f t="shared" si="21"/>
        <v>0</v>
      </c>
      <c r="AE31" s="2574">
        <f t="shared" si="22"/>
        <v>70940.190000000017</v>
      </c>
      <c r="AF31" s="2574">
        <f t="shared" si="23"/>
        <v>1822.4534811000005</v>
      </c>
      <c r="AG31" s="2574">
        <f t="shared" si="24"/>
        <v>2910.5057392440008</v>
      </c>
      <c r="AH31" s="2574">
        <f t="shared" si="25"/>
        <v>2312.5714401737137</v>
      </c>
      <c r="AI31" s="2574">
        <f t="shared" si="26"/>
        <v>3119.4288264207098</v>
      </c>
      <c r="AK31" s="2574">
        <f t="shared" si="27"/>
        <v>72762.643481100022</v>
      </c>
      <c r="AL31" s="2574">
        <f t="shared" si="28"/>
        <v>75673.149220344028</v>
      </c>
      <c r="AM31" s="2574">
        <f t="shared" si="29"/>
        <v>75075.214921273742</v>
      </c>
      <c r="AN31" s="2574">
        <f t="shared" si="30"/>
        <v>78792.578046764742</v>
      </c>
      <c r="AR31" s="2594" t="s">
        <v>2313</v>
      </c>
      <c r="AS31" s="2593"/>
      <c r="AT31" s="2592"/>
      <c r="AU31" s="2591">
        <v>0.04</v>
      </c>
      <c r="AV31" s="2592"/>
      <c r="AZ31" s="182">
        <v>591000</v>
      </c>
      <c r="BA31" s="888">
        <v>2511.64</v>
      </c>
      <c r="BB31" s="888">
        <v>548.12000000000012</v>
      </c>
      <c r="BC31" s="888">
        <v>268693.93000000034</v>
      </c>
      <c r="BD31" s="888">
        <v>271753.69000000035</v>
      </c>
      <c r="BE31" s="2603">
        <f t="shared" si="3"/>
        <v>0.98874068646501179</v>
      </c>
      <c r="BF31" s="1144">
        <f t="shared" si="4"/>
        <v>1.1259313534988213E-2</v>
      </c>
      <c r="BH31" s="182">
        <v>902000</v>
      </c>
      <c r="BI31" s="888">
        <v>141977.53999999998</v>
      </c>
      <c r="BJ31" s="888">
        <v>31259.750000000007</v>
      </c>
      <c r="BK31" s="888">
        <v>129669.48999999998</v>
      </c>
      <c r="BL31" s="888">
        <v>302906.77999999997</v>
      </c>
      <c r="BM31" s="2603">
        <f t="shared" si="5"/>
        <v>0.42808381509321114</v>
      </c>
      <c r="BN31" s="1144">
        <f t="shared" si="6"/>
        <v>0.57191618490678886</v>
      </c>
      <c r="BR31" s="1418"/>
      <c r="BS31" s="1418" t="s">
        <v>682</v>
      </c>
      <c r="BT31" s="1418"/>
      <c r="BU31" s="1418"/>
      <c r="BV31" s="2616" t="s">
        <v>2268</v>
      </c>
      <c r="BW31" s="1418" t="s">
        <v>680</v>
      </c>
      <c r="BX31" s="2616" t="s">
        <v>2267</v>
      </c>
      <c r="BY31" s="1418" t="s">
        <v>978</v>
      </c>
      <c r="BZ31" s="477"/>
      <c r="CJ31" s="1489" t="s">
        <v>978</v>
      </c>
      <c r="CK31" s="1490">
        <v>222182.17999999993</v>
      </c>
      <c r="CL31" s="1490">
        <v>44886.159999999982</v>
      </c>
      <c r="CO31" s="888">
        <f>SUM(CO6:CO30)</f>
        <v>146343.62911269994</v>
      </c>
      <c r="CP31" s="888">
        <f>SUM(CP6:CP30)</f>
        <v>31959.438782499994</v>
      </c>
    </row>
    <row r="32" spans="1:94">
      <c r="A32" s="2573">
        <v>876000</v>
      </c>
      <c r="B32" s="2569"/>
      <c r="C32" s="2569"/>
      <c r="D32" s="2569"/>
      <c r="E32" s="2569"/>
      <c r="F32" s="2623"/>
      <c r="G32" s="2569"/>
      <c r="H32" s="2569"/>
      <c r="I32" s="2569">
        <v>9411.6200000000008</v>
      </c>
      <c r="J32" s="2569"/>
      <c r="K32" s="2569">
        <v>4877.17</v>
      </c>
      <c r="L32" s="2623">
        <v>14288.79</v>
      </c>
      <c r="M32" s="2569">
        <v>14288.79</v>
      </c>
      <c r="N32" s="2576">
        <f t="shared" si="31"/>
        <v>3</v>
      </c>
      <c r="O32" s="2575">
        <f t="shared" si="12"/>
        <v>0.71040000000000003</v>
      </c>
      <c r="P32" s="2569">
        <f t="shared" si="13"/>
        <v>0</v>
      </c>
      <c r="Q32" s="2569">
        <f t="shared" si="14"/>
        <v>4877.17</v>
      </c>
      <c r="R32" s="2569">
        <f t="shared" si="15"/>
        <v>4877.17</v>
      </c>
      <c r="S32" s="2569">
        <f>-IFERROR(VLOOKUP(A32,'G-3.05,5.02 PF NE Labor'!$BR$33:$CD$40,13,FALSE),0)</f>
        <v>0</v>
      </c>
      <c r="T32" s="2569">
        <f t="shared" si="16"/>
        <v>4877.17</v>
      </c>
      <c r="V32" s="2568">
        <f>VLOOKUP(A32,'G-3.05,5.02 PF NE Labor'!$BH$13:$BN$46,6,FALSE)</f>
        <v>1</v>
      </c>
      <c r="W32" s="2568">
        <f>VLOOKUP(A32,'G-3.05,5.02 PF NE Labor'!$BH$13:$BN$46,7,FALSE)</f>
        <v>0</v>
      </c>
      <c r="Y32" s="2574">
        <f t="shared" si="17"/>
        <v>0</v>
      </c>
      <c r="Z32" s="2574">
        <f t="shared" si="18"/>
        <v>0</v>
      </c>
      <c r="AA32" s="2574">
        <f t="shared" si="19"/>
        <v>0</v>
      </c>
      <c r="AB32" s="2574">
        <f t="shared" si="20"/>
        <v>0</v>
      </c>
      <c r="AC32" s="2574">
        <f t="shared" si="21"/>
        <v>0</v>
      </c>
      <c r="AE32" s="2574">
        <f t="shared" si="22"/>
        <v>4877.17</v>
      </c>
      <c r="AF32" s="2574">
        <f t="shared" si="23"/>
        <v>125.2944973</v>
      </c>
      <c r="AG32" s="2574">
        <f t="shared" si="24"/>
        <v>200.09857989200003</v>
      </c>
      <c r="AH32" s="2574">
        <f t="shared" si="25"/>
        <v>158.99032763898754</v>
      </c>
      <c r="AI32" s="2574">
        <f t="shared" si="26"/>
        <v>214.46213619323953</v>
      </c>
      <c r="AK32" s="2574">
        <f t="shared" si="27"/>
        <v>5002.4644973000004</v>
      </c>
      <c r="AL32" s="2574">
        <f t="shared" si="28"/>
        <v>5202.5630771920005</v>
      </c>
      <c r="AM32" s="2574">
        <f t="shared" si="29"/>
        <v>5161.4548249389882</v>
      </c>
      <c r="AN32" s="2574">
        <f t="shared" si="30"/>
        <v>5417.02521338524</v>
      </c>
      <c r="AS32" s="2592"/>
      <c r="AT32" s="2592"/>
      <c r="AU32" s="2599"/>
      <c r="AV32" s="2592"/>
      <c r="AZ32" s="182">
        <v>548000</v>
      </c>
      <c r="BA32" s="888"/>
      <c r="BB32" s="888"/>
      <c r="BC32" s="888">
        <v>297469.23999999993</v>
      </c>
      <c r="BD32" s="888">
        <v>297469.23999999993</v>
      </c>
      <c r="BE32" s="2603">
        <f t="shared" si="3"/>
        <v>1</v>
      </c>
      <c r="BF32" s="1144">
        <f t="shared" si="4"/>
        <v>0</v>
      </c>
      <c r="BH32" s="182">
        <v>926100</v>
      </c>
      <c r="BI32" s="888">
        <v>48374.159999999996</v>
      </c>
      <c r="BJ32" s="888">
        <v>6306.8999999999987</v>
      </c>
      <c r="BK32" s="888">
        <v>25126.500000000007</v>
      </c>
      <c r="BL32" s="888">
        <v>79807.56</v>
      </c>
      <c r="BM32" s="2603">
        <f t="shared" si="5"/>
        <v>0.31483859423844068</v>
      </c>
      <c r="BN32" s="1144">
        <f t="shared" si="6"/>
        <v>0.68516140576155937</v>
      </c>
      <c r="BR32" s="1421" t="s">
        <v>1170</v>
      </c>
      <c r="BS32" s="1421" t="s">
        <v>678</v>
      </c>
      <c r="BT32" s="1421" t="s">
        <v>683</v>
      </c>
      <c r="BU32" s="1421" t="s">
        <v>763</v>
      </c>
      <c r="BV32" s="2617"/>
      <c r="BW32" s="1421" t="s">
        <v>678</v>
      </c>
      <c r="BX32" s="2617"/>
      <c r="BY32" s="1421"/>
      <c r="BZ32" s="477"/>
      <c r="CB32" s="477" t="s">
        <v>2339</v>
      </c>
      <c r="CC32" s="477" t="s">
        <v>2266</v>
      </c>
      <c r="CD32" s="477" t="s">
        <v>537</v>
      </c>
    </row>
    <row r="33" spans="1:82" ht="13.5" thickBot="1">
      <c r="A33" s="2573">
        <v>877000</v>
      </c>
      <c r="B33" s="2569"/>
      <c r="C33" s="2569"/>
      <c r="D33" s="2569"/>
      <c r="E33" s="2569"/>
      <c r="F33" s="2623"/>
      <c r="G33" s="2569"/>
      <c r="H33" s="2569"/>
      <c r="I33" s="2569">
        <v>25988.800000000007</v>
      </c>
      <c r="J33" s="2569"/>
      <c r="K33" s="2569">
        <v>40412.270000000011</v>
      </c>
      <c r="L33" s="2623">
        <v>66401.070000000022</v>
      </c>
      <c r="M33" s="2569">
        <v>66401.070000000022</v>
      </c>
      <c r="N33" s="2576">
        <f t="shared" si="31"/>
        <v>3</v>
      </c>
      <c r="O33" s="2575">
        <f t="shared" si="12"/>
        <v>0.71040000000000003</v>
      </c>
      <c r="P33" s="2569">
        <f t="shared" si="13"/>
        <v>0</v>
      </c>
      <c r="Q33" s="2569">
        <f t="shared" si="14"/>
        <v>40412.270000000011</v>
      </c>
      <c r="R33" s="2569">
        <f t="shared" si="15"/>
        <v>40412.270000000011</v>
      </c>
      <c r="S33" s="2569">
        <f>-IFERROR(VLOOKUP(A33,'G-3.05,5.02 PF NE Labor'!$BR$33:$CD$40,13,FALSE),0)</f>
        <v>0</v>
      </c>
      <c r="T33" s="2569">
        <f t="shared" si="16"/>
        <v>40412.270000000011</v>
      </c>
      <c r="V33" s="2568">
        <f>VLOOKUP(A33,'G-3.05,5.02 PF NE Labor'!$BH$13:$BN$46,6,FALSE)</f>
        <v>1</v>
      </c>
      <c r="W33" s="2568">
        <f>VLOOKUP(A33,'G-3.05,5.02 PF NE Labor'!$BH$13:$BN$46,7,FALSE)</f>
        <v>0</v>
      </c>
      <c r="Y33" s="2574">
        <f t="shared" si="17"/>
        <v>0</v>
      </c>
      <c r="Z33" s="2574">
        <f t="shared" si="18"/>
        <v>0</v>
      </c>
      <c r="AA33" s="2574">
        <f t="shared" si="19"/>
        <v>0</v>
      </c>
      <c r="AB33" s="2574">
        <f t="shared" si="20"/>
        <v>0</v>
      </c>
      <c r="AC33" s="2574">
        <f t="shared" si="21"/>
        <v>0</v>
      </c>
      <c r="AE33" s="2574">
        <f t="shared" si="22"/>
        <v>40412.270000000011</v>
      </c>
      <c r="AF33" s="2574">
        <f t="shared" si="23"/>
        <v>1038.1912163000004</v>
      </c>
      <c r="AG33" s="2574">
        <f t="shared" si="24"/>
        <v>1658.0184486520006</v>
      </c>
      <c r="AH33" s="2574">
        <f t="shared" si="25"/>
        <v>1317.3951385609337</v>
      </c>
      <c r="AI33" s="2574">
        <f t="shared" si="26"/>
        <v>1777.0349921405179</v>
      </c>
      <c r="AK33" s="2574">
        <f t="shared" si="27"/>
        <v>41450.461216300013</v>
      </c>
      <c r="AL33" s="2574">
        <f t="shared" si="28"/>
        <v>43108.479664952014</v>
      </c>
      <c r="AM33" s="2574">
        <f t="shared" si="29"/>
        <v>42767.856354860945</v>
      </c>
      <c r="AN33" s="2574">
        <f t="shared" si="30"/>
        <v>44885.514657092535</v>
      </c>
      <c r="AR33" s="2582" t="s">
        <v>2312</v>
      </c>
      <c r="AS33" s="2592"/>
      <c r="AT33" s="2592"/>
      <c r="AU33" s="2598">
        <f>AU31</f>
        <v>0.04</v>
      </c>
      <c r="AV33" s="2592"/>
      <c r="AZ33" s="182">
        <v>505000</v>
      </c>
      <c r="BA33" s="888">
        <v>6991.49</v>
      </c>
      <c r="BB33" s="888"/>
      <c r="BC33" s="888">
        <v>562327.59000000008</v>
      </c>
      <c r="BD33" s="888">
        <v>569319.08000000007</v>
      </c>
      <c r="BE33" s="2603">
        <f t="shared" si="3"/>
        <v>0.98771955789712862</v>
      </c>
      <c r="BF33" s="1144">
        <f t="shared" si="4"/>
        <v>1.2280442102871381E-2</v>
      </c>
      <c r="BH33" s="182">
        <v>875000</v>
      </c>
      <c r="BI33" s="888"/>
      <c r="BJ33" s="888"/>
      <c r="BK33" s="888">
        <v>103754.79</v>
      </c>
      <c r="BL33" s="888">
        <v>103754.79</v>
      </c>
      <c r="BM33" s="2603">
        <f t="shared" si="5"/>
        <v>1</v>
      </c>
      <c r="BN33" s="1144">
        <f t="shared" si="6"/>
        <v>0</v>
      </c>
      <c r="BR33" s="182">
        <v>813000</v>
      </c>
      <c r="BS33" s="1210"/>
      <c r="BT33" s="1210"/>
      <c r="BU33" s="1210"/>
      <c r="BV33" s="2618"/>
      <c r="BW33" s="1210">
        <v>132561.86000000002</v>
      </c>
      <c r="BX33" s="2618">
        <v>132561.86000000002</v>
      </c>
      <c r="BY33" s="1210">
        <v>132561.86000000002</v>
      </c>
      <c r="BZ33" s="2576">
        <f>'G-3.05,5.02 PF NE Labor'!$B$72</f>
        <v>10</v>
      </c>
      <c r="CA33" s="2612">
        <v>0.67015999999999998</v>
      </c>
      <c r="CB33" s="1210">
        <f t="shared" ref="CB33:CB40" si="32">(CA33*BS33)+(CA33*BW33)</f>
        <v>88837.656097600004</v>
      </c>
      <c r="CC33" s="1210">
        <f t="shared" ref="CC33:CC40" si="33">BU33</f>
        <v>0</v>
      </c>
      <c r="CD33" s="1210">
        <f t="shared" ref="CD33:CD40" si="34">SUM(CB33:CC33)</f>
        <v>88837.656097600004</v>
      </c>
    </row>
    <row r="34" spans="1:82" ht="13.5" thickTop="1">
      <c r="A34" s="2573">
        <v>878000</v>
      </c>
      <c r="B34" s="2569"/>
      <c r="C34" s="2569"/>
      <c r="D34" s="2569"/>
      <c r="E34" s="2569"/>
      <c r="F34" s="2623"/>
      <c r="G34" s="2569"/>
      <c r="H34" s="2569"/>
      <c r="I34" s="2569">
        <v>2643.4200000000005</v>
      </c>
      <c r="J34" s="2569"/>
      <c r="K34" s="2569">
        <v>4774.5700000000015</v>
      </c>
      <c r="L34" s="2623">
        <v>7417.9900000000016</v>
      </c>
      <c r="M34" s="2569">
        <v>7417.9900000000016</v>
      </c>
      <c r="N34" s="2576">
        <f t="shared" si="31"/>
        <v>3</v>
      </c>
      <c r="O34" s="2575">
        <f t="shared" si="12"/>
        <v>0.71040000000000003</v>
      </c>
      <c r="P34" s="2569">
        <f t="shared" si="13"/>
        <v>0</v>
      </c>
      <c r="Q34" s="2569">
        <f t="shared" si="14"/>
        <v>4774.5700000000015</v>
      </c>
      <c r="R34" s="2569">
        <f t="shared" si="15"/>
        <v>4774.5700000000015</v>
      </c>
      <c r="S34" s="2569">
        <f>-IFERROR(VLOOKUP(A34,'G-3.05,5.02 PF NE Labor'!$BR$33:$CD$40,13,FALSE),0)</f>
        <v>0</v>
      </c>
      <c r="T34" s="2569">
        <f t="shared" si="16"/>
        <v>4774.5700000000015</v>
      </c>
      <c r="V34" s="2568">
        <f>VLOOKUP(A34,'G-3.05,5.02 PF NE Labor'!$BH$13:$BN$46,6,FALSE)</f>
        <v>0.71762961464729924</v>
      </c>
      <c r="W34" s="2568">
        <f>VLOOKUP(A34,'G-3.05,5.02 PF NE Labor'!$BH$13:$BN$46,7,FALSE)</f>
        <v>0.28237038535270076</v>
      </c>
      <c r="Y34" s="2574">
        <f t="shared" si="17"/>
        <v>1348.1971707934449</v>
      </c>
      <c r="Z34" s="2574">
        <f t="shared" si="18"/>
        <v>53.873958944906065</v>
      </c>
      <c r="AA34" s="2574">
        <f t="shared" si="19"/>
        <v>56.082845189534041</v>
      </c>
      <c r="AB34" s="2574">
        <f t="shared" si="20"/>
        <v>48.877321239582706</v>
      </c>
      <c r="AC34" s="2574">
        <f t="shared" si="21"/>
        <v>60.281251846698709</v>
      </c>
      <c r="AE34" s="2574">
        <f t="shared" si="22"/>
        <v>3426.3728292065566</v>
      </c>
      <c r="AF34" s="2574">
        <f t="shared" si="23"/>
        <v>88.023517982316449</v>
      </c>
      <c r="AG34" s="2574">
        <f t="shared" si="24"/>
        <v>140.57585388755493</v>
      </c>
      <c r="AH34" s="2574">
        <f t="shared" si="25"/>
        <v>111.69595046489565</v>
      </c>
      <c r="AI34" s="2574">
        <f t="shared" si="26"/>
        <v>150.66672606165295</v>
      </c>
      <c r="AK34" s="2574">
        <f t="shared" si="27"/>
        <v>4916.4674769272242</v>
      </c>
      <c r="AL34" s="2574">
        <f t="shared" si="28"/>
        <v>5113.1261760043135</v>
      </c>
      <c r="AM34" s="2574">
        <f t="shared" si="29"/>
        <v>5077.0407486317026</v>
      </c>
      <c r="AN34" s="2574">
        <f t="shared" si="30"/>
        <v>5324.0741539126657</v>
      </c>
      <c r="AR34" s="2582" t="s">
        <v>2311</v>
      </c>
      <c r="AU34" s="2590"/>
      <c r="AZ34" s="182">
        <v>501200</v>
      </c>
      <c r="BA34" s="888">
        <v>52872.469999999994</v>
      </c>
      <c r="BB34" s="888"/>
      <c r="BC34" s="888">
        <v>848458.9099999998</v>
      </c>
      <c r="BD34" s="888">
        <v>901331.37999999977</v>
      </c>
      <c r="BE34" s="2603">
        <f t="shared" si="3"/>
        <v>0.94133958811020202</v>
      </c>
      <c r="BF34" s="1144">
        <f t="shared" si="4"/>
        <v>5.8660411889797981E-2</v>
      </c>
      <c r="BH34" s="182">
        <v>894000</v>
      </c>
      <c r="BI34" s="888"/>
      <c r="BJ34" s="888"/>
      <c r="BK34" s="888">
        <v>87623.67</v>
      </c>
      <c r="BL34" s="888">
        <v>87623.67</v>
      </c>
      <c r="BM34" s="2603">
        <f t="shared" si="5"/>
        <v>1</v>
      </c>
      <c r="BN34" s="1144">
        <f t="shared" si="6"/>
        <v>0</v>
      </c>
      <c r="BR34" s="182">
        <v>870000</v>
      </c>
      <c r="BS34" s="1210"/>
      <c r="BT34" s="1210"/>
      <c r="BU34" s="1210"/>
      <c r="BV34" s="2618"/>
      <c r="BW34" s="1210">
        <v>30171.559999999998</v>
      </c>
      <c r="BX34" s="2618">
        <v>30171.559999999998</v>
      </c>
      <c r="BY34" s="1210">
        <v>30171.559999999998</v>
      </c>
      <c r="BZ34" s="2576">
        <f>'G-3.05,5.02 PF NE Labor'!$B$70</f>
        <v>3</v>
      </c>
      <c r="CA34" s="2612">
        <v>0.71040000000000003</v>
      </c>
      <c r="CB34" s="1210">
        <f t="shared" si="32"/>
        <v>21433.876224</v>
      </c>
      <c r="CC34" s="1210">
        <f t="shared" si="33"/>
        <v>0</v>
      </c>
      <c r="CD34" s="1210">
        <f t="shared" si="34"/>
        <v>21433.876224</v>
      </c>
    </row>
    <row r="35" spans="1:82">
      <c r="A35" s="2573">
        <v>879000</v>
      </c>
      <c r="B35" s="2569"/>
      <c r="C35" s="2569"/>
      <c r="D35" s="2569"/>
      <c r="E35" s="2569"/>
      <c r="F35" s="2623"/>
      <c r="G35" s="2569">
        <v>89475.060000000041</v>
      </c>
      <c r="H35" s="2569"/>
      <c r="I35" s="2569">
        <v>585405.61000000045</v>
      </c>
      <c r="J35" s="2569"/>
      <c r="K35" s="2569">
        <v>1095740.940000002</v>
      </c>
      <c r="L35" s="2623">
        <v>1770621.6100000027</v>
      </c>
      <c r="M35" s="2569">
        <v>1770621.6100000027</v>
      </c>
      <c r="N35" s="2576">
        <f t="shared" si="31"/>
        <v>3</v>
      </c>
      <c r="O35" s="2575">
        <f t="shared" si="12"/>
        <v>0.71040000000000003</v>
      </c>
      <c r="P35" s="2569">
        <f t="shared" si="13"/>
        <v>63563.082624000032</v>
      </c>
      <c r="Q35" s="2569">
        <f t="shared" si="14"/>
        <v>1095740.940000002</v>
      </c>
      <c r="R35" s="2569">
        <f t="shared" si="15"/>
        <v>1159304.0226240021</v>
      </c>
      <c r="S35" s="2569">
        <f>-IFERROR(VLOOKUP(A35,'G-3.05,5.02 PF NE Labor'!$BR$33:$CD$40,13,FALSE),0)</f>
        <v>0</v>
      </c>
      <c r="T35" s="2569">
        <f t="shared" si="16"/>
        <v>1159304.0226240021</v>
      </c>
      <c r="V35" s="2568">
        <f>VLOOKUP(A35,'G-3.05,5.02 PF NE Labor'!$BH$13:$BN$46,6,FALSE)</f>
        <v>0.95249611256214206</v>
      </c>
      <c r="W35" s="2568">
        <f>VLOOKUP(A35,'G-3.05,5.02 PF NE Labor'!$BH$13:$BN$46,7,FALSE)</f>
        <v>4.7503887437857939E-2</v>
      </c>
      <c r="Y35" s="2574">
        <f t="shared" si="17"/>
        <v>55071.447796986511</v>
      </c>
      <c r="Z35" s="2574">
        <f t="shared" si="18"/>
        <v>2200.6550539675809</v>
      </c>
      <c r="AA35" s="2574">
        <f t="shared" si="19"/>
        <v>2290.8841140381637</v>
      </c>
      <c r="AB35" s="2574">
        <f t="shared" si="20"/>
        <v>1996.5513230665404</v>
      </c>
      <c r="AC35" s="2574">
        <f t="shared" si="21"/>
        <v>2462.3815315223519</v>
      </c>
      <c r="AE35" s="2574">
        <f t="shared" si="22"/>
        <v>1104232.5748270156</v>
      </c>
      <c r="AF35" s="2574">
        <f t="shared" si="23"/>
        <v>28367.734847306034</v>
      </c>
      <c r="AG35" s="2574">
        <f t="shared" si="24"/>
        <v>45304.01238697287</v>
      </c>
      <c r="AH35" s="2574">
        <f t="shared" si="25"/>
        <v>35996.756082193162</v>
      </c>
      <c r="AI35" s="2574">
        <f t="shared" si="26"/>
        <v>48556.04312573951</v>
      </c>
      <c r="AK35" s="2574">
        <f t="shared" si="27"/>
        <v>1189872.4125252757</v>
      </c>
      <c r="AL35" s="2574">
        <f t="shared" si="28"/>
        <v>1237467.3090262867</v>
      </c>
      <c r="AM35" s="2574">
        <f t="shared" si="29"/>
        <v>1227865.7199305354</v>
      </c>
      <c r="AN35" s="2574">
        <f t="shared" si="30"/>
        <v>1288485.7336835486</v>
      </c>
      <c r="AT35" s="2589" t="str">
        <f>"365/365="</f>
        <v>365/365=</v>
      </c>
      <c r="AU35" s="2588">
        <f>ROUND(365/365,3)</f>
        <v>1</v>
      </c>
      <c r="AZ35" s="182">
        <v>921000</v>
      </c>
      <c r="BA35" s="888">
        <v>104658.00000000067</v>
      </c>
      <c r="BB35" s="888">
        <v>9196.2599999999948</v>
      </c>
      <c r="BC35" s="888">
        <v>50857.359999999666</v>
      </c>
      <c r="BD35" s="888">
        <v>164711.62000000034</v>
      </c>
      <c r="BE35" s="2603">
        <f t="shared" si="3"/>
        <v>0.30876607248474369</v>
      </c>
      <c r="BF35" s="1144">
        <f t="shared" si="4"/>
        <v>0.69123392751525636</v>
      </c>
      <c r="BH35" s="182">
        <v>935000</v>
      </c>
      <c r="BI35" s="888">
        <v>61765.500000000022</v>
      </c>
      <c r="BJ35" s="888">
        <v>37113.089999999997</v>
      </c>
      <c r="BK35" s="888">
        <v>187724.69999999992</v>
      </c>
      <c r="BL35" s="888">
        <v>286603.28999999992</v>
      </c>
      <c r="BM35" s="2603">
        <f t="shared" si="5"/>
        <v>0.65499841261417469</v>
      </c>
      <c r="BN35" s="1144">
        <f t="shared" si="6"/>
        <v>0.34500158738582531</v>
      </c>
      <c r="BR35" s="182">
        <v>880000</v>
      </c>
      <c r="BS35" s="1210"/>
      <c r="BT35" s="1210"/>
      <c r="BU35" s="1210"/>
      <c r="BV35" s="2618"/>
      <c r="BW35" s="1210">
        <v>415.7</v>
      </c>
      <c r="BX35" s="2618">
        <v>415.7</v>
      </c>
      <c r="BY35" s="1210">
        <v>415.7</v>
      </c>
      <c r="BZ35" s="2576">
        <v>3</v>
      </c>
      <c r="CA35" s="2612">
        <v>0.71040000000000003</v>
      </c>
      <c r="CB35" s="1210">
        <f t="shared" si="32"/>
        <v>295.31328000000002</v>
      </c>
      <c r="CC35" s="1210">
        <f t="shared" si="33"/>
        <v>0</v>
      </c>
      <c r="CD35" s="1210">
        <f t="shared" si="34"/>
        <v>295.31328000000002</v>
      </c>
    </row>
    <row r="36" spans="1:82" ht="13.5" thickBot="1">
      <c r="A36" s="2573">
        <v>880000</v>
      </c>
      <c r="B36" s="2569"/>
      <c r="C36" s="2569"/>
      <c r="D36" s="2569"/>
      <c r="E36" s="2569"/>
      <c r="F36" s="2623"/>
      <c r="G36" s="2569">
        <v>353713.54999999993</v>
      </c>
      <c r="H36" s="2569">
        <v>84226.98</v>
      </c>
      <c r="I36" s="2569">
        <v>277531.25000000012</v>
      </c>
      <c r="J36" s="2569"/>
      <c r="K36" s="2569">
        <v>1122525.8100000028</v>
      </c>
      <c r="L36" s="2623">
        <v>1837997.5900000029</v>
      </c>
      <c r="M36" s="2569">
        <v>1837997.5900000029</v>
      </c>
      <c r="N36" s="2576">
        <f t="shared" si="31"/>
        <v>3</v>
      </c>
      <c r="O36" s="2575">
        <f t="shared" si="12"/>
        <v>0.71040000000000003</v>
      </c>
      <c r="P36" s="2569">
        <f t="shared" si="13"/>
        <v>311112.95251199999</v>
      </c>
      <c r="Q36" s="2569">
        <f t="shared" si="14"/>
        <v>1122525.8100000028</v>
      </c>
      <c r="R36" s="2569">
        <f t="shared" si="15"/>
        <v>1433638.7625120028</v>
      </c>
      <c r="S36" s="2569">
        <f>-IFERROR(VLOOKUP(A36,'G-3.05,5.02 PF NE Labor'!$BR$33:$CD$40,13,FALSE),0)</f>
        <v>-295.31328000000002</v>
      </c>
      <c r="T36" s="2569">
        <f t="shared" si="16"/>
        <v>1433343.449232003</v>
      </c>
      <c r="V36" s="2568">
        <f>VLOOKUP(A36,'G-3.05,5.02 PF NE Labor'!$BH$13:$BN$46,6,FALSE)</f>
        <v>0.73611021674296606</v>
      </c>
      <c r="W36" s="2568">
        <f>VLOOKUP(A36,'G-3.05,5.02 PF NE Labor'!$BH$13:$BN$46,7,FALSE)</f>
        <v>0.26388978325703394</v>
      </c>
      <c r="Y36" s="2574">
        <f t="shared" si="17"/>
        <v>378244.69215072267</v>
      </c>
      <c r="Z36" s="2574">
        <f t="shared" si="18"/>
        <v>15114.657898342879</v>
      </c>
      <c r="AA36" s="2574">
        <f t="shared" si="19"/>
        <v>15734.374001962622</v>
      </c>
      <c r="AB36" s="2574">
        <f t="shared" si="20"/>
        <v>13712.821630190463</v>
      </c>
      <c r="AC36" s="2574">
        <f t="shared" si="21"/>
        <v>16912.261827248745</v>
      </c>
      <c r="AE36" s="2574">
        <f t="shared" si="22"/>
        <v>1055098.7570812802</v>
      </c>
      <c r="AF36" s="2574">
        <f t="shared" si="23"/>
        <v>27105.48706941809</v>
      </c>
      <c r="AG36" s="2574">
        <f t="shared" si="24"/>
        <v>43288.169766027939</v>
      </c>
      <c r="AH36" s="2574">
        <f t="shared" si="25"/>
        <v>34395.048169295158</v>
      </c>
      <c r="AI36" s="2574">
        <f t="shared" si="26"/>
        <v>46395.498483440861</v>
      </c>
      <c r="AK36" s="2574">
        <f t="shared" si="27"/>
        <v>1475563.5941997641</v>
      </c>
      <c r="AL36" s="2574">
        <f t="shared" si="28"/>
        <v>1534586.1379677546</v>
      </c>
      <c r="AM36" s="2574">
        <f t="shared" si="29"/>
        <v>1523671.4639992495</v>
      </c>
      <c r="AN36" s="2574">
        <f t="shared" si="30"/>
        <v>1597893.8982784443</v>
      </c>
      <c r="AR36" s="2584" t="s">
        <v>2310</v>
      </c>
      <c r="AU36" s="2586">
        <f>ROUND(AU33*AU35,5)</f>
        <v>0.04</v>
      </c>
      <c r="AV36" s="2592"/>
      <c r="AZ36" s="182">
        <v>544000</v>
      </c>
      <c r="BA36" s="888">
        <v>125797.66000000002</v>
      </c>
      <c r="BB36" s="888">
        <v>37107.33</v>
      </c>
      <c r="BC36" s="888">
        <v>1724045.6199999992</v>
      </c>
      <c r="BD36" s="888">
        <v>1886950.6099999992</v>
      </c>
      <c r="BE36" s="2603">
        <f t="shared" si="3"/>
        <v>0.91366759196733827</v>
      </c>
      <c r="BF36" s="1144">
        <f t="shared" si="4"/>
        <v>8.6332408032661734E-2</v>
      </c>
      <c r="BH36" s="182">
        <v>877000</v>
      </c>
      <c r="BI36" s="888"/>
      <c r="BJ36" s="888"/>
      <c r="BK36" s="888">
        <v>58969.509999999995</v>
      </c>
      <c r="BL36" s="888">
        <v>58969.509999999995</v>
      </c>
      <c r="BM36" s="2603">
        <f t="shared" si="5"/>
        <v>1</v>
      </c>
      <c r="BN36" s="1144">
        <f t="shared" si="6"/>
        <v>0</v>
      </c>
      <c r="BR36" s="182">
        <v>920000</v>
      </c>
      <c r="BS36" s="1210">
        <v>632914.89999999991</v>
      </c>
      <c r="BT36" s="1210"/>
      <c r="BU36" s="1210"/>
      <c r="BV36" s="2618">
        <v>632914.89999999991</v>
      </c>
      <c r="BW36" s="1210"/>
      <c r="BX36" s="2618"/>
      <c r="BY36" s="1210">
        <v>632914.89999999991</v>
      </c>
      <c r="BZ36" s="2576">
        <f>'G-3.05,5.02 PF NE Labor'!$B$71</f>
        <v>4</v>
      </c>
      <c r="CA36" s="2612">
        <v>0.71745999999999999</v>
      </c>
      <c r="CB36" s="1210">
        <f t="shared" si="32"/>
        <v>454091.1241539999</v>
      </c>
      <c r="CC36" s="1210">
        <f t="shared" si="33"/>
        <v>0</v>
      </c>
      <c r="CD36" s="1210">
        <f t="shared" si="34"/>
        <v>454091.1241539999</v>
      </c>
    </row>
    <row r="37" spans="1:82" ht="13.5" thickTop="1">
      <c r="A37" s="2573">
        <v>885000</v>
      </c>
      <c r="B37" s="2569"/>
      <c r="C37" s="2569"/>
      <c r="D37" s="2569"/>
      <c r="E37" s="2569"/>
      <c r="F37" s="2623"/>
      <c r="G37" s="2569"/>
      <c r="H37" s="2569"/>
      <c r="I37" s="2569">
        <v>12876.270000000002</v>
      </c>
      <c r="J37" s="2569"/>
      <c r="K37" s="2569">
        <v>7619.0300000000007</v>
      </c>
      <c r="L37" s="2623">
        <v>20495.300000000003</v>
      </c>
      <c r="M37" s="2569">
        <v>20495.300000000003</v>
      </c>
      <c r="N37" s="2576">
        <f t="shared" si="31"/>
        <v>3</v>
      </c>
      <c r="O37" s="2575">
        <f t="shared" si="12"/>
        <v>0.71040000000000003</v>
      </c>
      <c r="P37" s="2569">
        <f t="shared" si="13"/>
        <v>0</v>
      </c>
      <c r="Q37" s="2569">
        <f t="shared" si="14"/>
        <v>7619.0300000000007</v>
      </c>
      <c r="R37" s="2569">
        <f t="shared" si="15"/>
        <v>7619.0300000000007</v>
      </c>
      <c r="S37" s="2569">
        <f>-IFERROR(VLOOKUP(A37,'G-3.05,5.02 PF NE Labor'!$BR$33:$CD$40,13,FALSE),0)</f>
        <v>0</v>
      </c>
      <c r="T37" s="2569">
        <f t="shared" si="16"/>
        <v>7619.0300000000007</v>
      </c>
      <c r="V37" s="2568">
        <f>VLOOKUP(A37,'G-3.05,5.02 PF NE Labor'!$BH$13:$BN$46,6,FALSE)</f>
        <v>0.66724327926704963</v>
      </c>
      <c r="W37" s="2568">
        <f>VLOOKUP(A37,'G-3.05,5.02 PF NE Labor'!$BH$13:$BN$46,7,FALSE)</f>
        <v>0.33275672073295037</v>
      </c>
      <c r="Y37" s="2574">
        <f t="shared" si="17"/>
        <v>2535.2834379659712</v>
      </c>
      <c r="Z37" s="2574">
        <f t="shared" si="18"/>
        <v>101.30992618112022</v>
      </c>
      <c r="AA37" s="2574">
        <f t="shared" si="19"/>
        <v>105.46373456588367</v>
      </c>
      <c r="AB37" s="2574">
        <f t="shared" si="20"/>
        <v>91.913753948858925</v>
      </c>
      <c r="AC37" s="2574">
        <f t="shared" si="21"/>
        <v>113.35883410647335</v>
      </c>
      <c r="AE37" s="2574">
        <f t="shared" si="22"/>
        <v>5083.7465620340299</v>
      </c>
      <c r="AF37" s="2574">
        <f t="shared" si="23"/>
        <v>130.60144917865424</v>
      </c>
      <c r="AG37" s="2574">
        <f t="shared" si="24"/>
        <v>208.57392044850738</v>
      </c>
      <c r="AH37" s="2574">
        <f t="shared" si="25"/>
        <v>165.72449423156601</v>
      </c>
      <c r="AI37" s="2574">
        <f t="shared" si="26"/>
        <v>223.5458570357103</v>
      </c>
      <c r="AK37" s="2574">
        <f t="shared" si="27"/>
        <v>7850.9413753597764</v>
      </c>
      <c r="AL37" s="2574">
        <f t="shared" si="28"/>
        <v>8164.9790303741675</v>
      </c>
      <c r="AM37" s="2574">
        <f t="shared" si="29"/>
        <v>8108.5796235402013</v>
      </c>
      <c r="AN37" s="2574">
        <f t="shared" si="30"/>
        <v>8501.8837215163512</v>
      </c>
      <c r="AZ37" s="182">
        <v>557000</v>
      </c>
      <c r="BA37" s="888">
        <v>2886244.4400000004</v>
      </c>
      <c r="BB37" s="888">
        <v>1210777.1899999997</v>
      </c>
      <c r="BC37" s="888">
        <v>-505.71</v>
      </c>
      <c r="BD37" s="888">
        <v>4096515.92</v>
      </c>
      <c r="BE37" s="2603">
        <f t="shared" si="3"/>
        <v>-1.2344880622360672E-4</v>
      </c>
      <c r="BF37" s="1144">
        <f t="shared" si="4"/>
        <v>1.0001234488062236</v>
      </c>
      <c r="BH37" s="182">
        <v>889000</v>
      </c>
      <c r="BI37" s="888">
        <v>105.98</v>
      </c>
      <c r="BJ37" s="888">
        <v>210.43</v>
      </c>
      <c r="BK37" s="888">
        <v>135680.95999999996</v>
      </c>
      <c r="BL37" s="888">
        <v>135997.36999999997</v>
      </c>
      <c r="BM37" s="2603">
        <f t="shared" si="5"/>
        <v>0.99767341089022532</v>
      </c>
      <c r="BN37" s="1144">
        <f t="shared" si="6"/>
        <v>2.3265891097746794E-3</v>
      </c>
      <c r="BR37" s="182">
        <v>921000</v>
      </c>
      <c r="BS37" s="1210">
        <v>495.54000000000025</v>
      </c>
      <c r="BT37" s="1210"/>
      <c r="BU37" s="1210"/>
      <c r="BV37" s="2618">
        <v>495.54000000000025</v>
      </c>
      <c r="BW37" s="1210"/>
      <c r="BX37" s="2618"/>
      <c r="BY37" s="1210">
        <v>495.54000000000025</v>
      </c>
      <c r="BZ37" s="2576">
        <f>'G-3.05,5.02 PF NE Labor'!$B$71</f>
        <v>4</v>
      </c>
      <c r="CA37" s="2612">
        <v>0.71745999999999999</v>
      </c>
      <c r="CB37" s="1210">
        <f t="shared" si="32"/>
        <v>355.53012840000019</v>
      </c>
      <c r="CC37" s="1210">
        <f t="shared" si="33"/>
        <v>0</v>
      </c>
      <c r="CD37" s="1210">
        <f t="shared" si="34"/>
        <v>355.53012840000019</v>
      </c>
    </row>
    <row r="38" spans="1:82">
      <c r="A38" s="2573">
        <v>887000</v>
      </c>
      <c r="B38" s="2569"/>
      <c r="C38" s="2569"/>
      <c r="D38" s="2569"/>
      <c r="E38" s="2569"/>
      <c r="F38" s="2623"/>
      <c r="G38" s="2569"/>
      <c r="H38" s="2569"/>
      <c r="I38" s="2569">
        <v>168484.73</v>
      </c>
      <c r="J38" s="2569"/>
      <c r="K38" s="2569">
        <v>567879.31000000157</v>
      </c>
      <c r="L38" s="2623">
        <v>736364.04000000155</v>
      </c>
      <c r="M38" s="2569">
        <v>736364.04000000155</v>
      </c>
      <c r="N38" s="2576">
        <f t="shared" si="31"/>
        <v>3</v>
      </c>
      <c r="O38" s="2575">
        <f t="shared" si="12"/>
        <v>0.71040000000000003</v>
      </c>
      <c r="P38" s="2569">
        <f t="shared" si="13"/>
        <v>0</v>
      </c>
      <c r="Q38" s="2569">
        <f t="shared" si="14"/>
        <v>567879.31000000157</v>
      </c>
      <c r="R38" s="2569">
        <f t="shared" si="15"/>
        <v>567879.31000000157</v>
      </c>
      <c r="S38" s="2569">
        <f>-IFERROR(VLOOKUP(A38,'G-3.05,5.02 PF NE Labor'!$BR$33:$CD$40,13,FALSE),0)</f>
        <v>0</v>
      </c>
      <c r="T38" s="2569">
        <f t="shared" si="16"/>
        <v>567879.31000000157</v>
      </c>
      <c r="V38" s="2568">
        <f>VLOOKUP(A38,'G-3.05,5.02 PF NE Labor'!$BH$13:$BN$46,6,FALSE)</f>
        <v>0.93134703995222501</v>
      </c>
      <c r="W38" s="2568">
        <f>VLOOKUP(A38,'G-3.05,5.02 PF NE Labor'!$BH$13:$BN$46,7,FALSE)</f>
        <v>6.8652960047774991E-2</v>
      </c>
      <c r="Y38" s="2574">
        <f t="shared" si="17"/>
        <v>38986.595581388137</v>
      </c>
      <c r="Z38" s="2574">
        <f t="shared" si="18"/>
        <v>1557.90435943227</v>
      </c>
      <c r="AA38" s="2574">
        <f t="shared" si="19"/>
        <v>1621.7799976328165</v>
      </c>
      <c r="AB38" s="2574">
        <f t="shared" si="20"/>
        <v>1413.4137035369522</v>
      </c>
      <c r="AC38" s="2574">
        <f t="shared" si="21"/>
        <v>1743.1877456796071</v>
      </c>
      <c r="AE38" s="2574">
        <f t="shared" si="22"/>
        <v>528892.71441861347</v>
      </c>
      <c r="AF38" s="2574">
        <f t="shared" si="23"/>
        <v>13587.253833414181</v>
      </c>
      <c r="AG38" s="2574">
        <f t="shared" si="24"/>
        <v>21699.198730081105</v>
      </c>
      <c r="AH38" s="2574">
        <f t="shared" si="25"/>
        <v>17241.315342973245</v>
      </c>
      <c r="AI38" s="2574">
        <f t="shared" si="26"/>
        <v>23256.819293003278</v>
      </c>
      <c r="AK38" s="2574">
        <f t="shared" si="27"/>
        <v>583024.46819284803</v>
      </c>
      <c r="AL38" s="2574">
        <f t="shared" si="28"/>
        <v>606345.44692056195</v>
      </c>
      <c r="AM38" s="2574">
        <f t="shared" si="29"/>
        <v>601679.19723935821</v>
      </c>
      <c r="AN38" s="2574">
        <f t="shared" si="30"/>
        <v>631345.45395924489</v>
      </c>
      <c r="AR38" s="2594" t="s">
        <v>2309</v>
      </c>
      <c r="AZ38" s="182">
        <v>535000</v>
      </c>
      <c r="BA38" s="888">
        <v>1397483.0400000005</v>
      </c>
      <c r="BB38" s="888">
        <v>154724.55000000002</v>
      </c>
      <c r="BC38" s="888">
        <v>2526.5500000000002</v>
      </c>
      <c r="BD38" s="888">
        <v>1554734.1400000006</v>
      </c>
      <c r="BE38" s="2603">
        <f t="shared" si="3"/>
        <v>1.6250688365278961E-3</v>
      </c>
      <c r="BF38" s="1144">
        <f t="shared" si="4"/>
        <v>0.99837493116347209</v>
      </c>
      <c r="BH38" s="182">
        <v>909000</v>
      </c>
      <c r="BI38" s="888">
        <v>16805.75</v>
      </c>
      <c r="BJ38" s="888"/>
      <c r="BK38" s="888"/>
      <c r="BL38" s="888">
        <v>16805.75</v>
      </c>
      <c r="BM38" s="2603">
        <f t="shared" si="5"/>
        <v>0</v>
      </c>
      <c r="BN38" s="1144">
        <f t="shared" si="6"/>
        <v>1</v>
      </c>
      <c r="BR38" s="182">
        <v>926100</v>
      </c>
      <c r="BS38" s="1210">
        <v>327.35000000000002</v>
      </c>
      <c r="BT38" s="1210"/>
      <c r="BU38" s="1210"/>
      <c r="BV38" s="2618">
        <v>327.35000000000002</v>
      </c>
      <c r="BW38" s="1210"/>
      <c r="BX38" s="2618"/>
      <c r="BY38" s="1210">
        <v>327.35000000000002</v>
      </c>
      <c r="BZ38" s="2576">
        <f>'G-3.05,5.02 PF NE Labor'!$B$71</f>
        <v>4</v>
      </c>
      <c r="CA38" s="2612">
        <v>0.71745999999999999</v>
      </c>
      <c r="CB38" s="1210">
        <f t="shared" si="32"/>
        <v>234.86053100000001</v>
      </c>
      <c r="CC38" s="1210">
        <f t="shared" si="33"/>
        <v>0</v>
      </c>
      <c r="CD38" s="1210">
        <f t="shared" si="34"/>
        <v>234.86053100000001</v>
      </c>
    </row>
    <row r="39" spans="1:82">
      <c r="A39" s="2573">
        <v>889000</v>
      </c>
      <c r="B39" s="2569"/>
      <c r="C39" s="2569"/>
      <c r="D39" s="2569"/>
      <c r="E39" s="2569"/>
      <c r="F39" s="2623"/>
      <c r="G39" s="2569">
        <v>24102.520000000008</v>
      </c>
      <c r="H39" s="2569"/>
      <c r="I39" s="2569">
        <v>27521.649999999998</v>
      </c>
      <c r="J39" s="2569"/>
      <c r="K39" s="2569">
        <v>104201.6099999999</v>
      </c>
      <c r="L39" s="2623">
        <v>155825.77999999991</v>
      </c>
      <c r="M39" s="2569">
        <v>155825.77999999991</v>
      </c>
      <c r="N39" s="2576">
        <f t="shared" si="31"/>
        <v>3</v>
      </c>
      <c r="O39" s="2575">
        <f t="shared" si="12"/>
        <v>0.71040000000000003</v>
      </c>
      <c r="P39" s="2569">
        <f t="shared" si="13"/>
        <v>17122.430208000005</v>
      </c>
      <c r="Q39" s="2569">
        <f t="shared" si="14"/>
        <v>104201.6099999999</v>
      </c>
      <c r="R39" s="2569">
        <f t="shared" si="15"/>
        <v>121324.0402079999</v>
      </c>
      <c r="S39" s="2569">
        <f>-IFERROR(VLOOKUP(A39,'G-3.05,5.02 PF NE Labor'!$BR$33:$CD$40,13,FALSE),0)</f>
        <v>0</v>
      </c>
      <c r="T39" s="2569">
        <f t="shared" si="16"/>
        <v>121324.0402079999</v>
      </c>
      <c r="V39" s="2568">
        <f>VLOOKUP(A39,'G-3.05,5.02 PF NE Labor'!$BH$13:$BN$46,6,FALSE)</f>
        <v>0.99767341089022532</v>
      </c>
      <c r="W39" s="2568">
        <f>VLOOKUP(A39,'G-3.05,5.02 PF NE Labor'!$BH$13:$BN$46,7,FALSE)</f>
        <v>2.3265891097746794E-3</v>
      </c>
      <c r="Y39" s="2574">
        <f t="shared" si="17"/>
        <v>282.27119070179788</v>
      </c>
      <c r="Z39" s="2574">
        <f t="shared" si="18"/>
        <v>11.279556780443844</v>
      </c>
      <c r="AA39" s="2574">
        <f t="shared" si="19"/>
        <v>11.742029899289669</v>
      </c>
      <c r="AB39" s="2574">
        <f t="shared" si="20"/>
        <v>10.233413897828932</v>
      </c>
      <c r="AC39" s="2574">
        <f t="shared" si="21"/>
        <v>12.621047651174413</v>
      </c>
      <c r="AE39" s="2574">
        <f t="shared" si="22"/>
        <v>121041.76901729811</v>
      </c>
      <c r="AF39" s="2574">
        <f t="shared" si="23"/>
        <v>3109.5630460543885</v>
      </c>
      <c r="AG39" s="2574">
        <f t="shared" si="24"/>
        <v>4966.0532825340997</v>
      </c>
      <c r="AH39" s="2574">
        <f t="shared" si="25"/>
        <v>3945.8272961702946</v>
      </c>
      <c r="AI39" s="2574">
        <f t="shared" si="26"/>
        <v>5322.5285056822759</v>
      </c>
      <c r="AK39" s="2574">
        <f t="shared" si="27"/>
        <v>124444.88281083474</v>
      </c>
      <c r="AL39" s="2574">
        <f t="shared" si="28"/>
        <v>129422.67812326812</v>
      </c>
      <c r="AM39" s="2574">
        <f t="shared" si="29"/>
        <v>128400.94352090286</v>
      </c>
      <c r="AN39" s="2574">
        <f t="shared" si="30"/>
        <v>134757.82767660156</v>
      </c>
      <c r="AR39" s="2594"/>
      <c r="AZ39" s="182">
        <v>562000</v>
      </c>
      <c r="BA39" s="888">
        <v>5473.03</v>
      </c>
      <c r="BB39" s="888"/>
      <c r="BC39" s="888">
        <v>121463.46000000004</v>
      </c>
      <c r="BD39" s="888">
        <v>126936.49000000003</v>
      </c>
      <c r="BE39" s="2603">
        <f t="shared" si="3"/>
        <v>0.95688371405259431</v>
      </c>
      <c r="BF39" s="1144">
        <f t="shared" si="4"/>
        <v>4.3116285947405686E-2</v>
      </c>
      <c r="BH39" s="182">
        <v>910000</v>
      </c>
      <c r="BI39" s="888">
        <v>25946.879999999997</v>
      </c>
      <c r="BJ39" s="888"/>
      <c r="BK39" s="888"/>
      <c r="BL39" s="888">
        <v>25946.879999999997</v>
      </c>
      <c r="BM39" s="2603">
        <f t="shared" si="5"/>
        <v>0</v>
      </c>
      <c r="BN39" s="1144">
        <f t="shared" si="6"/>
        <v>1</v>
      </c>
      <c r="BR39" s="182">
        <v>928000</v>
      </c>
      <c r="BS39" s="1210"/>
      <c r="BT39" s="1210">
        <v>10011.83</v>
      </c>
      <c r="BU39" s="1210">
        <v>10586.98</v>
      </c>
      <c r="BV39" s="2618">
        <v>20598.809999999998</v>
      </c>
      <c r="BW39" s="1210"/>
      <c r="BX39" s="2618"/>
      <c r="BY39" s="1210">
        <v>20598.809999999998</v>
      </c>
      <c r="BZ39" s="2576">
        <f>'G-3.05,5.02 PF NE Labor'!$B$71</f>
        <v>4</v>
      </c>
      <c r="CA39" s="2612">
        <v>0.71745999999999999</v>
      </c>
      <c r="CB39" s="1210">
        <f t="shared" si="32"/>
        <v>0</v>
      </c>
      <c r="CC39" s="1210">
        <f t="shared" si="33"/>
        <v>10586.98</v>
      </c>
      <c r="CD39" s="1210">
        <f t="shared" si="34"/>
        <v>10586.98</v>
      </c>
    </row>
    <row r="40" spans="1:82">
      <c r="A40" s="2573">
        <v>890000</v>
      </c>
      <c r="B40" s="2569"/>
      <c r="C40" s="2569"/>
      <c r="D40" s="2569"/>
      <c r="E40" s="2569"/>
      <c r="F40" s="2623"/>
      <c r="G40" s="2569">
        <v>801.40000000000009</v>
      </c>
      <c r="H40" s="2569"/>
      <c r="I40" s="2569">
        <v>2893.7200000000003</v>
      </c>
      <c r="J40" s="2569"/>
      <c r="K40" s="2569">
        <v>4537.619999999999</v>
      </c>
      <c r="L40" s="2623">
        <v>8232.74</v>
      </c>
      <c r="M40" s="2569">
        <v>8232.74</v>
      </c>
      <c r="N40" s="2576">
        <f t="shared" si="31"/>
        <v>3</v>
      </c>
      <c r="O40" s="2575">
        <f t="shared" si="12"/>
        <v>0.71040000000000003</v>
      </c>
      <c r="P40" s="2569">
        <f t="shared" si="13"/>
        <v>569.31456000000014</v>
      </c>
      <c r="Q40" s="2569">
        <f t="shared" si="14"/>
        <v>4537.619999999999</v>
      </c>
      <c r="R40" s="2569">
        <f t="shared" si="15"/>
        <v>5106.9345599999988</v>
      </c>
      <c r="S40" s="2569">
        <f>-IFERROR(VLOOKUP(A40,'G-3.05,5.02 PF NE Labor'!$BR$33:$CD$40,13,FALSE),0)</f>
        <v>0</v>
      </c>
      <c r="T40" s="2569">
        <f t="shared" si="16"/>
        <v>5106.9345599999988</v>
      </c>
      <c r="V40" s="2568">
        <f>VLOOKUP(A40,'G-3.05,5.02 PF NE Labor'!$BH$13:$BN$46,6,FALSE)</f>
        <v>1</v>
      </c>
      <c r="W40" s="2568">
        <f>VLOOKUP(A40,'G-3.05,5.02 PF NE Labor'!$BH$13:$BN$46,7,FALSE)</f>
        <v>0</v>
      </c>
      <c r="Y40" s="2574">
        <f t="shared" si="17"/>
        <v>0</v>
      </c>
      <c r="Z40" s="2574">
        <f t="shared" si="18"/>
        <v>0</v>
      </c>
      <c r="AA40" s="2574">
        <f t="shared" si="19"/>
        <v>0</v>
      </c>
      <c r="AB40" s="2574">
        <f t="shared" si="20"/>
        <v>0</v>
      </c>
      <c r="AC40" s="2574">
        <f t="shared" si="21"/>
        <v>0</v>
      </c>
      <c r="AE40" s="2574">
        <f t="shared" si="22"/>
        <v>5106.9345599999988</v>
      </c>
      <c r="AF40" s="2574">
        <f t="shared" si="23"/>
        <v>131.19714884639998</v>
      </c>
      <c r="AG40" s="2574">
        <f t="shared" si="24"/>
        <v>209.52526835385595</v>
      </c>
      <c r="AH40" s="2574">
        <f t="shared" si="25"/>
        <v>166.48039722323978</v>
      </c>
      <c r="AI40" s="2574">
        <f t="shared" si="26"/>
        <v>224.56549497693973</v>
      </c>
      <c r="AK40" s="2574">
        <f t="shared" si="27"/>
        <v>5238.1317088463984</v>
      </c>
      <c r="AL40" s="2574">
        <f t="shared" si="28"/>
        <v>5447.656977200254</v>
      </c>
      <c r="AM40" s="2574">
        <f t="shared" si="29"/>
        <v>5404.6121060696378</v>
      </c>
      <c r="AN40" s="2574">
        <f t="shared" si="30"/>
        <v>5672.2224721771936</v>
      </c>
      <c r="AR40" s="2594" t="str">
        <f>+AR13</f>
        <v>2023 Adjustment</v>
      </c>
      <c r="AZ40" s="182">
        <v>536000</v>
      </c>
      <c r="BA40" s="888">
        <v>16973.79</v>
      </c>
      <c r="BB40" s="888">
        <v>630</v>
      </c>
      <c r="BC40" s="888"/>
      <c r="BD40" s="888">
        <v>17603.79</v>
      </c>
      <c r="BE40" s="2603">
        <f t="shared" si="3"/>
        <v>0</v>
      </c>
      <c r="BF40" s="1144">
        <f t="shared" si="4"/>
        <v>1</v>
      </c>
      <c r="BH40" s="182">
        <v>885000</v>
      </c>
      <c r="BI40" s="888">
        <v>504.03</v>
      </c>
      <c r="BJ40" s="888">
        <v>5447.68</v>
      </c>
      <c r="BK40" s="888">
        <v>11934.359999999999</v>
      </c>
      <c r="BL40" s="888">
        <v>17886.07</v>
      </c>
      <c r="BM40" s="2603">
        <f t="shared" si="5"/>
        <v>0.66724327926704963</v>
      </c>
      <c r="BN40" s="1144">
        <f t="shared" si="6"/>
        <v>0.33275672073295037</v>
      </c>
      <c r="BR40" s="182">
        <v>930200</v>
      </c>
      <c r="BS40" s="1210">
        <v>8416.66</v>
      </c>
      <c r="BT40" s="1210"/>
      <c r="BU40" s="1210"/>
      <c r="BV40" s="2618">
        <v>8416.66</v>
      </c>
      <c r="BW40" s="1210"/>
      <c r="BX40" s="2618"/>
      <c r="BY40" s="1210">
        <v>8416.66</v>
      </c>
      <c r="BZ40" s="2576">
        <f>'G-3.05,5.02 PF NE Labor'!$B$71</f>
        <v>4</v>
      </c>
      <c r="CA40" s="2612">
        <v>0.71745999999999999</v>
      </c>
      <c r="CB40" s="1210">
        <f t="shared" si="32"/>
        <v>6038.6168835999997</v>
      </c>
      <c r="CC40" s="1210">
        <f t="shared" si="33"/>
        <v>0</v>
      </c>
      <c r="CD40" s="1210">
        <f t="shared" si="34"/>
        <v>6038.6168835999997</v>
      </c>
    </row>
    <row r="41" spans="1:82">
      <c r="A41" s="2573">
        <v>891000</v>
      </c>
      <c r="B41" s="2569"/>
      <c r="C41" s="2569"/>
      <c r="D41" s="2569"/>
      <c r="E41" s="2569"/>
      <c r="F41" s="2623"/>
      <c r="G41" s="2569">
        <v>4419.9000000000015</v>
      </c>
      <c r="H41" s="2569"/>
      <c r="I41" s="2569">
        <v>9405.9599999999973</v>
      </c>
      <c r="J41" s="2569"/>
      <c r="K41" s="2569">
        <v>34639.47</v>
      </c>
      <c r="L41" s="2623">
        <v>48465.33</v>
      </c>
      <c r="M41" s="2569">
        <v>48465.33</v>
      </c>
      <c r="N41" s="2576">
        <f t="shared" si="31"/>
        <v>3</v>
      </c>
      <c r="O41" s="2575">
        <f t="shared" si="12"/>
        <v>0.71040000000000003</v>
      </c>
      <c r="P41" s="2569">
        <f t="shared" si="13"/>
        <v>3139.8969600000014</v>
      </c>
      <c r="Q41" s="2569">
        <f t="shared" si="14"/>
        <v>34639.47</v>
      </c>
      <c r="R41" s="2569">
        <f t="shared" si="15"/>
        <v>37779.366959999999</v>
      </c>
      <c r="S41" s="2569">
        <f>-IFERROR(VLOOKUP(A41,'G-3.05,5.02 PF NE Labor'!$BR$33:$CD$40,13,FALSE),0)</f>
        <v>0</v>
      </c>
      <c r="T41" s="2569">
        <f t="shared" si="16"/>
        <v>37779.366959999999</v>
      </c>
      <c r="V41" s="2568">
        <f>VLOOKUP(A41,'G-3.05,5.02 PF NE Labor'!$BH$13:$BN$46,6,FALSE)</f>
        <v>0.94659704309412773</v>
      </c>
      <c r="W41" s="2568">
        <f>VLOOKUP(A41,'G-3.05,5.02 PF NE Labor'!$BH$13:$BN$46,7,FALSE)</f>
        <v>5.3402956905872268E-2</v>
      </c>
      <c r="Y41" s="2574">
        <f t="shared" si="17"/>
        <v>2017.5299056960146</v>
      </c>
      <c r="Z41" s="2574">
        <f t="shared" si="18"/>
        <v>80.620495031612748</v>
      </c>
      <c r="AA41" s="2574">
        <f t="shared" si="19"/>
        <v>83.926016029105085</v>
      </c>
      <c r="AB41" s="2574">
        <f t="shared" si="20"/>
        <v>73.143201489685666</v>
      </c>
      <c r="AC41" s="2574">
        <f t="shared" si="21"/>
        <v>90.208784729856703</v>
      </c>
      <c r="AE41" s="2574">
        <f t="shared" si="22"/>
        <v>35761.837054303985</v>
      </c>
      <c r="AF41" s="2574">
        <f t="shared" si="23"/>
        <v>918.72159392506944</v>
      </c>
      <c r="AG41" s="2574">
        <f t="shared" si="24"/>
        <v>1467.2223459291622</v>
      </c>
      <c r="AH41" s="2574">
        <f t="shared" si="25"/>
        <v>1165.796187181475</v>
      </c>
      <c r="AI41" s="2574">
        <f t="shared" si="26"/>
        <v>1572.5430872535878</v>
      </c>
      <c r="AK41" s="2574">
        <f t="shared" si="27"/>
        <v>38778.709048956676</v>
      </c>
      <c r="AL41" s="2574">
        <f t="shared" si="28"/>
        <v>40329.857410914949</v>
      </c>
      <c r="AM41" s="2574">
        <f t="shared" si="29"/>
        <v>40017.648437627839</v>
      </c>
      <c r="AN41" s="2574">
        <f t="shared" si="30"/>
        <v>41992.609282898389</v>
      </c>
      <c r="AR41" s="2582" t="s">
        <v>2308</v>
      </c>
      <c r="AU41" s="2591">
        <v>0.06</v>
      </c>
      <c r="AZ41" s="182">
        <v>905000</v>
      </c>
      <c r="BA41" s="888">
        <v>26409.039999999997</v>
      </c>
      <c r="BB41" s="888">
        <v>223219.09000000023</v>
      </c>
      <c r="BC41" s="888">
        <v>4679.96</v>
      </c>
      <c r="BD41" s="888">
        <v>254308.09000000023</v>
      </c>
      <c r="BE41" s="2603">
        <f t="shared" si="3"/>
        <v>1.840271774287635E-2</v>
      </c>
      <c r="BF41" s="1144">
        <f t="shared" si="4"/>
        <v>0.98159728225712362</v>
      </c>
      <c r="BH41" s="182">
        <v>931000</v>
      </c>
      <c r="BI41" s="888">
        <v>199.66000000000003</v>
      </c>
      <c r="BJ41" s="888"/>
      <c r="BK41" s="888"/>
      <c r="BL41" s="888">
        <v>199.66000000000003</v>
      </c>
      <c r="BM41" s="2603">
        <f t="shared" si="5"/>
        <v>0</v>
      </c>
      <c r="BN41" s="1144">
        <f t="shared" si="6"/>
        <v>1</v>
      </c>
      <c r="BR41" s="1489" t="s">
        <v>978</v>
      </c>
      <c r="BS41" s="2619">
        <v>642154.44999999995</v>
      </c>
      <c r="BT41" s="2619">
        <v>10011.83</v>
      </c>
      <c r="BU41" s="2619">
        <v>10586.98</v>
      </c>
      <c r="BV41" s="2619">
        <v>662753.25999999989</v>
      </c>
      <c r="BW41" s="2619">
        <v>163149.12000000002</v>
      </c>
      <c r="BX41" s="2619">
        <v>163149.12000000002</v>
      </c>
      <c r="BY41" s="2619">
        <v>825902.38</v>
      </c>
      <c r="CB41" s="1210">
        <f>SUM(CB33:CB40)</f>
        <v>571286.9772985999</v>
      </c>
      <c r="CC41" s="1210">
        <f>SUM(CC33:CC40)</f>
        <v>10586.98</v>
      </c>
      <c r="CD41" s="2611">
        <f>SUM(CD33:CD40)</f>
        <v>581873.95729859988</v>
      </c>
    </row>
    <row r="42" spans="1:82">
      <c r="A42" s="2573">
        <v>892000</v>
      </c>
      <c r="B42" s="2569"/>
      <c r="C42" s="2569"/>
      <c r="D42" s="2569"/>
      <c r="E42" s="2569"/>
      <c r="F42" s="2623"/>
      <c r="G42" s="2569"/>
      <c r="H42" s="2569"/>
      <c r="I42" s="2569">
        <v>229155.14000000004</v>
      </c>
      <c r="J42" s="2569"/>
      <c r="K42" s="2569">
        <v>565851.65000000072</v>
      </c>
      <c r="L42" s="2623">
        <v>795006.79000000074</v>
      </c>
      <c r="M42" s="2569">
        <v>795006.79000000074</v>
      </c>
      <c r="N42" s="2576">
        <f t="shared" si="31"/>
        <v>3</v>
      </c>
      <c r="O42" s="2575">
        <f t="shared" si="12"/>
        <v>0.71040000000000003</v>
      </c>
      <c r="P42" s="2569">
        <f t="shared" si="13"/>
        <v>0</v>
      </c>
      <c r="Q42" s="2569">
        <f t="shared" si="14"/>
        <v>565851.65000000072</v>
      </c>
      <c r="R42" s="2569">
        <f t="shared" si="15"/>
        <v>565851.65000000072</v>
      </c>
      <c r="S42" s="2569">
        <f>-IFERROR(VLOOKUP(A42,'G-3.05,5.02 PF NE Labor'!$BR$33:$CD$40,13,FALSE),0)</f>
        <v>0</v>
      </c>
      <c r="T42" s="2569">
        <f t="shared" si="16"/>
        <v>565851.65000000072</v>
      </c>
      <c r="V42" s="2568">
        <f>VLOOKUP(A42,'G-3.05,5.02 PF NE Labor'!$BH$13:$BN$46,6,FALSE)</f>
        <v>0.95051847541755874</v>
      </c>
      <c r="W42" s="2568">
        <f>VLOOKUP(A42,'G-3.05,5.02 PF NE Labor'!$BH$13:$BN$46,7,FALSE)</f>
        <v>4.9481524582441261E-2</v>
      </c>
      <c r="Y42" s="2574">
        <f t="shared" si="17"/>
        <v>27999.202329489985</v>
      </c>
      <c r="Z42" s="2574">
        <f t="shared" si="18"/>
        <v>1118.8481250864199</v>
      </c>
      <c r="AA42" s="2574">
        <f t="shared" si="19"/>
        <v>1164.7220181830562</v>
      </c>
      <c r="AB42" s="2574">
        <f t="shared" si="20"/>
        <v>1015.0785332868971</v>
      </c>
      <c r="AC42" s="2574">
        <f t="shared" si="21"/>
        <v>1251.9140402418543</v>
      </c>
      <c r="AE42" s="2574">
        <f t="shared" si="22"/>
        <v>537852.44767051074</v>
      </c>
      <c r="AF42" s="2574">
        <f t="shared" si="23"/>
        <v>13817.429380655421</v>
      </c>
      <c r="AG42" s="2574">
        <f t="shared" si="24"/>
        <v>22066.795082046647</v>
      </c>
      <c r="AH42" s="2574">
        <f t="shared" si="25"/>
        <v>17533.392700390985</v>
      </c>
      <c r="AI42" s="2574">
        <f t="shared" si="26"/>
        <v>23650.802593344153</v>
      </c>
      <c r="AK42" s="2574">
        <f t="shared" si="27"/>
        <v>580787.92750574253</v>
      </c>
      <c r="AL42" s="2574">
        <f t="shared" si="28"/>
        <v>604019.44460597227</v>
      </c>
      <c r="AM42" s="2574">
        <f t="shared" si="29"/>
        <v>599336.39873942046</v>
      </c>
      <c r="AN42" s="2574">
        <f t="shared" si="30"/>
        <v>628922.16123955825</v>
      </c>
      <c r="AR42" s="2582" t="s">
        <v>2307</v>
      </c>
      <c r="AZ42" s="182">
        <v>539000</v>
      </c>
      <c r="BA42" s="888">
        <v>133000.78999999998</v>
      </c>
      <c r="BB42" s="888">
        <v>33940.079999999987</v>
      </c>
      <c r="BC42" s="888">
        <v>178904.84999999989</v>
      </c>
      <c r="BD42" s="888">
        <v>345845.71999999986</v>
      </c>
      <c r="BE42" s="2603">
        <f t="shared" si="3"/>
        <v>0.5172967009682814</v>
      </c>
      <c r="BF42" s="1144">
        <f t="shared" si="4"/>
        <v>0.4827032990317186</v>
      </c>
      <c r="BH42" s="182">
        <v>901000</v>
      </c>
      <c r="BI42" s="888">
        <v>68136.09</v>
      </c>
      <c r="BJ42" s="888"/>
      <c r="BK42" s="888"/>
      <c r="BL42" s="888">
        <v>68136.09</v>
      </c>
      <c r="BM42" s="2603">
        <f t="shared" si="5"/>
        <v>0</v>
      </c>
      <c r="BN42" s="1144">
        <f t="shared" si="6"/>
        <v>1</v>
      </c>
    </row>
    <row r="43" spans="1:82">
      <c r="A43" s="2573">
        <v>893000</v>
      </c>
      <c r="B43" s="2569"/>
      <c r="C43" s="2569"/>
      <c r="D43" s="2569"/>
      <c r="E43" s="2569"/>
      <c r="F43" s="2623"/>
      <c r="G43" s="2569"/>
      <c r="H43" s="2569">
        <v>432675.29000000021</v>
      </c>
      <c r="I43" s="2569">
        <v>231913.2000000001</v>
      </c>
      <c r="J43" s="2569"/>
      <c r="K43" s="2569">
        <v>681721.07000000018</v>
      </c>
      <c r="L43" s="2623">
        <v>1346309.5600000005</v>
      </c>
      <c r="M43" s="2569">
        <v>1346309.5600000005</v>
      </c>
      <c r="N43" s="2576">
        <f t="shared" si="31"/>
        <v>3</v>
      </c>
      <c r="O43" s="2575">
        <f t="shared" si="12"/>
        <v>0.71040000000000003</v>
      </c>
      <c r="P43" s="2569">
        <f t="shared" si="13"/>
        <v>307372.52601600019</v>
      </c>
      <c r="Q43" s="2569">
        <f t="shared" si="14"/>
        <v>681721.07000000018</v>
      </c>
      <c r="R43" s="2569">
        <f t="shared" si="15"/>
        <v>989093.59601600037</v>
      </c>
      <c r="S43" s="2569">
        <f>-IFERROR(VLOOKUP(A43,'G-3.05,5.02 PF NE Labor'!$BR$33:$CD$40,13,FALSE),0)</f>
        <v>0</v>
      </c>
      <c r="T43" s="2569">
        <f t="shared" si="16"/>
        <v>989093.59601600037</v>
      </c>
      <c r="V43" s="2568">
        <f>VLOOKUP(A43,'G-3.05,5.02 PF NE Labor'!$BH$13:$BN$46,6,FALSE)</f>
        <v>1</v>
      </c>
      <c r="W43" s="2568">
        <f>VLOOKUP(A43,'G-3.05,5.02 PF NE Labor'!$BH$13:$BN$46,7,FALSE)</f>
        <v>0</v>
      </c>
      <c r="Y43" s="2574">
        <f t="shared" si="17"/>
        <v>0</v>
      </c>
      <c r="Z43" s="2574">
        <f t="shared" si="18"/>
        <v>0</v>
      </c>
      <c r="AA43" s="2574">
        <f t="shared" si="19"/>
        <v>0</v>
      </c>
      <c r="AB43" s="2574">
        <f t="shared" si="20"/>
        <v>0</v>
      </c>
      <c r="AC43" s="2574">
        <f t="shared" si="21"/>
        <v>0</v>
      </c>
      <c r="AE43" s="2574">
        <f t="shared" si="22"/>
        <v>989093.59601600037</v>
      </c>
      <c r="AF43" s="2574">
        <f t="shared" si="23"/>
        <v>25409.81448165105</v>
      </c>
      <c r="AG43" s="2574">
        <f t="shared" si="24"/>
        <v>40580.136419906055</v>
      </c>
      <c r="AH43" s="2574">
        <f t="shared" si="25"/>
        <v>32243.353193800558</v>
      </c>
      <c r="AI43" s="2574">
        <f t="shared" si="26"/>
        <v>43493.076004454328</v>
      </c>
      <c r="AK43" s="2574">
        <f t="shared" si="27"/>
        <v>1014503.4104976514</v>
      </c>
      <c r="AL43" s="2574">
        <f t="shared" si="28"/>
        <v>1055083.5469175575</v>
      </c>
      <c r="AM43" s="2574">
        <f t="shared" si="29"/>
        <v>1046746.763691452</v>
      </c>
      <c r="AN43" s="2574">
        <f t="shared" si="30"/>
        <v>1098576.6229220119</v>
      </c>
      <c r="AT43" s="2589" t="str">
        <f>"243/365="</f>
        <v>243/365=</v>
      </c>
      <c r="AU43" s="2597">
        <f>ROUND(243/365,3)</f>
        <v>0.66600000000000004</v>
      </c>
      <c r="AZ43" s="182">
        <v>930200</v>
      </c>
      <c r="BA43" s="888">
        <v>155043.90999999992</v>
      </c>
      <c r="BB43" s="888">
        <v>34548.36</v>
      </c>
      <c r="BC43" s="888">
        <v>192678.90999999989</v>
      </c>
      <c r="BD43" s="888">
        <v>382271.17999999982</v>
      </c>
      <c r="BE43" s="2603">
        <f t="shared" si="3"/>
        <v>0.50403723869531569</v>
      </c>
      <c r="BF43" s="1144">
        <f t="shared" si="4"/>
        <v>0.49596276130468431</v>
      </c>
      <c r="BH43" s="182">
        <v>890000</v>
      </c>
      <c r="BI43" s="888"/>
      <c r="BJ43" s="888"/>
      <c r="BK43" s="888">
        <v>7343.0199999999995</v>
      </c>
      <c r="BL43" s="888">
        <v>7343.0199999999995</v>
      </c>
      <c r="BM43" s="2603">
        <f t="shared" si="5"/>
        <v>1</v>
      </c>
      <c r="BN43" s="1144">
        <f t="shared" si="6"/>
        <v>0</v>
      </c>
      <c r="BY43" s="2610"/>
    </row>
    <row r="44" spans="1:82" ht="13.5" thickBot="1">
      <c r="A44" s="2573">
        <v>894000</v>
      </c>
      <c r="B44" s="2569"/>
      <c r="C44" s="2569"/>
      <c r="D44" s="2569"/>
      <c r="E44" s="2569"/>
      <c r="F44" s="2623"/>
      <c r="G44" s="2569"/>
      <c r="H44" s="2569">
        <v>103754.13000000002</v>
      </c>
      <c r="I44" s="2569"/>
      <c r="J44" s="2569"/>
      <c r="K44" s="2569"/>
      <c r="L44" s="2623">
        <v>103754.13000000002</v>
      </c>
      <c r="M44" s="2569">
        <v>103754.13000000002</v>
      </c>
      <c r="N44" s="2576">
        <f t="shared" si="31"/>
        <v>3</v>
      </c>
      <c r="O44" s="2575">
        <f t="shared" si="12"/>
        <v>0.71040000000000003</v>
      </c>
      <c r="P44" s="2569">
        <f t="shared" si="13"/>
        <v>73706.933952000021</v>
      </c>
      <c r="Q44" s="2569">
        <f t="shared" si="14"/>
        <v>0</v>
      </c>
      <c r="R44" s="2569">
        <f t="shared" si="15"/>
        <v>73706.933952000021</v>
      </c>
      <c r="S44" s="2569">
        <f>-IFERROR(VLOOKUP(A44,'G-3.05,5.02 PF NE Labor'!$BR$33:$CD$40,13,FALSE),0)</f>
        <v>0</v>
      </c>
      <c r="T44" s="2569">
        <f t="shared" si="16"/>
        <v>73706.933952000021</v>
      </c>
      <c r="V44" s="2568">
        <f>VLOOKUP(A44,'G-3.05,5.02 PF NE Labor'!$BH$13:$BN$46,6,FALSE)</f>
        <v>1</v>
      </c>
      <c r="W44" s="2568">
        <f>VLOOKUP(A44,'G-3.05,5.02 PF NE Labor'!$BH$13:$BN$46,7,FALSE)</f>
        <v>0</v>
      </c>
      <c r="Y44" s="2574">
        <f t="shared" si="17"/>
        <v>0</v>
      </c>
      <c r="Z44" s="2574">
        <f t="shared" si="18"/>
        <v>0</v>
      </c>
      <c r="AA44" s="2574">
        <f t="shared" si="19"/>
        <v>0</v>
      </c>
      <c r="AB44" s="2574">
        <f t="shared" si="20"/>
        <v>0</v>
      </c>
      <c r="AC44" s="2574">
        <f t="shared" si="21"/>
        <v>0</v>
      </c>
      <c r="AE44" s="2574">
        <f t="shared" si="22"/>
        <v>73706.933952000021</v>
      </c>
      <c r="AF44" s="2574">
        <f t="shared" si="23"/>
        <v>1893.5311332268807</v>
      </c>
      <c r="AG44" s="2574">
        <f t="shared" si="24"/>
        <v>3024.0186034090761</v>
      </c>
      <c r="AH44" s="2574">
        <f t="shared" si="25"/>
        <v>2402.7642215247151</v>
      </c>
      <c r="AI44" s="2574">
        <f t="shared" si="26"/>
        <v>3241.0899164064276</v>
      </c>
      <c r="AK44" s="2574">
        <f t="shared" si="27"/>
        <v>75600.465085226897</v>
      </c>
      <c r="AL44" s="2574">
        <f t="shared" si="28"/>
        <v>78624.48368863597</v>
      </c>
      <c r="AM44" s="2574">
        <f t="shared" si="29"/>
        <v>78003.229306751615</v>
      </c>
      <c r="AN44" s="2574">
        <f t="shared" si="30"/>
        <v>81865.573605042402</v>
      </c>
      <c r="AR44" s="2587" t="s">
        <v>2306</v>
      </c>
      <c r="AS44" s="2585"/>
      <c r="AT44" s="2585"/>
      <c r="AU44" s="2586">
        <f>ROUND(AU41*AU43,5)</f>
        <v>3.9960000000000002E-2</v>
      </c>
      <c r="AV44" s="2585" t="s">
        <v>2305</v>
      </c>
      <c r="AZ44" s="182">
        <v>561000</v>
      </c>
      <c r="BA44" s="888">
        <v>177.66</v>
      </c>
      <c r="BB44" s="888"/>
      <c r="BC44" s="888">
        <v>19141.069999999985</v>
      </c>
      <c r="BD44" s="888">
        <v>19318.729999999985</v>
      </c>
      <c r="BE44" s="2603">
        <f t="shared" si="3"/>
        <v>0.99080374331024867</v>
      </c>
      <c r="BF44" s="1144">
        <f t="shared" si="4"/>
        <v>9.1962566897513254E-3</v>
      </c>
      <c r="BH44" s="182">
        <v>876000</v>
      </c>
      <c r="BI44" s="888"/>
      <c r="BJ44" s="888"/>
      <c r="BK44" s="888">
        <v>13528.400000000001</v>
      </c>
      <c r="BL44" s="888">
        <v>13528.400000000001</v>
      </c>
      <c r="BM44" s="2603">
        <f t="shared" si="5"/>
        <v>1</v>
      </c>
      <c r="BN44" s="1144">
        <f t="shared" si="6"/>
        <v>0</v>
      </c>
      <c r="BX44" s="477" t="s">
        <v>677</v>
      </c>
      <c r="BY44" s="2610">
        <f>CA22+BY41</f>
        <v>3441904.97</v>
      </c>
    </row>
    <row r="45" spans="1:82" ht="13.5" thickTop="1">
      <c r="A45" s="2573">
        <v>901000</v>
      </c>
      <c r="B45" s="2569">
        <v>81277.819999999992</v>
      </c>
      <c r="C45" s="2569">
        <v>55.93</v>
      </c>
      <c r="D45" s="2569"/>
      <c r="E45" s="2569"/>
      <c r="F45" s="2623">
        <v>81333.749999999985</v>
      </c>
      <c r="G45" s="2569"/>
      <c r="H45" s="2569"/>
      <c r="I45" s="2569"/>
      <c r="J45" s="2569"/>
      <c r="K45" s="2569"/>
      <c r="L45" s="2623"/>
      <c r="M45" s="2569">
        <v>81333.749999999985</v>
      </c>
      <c r="N45" s="2576">
        <f t="shared" si="31"/>
        <v>3</v>
      </c>
      <c r="O45" s="2575">
        <f t="shared" si="12"/>
        <v>0.71040000000000003</v>
      </c>
      <c r="P45" s="2569">
        <f t="shared" si="13"/>
        <v>57779.495999999992</v>
      </c>
      <c r="Q45" s="2569">
        <f t="shared" si="14"/>
        <v>0</v>
      </c>
      <c r="R45" s="2569">
        <f t="shared" si="15"/>
        <v>57779.495999999992</v>
      </c>
      <c r="S45" s="2569">
        <f>-IFERROR(VLOOKUP(A45,'G-3.05,5.02 PF NE Labor'!$BR$33:$CD$40,13,FALSE),0)</f>
        <v>0</v>
      </c>
      <c r="T45" s="2569">
        <f t="shared" si="16"/>
        <v>57779.495999999992</v>
      </c>
      <c r="V45" s="2568">
        <f>VLOOKUP(A45,'G-3.05,5.02 PF NE Labor'!$BH$13:$BN$46,6,FALSE)</f>
        <v>0</v>
      </c>
      <c r="W45" s="2568">
        <f>VLOOKUP(A45,'G-3.05,5.02 PF NE Labor'!$BH$13:$BN$46,7,FALSE)</f>
        <v>1</v>
      </c>
      <c r="Y45" s="2574">
        <f t="shared" si="17"/>
        <v>57779.495999999992</v>
      </c>
      <c r="Z45" s="2574">
        <f t="shared" si="18"/>
        <v>2308.8686601599998</v>
      </c>
      <c r="AA45" s="2574">
        <f t="shared" si="19"/>
        <v>2403.5345864063997</v>
      </c>
      <c r="AB45" s="2574">
        <f t="shared" si="20"/>
        <v>2094.7284627449053</v>
      </c>
      <c r="AC45" s="2574">
        <f t="shared" si="21"/>
        <v>2583.4651083724521</v>
      </c>
      <c r="AE45" s="2574">
        <f t="shared" si="22"/>
        <v>0</v>
      </c>
      <c r="AF45" s="2574">
        <f t="shared" si="23"/>
        <v>0</v>
      </c>
      <c r="AG45" s="2574">
        <f t="shared" si="24"/>
        <v>0</v>
      </c>
      <c r="AH45" s="2574">
        <f t="shared" si="25"/>
        <v>0</v>
      </c>
      <c r="AI45" s="2574">
        <f t="shared" si="26"/>
        <v>0</v>
      </c>
      <c r="AK45" s="2574">
        <f t="shared" si="27"/>
        <v>60088.36466015999</v>
      </c>
      <c r="AL45" s="2574">
        <f t="shared" si="28"/>
        <v>62491.899246566391</v>
      </c>
      <c r="AM45" s="2574">
        <f t="shared" si="29"/>
        <v>62183.093122904895</v>
      </c>
      <c r="AN45" s="2574">
        <f t="shared" si="30"/>
        <v>65075.364354938843</v>
      </c>
      <c r="AU45" s="2590"/>
      <c r="AZ45" s="182">
        <v>560000</v>
      </c>
      <c r="BA45" s="888">
        <v>1293481.7600000002</v>
      </c>
      <c r="BB45" s="888">
        <v>172463.81000000003</v>
      </c>
      <c r="BC45" s="888">
        <v>1770.67</v>
      </c>
      <c r="BD45" s="888">
        <v>1467716.2400000002</v>
      </c>
      <c r="BE45" s="2603">
        <f t="shared" ref="BE45:BE76" si="35">BC45/BD45</f>
        <v>1.2064116698742803E-3</v>
      </c>
      <c r="BF45" s="1144">
        <f t="shared" ref="BF45:BF76" si="36">1-BE45</f>
        <v>0.99879358833012577</v>
      </c>
      <c r="BH45" s="182">
        <v>925100</v>
      </c>
      <c r="BI45" s="888">
        <v>21.8</v>
      </c>
      <c r="BJ45" s="888"/>
      <c r="BK45" s="888"/>
      <c r="BL45" s="888">
        <v>21.8</v>
      </c>
      <c r="BM45" s="2603">
        <f t="shared" si="5"/>
        <v>0</v>
      </c>
      <c r="BN45" s="1144">
        <f t="shared" si="6"/>
        <v>1</v>
      </c>
      <c r="BX45" s="477" t="s">
        <v>676</v>
      </c>
      <c r="BY45" s="2610">
        <v>372183</v>
      </c>
    </row>
    <row r="46" spans="1:82">
      <c r="A46" s="2573">
        <v>902000</v>
      </c>
      <c r="B46" s="2569"/>
      <c r="C46" s="2569">
        <v>90323.290000000008</v>
      </c>
      <c r="D46" s="2569">
        <v>93199.64999999998</v>
      </c>
      <c r="E46" s="2569">
        <v>167546.21000000008</v>
      </c>
      <c r="F46" s="2623">
        <v>351069.15000000008</v>
      </c>
      <c r="G46" s="2569"/>
      <c r="H46" s="2569"/>
      <c r="I46" s="2569"/>
      <c r="J46" s="2569"/>
      <c r="K46" s="2569">
        <v>8228.01</v>
      </c>
      <c r="L46" s="2623">
        <v>8228.01</v>
      </c>
      <c r="M46" s="2569">
        <v>359297.16000000009</v>
      </c>
      <c r="N46" s="2576">
        <f t="shared" ref="N46:N52" si="37">$B$69</f>
        <v>2</v>
      </c>
      <c r="O46" s="2575">
        <f t="shared" si="12"/>
        <v>0.65400999999999998</v>
      </c>
      <c r="P46" s="2569">
        <f t="shared" si="13"/>
        <v>59072.334892900006</v>
      </c>
      <c r="Q46" s="2569">
        <f t="shared" si="14"/>
        <v>175774.22000000009</v>
      </c>
      <c r="R46" s="2569">
        <f t="shared" si="15"/>
        <v>234846.55489290011</v>
      </c>
      <c r="S46" s="2569">
        <f>-IFERROR(VLOOKUP(A46,'G-3.05,5.02 PF NE Labor'!$BR$33:$CD$40,13,FALSE),0)</f>
        <v>0</v>
      </c>
      <c r="T46" s="2569">
        <f t="shared" si="16"/>
        <v>234846.55489290011</v>
      </c>
      <c r="V46" s="2568">
        <f>VLOOKUP(A46,'G-3.05,5.02 PF NE Labor'!$BH$13:$BN$46,6,FALSE)</f>
        <v>0.42808381509321114</v>
      </c>
      <c r="W46" s="2568">
        <f>VLOOKUP(A46,'G-3.05,5.02 PF NE Labor'!$BH$13:$BN$46,7,FALSE)</f>
        <v>0.57191618490678886</v>
      </c>
      <c r="Y46" s="2574">
        <f t="shared" si="17"/>
        <v>134312.5457128502</v>
      </c>
      <c r="Z46" s="2574">
        <f t="shared" si="18"/>
        <v>5367.1293266854946</v>
      </c>
      <c r="AA46" s="2574">
        <f t="shared" si="19"/>
        <v>5587.1870015814284</v>
      </c>
      <c r="AB46" s="2574">
        <f t="shared" si="20"/>
        <v>4869.3452156182466</v>
      </c>
      <c r="AC46" s="2574">
        <f t="shared" si="21"/>
        <v>6005.4482902694144</v>
      </c>
      <c r="AE46" s="2574">
        <f t="shared" si="22"/>
        <v>100534.00918004991</v>
      </c>
      <c r="AF46" s="2574">
        <f t="shared" si="23"/>
        <v>2582.7186958354823</v>
      </c>
      <c r="AG46" s="2574">
        <f t="shared" si="24"/>
        <v>4124.6691150354154</v>
      </c>
      <c r="AH46" s="2574">
        <f t="shared" si="25"/>
        <v>3277.29709204254</v>
      </c>
      <c r="AI46" s="2574">
        <f t="shared" si="26"/>
        <v>4420.7477633185345</v>
      </c>
      <c r="AK46" s="2574">
        <f t="shared" si="27"/>
        <v>242796.40291542112</v>
      </c>
      <c r="AL46" s="2574">
        <f t="shared" si="28"/>
        <v>252508.25903203795</v>
      </c>
      <c r="AM46" s="2574">
        <f t="shared" si="29"/>
        <v>250943.04522308189</v>
      </c>
      <c r="AN46" s="2574">
        <f t="shared" si="30"/>
        <v>262934.45508562587</v>
      </c>
      <c r="AR46" s="2594" t="str">
        <f>+AR19</f>
        <v>2024 Adjustment</v>
      </c>
      <c r="AU46" s="2583"/>
      <c r="AZ46" s="182">
        <v>580000</v>
      </c>
      <c r="BA46" s="888">
        <v>2422992.4799999972</v>
      </c>
      <c r="BB46" s="888">
        <v>298392.69999999984</v>
      </c>
      <c r="BC46" s="888">
        <v>46835.4</v>
      </c>
      <c r="BD46" s="888">
        <v>2768220.5799999968</v>
      </c>
      <c r="BE46" s="2603">
        <f t="shared" si="35"/>
        <v>1.6918955208403245E-2</v>
      </c>
      <c r="BF46" s="1144">
        <f t="shared" si="36"/>
        <v>0.98308104479159675</v>
      </c>
      <c r="BH46" s="1489" t="s">
        <v>978</v>
      </c>
      <c r="BI46" s="1490">
        <v>7775511.6099999985</v>
      </c>
      <c r="BJ46" s="1490">
        <v>4516833.0899999905</v>
      </c>
      <c r="BK46" s="1490">
        <v>8177040.9300000137</v>
      </c>
      <c r="BL46" s="1490">
        <v>20469385.630000006</v>
      </c>
      <c r="BM46" s="2603">
        <f t="shared" si="5"/>
        <v>0.39947661731555406</v>
      </c>
      <c r="BN46" s="1144">
        <f t="shared" si="6"/>
        <v>0.60052338268444594</v>
      </c>
      <c r="BX46" s="890" t="s">
        <v>2338</v>
      </c>
      <c r="BY46" s="2609">
        <f>SUM(BY44:BY45)</f>
        <v>3814087.97</v>
      </c>
    </row>
    <row r="47" spans="1:82">
      <c r="A47" s="2573">
        <v>903000</v>
      </c>
      <c r="B47" s="2569">
        <v>2715714.4900000039</v>
      </c>
      <c r="C47" s="2569"/>
      <c r="D47" s="2569">
        <v>163431.0400000001</v>
      </c>
      <c r="E47" s="2569">
        <v>155845.16999999975</v>
      </c>
      <c r="F47" s="2623">
        <v>3034990.7000000039</v>
      </c>
      <c r="G47" s="2569"/>
      <c r="H47" s="2569"/>
      <c r="I47" s="2569"/>
      <c r="J47" s="2569"/>
      <c r="K47" s="2569">
        <v>16904.660000000007</v>
      </c>
      <c r="L47" s="2623">
        <v>16904.660000000007</v>
      </c>
      <c r="M47" s="2569">
        <v>3051895.3600000041</v>
      </c>
      <c r="N47" s="2576">
        <f t="shared" si="37"/>
        <v>2</v>
      </c>
      <c r="O47" s="2575">
        <f t="shared" si="12"/>
        <v>0.65400999999999998</v>
      </c>
      <c r="P47" s="2569">
        <f t="shared" si="13"/>
        <v>1776104.4336049026</v>
      </c>
      <c r="Q47" s="2569">
        <f t="shared" si="14"/>
        <v>172749.82999999975</v>
      </c>
      <c r="R47" s="2569">
        <f t="shared" si="15"/>
        <v>1948854.2636049024</v>
      </c>
      <c r="S47" s="2569">
        <f>-IFERROR(VLOOKUP(A47,'G-3.05,5.02 PF NE Labor'!$BR$33:$CD$40,13,FALSE),0)</f>
        <v>0</v>
      </c>
      <c r="T47" s="2569">
        <f t="shared" si="16"/>
        <v>1948854.2636049024</v>
      </c>
      <c r="V47" s="2568">
        <f>VLOOKUP(A47,'G-3.05,5.02 PF NE Labor'!$BH$13:$BN$46,6,FALSE)</f>
        <v>0.10676016284301035</v>
      </c>
      <c r="W47" s="2568">
        <f>VLOOKUP(A47,'G-3.05,5.02 PF NE Labor'!$BH$13:$BN$46,7,FALSE)</f>
        <v>0.89323983715698962</v>
      </c>
      <c r="Y47" s="2574">
        <f t="shared" si="17"/>
        <v>1740794.265065148</v>
      </c>
      <c r="Z47" s="2574">
        <f t="shared" si="18"/>
        <v>69562.138832003315</v>
      </c>
      <c r="AA47" s="2574">
        <f t="shared" si="19"/>
        <v>72414.256155886062</v>
      </c>
      <c r="AB47" s="2574">
        <f t="shared" si="20"/>
        <v>63110.472524977813</v>
      </c>
      <c r="AC47" s="2574">
        <f t="shared" si="21"/>
        <v>77835.24530312061</v>
      </c>
      <c r="AE47" s="2574">
        <f t="shared" si="22"/>
        <v>208059.99853975439</v>
      </c>
      <c r="AF47" s="2574">
        <f t="shared" si="23"/>
        <v>5345.0613624862908</v>
      </c>
      <c r="AG47" s="2574">
        <f t="shared" si="24"/>
        <v>8536.2023960896277</v>
      </c>
      <c r="AH47" s="2574">
        <f t="shared" si="25"/>
        <v>6782.5249758369746</v>
      </c>
      <c r="AI47" s="2574">
        <f t="shared" si="26"/>
        <v>9148.9514909666923</v>
      </c>
      <c r="AK47" s="2574">
        <f t="shared" si="27"/>
        <v>2023761.4637993921</v>
      </c>
      <c r="AL47" s="2574">
        <f t="shared" si="28"/>
        <v>2104711.9223513678</v>
      </c>
      <c r="AM47" s="2574">
        <f t="shared" si="29"/>
        <v>2093654.4613002068</v>
      </c>
      <c r="AN47" s="2574">
        <f t="shared" si="30"/>
        <v>2191696.1191454548</v>
      </c>
      <c r="AR47" s="2582" t="s">
        <v>2304</v>
      </c>
      <c r="AU47" s="2591">
        <v>0.04</v>
      </c>
      <c r="AZ47" s="182">
        <v>582000</v>
      </c>
      <c r="BA47" s="888">
        <v>15132.96</v>
      </c>
      <c r="BB47" s="888">
        <v>2148.0500000000002</v>
      </c>
      <c r="BC47" s="888">
        <v>504998.95000000065</v>
      </c>
      <c r="BD47" s="888">
        <v>522279.96000000066</v>
      </c>
      <c r="BE47" s="2603">
        <f t="shared" si="35"/>
        <v>0.96691236248084267</v>
      </c>
      <c r="BF47" s="1144">
        <f t="shared" si="36"/>
        <v>3.3087637519157331E-2</v>
      </c>
      <c r="BM47" s="2603"/>
      <c r="BN47" s="1144"/>
    </row>
    <row r="48" spans="1:82">
      <c r="A48" s="2573">
        <v>905000</v>
      </c>
      <c r="B48" s="2569">
        <v>199317.13000000041</v>
      </c>
      <c r="C48" s="2569"/>
      <c r="D48" s="2569"/>
      <c r="E48" s="2569"/>
      <c r="F48" s="2623">
        <v>199317.13000000041</v>
      </c>
      <c r="G48" s="2569"/>
      <c r="H48" s="2569"/>
      <c r="I48" s="2569"/>
      <c r="J48" s="2569"/>
      <c r="K48" s="2569"/>
      <c r="L48" s="2623"/>
      <c r="M48" s="2569">
        <v>199317.13000000041</v>
      </c>
      <c r="N48" s="2576">
        <f t="shared" si="37"/>
        <v>2</v>
      </c>
      <c r="O48" s="2575">
        <f t="shared" si="12"/>
        <v>0.65400999999999998</v>
      </c>
      <c r="P48" s="2569">
        <f t="shared" si="13"/>
        <v>130355.39619130027</v>
      </c>
      <c r="Q48" s="2569">
        <f t="shared" si="14"/>
        <v>0</v>
      </c>
      <c r="R48" s="2569">
        <f t="shared" si="15"/>
        <v>130355.39619130027</v>
      </c>
      <c r="S48" s="2569">
        <f>-IFERROR(VLOOKUP(A48,'G-3.05,5.02 PF NE Labor'!$BR$33:$CD$40,13,FALSE),0)</f>
        <v>0</v>
      </c>
      <c r="T48" s="2569">
        <f t="shared" si="16"/>
        <v>130355.39619130027</v>
      </c>
      <c r="V48" s="2568">
        <f>VLOOKUP(A48,'G-3.05,5.02 PF NE Labor'!$BH$13:$BN$46,6,FALSE)</f>
        <v>1.840263128433552E-2</v>
      </c>
      <c r="W48" s="2568">
        <f>VLOOKUP(A48,'G-3.05,5.02 PF NE Labor'!$BH$13:$BN$46,7,FALSE)</f>
        <v>0.9815973687156645</v>
      </c>
      <c r="Y48" s="2574">
        <f t="shared" si="17"/>
        <v>127956.51389926831</v>
      </c>
      <c r="Z48" s="2574">
        <f t="shared" si="18"/>
        <v>5113.142295414762</v>
      </c>
      <c r="AA48" s="2574">
        <f t="shared" si="19"/>
        <v>5322.7862477873232</v>
      </c>
      <c r="AB48" s="2574">
        <f t="shared" si="20"/>
        <v>4638.9146706716083</v>
      </c>
      <c r="AC48" s="2574">
        <f t="shared" si="21"/>
        <v>5721.2542845256803</v>
      </c>
      <c r="AE48" s="2574">
        <f t="shared" si="22"/>
        <v>2398.8822920319735</v>
      </c>
      <c r="AF48" s="2574">
        <f t="shared" si="23"/>
        <v>61.627286082301403</v>
      </c>
      <c r="AG48" s="2574">
        <f t="shared" si="24"/>
        <v>98.420383124571003</v>
      </c>
      <c r="AH48" s="2574">
        <f t="shared" si="25"/>
        <v>78.200899615459136</v>
      </c>
      <c r="AI48" s="2574">
        <f t="shared" si="26"/>
        <v>105.4852344341722</v>
      </c>
      <c r="AK48" s="2574">
        <f t="shared" si="27"/>
        <v>135530.16577279734</v>
      </c>
      <c r="AL48" s="2574">
        <f t="shared" si="28"/>
        <v>140951.37240370925</v>
      </c>
      <c r="AM48" s="2574">
        <f t="shared" si="29"/>
        <v>140247.28134308438</v>
      </c>
      <c r="AN48" s="2574">
        <f t="shared" si="30"/>
        <v>146778.11192266908</v>
      </c>
      <c r="AR48" s="2582" t="s">
        <v>2303</v>
      </c>
      <c r="AZ48" s="182">
        <v>568000</v>
      </c>
      <c r="BA48" s="888">
        <v>263726.09000000008</v>
      </c>
      <c r="BB48" s="888">
        <v>30554.410000000003</v>
      </c>
      <c r="BC48" s="888">
        <v>33600.310000000012</v>
      </c>
      <c r="BD48" s="888">
        <v>327880.81000000011</v>
      </c>
      <c r="BE48" s="2603">
        <f t="shared" si="35"/>
        <v>0.10247720810498182</v>
      </c>
      <c r="BF48" s="1144">
        <f t="shared" si="36"/>
        <v>0.89752279189501816</v>
      </c>
      <c r="BM48" s="2603"/>
      <c r="BN48" s="1144"/>
    </row>
    <row r="49" spans="1:66">
      <c r="A49" s="2573">
        <v>908000</v>
      </c>
      <c r="B49" s="2569"/>
      <c r="C49" s="2569">
        <v>83487.890000000029</v>
      </c>
      <c r="D49" s="2569">
        <v>41869.570000000022</v>
      </c>
      <c r="E49" s="2569">
        <v>73221.040000000023</v>
      </c>
      <c r="F49" s="2623">
        <v>198578.50000000006</v>
      </c>
      <c r="G49" s="2569"/>
      <c r="H49" s="2569"/>
      <c r="I49" s="2569"/>
      <c r="J49" s="2569"/>
      <c r="K49" s="2569">
        <v>5775.09</v>
      </c>
      <c r="L49" s="2623">
        <v>5775.09</v>
      </c>
      <c r="M49" s="2569">
        <v>204353.59000000005</v>
      </c>
      <c r="N49" s="2576">
        <f t="shared" si="37"/>
        <v>2</v>
      </c>
      <c r="O49" s="2575">
        <f t="shared" si="12"/>
        <v>0.65400999999999998</v>
      </c>
      <c r="P49" s="2569">
        <f t="shared" si="13"/>
        <v>54601.914938900016</v>
      </c>
      <c r="Q49" s="2569">
        <f t="shared" si="14"/>
        <v>78996.130000000019</v>
      </c>
      <c r="R49" s="2569">
        <f t="shared" si="15"/>
        <v>133598.04493890004</v>
      </c>
      <c r="S49" s="2569">
        <f>-IFERROR(VLOOKUP(A49,'G-3.05,5.02 PF NE Labor'!$BR$33:$CD$40,13,FALSE),0)</f>
        <v>0</v>
      </c>
      <c r="T49" s="2569">
        <f t="shared" si="16"/>
        <v>133598.04493890004</v>
      </c>
      <c r="V49" s="2568">
        <f>VLOOKUP(A49,'G-3.05,5.02 PF NE Labor'!$BH$13:$BN$46,6,FALSE)</f>
        <v>0</v>
      </c>
      <c r="W49" s="2568">
        <f>VLOOKUP(A49,'G-3.05,5.02 PF NE Labor'!$BH$13:$BN$46,7,FALSE)</f>
        <v>1</v>
      </c>
      <c r="Y49" s="2574">
        <f t="shared" si="17"/>
        <v>133598.04493890004</v>
      </c>
      <c r="Z49" s="2574">
        <f t="shared" si="18"/>
        <v>5338.5778757584458</v>
      </c>
      <c r="AA49" s="2574">
        <f t="shared" si="19"/>
        <v>5557.4649125863389</v>
      </c>
      <c r="AB49" s="2574">
        <f t="shared" si="20"/>
        <v>4843.4418206172468</v>
      </c>
      <c r="AC49" s="2574">
        <f t="shared" si="21"/>
        <v>5973.5011819144829</v>
      </c>
      <c r="AE49" s="2574">
        <f t="shared" si="22"/>
        <v>0</v>
      </c>
      <c r="AF49" s="2574">
        <f t="shared" si="23"/>
        <v>0</v>
      </c>
      <c r="AG49" s="2574">
        <f t="shared" si="24"/>
        <v>0</v>
      </c>
      <c r="AH49" s="2574">
        <f t="shared" si="25"/>
        <v>0</v>
      </c>
      <c r="AI49" s="2574">
        <f t="shared" si="26"/>
        <v>0</v>
      </c>
      <c r="AK49" s="2574">
        <f t="shared" si="27"/>
        <v>138936.62281465848</v>
      </c>
      <c r="AL49" s="2574">
        <f t="shared" si="28"/>
        <v>144494.08772724483</v>
      </c>
      <c r="AM49" s="2574">
        <f t="shared" si="29"/>
        <v>143780.06463527572</v>
      </c>
      <c r="AN49" s="2574">
        <f t="shared" si="30"/>
        <v>150467.5889091593</v>
      </c>
      <c r="AT49" s="2589" t="str">
        <f>"365/365="</f>
        <v>365/365=</v>
      </c>
      <c r="AU49" s="2596">
        <f>ROUND(365/365,3)</f>
        <v>1</v>
      </c>
      <c r="AZ49" s="182">
        <v>543000</v>
      </c>
      <c r="BA49" s="888">
        <v>726.48</v>
      </c>
      <c r="BB49" s="888">
        <v>18024.910000000003</v>
      </c>
      <c r="BC49" s="888">
        <v>162305.99000000002</v>
      </c>
      <c r="BD49" s="888">
        <v>181057.38000000003</v>
      </c>
      <c r="BE49" s="2603">
        <f t="shared" si="35"/>
        <v>0.89643399236197929</v>
      </c>
      <c r="BF49" s="1144">
        <f t="shared" si="36"/>
        <v>0.10356600763802071</v>
      </c>
      <c r="BM49" s="2603"/>
      <c r="BN49" s="1144"/>
    </row>
    <row r="50" spans="1:66" ht="13.5" thickBot="1">
      <c r="A50" s="2573">
        <v>909000</v>
      </c>
      <c r="B50" s="2569"/>
      <c r="C50" s="2569">
        <v>9869.0499999999993</v>
      </c>
      <c r="D50" s="2569"/>
      <c r="E50" s="2569"/>
      <c r="F50" s="2623">
        <v>9869.0499999999993</v>
      </c>
      <c r="G50" s="2569"/>
      <c r="H50" s="2569">
        <v>10182.000000000002</v>
      </c>
      <c r="I50" s="2569"/>
      <c r="J50" s="2569"/>
      <c r="K50" s="2569"/>
      <c r="L50" s="2623">
        <v>10182.000000000002</v>
      </c>
      <c r="M50" s="2569">
        <v>20051.050000000003</v>
      </c>
      <c r="N50" s="2576">
        <f t="shared" si="37"/>
        <v>2</v>
      </c>
      <c r="O50" s="2575">
        <f t="shared" si="12"/>
        <v>0.65400999999999998</v>
      </c>
      <c r="P50" s="2569">
        <f t="shared" si="13"/>
        <v>13113.587210500002</v>
      </c>
      <c r="Q50" s="2569">
        <f t="shared" si="14"/>
        <v>0</v>
      </c>
      <c r="R50" s="2569">
        <f t="shared" si="15"/>
        <v>13113.587210500002</v>
      </c>
      <c r="S50" s="2569">
        <f>-IFERROR(VLOOKUP(A50,'G-3.05,5.02 PF NE Labor'!$BR$33:$CD$40,13,FALSE),0)</f>
        <v>0</v>
      </c>
      <c r="T50" s="2569">
        <f t="shared" si="16"/>
        <v>13113.587210500002</v>
      </c>
      <c r="V50" s="2568">
        <f>VLOOKUP(A50,'G-3.05,5.02 PF NE Labor'!$BH$13:$BN$46,6,FALSE)</f>
        <v>0</v>
      </c>
      <c r="W50" s="2568">
        <f>VLOOKUP(A50,'G-3.05,5.02 PF NE Labor'!$BH$13:$BN$46,7,FALSE)</f>
        <v>1</v>
      </c>
      <c r="Y50" s="2574">
        <f t="shared" si="17"/>
        <v>13113.587210500002</v>
      </c>
      <c r="Z50" s="2574">
        <f t="shared" si="18"/>
        <v>524.01894493158011</v>
      </c>
      <c r="AA50" s="2574">
        <f t="shared" si="19"/>
        <v>545.50424621726324</v>
      </c>
      <c r="AB50" s="2574">
        <f t="shared" si="20"/>
        <v>475.41786066326932</v>
      </c>
      <c r="AC50" s="2574">
        <f t="shared" si="21"/>
        <v>586.34113049248458</v>
      </c>
      <c r="AE50" s="2574">
        <f t="shared" si="22"/>
        <v>0</v>
      </c>
      <c r="AF50" s="2574">
        <f t="shared" si="23"/>
        <v>0</v>
      </c>
      <c r="AG50" s="2574">
        <f t="shared" si="24"/>
        <v>0</v>
      </c>
      <c r="AH50" s="2574">
        <f t="shared" si="25"/>
        <v>0</v>
      </c>
      <c r="AI50" s="2574">
        <f t="shared" si="26"/>
        <v>0</v>
      </c>
      <c r="AK50" s="2574">
        <f t="shared" si="27"/>
        <v>13637.606155431582</v>
      </c>
      <c r="AL50" s="2574">
        <f t="shared" si="28"/>
        <v>14183.110401648846</v>
      </c>
      <c r="AM50" s="2574">
        <f t="shared" si="29"/>
        <v>14113.024016094851</v>
      </c>
      <c r="AN50" s="2574">
        <f t="shared" si="30"/>
        <v>14769.451532141331</v>
      </c>
      <c r="AR50" s="2587" t="s">
        <v>2302</v>
      </c>
      <c r="AS50" s="2585"/>
      <c r="AT50" s="2585"/>
      <c r="AU50" s="2595">
        <f>ROUND(AU49*AU47,6)</f>
        <v>0.04</v>
      </c>
      <c r="AV50" s="2585" t="s">
        <v>2301</v>
      </c>
      <c r="AZ50" s="182">
        <v>923000</v>
      </c>
      <c r="BA50" s="888">
        <v>11073.449999999997</v>
      </c>
      <c r="BB50" s="888">
        <v>2410.6</v>
      </c>
      <c r="BC50" s="888">
        <v>164.17</v>
      </c>
      <c r="BD50" s="888">
        <v>13648.219999999998</v>
      </c>
      <c r="BE50" s="2603">
        <f t="shared" si="35"/>
        <v>1.2028674801549214E-2</v>
      </c>
      <c r="BF50" s="1144">
        <f t="shared" si="36"/>
        <v>0.98797132519845077</v>
      </c>
      <c r="BJ50" s="477" t="s">
        <v>194</v>
      </c>
      <c r="BK50" s="477" t="s">
        <v>1759</v>
      </c>
      <c r="BL50" s="2604">
        <f>BY41</f>
        <v>825902.38</v>
      </c>
      <c r="BM50" s="2603"/>
      <c r="BN50" s="1144"/>
    </row>
    <row r="51" spans="1:66" ht="13.5" thickTop="1">
      <c r="A51" s="2573">
        <v>910000</v>
      </c>
      <c r="B51" s="2569">
        <v>30980.19999999999</v>
      </c>
      <c r="C51" s="2569"/>
      <c r="D51" s="2569"/>
      <c r="E51" s="2569"/>
      <c r="F51" s="2623">
        <v>30980.19999999999</v>
      </c>
      <c r="G51" s="2569"/>
      <c r="H51" s="2569"/>
      <c r="I51" s="2569"/>
      <c r="J51" s="2569"/>
      <c r="K51" s="2569"/>
      <c r="L51" s="2623"/>
      <c r="M51" s="2569">
        <v>30980.19999999999</v>
      </c>
      <c r="N51" s="2576">
        <f t="shared" si="37"/>
        <v>2</v>
      </c>
      <c r="O51" s="2575">
        <f t="shared" si="12"/>
        <v>0.65400999999999998</v>
      </c>
      <c r="P51" s="2569">
        <f t="shared" si="13"/>
        <v>20261.360601999993</v>
      </c>
      <c r="Q51" s="2569">
        <f t="shared" si="14"/>
        <v>0</v>
      </c>
      <c r="R51" s="2569">
        <f t="shared" si="15"/>
        <v>20261.360601999993</v>
      </c>
      <c r="S51" s="2569">
        <f>-IFERROR(VLOOKUP(A51,'G-3.05,5.02 PF NE Labor'!$BR$33:$CD$40,13,FALSE),0)</f>
        <v>0</v>
      </c>
      <c r="T51" s="2569">
        <f t="shared" si="16"/>
        <v>20261.360601999993</v>
      </c>
      <c r="V51" s="2568">
        <f>VLOOKUP(A51,'G-3.05,5.02 PF NE Labor'!$BH$13:$BN$46,6,FALSE)</f>
        <v>0</v>
      </c>
      <c r="W51" s="2568">
        <f>VLOOKUP(A51,'G-3.05,5.02 PF NE Labor'!$BH$13:$BN$46,7,FALSE)</f>
        <v>1</v>
      </c>
      <c r="Y51" s="2574">
        <f t="shared" si="17"/>
        <v>20261.360601999993</v>
      </c>
      <c r="Z51" s="2574">
        <f t="shared" si="18"/>
        <v>809.64396965591982</v>
      </c>
      <c r="AA51" s="2574">
        <f t="shared" si="19"/>
        <v>842.84018286623655</v>
      </c>
      <c r="AB51" s="2574">
        <f t="shared" si="20"/>
        <v>734.55207617158248</v>
      </c>
      <c r="AC51" s="2574">
        <f t="shared" si="21"/>
        <v>905.93587322774931</v>
      </c>
      <c r="AE51" s="2574">
        <f t="shared" si="22"/>
        <v>0</v>
      </c>
      <c r="AF51" s="2574">
        <f t="shared" si="23"/>
        <v>0</v>
      </c>
      <c r="AG51" s="2574">
        <f t="shared" si="24"/>
        <v>0</v>
      </c>
      <c r="AH51" s="2574">
        <f t="shared" si="25"/>
        <v>0</v>
      </c>
      <c r="AI51" s="2574">
        <f t="shared" si="26"/>
        <v>0</v>
      </c>
      <c r="AK51" s="2574">
        <f t="shared" si="27"/>
        <v>21071.004571655914</v>
      </c>
      <c r="AL51" s="2574">
        <f t="shared" si="28"/>
        <v>21913.84475452215</v>
      </c>
      <c r="AM51" s="2574">
        <f t="shared" si="29"/>
        <v>21805.556647827496</v>
      </c>
      <c r="AN51" s="2574">
        <f t="shared" si="30"/>
        <v>22819.7806277499</v>
      </c>
      <c r="AZ51" s="182">
        <v>902000</v>
      </c>
      <c r="BA51" s="888">
        <v>216035.81000000008</v>
      </c>
      <c r="BB51" s="888">
        <v>47555.950000000012</v>
      </c>
      <c r="BC51" s="888">
        <v>185975.86000000002</v>
      </c>
      <c r="BD51" s="888">
        <v>449567.62000000011</v>
      </c>
      <c r="BE51" s="2603">
        <f t="shared" si="35"/>
        <v>0.41367716829784129</v>
      </c>
      <c r="BF51" s="1144">
        <f t="shared" si="36"/>
        <v>0.58632283170215871</v>
      </c>
      <c r="BK51" s="477" t="s">
        <v>2335</v>
      </c>
      <c r="BL51" s="2605">
        <f>M16</f>
        <v>3666652.1800000011</v>
      </c>
      <c r="BM51" s="2603"/>
      <c r="BN51" s="1144"/>
    </row>
    <row r="52" spans="1:66">
      <c r="A52" s="2573">
        <v>920000</v>
      </c>
      <c r="B52" s="2569">
        <v>7548848.6299999794</v>
      </c>
      <c r="C52" s="2569">
        <v>91061.959999999977</v>
      </c>
      <c r="D52" s="2569">
        <v>29627.610000000004</v>
      </c>
      <c r="E52" s="2569">
        <v>94628.080000000016</v>
      </c>
      <c r="F52" s="2623">
        <v>7764166.2799999798</v>
      </c>
      <c r="G52" s="2569">
        <v>411260.00999999989</v>
      </c>
      <c r="H52" s="2569"/>
      <c r="I52" s="2569"/>
      <c r="J52" s="2569"/>
      <c r="K52" s="2569">
        <v>24933.580000000005</v>
      </c>
      <c r="L52" s="2623">
        <v>436193.58999999991</v>
      </c>
      <c r="M52" s="2569">
        <v>8200359.8699999796</v>
      </c>
      <c r="N52" s="2576">
        <f t="shared" si="37"/>
        <v>2</v>
      </c>
      <c r="O52" s="2575">
        <f t="shared" si="12"/>
        <v>0.65400999999999998</v>
      </c>
      <c r="P52" s="2569">
        <f t="shared" si="13"/>
        <v>5265546.0841059862</v>
      </c>
      <c r="Q52" s="2569">
        <f t="shared" si="14"/>
        <v>119561.66000000002</v>
      </c>
      <c r="R52" s="2569">
        <f t="shared" si="15"/>
        <v>5385107.7441059863</v>
      </c>
      <c r="S52" s="2569">
        <f>-IFERROR(VLOOKUP(A52,'G-3.05,5.02 PF NE Labor'!$BR$33:$CD$40,13,FALSE),0)</f>
        <v>-454091.1241539999</v>
      </c>
      <c r="T52" s="2569">
        <f t="shared" si="16"/>
        <v>4931016.6199519867</v>
      </c>
      <c r="V52" s="2568">
        <f>VLOOKUP(A52,'G-3.05,5.02 PF NE Labor'!$BH$13:$BN$46,6,FALSE)</f>
        <v>9.7208643300520162E-2</v>
      </c>
      <c r="W52" s="2568">
        <f>VLOOKUP(A52,'G-3.05,5.02 PF NE Labor'!$BH$13:$BN$46,7,FALSE)</f>
        <v>0.90279135669947985</v>
      </c>
      <c r="Y52" s="2574">
        <f t="shared" si="17"/>
        <v>4451679.1842341376</v>
      </c>
      <c r="Z52" s="2574">
        <f t="shared" si="18"/>
        <v>177889.10020199616</v>
      </c>
      <c r="AA52" s="2574">
        <f t="shared" si="19"/>
        <v>185182.73137744537</v>
      </c>
      <c r="AB52" s="2574">
        <f t="shared" si="20"/>
        <v>161390.45405007116</v>
      </c>
      <c r="AC52" s="2574">
        <f t="shared" si="21"/>
        <v>199045.65879454603</v>
      </c>
      <c r="AE52" s="2574">
        <f t="shared" si="22"/>
        <v>479337.43571784929</v>
      </c>
      <c r="AF52" s="2574">
        <f t="shared" si="23"/>
        <v>12314.178723591549</v>
      </c>
      <c r="AG52" s="2574">
        <f t="shared" si="24"/>
        <v>19666.064577657635</v>
      </c>
      <c r="AH52" s="2574">
        <f t="shared" si="25"/>
        <v>15625.868270823648</v>
      </c>
      <c r="AI52" s="2574">
        <f t="shared" si="26"/>
        <v>21077.741891596885</v>
      </c>
      <c r="AK52" s="2574">
        <f t="shared" si="27"/>
        <v>5121219.8988775741</v>
      </c>
      <c r="AL52" s="2574">
        <f t="shared" si="28"/>
        <v>5326068.694832677</v>
      </c>
      <c r="AM52" s="2574">
        <f t="shared" si="29"/>
        <v>5298236.2211984694</v>
      </c>
      <c r="AN52" s="2574">
        <f t="shared" si="30"/>
        <v>5546192.09551882</v>
      </c>
      <c r="AR52" s="2594" t="str">
        <f>+AR25</f>
        <v>2025 Adjustment</v>
      </c>
      <c r="AS52" s="2593"/>
      <c r="AT52" s="2592"/>
      <c r="AU52" s="2583"/>
      <c r="AZ52" s="182">
        <v>561710</v>
      </c>
      <c r="BA52" s="888">
        <v>4566.5000000000009</v>
      </c>
      <c r="BB52" s="888"/>
      <c r="BC52" s="888"/>
      <c r="BD52" s="888">
        <v>4566.5000000000009</v>
      </c>
      <c r="BE52" s="2603">
        <f t="shared" si="35"/>
        <v>0</v>
      </c>
      <c r="BF52" s="1144">
        <f t="shared" si="36"/>
        <v>1</v>
      </c>
      <c r="BL52" s="2604">
        <f>SUM(BL50:BL51)+BL46</f>
        <v>24961940.190000009</v>
      </c>
      <c r="BM52" s="2603"/>
      <c r="BN52" s="1144"/>
    </row>
    <row r="53" spans="1:66">
      <c r="A53" s="2573">
        <v>921000</v>
      </c>
      <c r="B53" s="2569">
        <v>52288.76000000113</v>
      </c>
      <c r="C53" s="2569">
        <v>3843.3999999999996</v>
      </c>
      <c r="D53" s="2569"/>
      <c r="E53" s="2569"/>
      <c r="F53" s="2623">
        <v>56132.160000001131</v>
      </c>
      <c r="G53" s="2569"/>
      <c r="H53" s="2569"/>
      <c r="I53" s="2569"/>
      <c r="J53" s="2569"/>
      <c r="K53" s="2569"/>
      <c r="L53" s="2623"/>
      <c r="M53" s="2569">
        <v>56132.160000001131</v>
      </c>
      <c r="N53" s="2576">
        <f t="shared" ref="N53:N60" si="38">$B$71</f>
        <v>4</v>
      </c>
      <c r="O53" s="2575">
        <f t="shared" si="12"/>
        <v>0.71745999999999999</v>
      </c>
      <c r="P53" s="2569">
        <f t="shared" si="13"/>
        <v>40272.579513600809</v>
      </c>
      <c r="Q53" s="2569">
        <f t="shared" si="14"/>
        <v>0</v>
      </c>
      <c r="R53" s="2569">
        <f t="shared" si="15"/>
        <v>40272.579513600809</v>
      </c>
      <c r="S53" s="2569">
        <f>-IFERROR(VLOOKUP(A53,'G-3.05,5.02 PF NE Labor'!$BR$33:$CD$40,13,FALSE),0)</f>
        <v>-355.53012840000019</v>
      </c>
      <c r="T53" s="2569">
        <f t="shared" si="16"/>
        <v>39917.049385200808</v>
      </c>
      <c r="V53" s="2568">
        <f>VLOOKUP(A53,'G-3.05,5.02 PF NE Labor'!$BH$13:$BN$46,6,FALSE)</f>
        <v>0.31826419025669556</v>
      </c>
      <c r="W53" s="2568">
        <f>VLOOKUP(A53,'G-3.05,5.02 PF NE Labor'!$BH$13:$BN$46,7,FALSE)</f>
        <v>0.68173580974330439</v>
      </c>
      <c r="Y53" s="2574">
        <f t="shared" si="17"/>
        <v>27212.881985183343</v>
      </c>
      <c r="Z53" s="2574">
        <f t="shared" si="18"/>
        <v>1087.4267641279264</v>
      </c>
      <c r="AA53" s="2574">
        <f t="shared" si="19"/>
        <v>1132.0123499724507</v>
      </c>
      <c r="AB53" s="2574">
        <f t="shared" si="20"/>
        <v>986.57140324799036</v>
      </c>
      <c r="AC53" s="2574">
        <f t="shared" si="21"/>
        <v>1216.7557001012685</v>
      </c>
      <c r="AE53" s="2574">
        <f t="shared" si="22"/>
        <v>12704.167400017463</v>
      </c>
      <c r="AF53" s="2574">
        <f t="shared" si="23"/>
        <v>326.37006050644862</v>
      </c>
      <c r="AG53" s="2574">
        <f t="shared" si="24"/>
        <v>521.22149842095644</v>
      </c>
      <c r="AH53" s="2574">
        <f t="shared" si="25"/>
        <v>414.14175378535515</v>
      </c>
      <c r="AI53" s="2574">
        <f t="shared" si="26"/>
        <v>558.63602850920893</v>
      </c>
      <c r="AK53" s="2574">
        <f t="shared" si="27"/>
        <v>41330.846209835181</v>
      </c>
      <c r="AL53" s="2574">
        <f t="shared" si="28"/>
        <v>42984.080058228588</v>
      </c>
      <c r="AM53" s="2574">
        <f t="shared" si="29"/>
        <v>42731.559366868525</v>
      </c>
      <c r="AN53" s="2574">
        <f t="shared" si="30"/>
        <v>44759.471786839065</v>
      </c>
      <c r="AR53" s="2582" t="s">
        <v>2300</v>
      </c>
      <c r="AS53" s="2592"/>
      <c r="AT53" s="2592"/>
      <c r="AU53" s="2591">
        <v>0.04</v>
      </c>
      <c r="AZ53" s="182">
        <v>926100</v>
      </c>
      <c r="BA53" s="888">
        <v>188450.25000000009</v>
      </c>
      <c r="BB53" s="888">
        <v>22627.250000000011</v>
      </c>
      <c r="BC53" s="888">
        <v>138250.40999999995</v>
      </c>
      <c r="BD53" s="888">
        <v>349327.91000000003</v>
      </c>
      <c r="BE53" s="2603">
        <f t="shared" si="35"/>
        <v>0.39576113457410239</v>
      </c>
      <c r="BF53" s="1144">
        <f t="shared" si="36"/>
        <v>0.60423886542589766</v>
      </c>
      <c r="BL53" s="2604"/>
      <c r="BM53" s="2603"/>
      <c r="BN53" s="1144"/>
    </row>
    <row r="54" spans="1:66">
      <c r="A54" s="2573">
        <v>923000</v>
      </c>
      <c r="B54" s="2569">
        <v>1606.3099999999997</v>
      </c>
      <c r="C54" s="2569"/>
      <c r="D54" s="2569"/>
      <c r="E54" s="2569"/>
      <c r="F54" s="2623">
        <v>1606.3099999999997</v>
      </c>
      <c r="G54" s="2569"/>
      <c r="H54" s="2569"/>
      <c r="I54" s="2569"/>
      <c r="J54" s="2569"/>
      <c r="K54" s="2569"/>
      <c r="L54" s="2623"/>
      <c r="M54" s="2569">
        <v>1606.3099999999997</v>
      </c>
      <c r="N54" s="2576">
        <f t="shared" si="38"/>
        <v>4</v>
      </c>
      <c r="O54" s="2575">
        <f t="shared" si="12"/>
        <v>0.71745999999999999</v>
      </c>
      <c r="P54" s="2569">
        <f t="shared" si="13"/>
        <v>1152.4631725999998</v>
      </c>
      <c r="Q54" s="2569">
        <f t="shared" si="14"/>
        <v>0</v>
      </c>
      <c r="R54" s="2569">
        <f t="shared" si="15"/>
        <v>1152.4631725999998</v>
      </c>
      <c r="S54" s="2569">
        <f>-IFERROR(VLOOKUP(A54,'G-3.05,5.02 PF NE Labor'!$BR$33:$CD$40,13,FALSE),0)</f>
        <v>0</v>
      </c>
      <c r="T54" s="2569">
        <f t="shared" si="16"/>
        <v>1152.4631725999998</v>
      </c>
      <c r="V54" s="2568">
        <f>VLOOKUP(A54,'G-3.05,5.02 PF NE Labor'!$BH$13:$BN$46,6,FALSE)</f>
        <v>3.5820451843043992E-2</v>
      </c>
      <c r="W54" s="2568">
        <f>VLOOKUP(A54,'G-3.05,5.02 PF NE Labor'!$BH$13:$BN$46,7,FALSE)</f>
        <v>0.96417954815695606</v>
      </c>
      <c r="Y54" s="2574">
        <f t="shared" si="17"/>
        <v>1111.1814210249997</v>
      </c>
      <c r="Z54" s="2574">
        <f t="shared" si="18"/>
        <v>44.402809584158994</v>
      </c>
      <c r="AA54" s="2574">
        <f t="shared" si="19"/>
        <v>46.223369224366351</v>
      </c>
      <c r="AB54" s="2574">
        <f t="shared" si="20"/>
        <v>40.284590746419759</v>
      </c>
      <c r="AC54" s="2574">
        <f t="shared" si="21"/>
        <v>49.683687623197791</v>
      </c>
      <c r="AE54" s="2574">
        <f t="shared" si="22"/>
        <v>41.281751574999987</v>
      </c>
      <c r="AF54" s="2574">
        <f t="shared" si="23"/>
        <v>1.0605281979617498</v>
      </c>
      <c r="AG54" s="2574">
        <f t="shared" si="24"/>
        <v>1.6936911909184695</v>
      </c>
      <c r="AH54" s="2574">
        <f t="shared" si="25"/>
        <v>1.3457392726561792</v>
      </c>
      <c r="AI54" s="2574">
        <f t="shared" si="26"/>
        <v>1.8152684094614557</v>
      </c>
      <c r="AK54" s="2574">
        <f t="shared" si="27"/>
        <v>1197.9265103821206</v>
      </c>
      <c r="AL54" s="2574">
        <f t="shared" si="28"/>
        <v>1245.8435707974054</v>
      </c>
      <c r="AM54" s="2574">
        <f t="shared" si="29"/>
        <v>1239.5568404011965</v>
      </c>
      <c r="AN54" s="2574">
        <f t="shared" si="30"/>
        <v>1297.3425268300646</v>
      </c>
      <c r="AR54" s="2582" t="s">
        <v>2299</v>
      </c>
      <c r="AU54" s="2590"/>
      <c r="AZ54" s="182">
        <v>545000</v>
      </c>
      <c r="BA54" s="888">
        <v>55606.320000000022</v>
      </c>
      <c r="BB54" s="888">
        <v>1364.84</v>
      </c>
      <c r="BC54" s="888">
        <v>306191.71000000002</v>
      </c>
      <c r="BD54" s="888">
        <v>363162.87000000005</v>
      </c>
      <c r="BE54" s="2603">
        <f t="shared" si="35"/>
        <v>0.84312504194054849</v>
      </c>
      <c r="BF54" s="1144">
        <f t="shared" si="36"/>
        <v>0.15687495805945151</v>
      </c>
      <c r="BK54" s="890" t="s">
        <v>2336</v>
      </c>
      <c r="BL54" s="2606">
        <f>M17</f>
        <v>24961940.190000087</v>
      </c>
      <c r="BM54" s="2603"/>
      <c r="BN54" s="1144"/>
    </row>
    <row r="55" spans="1:66">
      <c r="A55" s="2573">
        <v>925100</v>
      </c>
      <c r="B55" s="2569">
        <v>25.830000000000002</v>
      </c>
      <c r="C55" s="2569"/>
      <c r="D55" s="2569"/>
      <c r="E55" s="2569"/>
      <c r="F55" s="2623">
        <v>25.830000000000002</v>
      </c>
      <c r="G55" s="2569"/>
      <c r="H55" s="2569"/>
      <c r="I55" s="2569"/>
      <c r="J55" s="2569"/>
      <c r="K55" s="2569"/>
      <c r="L55" s="2623"/>
      <c r="M55" s="2569">
        <v>25.830000000000002</v>
      </c>
      <c r="N55" s="2576">
        <f t="shared" si="38"/>
        <v>4</v>
      </c>
      <c r="O55" s="2575">
        <f t="shared" si="12"/>
        <v>0.71745999999999999</v>
      </c>
      <c r="P55" s="2569">
        <f t="shared" si="13"/>
        <v>18.5319918</v>
      </c>
      <c r="Q55" s="2569">
        <f t="shared" si="14"/>
        <v>0</v>
      </c>
      <c r="R55" s="2569">
        <f t="shared" si="15"/>
        <v>18.5319918</v>
      </c>
      <c r="S55" s="2569">
        <f>-IFERROR(VLOOKUP(A55,'G-3.05,5.02 PF NE Labor'!$BR$33:$CD$40,13,FALSE),0)</f>
        <v>0</v>
      </c>
      <c r="T55" s="2569">
        <f t="shared" si="16"/>
        <v>18.5319918</v>
      </c>
      <c r="V55" s="2568">
        <f>VLOOKUP(A55,'G-3.05,5.02 PF NE Labor'!$BH$13:$BN$46,6,FALSE)</f>
        <v>0</v>
      </c>
      <c r="W55" s="2568">
        <f>VLOOKUP(A55,'G-3.05,5.02 PF NE Labor'!$BH$13:$BN$46,7,FALSE)</f>
        <v>1</v>
      </c>
      <c r="Y55" s="2574">
        <f t="shared" si="17"/>
        <v>18.5319918</v>
      </c>
      <c r="Z55" s="2574">
        <f t="shared" si="18"/>
        <v>0.74053839232800001</v>
      </c>
      <c r="AA55" s="2574">
        <f t="shared" si="19"/>
        <v>0.77090120769311998</v>
      </c>
      <c r="AB55" s="2574">
        <f t="shared" si="20"/>
        <v>0.67185582052870796</v>
      </c>
      <c r="AC55" s="2574">
        <f t="shared" si="21"/>
        <v>0.8286114888219932</v>
      </c>
      <c r="AE55" s="2574">
        <f t="shared" si="22"/>
        <v>0</v>
      </c>
      <c r="AF55" s="2574">
        <f t="shared" si="23"/>
        <v>0</v>
      </c>
      <c r="AG55" s="2574">
        <f t="shared" si="24"/>
        <v>0</v>
      </c>
      <c r="AH55" s="2574">
        <f t="shared" si="25"/>
        <v>0</v>
      </c>
      <c r="AI55" s="2574">
        <f t="shared" si="26"/>
        <v>0</v>
      </c>
      <c r="AK55" s="2574">
        <f t="shared" si="27"/>
        <v>19.272530192327999</v>
      </c>
      <c r="AL55" s="2574">
        <f t="shared" si="28"/>
        <v>20.04343140002112</v>
      </c>
      <c r="AM55" s="2574">
        <f t="shared" si="29"/>
        <v>19.944386012856707</v>
      </c>
      <c r="AN55" s="2574">
        <f t="shared" si="30"/>
        <v>20.872042888843115</v>
      </c>
      <c r="AT55" s="2589" t="str">
        <f>"306/365="</f>
        <v>306/365=</v>
      </c>
      <c r="AU55" s="2588">
        <f>ROUND(306/365,3)</f>
        <v>0.83799999999999997</v>
      </c>
      <c r="AV55" s="2582" t="s">
        <v>2298</v>
      </c>
      <c r="AZ55" s="182">
        <v>561510</v>
      </c>
      <c r="BA55" s="888">
        <v>435898.98999999993</v>
      </c>
      <c r="BB55" s="888"/>
      <c r="BC55" s="888"/>
      <c r="BD55" s="888">
        <v>435898.98999999993</v>
      </c>
      <c r="BE55" s="2603">
        <f t="shared" si="35"/>
        <v>0</v>
      </c>
      <c r="BF55" s="1144">
        <f t="shared" si="36"/>
        <v>1</v>
      </c>
      <c r="BM55" s="2603"/>
      <c r="BN55" s="1144"/>
    </row>
    <row r="56" spans="1:66" ht="13.5" thickBot="1">
      <c r="A56" s="2573">
        <v>926100</v>
      </c>
      <c r="B56" s="2569">
        <v>90648.010000000097</v>
      </c>
      <c r="C56" s="2569">
        <v>361.0800000000001</v>
      </c>
      <c r="D56" s="2569"/>
      <c r="E56" s="2569">
        <v>613.26</v>
      </c>
      <c r="F56" s="2623">
        <v>91622.350000000093</v>
      </c>
      <c r="G56" s="2569">
        <v>2586.2800000000002</v>
      </c>
      <c r="H56" s="2569"/>
      <c r="I56" s="2569"/>
      <c r="J56" s="2569"/>
      <c r="K56" s="2569"/>
      <c r="L56" s="2623">
        <v>2586.2800000000002</v>
      </c>
      <c r="M56" s="2569">
        <v>94208.630000000092</v>
      </c>
      <c r="N56" s="2576">
        <f t="shared" si="38"/>
        <v>4</v>
      </c>
      <c r="O56" s="2575">
        <f t="shared" si="12"/>
        <v>0.71745999999999999</v>
      </c>
      <c r="P56" s="2569">
        <f t="shared" si="13"/>
        <v>67150.934160200064</v>
      </c>
      <c r="Q56" s="2569">
        <f t="shared" si="14"/>
        <v>613.26</v>
      </c>
      <c r="R56" s="2569">
        <f t="shared" si="15"/>
        <v>67764.194160200059</v>
      </c>
      <c r="S56" s="2569">
        <f>-IFERROR(VLOOKUP(A56,'G-3.05,5.02 PF NE Labor'!$BR$33:$CD$40,13,FALSE),0)</f>
        <v>-234.86053100000001</v>
      </c>
      <c r="T56" s="2569">
        <f t="shared" si="16"/>
        <v>67529.33362920006</v>
      </c>
      <c r="V56" s="2568">
        <f>VLOOKUP(A56,'G-3.05,5.02 PF NE Labor'!$BH$13:$BN$46,6,FALSE)</f>
        <v>0.31483859423844068</v>
      </c>
      <c r="W56" s="2568">
        <f>VLOOKUP(A56,'G-3.05,5.02 PF NE Labor'!$BH$13:$BN$46,7,FALSE)</f>
        <v>0.68516140576155937</v>
      </c>
      <c r="Y56" s="2574">
        <f t="shared" si="17"/>
        <v>46268.493159524056</v>
      </c>
      <c r="Z56" s="2574">
        <f t="shared" si="18"/>
        <v>1848.8889866545815</v>
      </c>
      <c r="AA56" s="2574">
        <f t="shared" si="19"/>
        <v>1924.6952858471454</v>
      </c>
      <c r="AB56" s="2574">
        <f t="shared" si="20"/>
        <v>1677.4104355215043</v>
      </c>
      <c r="AC56" s="2574">
        <f t="shared" si="21"/>
        <v>2068.7795147018915</v>
      </c>
      <c r="AE56" s="2574">
        <f t="shared" si="22"/>
        <v>21260.840469676004</v>
      </c>
      <c r="AF56" s="2574">
        <f t="shared" si="23"/>
        <v>546.19099166597653</v>
      </c>
      <c r="AG56" s="2574">
        <f t="shared" si="24"/>
        <v>872.28125845367924</v>
      </c>
      <c r="AH56" s="2574">
        <f t="shared" si="25"/>
        <v>693.07979671695534</v>
      </c>
      <c r="AI56" s="2574">
        <f t="shared" si="26"/>
        <v>934.89570066050464</v>
      </c>
      <c r="AK56" s="2574">
        <f t="shared" si="27"/>
        <v>69924.413607520619</v>
      </c>
      <c r="AL56" s="2574">
        <f t="shared" si="28"/>
        <v>72721.390151821441</v>
      </c>
      <c r="AM56" s="2574">
        <f t="shared" si="29"/>
        <v>72294.903839759078</v>
      </c>
      <c r="AN56" s="2574">
        <f t="shared" si="30"/>
        <v>75725.065367183837</v>
      </c>
      <c r="AR56" s="2587" t="s">
        <v>2297</v>
      </c>
      <c r="AS56" s="2585"/>
      <c r="AT56" s="2585"/>
      <c r="AU56" s="2586">
        <f>ROUND(AU55*AU53,6)</f>
        <v>3.3520000000000001E-2</v>
      </c>
      <c r="AV56" s="2585" t="s">
        <v>2296</v>
      </c>
      <c r="AZ56" s="182">
        <v>596000</v>
      </c>
      <c r="BA56" s="888"/>
      <c r="BB56" s="888"/>
      <c r="BC56" s="888">
        <v>59957.85999999995</v>
      </c>
      <c r="BD56" s="888">
        <v>59957.85999999995</v>
      </c>
      <c r="BE56" s="2603">
        <f t="shared" si="35"/>
        <v>1</v>
      </c>
      <c r="BF56" s="1144">
        <f t="shared" si="36"/>
        <v>0</v>
      </c>
      <c r="BL56" s="1082"/>
      <c r="BM56" s="2603"/>
      <c r="BN56" s="1144"/>
    </row>
    <row r="57" spans="1:66" ht="13.5" thickTop="1">
      <c r="A57" s="2573">
        <v>928000</v>
      </c>
      <c r="B57" s="2569">
        <v>227751.91</v>
      </c>
      <c r="C57" s="2569">
        <v>927.85</v>
      </c>
      <c r="D57" s="2569">
        <v>76554.859999999957</v>
      </c>
      <c r="E57" s="2569">
        <v>43433.640000000007</v>
      </c>
      <c r="F57" s="2623">
        <v>348668.26</v>
      </c>
      <c r="G57" s="2569">
        <v>1393.18</v>
      </c>
      <c r="H57" s="2569">
        <v>3268.08</v>
      </c>
      <c r="I57" s="2569">
        <v>6000.7999999999993</v>
      </c>
      <c r="J57" s="2569"/>
      <c r="K57" s="2569">
        <v>6218.699999999998</v>
      </c>
      <c r="L57" s="2623">
        <v>16880.759999999998</v>
      </c>
      <c r="M57" s="2569">
        <v>365549.02</v>
      </c>
      <c r="N57" s="2576">
        <f t="shared" si="38"/>
        <v>4</v>
      </c>
      <c r="O57" s="2575">
        <f t="shared" si="12"/>
        <v>0.71745999999999999</v>
      </c>
      <c r="P57" s="2569">
        <f t="shared" si="13"/>
        <v>167412.84820919996</v>
      </c>
      <c r="Q57" s="2569">
        <f t="shared" si="14"/>
        <v>49652.340000000004</v>
      </c>
      <c r="R57" s="2569">
        <f t="shared" si="15"/>
        <v>217065.18820919996</v>
      </c>
      <c r="S57" s="2569">
        <f>-IFERROR(VLOOKUP(A57,'G-3.05,5.02 PF NE Labor'!$BR$33:$CD$40,13,FALSE),0)</f>
        <v>-10586.98</v>
      </c>
      <c r="T57" s="2569">
        <f t="shared" si="16"/>
        <v>206478.20820919995</v>
      </c>
      <c r="V57" s="2568">
        <f>VLOOKUP(A57,'G-3.05,5.02 PF NE Labor'!$BH$13:$BN$46,6,FALSE)</f>
        <v>0</v>
      </c>
      <c r="W57" s="2568">
        <f>VLOOKUP(A57,'G-3.05,5.02 PF NE Labor'!$BH$13:$BN$46,7,FALSE)</f>
        <v>1</v>
      </c>
      <c r="Y57" s="2574">
        <f t="shared" si="17"/>
        <v>206478.20820919995</v>
      </c>
      <c r="Z57" s="2574">
        <f t="shared" si="18"/>
        <v>8250.8692000396295</v>
      </c>
      <c r="AA57" s="2574">
        <f t="shared" si="19"/>
        <v>8589.1630963695825</v>
      </c>
      <c r="AB57" s="2574">
        <f t="shared" si="20"/>
        <v>7485.6274217480195</v>
      </c>
      <c r="AC57" s="2574">
        <f t="shared" si="21"/>
        <v>9232.1547170942868</v>
      </c>
      <c r="AE57" s="2574">
        <f t="shared" si="22"/>
        <v>0</v>
      </c>
      <c r="AF57" s="2574">
        <f t="shared" si="23"/>
        <v>0</v>
      </c>
      <c r="AG57" s="2574">
        <f t="shared" si="24"/>
        <v>0</v>
      </c>
      <c r="AH57" s="2574">
        <f t="shared" si="25"/>
        <v>0</v>
      </c>
      <c r="AI57" s="2574">
        <f t="shared" si="26"/>
        <v>0</v>
      </c>
      <c r="AK57" s="2574">
        <f t="shared" si="27"/>
        <v>214729.07740923957</v>
      </c>
      <c r="AL57" s="2574">
        <f t="shared" si="28"/>
        <v>223318.24050560917</v>
      </c>
      <c r="AM57" s="2574">
        <f t="shared" si="29"/>
        <v>222214.70483098758</v>
      </c>
      <c r="AN57" s="2574">
        <f t="shared" si="30"/>
        <v>232550.39522270346</v>
      </c>
      <c r="AZ57" s="182">
        <v>563000</v>
      </c>
      <c r="BA57" s="888">
        <v>-786.31999999999994</v>
      </c>
      <c r="BB57" s="888">
        <v>490</v>
      </c>
      <c r="BC57" s="888">
        <v>55660.409999999989</v>
      </c>
      <c r="BD57" s="888">
        <v>55364.089999999989</v>
      </c>
      <c r="BE57" s="2603">
        <f t="shared" si="35"/>
        <v>1.0053522057348003</v>
      </c>
      <c r="BF57" s="1144">
        <f t="shared" si="36"/>
        <v>-5.3522057348003305E-3</v>
      </c>
      <c r="BM57" s="2603"/>
      <c r="BN57" s="1144"/>
    </row>
    <row r="58" spans="1:66">
      <c r="A58" s="2573">
        <v>930200</v>
      </c>
      <c r="B58" s="2569">
        <v>64922.69999999999</v>
      </c>
      <c r="C58" s="2569">
        <v>14362.33</v>
      </c>
      <c r="D58" s="2569"/>
      <c r="E58" s="2569">
        <v>1387.2699999999998</v>
      </c>
      <c r="F58" s="2623">
        <v>80672.299999999988</v>
      </c>
      <c r="G58" s="2569">
        <v>103889.00000000009</v>
      </c>
      <c r="H58" s="2569"/>
      <c r="I58" s="2569"/>
      <c r="J58" s="2569"/>
      <c r="K58" s="2569"/>
      <c r="L58" s="2623">
        <v>103889.00000000009</v>
      </c>
      <c r="M58" s="2569">
        <v>184561.30000000008</v>
      </c>
      <c r="N58" s="2576">
        <f t="shared" si="38"/>
        <v>4</v>
      </c>
      <c r="O58" s="2575">
        <f t="shared" si="12"/>
        <v>0.71745999999999999</v>
      </c>
      <c r="P58" s="2569">
        <f t="shared" si="13"/>
        <v>131420.03956380003</v>
      </c>
      <c r="Q58" s="2569">
        <f t="shared" si="14"/>
        <v>1387.2699999999998</v>
      </c>
      <c r="R58" s="2569">
        <f t="shared" si="15"/>
        <v>132807.30956380002</v>
      </c>
      <c r="S58" s="2569">
        <f>-IFERROR(VLOOKUP(A58,'G-3.05,5.02 PF NE Labor'!$BR$33:$CD$40,13,FALSE),0)</f>
        <v>-6038.6168835999997</v>
      </c>
      <c r="T58" s="2569">
        <f t="shared" si="16"/>
        <v>126768.69268020002</v>
      </c>
      <c r="V58" s="2568">
        <f>VLOOKUP(A58,'G-3.05,5.02 PF NE Labor'!$BH$13:$BN$46,6,FALSE)</f>
        <v>0.2622840541284861</v>
      </c>
      <c r="W58" s="2568">
        <f>VLOOKUP(A58,'G-3.05,5.02 PF NE Labor'!$BH$13:$BN$46,7,FALSE)</f>
        <v>0.7377159458715139</v>
      </c>
      <c r="Y58" s="2574">
        <f t="shared" si="17"/>
        <v>93519.286027469017</v>
      </c>
      <c r="Z58" s="2574">
        <f t="shared" si="18"/>
        <v>3737.0306696576622</v>
      </c>
      <c r="AA58" s="2574">
        <f t="shared" si="19"/>
        <v>3890.2526678850672</v>
      </c>
      <c r="AB58" s="2574">
        <f t="shared" si="20"/>
        <v>3390.4330051151937</v>
      </c>
      <c r="AC58" s="2574">
        <f t="shared" si="21"/>
        <v>4181.4800948050779</v>
      </c>
      <c r="AE58" s="2574">
        <f t="shared" si="22"/>
        <v>33249.406652731006</v>
      </c>
      <c r="AF58" s="2574">
        <f t="shared" si="23"/>
        <v>854.17725690865961</v>
      </c>
      <c r="AG58" s="2574">
        <f t="shared" si="24"/>
        <v>1364.1433563855867</v>
      </c>
      <c r="AH58" s="2574">
        <f t="shared" si="25"/>
        <v>1083.8937452497319</v>
      </c>
      <c r="AI58" s="2574">
        <f t="shared" si="26"/>
        <v>1462.0648404509996</v>
      </c>
      <c r="AK58" s="2574">
        <f t="shared" si="27"/>
        <v>131359.90060676634</v>
      </c>
      <c r="AL58" s="2574">
        <f t="shared" si="28"/>
        <v>136614.296631037</v>
      </c>
      <c r="AM58" s="2574">
        <f t="shared" si="29"/>
        <v>135834.22735713125</v>
      </c>
      <c r="AN58" s="2574">
        <f t="shared" si="30"/>
        <v>142257.84156629306</v>
      </c>
      <c r="AR58" s="2594" t="str">
        <f>+AR31</f>
        <v>2026 Adjustment</v>
      </c>
      <c r="AS58" s="2593"/>
      <c r="AT58" s="2592"/>
      <c r="AZ58" s="182">
        <v>571000</v>
      </c>
      <c r="BA58" s="888">
        <v>3416.9</v>
      </c>
      <c r="BB58" s="888"/>
      <c r="BC58" s="888">
        <v>17493.919999999995</v>
      </c>
      <c r="BD58" s="888">
        <v>20910.819999999996</v>
      </c>
      <c r="BE58" s="2603">
        <f t="shared" si="35"/>
        <v>0.83659655623261053</v>
      </c>
      <c r="BF58" s="1144">
        <f t="shared" si="36"/>
        <v>0.16340344376738947</v>
      </c>
      <c r="BM58" s="2603"/>
      <c r="BN58" s="1144"/>
    </row>
    <row r="59" spans="1:66">
      <c r="A59" s="2573">
        <v>931000</v>
      </c>
      <c r="B59" s="2569">
        <v>9.91</v>
      </c>
      <c r="C59" s="2569">
        <v>226.8</v>
      </c>
      <c r="D59" s="2569"/>
      <c r="E59" s="2569"/>
      <c r="F59" s="2623">
        <v>236.71</v>
      </c>
      <c r="G59" s="2569"/>
      <c r="H59" s="2569"/>
      <c r="I59" s="2569"/>
      <c r="J59" s="2569"/>
      <c r="K59" s="2569"/>
      <c r="L59" s="2623"/>
      <c r="M59" s="2569">
        <v>236.71</v>
      </c>
      <c r="N59" s="2576">
        <f t="shared" si="38"/>
        <v>4</v>
      </c>
      <c r="O59" s="2575">
        <f t="shared" si="12"/>
        <v>0.71745999999999999</v>
      </c>
      <c r="P59" s="2569">
        <f t="shared" si="13"/>
        <v>169.8299566</v>
      </c>
      <c r="Q59" s="2569">
        <f t="shared" si="14"/>
        <v>0</v>
      </c>
      <c r="R59" s="2569">
        <f t="shared" si="15"/>
        <v>169.8299566</v>
      </c>
      <c r="S59" s="2569">
        <f>-IFERROR(VLOOKUP(A59,'G-3.05,5.02 PF NE Labor'!$BR$33:$CD$40,13,FALSE),0)</f>
        <v>0</v>
      </c>
      <c r="T59" s="2569">
        <f t="shared" si="16"/>
        <v>169.8299566</v>
      </c>
      <c r="V59" s="2568">
        <f>VLOOKUP(A59,'G-3.05,5.02 PF NE Labor'!$BH$13:$BN$46,6,FALSE)</f>
        <v>0</v>
      </c>
      <c r="W59" s="2568">
        <f>VLOOKUP(A59,'G-3.05,5.02 PF NE Labor'!$BH$13:$BN$46,7,FALSE)</f>
        <v>1</v>
      </c>
      <c r="Y59" s="2574">
        <f t="shared" si="17"/>
        <v>169.8299566</v>
      </c>
      <c r="Z59" s="2574">
        <f t="shared" si="18"/>
        <v>6.7864050657360009</v>
      </c>
      <c r="AA59" s="2574">
        <f t="shared" si="19"/>
        <v>7.0646544666294409</v>
      </c>
      <c r="AB59" s="2574">
        <f t="shared" si="20"/>
        <v>6.1569876607568901</v>
      </c>
      <c r="AC59" s="2574">
        <f t="shared" si="21"/>
        <v>7.5935201517248938</v>
      </c>
      <c r="AE59" s="2574">
        <f t="shared" si="22"/>
        <v>0</v>
      </c>
      <c r="AF59" s="2574">
        <f t="shared" si="23"/>
        <v>0</v>
      </c>
      <c r="AG59" s="2574">
        <f t="shared" si="24"/>
        <v>0</v>
      </c>
      <c r="AH59" s="2574">
        <f t="shared" si="25"/>
        <v>0</v>
      </c>
      <c r="AI59" s="2574">
        <f t="shared" si="26"/>
        <v>0</v>
      </c>
      <c r="AK59" s="2574">
        <f t="shared" si="27"/>
        <v>176.61636166573601</v>
      </c>
      <c r="AL59" s="2574">
        <f t="shared" si="28"/>
        <v>183.68101613236544</v>
      </c>
      <c r="AM59" s="2574">
        <f t="shared" si="29"/>
        <v>182.77334932649291</v>
      </c>
      <c r="AN59" s="2574">
        <f t="shared" si="30"/>
        <v>191.27453628409035</v>
      </c>
      <c r="AR59" s="2582" t="s">
        <v>2295</v>
      </c>
      <c r="AS59" s="2592"/>
      <c r="AT59" s="2592"/>
      <c r="AU59" s="2591">
        <v>0.04</v>
      </c>
      <c r="AZ59" s="182">
        <v>586000</v>
      </c>
      <c r="BA59" s="888">
        <v>290701.24999999994</v>
      </c>
      <c r="BB59" s="888"/>
      <c r="BC59" s="888">
        <v>1082361.2600000014</v>
      </c>
      <c r="BD59" s="888">
        <v>1373062.5100000014</v>
      </c>
      <c r="BE59" s="2603">
        <f t="shared" si="35"/>
        <v>0.7882825815410256</v>
      </c>
      <c r="BF59" s="1144">
        <f t="shared" si="36"/>
        <v>0.2117174184589744</v>
      </c>
      <c r="BM59" s="2603"/>
      <c r="BN59" s="1144"/>
    </row>
    <row r="60" spans="1:66">
      <c r="A60" s="2573">
        <v>935000</v>
      </c>
      <c r="B60" s="2569">
        <v>280327.67000000016</v>
      </c>
      <c r="C60" s="2569">
        <v>4838.0399999999981</v>
      </c>
      <c r="D60" s="2569">
        <v>19224.439999999995</v>
      </c>
      <c r="E60" s="2569">
        <v>6877.3699999999972</v>
      </c>
      <c r="F60" s="2623">
        <v>311267.52000000014</v>
      </c>
      <c r="G60" s="2569"/>
      <c r="H60" s="2569"/>
      <c r="I60" s="2569"/>
      <c r="J60" s="2569"/>
      <c r="K60" s="2569">
        <v>26514.33</v>
      </c>
      <c r="L60" s="2623">
        <v>26514.33</v>
      </c>
      <c r="M60" s="2569">
        <v>337781.85000000015</v>
      </c>
      <c r="N60" s="2576">
        <f t="shared" si="38"/>
        <v>4</v>
      </c>
      <c r="O60" s="2575">
        <f t="shared" si="12"/>
        <v>0.71745999999999999</v>
      </c>
      <c r="P60" s="2569">
        <f t="shared" si="13"/>
        <v>204594.9902966001</v>
      </c>
      <c r="Q60" s="2569">
        <f t="shared" si="14"/>
        <v>33391.699999999997</v>
      </c>
      <c r="R60" s="2569">
        <f t="shared" si="15"/>
        <v>237986.69029660011</v>
      </c>
      <c r="S60" s="2569">
        <f>-IFERROR(VLOOKUP(A60,'G-3.05,5.02 PF NE Labor'!$BR$33:$CD$40,13,FALSE),0)</f>
        <v>0</v>
      </c>
      <c r="T60" s="2569">
        <f t="shared" si="16"/>
        <v>237986.69029660011</v>
      </c>
      <c r="V60" s="2568">
        <f>VLOOKUP(A60,'G-3.05,5.02 PF NE Labor'!$BH$13:$BN$46,6,FALSE)</f>
        <v>0.65499841261417469</v>
      </c>
      <c r="W60" s="2568">
        <f>VLOOKUP(A60,'G-3.05,5.02 PF NE Labor'!$BH$13:$BN$46,7,FALSE)</f>
        <v>0.34500158738582531</v>
      </c>
      <c r="Y60" s="2574">
        <f t="shared" si="17"/>
        <v>82105.78592902582</v>
      </c>
      <c r="Z60" s="2574">
        <f t="shared" si="18"/>
        <v>3280.9472057238718</v>
      </c>
      <c r="AA60" s="2574">
        <f t="shared" si="19"/>
        <v>3415.4693253899877</v>
      </c>
      <c r="AB60" s="2574">
        <f t="shared" si="20"/>
        <v>2976.6498264638822</v>
      </c>
      <c r="AC60" s="2574">
        <f t="shared" si="21"/>
        <v>3671.1540914641428</v>
      </c>
      <c r="AE60" s="2574">
        <f t="shared" si="22"/>
        <v>155880.90436757429</v>
      </c>
      <c r="AF60" s="2574">
        <f t="shared" si="23"/>
        <v>4004.5804332029834</v>
      </c>
      <c r="AG60" s="2574">
        <f t="shared" si="24"/>
        <v>6395.4193920310918</v>
      </c>
      <c r="AH60" s="2574">
        <f t="shared" si="25"/>
        <v>5081.5444321322238</v>
      </c>
      <c r="AI60" s="2574">
        <f t="shared" si="26"/>
        <v>6854.4979449976236</v>
      </c>
      <c r="AK60" s="2574">
        <f t="shared" si="27"/>
        <v>245272.21793552698</v>
      </c>
      <c r="AL60" s="2574">
        <f t="shared" si="28"/>
        <v>255083.10665294804</v>
      </c>
      <c r="AM60" s="2574">
        <f t="shared" si="29"/>
        <v>253330.41219412308</v>
      </c>
      <c r="AN60" s="2574">
        <f t="shared" si="30"/>
        <v>265608.75868940982</v>
      </c>
      <c r="AR60" s="2582" t="s">
        <v>2294</v>
      </c>
      <c r="AU60" s="2590"/>
      <c r="AZ60" s="182">
        <v>935000</v>
      </c>
      <c r="BA60" s="888">
        <v>299449.69000000006</v>
      </c>
      <c r="BB60" s="888">
        <v>289383.46000000002</v>
      </c>
      <c r="BC60" s="888">
        <v>886852.86999999988</v>
      </c>
      <c r="BD60" s="888">
        <v>1475686.02</v>
      </c>
      <c r="BE60" s="2603">
        <f t="shared" si="35"/>
        <v>0.6009766698203185</v>
      </c>
      <c r="BF60" s="1144">
        <f t="shared" si="36"/>
        <v>0.3990233301796815</v>
      </c>
      <c r="BM60" s="2603"/>
      <c r="BN60" s="1144"/>
    </row>
    <row r="61" spans="1:66">
      <c r="A61" s="2624" t="s">
        <v>978</v>
      </c>
      <c r="B61" s="2625">
        <v>11293719.369999986</v>
      </c>
      <c r="C61" s="2625">
        <v>299357.62</v>
      </c>
      <c r="D61" s="2625">
        <v>423907.17</v>
      </c>
      <c r="E61" s="2625">
        <v>543552.03999999992</v>
      </c>
      <c r="F61" s="2625">
        <v>12560536.199999986</v>
      </c>
      <c r="G61" s="2625">
        <v>3716542.9799999995</v>
      </c>
      <c r="H61" s="2625">
        <v>1151951.9500000002</v>
      </c>
      <c r="I61" s="2625">
        <v>1943368.6000000006</v>
      </c>
      <c r="J61" s="2625"/>
      <c r="K61" s="2625">
        <v>5589540.4600000083</v>
      </c>
      <c r="L61" s="2625">
        <v>12401403.990000011</v>
      </c>
      <c r="M61" s="2626">
        <v>24961940.189999998</v>
      </c>
      <c r="N61" s="2572"/>
      <c r="O61" s="2571"/>
      <c r="P61" s="2570">
        <f>SUM(P28:P60)</f>
        <v>10994586.249018291</v>
      </c>
      <c r="Q61" s="2570">
        <f>SUM(Q28:Q60)</f>
        <v>6133092.5000000075</v>
      </c>
      <c r="R61" s="2570">
        <f>SUM(R28:R60)</f>
        <v>17127678.749018297</v>
      </c>
      <c r="S61" s="2570">
        <f>SUM(S28:S60)</f>
        <v>-581873.95729859988</v>
      </c>
      <c r="T61" s="2569">
        <f t="shared" si="16"/>
        <v>16545804.791719697</v>
      </c>
      <c r="V61" s="2568"/>
      <c r="W61" s="2568"/>
      <c r="Y61" s="2567">
        <f>SUM(Y28:Y60)</f>
        <v>9830339.0094921514</v>
      </c>
      <c r="Z61" s="2567">
        <f>SUM(Z28:Z60)</f>
        <v>392820.34681930649</v>
      </c>
      <c r="AA61" s="2567">
        <f>SUM(AA28:AA60)</f>
        <v>408926.37425245839</v>
      </c>
      <c r="AB61" s="2567">
        <f>SUM(AB28:AB60)</f>
        <v>356387.51368850243</v>
      </c>
      <c r="AC61" s="2567">
        <f>SUM(AC28:AC60)</f>
        <v>439538.92977009667</v>
      </c>
      <c r="AE61" s="2567">
        <f>SUM(AE28:AE60)</f>
        <v>6715465.782227546</v>
      </c>
      <c r="AF61" s="2567">
        <f>SUM(AF28:AF60)</f>
        <v>172520.31594542568</v>
      </c>
      <c r="AG61" s="2567">
        <f>SUM(AG28:AG60)</f>
        <v>275519.44392691884</v>
      </c>
      <c r="AH61" s="2567">
        <f>SUM(AH28:AH60)</f>
        <v>218916.72936657257</v>
      </c>
      <c r="AI61" s="2567">
        <f>SUM(AI28:AI60)</f>
        <v>295296.89085865853</v>
      </c>
      <c r="AK61" s="2567">
        <f>SUM(AK28:AK60)</f>
        <v>17111145.45448444</v>
      </c>
      <c r="AL61" s="2566">
        <f>SUM(AL28:AL60)</f>
        <v>17795591.272663813</v>
      </c>
      <c r="AM61" s="2566">
        <f>SUM(AM28:AM60)</f>
        <v>17686449.697539505</v>
      </c>
      <c r="AN61" s="2566">
        <f>SUM(AN28:AN60)</f>
        <v>18530427.093292572</v>
      </c>
      <c r="AT61" s="2589" t="str">
        <f>"365/365="</f>
        <v>365/365=</v>
      </c>
      <c r="AU61" s="2588">
        <f>ROUND(365/365,3)</f>
        <v>1</v>
      </c>
      <c r="AV61" s="2582" t="s">
        <v>2293</v>
      </c>
      <c r="AZ61" s="182">
        <v>570000</v>
      </c>
      <c r="BA61" s="888">
        <v>3813.9500000000003</v>
      </c>
      <c r="BB61" s="888">
        <v>208.65999999999997</v>
      </c>
      <c r="BC61" s="888">
        <v>346801.63000000012</v>
      </c>
      <c r="BD61" s="888">
        <v>350824.24000000011</v>
      </c>
      <c r="BE61" s="2603">
        <f t="shared" si="35"/>
        <v>0.98853383107165005</v>
      </c>
      <c r="BF61" s="1144">
        <f t="shared" si="36"/>
        <v>1.1466168928349951E-2</v>
      </c>
      <c r="BM61" s="2603"/>
      <c r="BN61" s="1144"/>
    </row>
    <row r="62" spans="1:66" ht="13.5" thickBot="1">
      <c r="B62" s="477"/>
      <c r="S62" s="2565">
        <f>-'G-3.05,5.02 PF NE Labor'!CD41</f>
        <v>-581873.95729859988</v>
      </c>
      <c r="V62" s="2554"/>
      <c r="W62" s="2554"/>
      <c r="AR62" s="2587" t="s">
        <v>2292</v>
      </c>
      <c r="AS62" s="2585"/>
      <c r="AT62" s="2585"/>
      <c r="AU62" s="2586">
        <f>ROUND(AU61*AU59,6)</f>
        <v>0.04</v>
      </c>
      <c r="AV62" s="2585" t="s">
        <v>2291</v>
      </c>
      <c r="AZ62" s="182">
        <v>512000</v>
      </c>
      <c r="BA62" s="888">
        <v>968.0999999999998</v>
      </c>
      <c r="BB62" s="888">
        <v>9.67</v>
      </c>
      <c r="BC62" s="888">
        <v>575908.72000000009</v>
      </c>
      <c r="BD62" s="888">
        <v>576886.49000000011</v>
      </c>
      <c r="BE62" s="2603">
        <f t="shared" si="35"/>
        <v>0.99830509118006905</v>
      </c>
      <c r="BF62" s="1144">
        <f t="shared" si="36"/>
        <v>1.6949088199309514E-3</v>
      </c>
      <c r="BM62" s="2603"/>
      <c r="BN62" s="1144"/>
    </row>
    <row r="63" spans="1:66" ht="13.5" thickTop="1">
      <c r="B63" s="477"/>
      <c r="S63" s="2565"/>
      <c r="V63" s="2554"/>
      <c r="W63" s="2554"/>
      <c r="AR63" s="2584"/>
      <c r="AU63" s="2583"/>
      <c r="AZ63" s="182">
        <v>541000</v>
      </c>
      <c r="BA63" s="888">
        <v>389012.5300000002</v>
      </c>
      <c r="BB63" s="888">
        <v>7607.2999999999993</v>
      </c>
      <c r="BC63" s="888">
        <v>105854.40999999999</v>
      </c>
      <c r="BD63" s="888">
        <v>502474.24000000017</v>
      </c>
      <c r="BE63" s="2603">
        <f t="shared" si="35"/>
        <v>0.21066634182082639</v>
      </c>
      <c r="BF63" s="1144">
        <f t="shared" si="36"/>
        <v>0.78933365817917367</v>
      </c>
      <c r="BM63" s="2603"/>
      <c r="BN63" s="1144"/>
    </row>
    <row r="64" spans="1:66">
      <c r="B64" s="477"/>
      <c r="AE64" s="2553" t="s">
        <v>19</v>
      </c>
      <c r="AF64" s="2563">
        <f>Z61+AF61</f>
        <v>565340.66276473214</v>
      </c>
      <c r="AG64" s="2563">
        <f>AA61+AG61</f>
        <v>684445.81817937724</v>
      </c>
      <c r="AH64" s="2563">
        <f>AB61+AH61</f>
        <v>575304.24305507494</v>
      </c>
      <c r="AI64" s="2563">
        <f>AC61+AI61</f>
        <v>734835.82062875526</v>
      </c>
      <c r="AZ64" s="182">
        <v>549000</v>
      </c>
      <c r="BA64" s="888">
        <v>42956.000000000022</v>
      </c>
      <c r="BB64" s="888">
        <v>4377.1899999999996</v>
      </c>
      <c r="BC64" s="888">
        <v>18058.580000000002</v>
      </c>
      <c r="BD64" s="888">
        <v>65391.770000000026</v>
      </c>
      <c r="BE64" s="2603">
        <f t="shared" si="35"/>
        <v>0.276159828675688</v>
      </c>
      <c r="BF64" s="1144">
        <f t="shared" si="36"/>
        <v>0.723840171324312</v>
      </c>
      <c r="BM64" s="2603"/>
      <c r="BN64" s="1144"/>
    </row>
    <row r="65" spans="1:66">
      <c r="B65" s="477"/>
      <c r="L65" s="1210"/>
      <c r="M65" s="1210"/>
      <c r="AH65" s="2564">
        <v>2025</v>
      </c>
      <c r="AI65" s="2564">
        <v>2026</v>
      </c>
      <c r="AZ65" s="182">
        <v>597000</v>
      </c>
      <c r="BA65" s="888">
        <v>-32.140000000000015</v>
      </c>
      <c r="BB65" s="888"/>
      <c r="BC65" s="888">
        <v>34306.689999999988</v>
      </c>
      <c r="BD65" s="888">
        <v>34274.549999999988</v>
      </c>
      <c r="BE65" s="2603">
        <f t="shared" si="35"/>
        <v>1.0009377220123969</v>
      </c>
      <c r="BF65" s="1144">
        <f t="shared" si="36"/>
        <v>-9.3772201239694652E-4</v>
      </c>
      <c r="BM65" s="2603"/>
      <c r="BN65" s="1144"/>
    </row>
    <row r="66" spans="1:66">
      <c r="B66" s="477"/>
      <c r="AG66" s="2553" t="s">
        <v>198</v>
      </c>
      <c r="AH66" s="2563">
        <f>AF64+AG64+AH64</f>
        <v>1825090.7239991843</v>
      </c>
      <c r="AI66" s="2563">
        <f>AI64</f>
        <v>734835.82062875526</v>
      </c>
      <c r="AZ66" s="182">
        <v>546000</v>
      </c>
      <c r="BA66" s="888">
        <v>199815.17999999996</v>
      </c>
      <c r="BB66" s="888">
        <v>39933.540000000008</v>
      </c>
      <c r="BC66" s="888"/>
      <c r="BD66" s="888">
        <v>239748.71999999997</v>
      </c>
      <c r="BE66" s="2603">
        <f t="shared" si="35"/>
        <v>0</v>
      </c>
      <c r="BF66" s="1144">
        <f t="shared" si="36"/>
        <v>1</v>
      </c>
      <c r="BM66" s="2603"/>
      <c r="BN66" s="1144"/>
    </row>
    <row r="67" spans="1:66">
      <c r="A67" s="2561"/>
      <c r="B67" s="2562" t="s">
        <v>739</v>
      </c>
      <c r="C67" s="2562" t="s">
        <v>763</v>
      </c>
      <c r="D67" s="2562" t="s">
        <v>683</v>
      </c>
      <c r="E67" s="2562" t="s">
        <v>198</v>
      </c>
      <c r="AZ67" s="182">
        <v>502000</v>
      </c>
      <c r="BA67" s="888">
        <v>6149.08</v>
      </c>
      <c r="BB67" s="888"/>
      <c r="BC67" s="888">
        <v>504465.18000000046</v>
      </c>
      <c r="BD67" s="888">
        <v>510614.26000000047</v>
      </c>
      <c r="BE67" s="2603">
        <f t="shared" si="35"/>
        <v>0.98795748477529788</v>
      </c>
      <c r="BF67" s="1144">
        <f t="shared" si="36"/>
        <v>1.2042515224702122E-2</v>
      </c>
      <c r="BM67" s="2603"/>
      <c r="BN67" s="1144"/>
    </row>
    <row r="68" spans="1:66">
      <c r="A68" s="2561"/>
      <c r="B68" s="2560"/>
      <c r="C68" s="2560"/>
      <c r="D68" s="2560"/>
      <c r="E68" s="2560"/>
      <c r="AE68" s="2559" t="s">
        <v>2258</v>
      </c>
      <c r="AZ68" s="182">
        <v>545300</v>
      </c>
      <c r="BA68" s="888">
        <v>-15.44</v>
      </c>
      <c r="BB68" s="888">
        <v>17.16</v>
      </c>
      <c r="BC68" s="888"/>
      <c r="BD68" s="888">
        <v>1.7200000000000006</v>
      </c>
      <c r="BE68" s="2603">
        <f t="shared" si="35"/>
        <v>0</v>
      </c>
      <c r="BF68" s="1144">
        <f t="shared" si="36"/>
        <v>1</v>
      </c>
      <c r="BM68" s="2603"/>
      <c r="BN68" s="1144"/>
    </row>
    <row r="69" spans="1:66">
      <c r="A69" s="2558" t="s">
        <v>2257</v>
      </c>
      <c r="B69" s="2558">
        <v>2</v>
      </c>
      <c r="C69" s="2557">
        <v>0.65400999999999998</v>
      </c>
      <c r="D69" s="2557">
        <v>0.34599000000000002</v>
      </c>
      <c r="E69" s="2556">
        <f>C69+D69</f>
        <v>1</v>
      </c>
      <c r="F69" s="477" t="s">
        <v>2256</v>
      </c>
      <c r="AE69" s="1414"/>
      <c r="AZ69" s="182">
        <v>909000</v>
      </c>
      <c r="BA69" s="888">
        <v>19660.400000000001</v>
      </c>
      <c r="BB69" s="888"/>
      <c r="BC69" s="888"/>
      <c r="BD69" s="888">
        <v>19660.400000000001</v>
      </c>
      <c r="BE69" s="2603">
        <f t="shared" si="35"/>
        <v>0</v>
      </c>
      <c r="BF69" s="1144">
        <f t="shared" si="36"/>
        <v>1</v>
      </c>
      <c r="BM69" s="2603"/>
      <c r="BN69" s="1144"/>
    </row>
    <row r="70" spans="1:66">
      <c r="A70" s="2558" t="s">
        <v>2255</v>
      </c>
      <c r="B70" s="2558">
        <v>3</v>
      </c>
      <c r="C70" s="2557">
        <v>0.71040000000000003</v>
      </c>
      <c r="D70" s="2557">
        <v>0.28960000000000002</v>
      </c>
      <c r="E70" s="2556">
        <f>C70+D70</f>
        <v>1</v>
      </c>
      <c r="F70" s="477" t="s">
        <v>2251</v>
      </c>
      <c r="AE70" s="477" t="s">
        <v>671</v>
      </c>
      <c r="AG70" s="477" t="s">
        <v>2252</v>
      </c>
      <c r="AH70" s="2555">
        <f>SUM(Z28:AB28)+SUM(AF28:AH28)</f>
        <v>68540.667572314473</v>
      </c>
      <c r="AI70" s="2555">
        <f>+AC28+AI28</f>
        <v>26012.780527724572</v>
      </c>
      <c r="AJ70" s="2554">
        <f t="shared" ref="AJ70:AJ75" si="39">AH70/$AH$76</f>
        <v>3.7554663267438247E-2</v>
      </c>
      <c r="AK70" s="1082"/>
      <c r="AZ70" s="182">
        <v>513000</v>
      </c>
      <c r="BA70" s="888">
        <v>3171.53</v>
      </c>
      <c r="BB70" s="888"/>
      <c r="BC70" s="888">
        <v>94673.13999999997</v>
      </c>
      <c r="BD70" s="888">
        <v>97844.669999999969</v>
      </c>
      <c r="BE70" s="2603">
        <f t="shared" si="35"/>
        <v>0.96758607290514653</v>
      </c>
      <c r="BF70" s="1144">
        <f t="shared" si="36"/>
        <v>3.2413927094853467E-2</v>
      </c>
      <c r="BM70" s="2603"/>
      <c r="BN70" s="1144"/>
    </row>
    <row r="71" spans="1:66">
      <c r="A71" s="2558" t="s">
        <v>2254</v>
      </c>
      <c r="B71" s="2558">
        <v>4</v>
      </c>
      <c r="C71" s="2557">
        <v>0.71745999999999999</v>
      </c>
      <c r="D71" s="2557">
        <v>0.28254000000000001</v>
      </c>
      <c r="E71" s="2556">
        <f>C71+D71</f>
        <v>1</v>
      </c>
      <c r="F71" s="477" t="s">
        <v>2244</v>
      </c>
      <c r="AE71" s="477" t="s">
        <v>41</v>
      </c>
      <c r="AG71" s="477" t="s">
        <v>2250</v>
      </c>
      <c r="AH71" s="2555">
        <v>0</v>
      </c>
      <c r="AI71" s="2555">
        <v>0</v>
      </c>
      <c r="AJ71" s="2554">
        <f t="shared" si="39"/>
        <v>0</v>
      </c>
      <c r="AZ71" s="182">
        <v>537000</v>
      </c>
      <c r="BA71" s="888">
        <v>377149.6</v>
      </c>
      <c r="BB71" s="888">
        <v>37895.519999999997</v>
      </c>
      <c r="BC71" s="888">
        <v>75047.710000000006</v>
      </c>
      <c r="BD71" s="888">
        <v>490092.83</v>
      </c>
      <c r="BE71" s="2603">
        <f t="shared" si="35"/>
        <v>0.15312958159375645</v>
      </c>
      <c r="BF71" s="1144">
        <f t="shared" si="36"/>
        <v>0.84687041840624355</v>
      </c>
      <c r="BM71" s="2603"/>
      <c r="BN71" s="1144"/>
    </row>
    <row r="72" spans="1:66">
      <c r="A72" s="2558" t="s">
        <v>2253</v>
      </c>
      <c r="B72" s="2558">
        <v>10</v>
      </c>
      <c r="C72" s="2557">
        <v>0.67015999999999998</v>
      </c>
      <c r="D72" s="2557">
        <v>0.32984000000000002</v>
      </c>
      <c r="E72" s="2556">
        <f>C72+D72</f>
        <v>1</v>
      </c>
      <c r="F72" s="477" t="s">
        <v>2252</v>
      </c>
      <c r="AE72" s="477" t="s">
        <v>45</v>
      </c>
      <c r="AG72" s="477" t="s">
        <v>2251</v>
      </c>
      <c r="AH72" s="2555">
        <f>SUM(Z29:AB44)+SUM(AF29:AH44)</f>
        <v>815143.27745967661</v>
      </c>
      <c r="AI72" s="2555">
        <f>SUM(AC29:AC44,AI29:AI44)</f>
        <v>345172.92403378739</v>
      </c>
      <c r="AJ72" s="2554">
        <f t="shared" si="39"/>
        <v>0.44663164780845194</v>
      </c>
      <c r="AZ72" s="182">
        <v>506000</v>
      </c>
      <c r="BA72" s="888">
        <v>16624.36</v>
      </c>
      <c r="BB72" s="888">
        <v>86585.56</v>
      </c>
      <c r="BC72" s="888">
        <v>92137.349999999991</v>
      </c>
      <c r="BD72" s="888">
        <v>195347.27</v>
      </c>
      <c r="BE72" s="2603">
        <f t="shared" si="35"/>
        <v>0.47165926608546921</v>
      </c>
      <c r="BF72" s="1144">
        <f t="shared" si="36"/>
        <v>0.52834073391453074</v>
      </c>
      <c r="BM72" s="2603"/>
      <c r="BN72" s="1144"/>
    </row>
    <row r="73" spans="1:66">
      <c r="A73" s="2558" t="s">
        <v>779</v>
      </c>
      <c r="B73" s="2558">
        <v>1</v>
      </c>
      <c r="C73" s="2557">
        <v>0.6845</v>
      </c>
      <c r="D73" s="2557">
        <v>0.3155</v>
      </c>
      <c r="E73" s="2556">
        <f>C73+D73</f>
        <v>1</v>
      </c>
      <c r="F73" s="477" t="s">
        <v>2250</v>
      </c>
      <c r="AE73" s="477" t="s">
        <v>2249</v>
      </c>
      <c r="AG73" s="477" t="s">
        <v>2248</v>
      </c>
      <c r="AH73" s="2555">
        <f>SUM(Z45:AB48)+SUM(AF45:AH48)</f>
        <v>273679.22618608602</v>
      </c>
      <c r="AI73" s="2555">
        <f>SUM(AC45:AC48,AI45:AI48)</f>
        <v>105820.59747500755</v>
      </c>
      <c r="AJ73" s="2554">
        <f t="shared" si="39"/>
        <v>0.14995376535934235</v>
      </c>
      <c r="AZ73" s="182">
        <v>910000</v>
      </c>
      <c r="BA73" s="888">
        <v>39479.839999999997</v>
      </c>
      <c r="BB73" s="888"/>
      <c r="BC73" s="888"/>
      <c r="BD73" s="888">
        <v>39479.839999999997</v>
      </c>
      <c r="BE73" s="2603">
        <f t="shared" si="35"/>
        <v>0</v>
      </c>
      <c r="BF73" s="1144">
        <f t="shared" si="36"/>
        <v>1</v>
      </c>
      <c r="BM73" s="2603"/>
      <c r="BN73" s="1144"/>
    </row>
    <row r="74" spans="1:66">
      <c r="B74" s="477"/>
      <c r="AE74" s="477" t="s">
        <v>2247</v>
      </c>
      <c r="AG74" s="477" t="s">
        <v>2246</v>
      </c>
      <c r="AH74" s="2555">
        <f>SUM(Z49:AB51)+SUM(AF49:AH51)</f>
        <v>19671.461889467882</v>
      </c>
      <c r="AI74" s="2555">
        <f>SUM(AC49:AC51,AI49:AI51)</f>
        <v>7465.7781856347174</v>
      </c>
      <c r="AJ74" s="2554">
        <f t="shared" si="39"/>
        <v>1.0778347416266123E-2</v>
      </c>
      <c r="AZ74" s="182">
        <v>552000</v>
      </c>
      <c r="BA74" s="888">
        <v>0</v>
      </c>
      <c r="BB74" s="888">
        <v>510.01</v>
      </c>
      <c r="BC74" s="888">
        <v>27443.129999999997</v>
      </c>
      <c r="BD74" s="888">
        <v>27953.139999999996</v>
      </c>
      <c r="BE74" s="2603">
        <f t="shared" si="35"/>
        <v>0.98175482253514279</v>
      </c>
      <c r="BF74" s="1144">
        <f t="shared" si="36"/>
        <v>1.824517746485721E-2</v>
      </c>
      <c r="BM74" s="2603"/>
      <c r="BN74" s="1144"/>
    </row>
    <row r="75" spans="1:66">
      <c r="B75" s="477"/>
      <c r="AE75" s="477" t="s">
        <v>2245</v>
      </c>
      <c r="AG75" s="477" t="s">
        <v>2244</v>
      </c>
      <c r="AH75" s="2555">
        <f>SUM(Z52:AB60)+SUM(AF52:AH60)</f>
        <v>648056.09089163993</v>
      </c>
      <c r="AI75" s="2555">
        <f>+SUM(AC52:AC60,AI52:AI60)</f>
        <v>250363.74040660114</v>
      </c>
      <c r="AJ75" s="2554">
        <f t="shared" si="39"/>
        <v>0.35508157614850128</v>
      </c>
      <c r="AZ75" s="182">
        <v>561310</v>
      </c>
      <c r="BA75" s="888">
        <v>220489.90000000002</v>
      </c>
      <c r="BB75" s="888">
        <v>607620.43999999971</v>
      </c>
      <c r="BC75" s="888">
        <v>13106.160000000007</v>
      </c>
      <c r="BD75" s="888">
        <v>841216.49999999977</v>
      </c>
      <c r="BE75" s="2603">
        <f t="shared" si="35"/>
        <v>1.5580008238069524E-2</v>
      </c>
      <c r="BF75" s="1144">
        <f t="shared" si="36"/>
        <v>0.98441999176193051</v>
      </c>
      <c r="BM75" s="2603"/>
      <c r="BN75" s="1144"/>
    </row>
    <row r="76" spans="1:66">
      <c r="B76" s="477"/>
      <c r="AG76" s="2553"/>
      <c r="AH76" s="2552">
        <f>SUM(AH70:AH75)</f>
        <v>1825090.723999185</v>
      </c>
      <c r="AI76" s="2552">
        <f>SUM(AI70:AI75)</f>
        <v>734835.82062875538</v>
      </c>
      <c r="AZ76" s="182">
        <v>554000</v>
      </c>
      <c r="BA76" s="888">
        <v>22.889999999999986</v>
      </c>
      <c r="BB76" s="888">
        <v>5742</v>
      </c>
      <c r="BC76" s="888">
        <v>161874.35</v>
      </c>
      <c r="BD76" s="888">
        <v>167639.24000000002</v>
      </c>
      <c r="BE76" s="2603">
        <f t="shared" si="35"/>
        <v>0.96561133300294122</v>
      </c>
      <c r="BF76" s="1144">
        <f t="shared" si="36"/>
        <v>3.4388666997058781E-2</v>
      </c>
      <c r="BM76" s="2603"/>
      <c r="BN76" s="1144"/>
    </row>
    <row r="77" spans="1:66">
      <c r="B77" s="477"/>
      <c r="AZ77" s="182">
        <v>556000</v>
      </c>
      <c r="BA77" s="888">
        <v>2102.08</v>
      </c>
      <c r="BB77" s="888">
        <v>209668.67999999996</v>
      </c>
      <c r="BC77" s="888"/>
      <c r="BD77" s="888">
        <v>211770.75999999995</v>
      </c>
      <c r="BE77" s="2603">
        <f t="shared" ref="BE77:BE91" si="40">BC77/BD77</f>
        <v>0</v>
      </c>
      <c r="BF77" s="1144">
        <f t="shared" ref="BF77:BF91" si="41">1-BE77</f>
        <v>1</v>
      </c>
      <c r="BM77" s="2603"/>
      <c r="BN77" s="1144"/>
    </row>
    <row r="78" spans="1:66">
      <c r="B78" s="477"/>
      <c r="AZ78" s="182">
        <v>500000</v>
      </c>
      <c r="BA78" s="888">
        <v>129205.94000000003</v>
      </c>
      <c r="BB78" s="888">
        <v>637.22</v>
      </c>
      <c r="BC78" s="888"/>
      <c r="BD78" s="888">
        <v>129843.16000000003</v>
      </c>
      <c r="BE78" s="2603">
        <f t="shared" si="40"/>
        <v>0</v>
      </c>
      <c r="BF78" s="1144">
        <f t="shared" si="41"/>
        <v>1</v>
      </c>
      <c r="BM78" s="2603"/>
      <c r="BN78" s="1144"/>
    </row>
    <row r="79" spans="1:66">
      <c r="B79" s="477"/>
      <c r="AE79" s="2551"/>
      <c r="AF79" s="2551"/>
      <c r="AG79" s="2551"/>
      <c r="AH79" s="2551"/>
      <c r="AI79" s="2551"/>
      <c r="AZ79" s="182">
        <v>553000</v>
      </c>
      <c r="BA79" s="888">
        <v>360.8</v>
      </c>
      <c r="BB79" s="888"/>
      <c r="BC79" s="888">
        <v>428606.9499999999</v>
      </c>
      <c r="BD79" s="888">
        <v>428967.74999999988</v>
      </c>
      <c r="BE79" s="2603">
        <f t="shared" si="40"/>
        <v>0.99915891113026567</v>
      </c>
      <c r="BF79" s="1144">
        <f t="shared" si="41"/>
        <v>8.4108886973432995E-4</v>
      </c>
      <c r="BM79" s="2603"/>
      <c r="BN79" s="1144"/>
    </row>
    <row r="80" spans="1:66">
      <c r="B80" s="477"/>
      <c r="AE80" s="2551"/>
      <c r="AF80" s="2551"/>
      <c r="AG80" s="2551"/>
      <c r="AH80" s="2551"/>
      <c r="AI80" s="2551"/>
      <c r="AZ80" s="182">
        <v>561110</v>
      </c>
      <c r="BA80" s="888">
        <v>21360.839999999993</v>
      </c>
      <c r="BB80" s="888">
        <v>418.65</v>
      </c>
      <c r="BC80" s="888"/>
      <c r="BD80" s="888">
        <v>21779.489999999994</v>
      </c>
      <c r="BE80" s="2603">
        <f t="shared" si="40"/>
        <v>0</v>
      </c>
      <c r="BF80" s="1144">
        <f t="shared" si="41"/>
        <v>1</v>
      </c>
      <c r="BM80" s="2603"/>
      <c r="BN80" s="1144"/>
    </row>
    <row r="81" spans="2:66">
      <c r="B81" s="477"/>
      <c r="AE81" s="2551"/>
      <c r="AF81" s="2551"/>
      <c r="AG81" s="2551"/>
      <c r="AH81" s="2551"/>
      <c r="AI81" s="2551"/>
      <c r="AZ81" s="182">
        <v>573000</v>
      </c>
      <c r="BA81" s="888">
        <v>893.29000000000008</v>
      </c>
      <c r="BB81" s="888"/>
      <c r="BC81" s="888">
        <v>10231.690000000004</v>
      </c>
      <c r="BD81" s="888">
        <v>11124.980000000005</v>
      </c>
      <c r="BE81" s="2603">
        <f t="shared" si="40"/>
        <v>0.91970412531078705</v>
      </c>
      <c r="BF81" s="1144">
        <f t="shared" si="41"/>
        <v>8.0295874689212954E-2</v>
      </c>
      <c r="BM81" s="2603"/>
      <c r="BN81" s="1144"/>
    </row>
    <row r="82" spans="2:66">
      <c r="AE82" s="2550"/>
      <c r="AF82" s="2550"/>
      <c r="AG82" s="2550"/>
      <c r="AZ82" s="182">
        <v>931000</v>
      </c>
      <c r="BA82" s="888">
        <v>675.81</v>
      </c>
      <c r="BB82" s="888"/>
      <c r="BC82" s="888"/>
      <c r="BD82" s="888">
        <v>675.81</v>
      </c>
      <c r="BE82" s="2603">
        <f t="shared" si="40"/>
        <v>0</v>
      </c>
      <c r="BF82" s="1144">
        <f t="shared" si="41"/>
        <v>1</v>
      </c>
      <c r="BM82" s="2603"/>
      <c r="BN82" s="1144"/>
    </row>
    <row r="83" spans="2:66">
      <c r="AE83" s="2550"/>
      <c r="AF83" s="2550"/>
      <c r="AG83" s="2550"/>
      <c r="AH83" s="1082"/>
      <c r="AI83" s="1082"/>
      <c r="AZ83" s="182">
        <v>510000</v>
      </c>
      <c r="BA83" s="888">
        <v>101834.89</v>
      </c>
      <c r="BB83" s="888"/>
      <c r="BC83" s="888"/>
      <c r="BD83" s="888">
        <v>101834.89</v>
      </c>
      <c r="BE83" s="2603">
        <f t="shared" si="40"/>
        <v>0</v>
      </c>
      <c r="BF83" s="1144">
        <f t="shared" si="41"/>
        <v>1</v>
      </c>
      <c r="BM83" s="2603"/>
      <c r="BN83" s="1144"/>
    </row>
    <row r="84" spans="2:66">
      <c r="AZ84" s="182">
        <v>551000</v>
      </c>
      <c r="BA84" s="888">
        <v>167157.31999999998</v>
      </c>
      <c r="BB84" s="888">
        <v>56290.630000000005</v>
      </c>
      <c r="BC84" s="888">
        <v>60362.350000000006</v>
      </c>
      <c r="BD84" s="888">
        <v>283810.3</v>
      </c>
      <c r="BE84" s="2603">
        <f t="shared" si="40"/>
        <v>0.21268555087676524</v>
      </c>
      <c r="BF84" s="1144">
        <f t="shared" si="41"/>
        <v>0.78731444912323478</v>
      </c>
      <c r="BM84" s="2603"/>
      <c r="BN84" s="1144"/>
    </row>
    <row r="85" spans="2:66">
      <c r="AZ85" s="182">
        <v>514000</v>
      </c>
      <c r="BA85" s="888"/>
      <c r="BB85" s="888"/>
      <c r="BC85" s="888">
        <v>96897.400000000023</v>
      </c>
      <c r="BD85" s="888">
        <v>96897.400000000023</v>
      </c>
      <c r="BE85" s="2603">
        <f t="shared" si="40"/>
        <v>1</v>
      </c>
      <c r="BF85" s="1144">
        <f t="shared" si="41"/>
        <v>0</v>
      </c>
      <c r="BM85" s="2603"/>
      <c r="BN85" s="1144"/>
    </row>
    <row r="86" spans="2:66">
      <c r="AZ86" s="182">
        <v>561210</v>
      </c>
      <c r="BA86" s="888">
        <v>66524.930000000008</v>
      </c>
      <c r="BB86" s="888">
        <v>641552.60000000009</v>
      </c>
      <c r="BC86" s="888"/>
      <c r="BD86" s="888">
        <v>708077.53000000014</v>
      </c>
      <c r="BE86" s="2603">
        <f t="shared" si="40"/>
        <v>0</v>
      </c>
      <c r="BF86" s="1144">
        <f t="shared" si="41"/>
        <v>1</v>
      </c>
      <c r="BM86" s="2603"/>
      <c r="BN86" s="1144"/>
    </row>
    <row r="87" spans="2:66">
      <c r="AZ87" s="182">
        <v>901000</v>
      </c>
      <c r="BA87" s="888">
        <v>103669.52999999998</v>
      </c>
      <c r="BB87" s="888"/>
      <c r="BC87" s="888"/>
      <c r="BD87" s="888">
        <v>103669.52999999998</v>
      </c>
      <c r="BE87" s="2603">
        <f t="shared" si="40"/>
        <v>0</v>
      </c>
      <c r="BF87" s="1144">
        <f t="shared" si="41"/>
        <v>1</v>
      </c>
      <c r="BM87" s="2603"/>
      <c r="BN87" s="1144"/>
    </row>
    <row r="88" spans="2:66">
      <c r="AZ88" s="182">
        <v>511000</v>
      </c>
      <c r="BA88" s="888">
        <v>379.99</v>
      </c>
      <c r="BB88" s="888"/>
      <c r="BC88" s="888">
        <v>11372.949999999999</v>
      </c>
      <c r="BD88" s="888">
        <v>11752.939999999999</v>
      </c>
      <c r="BE88" s="2603">
        <f t="shared" si="40"/>
        <v>0.96766851528213371</v>
      </c>
      <c r="BF88" s="1144">
        <f t="shared" si="41"/>
        <v>3.2331484717866288E-2</v>
      </c>
      <c r="BM88" s="2603"/>
      <c r="BN88" s="1144"/>
    </row>
    <row r="89" spans="2:66">
      <c r="AZ89" s="182">
        <v>572000</v>
      </c>
      <c r="BA89" s="888"/>
      <c r="BB89" s="888"/>
      <c r="BC89" s="888">
        <v>697.2</v>
      </c>
      <c r="BD89" s="888">
        <v>697.2</v>
      </c>
      <c r="BE89" s="2603">
        <f t="shared" si="40"/>
        <v>1</v>
      </c>
      <c r="BF89" s="1144">
        <f t="shared" si="41"/>
        <v>0</v>
      </c>
      <c r="BM89" s="2603"/>
      <c r="BN89" s="1144"/>
    </row>
    <row r="90" spans="2:66">
      <c r="AZ90" s="182">
        <v>925100</v>
      </c>
      <c r="BA90" s="888">
        <v>73.819999999999993</v>
      </c>
      <c r="BB90" s="888"/>
      <c r="BC90" s="888"/>
      <c r="BD90" s="888">
        <v>73.819999999999993</v>
      </c>
      <c r="BE90" s="2603">
        <f t="shared" si="40"/>
        <v>0</v>
      </c>
      <c r="BF90" s="1144">
        <f t="shared" si="41"/>
        <v>1</v>
      </c>
      <c r="BM90" s="2603"/>
      <c r="BN90" s="1144"/>
    </row>
    <row r="91" spans="2:66">
      <c r="AZ91" s="182">
        <v>585000</v>
      </c>
      <c r="BA91" s="888">
        <v>772.82</v>
      </c>
      <c r="BB91" s="888">
        <v>58.44</v>
      </c>
      <c r="BC91" s="888"/>
      <c r="BD91" s="888">
        <v>831.26</v>
      </c>
      <c r="BE91" s="2603">
        <f t="shared" si="40"/>
        <v>0</v>
      </c>
      <c r="BF91" s="1144">
        <f t="shared" si="41"/>
        <v>1</v>
      </c>
      <c r="BM91" s="2603"/>
      <c r="BN91" s="1144"/>
    </row>
    <row r="92" spans="2:66">
      <c r="AZ92" s="1489" t="s">
        <v>978</v>
      </c>
      <c r="BA92" s="1490">
        <v>33318139.789999984</v>
      </c>
      <c r="BB92" s="1490">
        <v>14026145.169999994</v>
      </c>
      <c r="BC92" s="1490">
        <v>28977979.06000001</v>
      </c>
      <c r="BD92" s="1490">
        <v>76322264.019999981</v>
      </c>
      <c r="BE92" s="2603"/>
      <c r="BF92" s="1144"/>
      <c r="BM92" s="2603"/>
      <c r="BN92" s="1144"/>
    </row>
    <row r="93" spans="2:66">
      <c r="BA93" s="477"/>
      <c r="BE93" s="2603"/>
      <c r="BF93" s="1144"/>
      <c r="BM93" s="2603"/>
      <c r="BN93" s="1144"/>
    </row>
    <row r="94" spans="2:66">
      <c r="BA94" s="477"/>
      <c r="BE94" s="2603"/>
      <c r="BF94" s="1144"/>
      <c r="BM94" s="2603"/>
      <c r="BN94" s="1144"/>
    </row>
    <row r="95" spans="2:66">
      <c r="BA95" s="477"/>
      <c r="BE95" s="2603"/>
      <c r="BF95" s="1144"/>
      <c r="BM95" s="2603"/>
      <c r="BN95" s="1144"/>
    </row>
    <row r="96" spans="2:66">
      <c r="BA96" s="477"/>
    </row>
    <row r="97" spans="53:56">
      <c r="BA97" s="477"/>
      <c r="BB97" s="477" t="s">
        <v>194</v>
      </c>
      <c r="BC97" s="477" t="s">
        <v>1759</v>
      </c>
      <c r="BD97" s="2604">
        <f>CA22</f>
        <v>2616002.5900000003</v>
      </c>
    </row>
    <row r="98" spans="53:56">
      <c r="BA98" s="477"/>
      <c r="BC98" s="477" t="s">
        <v>2335</v>
      </c>
      <c r="BD98" s="2607">
        <v>13519389.250000007</v>
      </c>
    </row>
    <row r="99" spans="53:56">
      <c r="BA99" s="477"/>
      <c r="BD99" s="2604">
        <f>SUM(BD97:BD98)+BD92</f>
        <v>92457655.859999985</v>
      </c>
    </row>
    <row r="100" spans="53:56">
      <c r="BA100" s="477"/>
      <c r="BD100" s="2604"/>
    </row>
    <row r="101" spans="53:56">
      <c r="BA101" s="477"/>
      <c r="BC101" s="477" t="s">
        <v>2337</v>
      </c>
      <c r="BD101" s="2606">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ColWidth="8.85546875" defaultRowHeight="12.75"/>
  <cols>
    <col min="1" max="1" width="8" style="477" customWidth="1"/>
    <col min="2" max="2" width="3" style="477" customWidth="1"/>
    <col min="3" max="3" width="3.5703125" style="477" customWidth="1"/>
    <col min="4" max="7" width="18.85546875" style="477" customWidth="1"/>
    <col min="8" max="8" width="9" style="477" bestFit="1" customWidth="1"/>
    <col min="9" max="9" width="12.42578125" style="477" bestFit="1" customWidth="1"/>
    <col min="10" max="10" width="12.42578125" style="477" customWidth="1"/>
    <col min="11" max="11" width="6.5703125" style="477" bestFit="1" customWidth="1"/>
    <col min="12" max="13" width="12.42578125" style="477" customWidth="1"/>
    <col min="14" max="14" width="12.140625" style="477" customWidth="1"/>
    <col min="15" max="15" width="1.7109375" style="1008" customWidth="1"/>
    <col min="16" max="16" width="8.85546875" style="477"/>
    <col min="17" max="17" width="23.42578125" style="2630" bestFit="1" customWidth="1"/>
    <col min="18" max="18" width="15.140625" style="2686" bestFit="1" customWidth="1"/>
    <col min="19" max="19" width="11" style="2630" bestFit="1" customWidth="1"/>
    <col min="20" max="20" width="9.5703125" style="2630" bestFit="1" customWidth="1"/>
    <col min="21" max="21" width="11" style="2630" bestFit="1" customWidth="1"/>
    <col min="22" max="22" width="6.5703125" style="2630" customWidth="1"/>
    <col min="23" max="23" width="23.42578125" style="2630" bestFit="1" customWidth="1"/>
    <col min="24" max="24" width="15.5703125" style="2630" bestFit="1" customWidth="1"/>
    <col min="25" max="25" width="23.42578125" style="2631" bestFit="1" customWidth="1"/>
    <col min="26" max="26" width="15.5703125" style="2630" bestFit="1" customWidth="1"/>
    <col min="27" max="27" width="11" style="2630" bestFit="1" customWidth="1"/>
    <col min="28" max="16384" width="8.85546875" style="477"/>
  </cols>
  <sheetData>
    <row r="1" spans="1:27" ht="15">
      <c r="A1" s="2627" t="s">
        <v>1204</v>
      </c>
      <c r="B1" s="2627"/>
      <c r="C1" s="2628"/>
      <c r="D1" s="2629"/>
      <c r="E1" s="2629"/>
      <c r="F1" s="2629"/>
      <c r="G1" s="2629"/>
      <c r="H1" s="2629"/>
      <c r="I1" s="2629"/>
      <c r="J1" s="2629"/>
      <c r="K1" s="2629"/>
      <c r="L1" s="2629"/>
      <c r="Q1" s="477"/>
      <c r="R1" s="477"/>
      <c r="W1" s="477"/>
      <c r="X1" s="477"/>
    </row>
    <row r="2" spans="1:27" ht="15">
      <c r="A2" s="2627" t="s">
        <v>2354</v>
      </c>
      <c r="B2" s="2627"/>
      <c r="C2" s="2627"/>
      <c r="D2" s="2629"/>
      <c r="E2" s="2629"/>
      <c r="F2" s="2629"/>
      <c r="G2" s="2629"/>
      <c r="H2" s="2629"/>
      <c r="I2" s="2629"/>
      <c r="J2" s="2629"/>
      <c r="K2" s="2629"/>
      <c r="L2" s="2629"/>
      <c r="Q2" s="1569" t="s">
        <v>679</v>
      </c>
      <c r="R2" s="1569" t="s">
        <v>1701</v>
      </c>
      <c r="W2" s="1569" t="s">
        <v>679</v>
      </c>
      <c r="X2" s="1569" t="s">
        <v>1701</v>
      </c>
      <c r="Y2" s="2630"/>
    </row>
    <row r="3" spans="1:27" ht="15">
      <c r="A3" s="2628"/>
      <c r="B3" s="2628"/>
      <c r="C3" s="2628"/>
      <c r="D3" s="2629"/>
      <c r="E3" s="2629"/>
      <c r="F3" s="2629"/>
      <c r="G3" s="2629"/>
      <c r="H3" s="2629"/>
      <c r="I3" s="2629"/>
      <c r="J3" s="2629"/>
      <c r="K3" s="2629"/>
      <c r="L3" s="2629"/>
      <c r="Q3" s="1569" t="s">
        <v>2277</v>
      </c>
      <c r="R3" s="1569" t="s">
        <v>2276</v>
      </c>
      <c r="W3" s="1569" t="s">
        <v>2277</v>
      </c>
      <c r="X3" s="1569" t="s">
        <v>2276</v>
      </c>
      <c r="Y3" s="2630"/>
    </row>
    <row r="4" spans="1:27" ht="15">
      <c r="A4" s="2632"/>
      <c r="B4" s="2632"/>
      <c r="C4" s="2632"/>
      <c r="E4" s="2633" t="s">
        <v>2355</v>
      </c>
      <c r="F4" s="2633" t="s">
        <v>2271</v>
      </c>
      <c r="G4" s="2633" t="s">
        <v>24</v>
      </c>
      <c r="H4" s="2634"/>
      <c r="I4" s="2635" t="s">
        <v>1183</v>
      </c>
      <c r="J4" s="2636"/>
      <c r="K4" s="2634"/>
      <c r="L4" s="2635" t="s">
        <v>772</v>
      </c>
      <c r="M4" s="2636"/>
      <c r="Q4" s="1570" t="s">
        <v>2340</v>
      </c>
      <c r="R4" s="1570" t="s">
        <v>1759</v>
      </c>
      <c r="W4" s="1570" t="s">
        <v>2340</v>
      </c>
      <c r="X4" s="1570" t="s">
        <v>1759</v>
      </c>
      <c r="Y4" s="2630"/>
    </row>
    <row r="5" spans="1:27" ht="30">
      <c r="A5" s="2637" t="s">
        <v>432</v>
      </c>
      <c r="B5" s="2638"/>
      <c r="C5" s="2638"/>
      <c r="D5" s="2639"/>
      <c r="E5" s="2640" t="s">
        <v>2356</v>
      </c>
      <c r="F5" s="2641" t="s">
        <v>2357</v>
      </c>
      <c r="G5" s="2642" t="s">
        <v>2358</v>
      </c>
      <c r="H5" s="2643"/>
      <c r="I5" s="2644" t="s">
        <v>2359</v>
      </c>
      <c r="J5" s="2645" t="s">
        <v>444</v>
      </c>
      <c r="K5" s="2643"/>
      <c r="L5" s="2644" t="s">
        <v>2359</v>
      </c>
      <c r="M5" s="2645" t="s">
        <v>444</v>
      </c>
      <c r="N5" s="2639"/>
      <c r="R5" s="2630"/>
      <c r="Y5" s="2630"/>
    </row>
    <row r="6" spans="1:27" ht="15">
      <c r="A6" s="2646" t="s">
        <v>2360</v>
      </c>
      <c r="B6" s="2646"/>
      <c r="C6" s="2647"/>
      <c r="E6" s="2648">
        <f>VLOOKUP(A6,'G-3.06 PF Exec Labor'!$Q$8:$U$25,5,FALSE)</f>
        <v>867670.25</v>
      </c>
      <c r="F6" s="2648">
        <f>VLOOKUP(A6,'G-3.06 PF Exec Labor'!$Q$8:$T$25,4,FALSE)</f>
        <v>164042.01</v>
      </c>
      <c r="G6" s="2648">
        <f t="shared" ref="G6:G20" si="0">E6-F6</f>
        <v>703628.24</v>
      </c>
      <c r="H6" s="2629"/>
      <c r="I6" s="2649">
        <f>VLOOKUP(A6,'G-3.06 PF Exec Labor'!$Q$8:$S$25,3,FALSE)</f>
        <v>702624.08</v>
      </c>
      <c r="J6" s="2649">
        <f>VLOOKUP(A6,'G-3.06 PF Exec Labor'!$Q$8:$R$25,2,FALSE)</f>
        <v>1004.16</v>
      </c>
      <c r="K6" s="2629"/>
      <c r="L6" s="2650">
        <f t="shared" ref="L6:L20" si="1">I6/G6</f>
        <v>0.99857288274842404</v>
      </c>
      <c r="M6" s="2650">
        <f t="shared" ref="M6:M20" si="2">J6/G6</f>
        <v>1.4271172515759173E-3</v>
      </c>
      <c r="Q6" s="2651" t="s">
        <v>1251</v>
      </c>
      <c r="R6" s="2651" t="s">
        <v>1252</v>
      </c>
      <c r="S6" s="2651"/>
      <c r="T6" s="2651"/>
      <c r="U6" s="2651"/>
      <c r="V6" s="477"/>
      <c r="W6" s="2651" t="s">
        <v>1251</v>
      </c>
      <c r="X6" s="2651" t="s">
        <v>1252</v>
      </c>
      <c r="Y6" s="2651"/>
      <c r="Z6" s="2651"/>
      <c r="AA6" s="2651"/>
    </row>
    <row r="7" spans="1:27" ht="15">
      <c r="A7" s="2646" t="s">
        <v>2361</v>
      </c>
      <c r="B7" s="2646"/>
      <c r="C7" s="2647"/>
      <c r="E7" s="2648">
        <f>VLOOKUP(A7,'G-3.06 PF Exec Labor'!$Q$8:$U$25,5,FALSE)</f>
        <v>482015.07</v>
      </c>
      <c r="F7" s="2648">
        <f>VLOOKUP(A7,'G-3.06 PF Exec Labor'!$Q$8:$T$25,4,FALSE)</f>
        <v>121856.96000000001</v>
      </c>
      <c r="G7" s="2648">
        <f t="shared" si="0"/>
        <v>360158.11</v>
      </c>
      <c r="H7" s="2629"/>
      <c r="I7" s="2649">
        <f>VLOOKUP(A7,'G-3.06 PF Exec Labor'!$Q$8:$S$25,3,FALSE)</f>
        <v>339141.5</v>
      </c>
      <c r="J7" s="2649">
        <f>VLOOKUP(A7,'G-3.06 PF Exec Labor'!$Q$8:$R$25,2,FALSE)</f>
        <v>21016.61</v>
      </c>
      <c r="K7" s="2629"/>
      <c r="L7" s="2650">
        <f t="shared" si="1"/>
        <v>0.94164615646167182</v>
      </c>
      <c r="M7" s="2650">
        <f t="shared" si="2"/>
        <v>5.8353843538328211E-2</v>
      </c>
      <c r="Q7" s="2652" t="s">
        <v>1170</v>
      </c>
      <c r="R7" s="2652" t="s">
        <v>1744</v>
      </c>
      <c r="S7" s="2652" t="s">
        <v>1745</v>
      </c>
      <c r="T7" s="2652" t="s">
        <v>377</v>
      </c>
      <c r="U7" s="2652" t="s">
        <v>978</v>
      </c>
      <c r="V7" s="477"/>
      <c r="W7" s="2652" t="s">
        <v>1170</v>
      </c>
      <c r="X7" s="2652" t="s">
        <v>1744</v>
      </c>
      <c r="Y7" s="2652" t="s">
        <v>1745</v>
      </c>
      <c r="Z7" s="2652" t="s">
        <v>377</v>
      </c>
      <c r="AA7" s="2652" t="s">
        <v>978</v>
      </c>
    </row>
    <row r="8" spans="1:27" ht="15">
      <c r="A8" s="2646" t="s">
        <v>2362</v>
      </c>
      <c r="B8" s="2646"/>
      <c r="C8" s="2647"/>
      <c r="E8" s="2648">
        <f>VLOOKUP(A8,'G-3.06 PF Exec Labor'!$Q$8:$U$25,5,FALSE)</f>
        <v>373224.79</v>
      </c>
      <c r="F8" s="2648">
        <f>VLOOKUP(A8,'G-3.06 PF Exec Labor'!$Q$8:$T$25,4,FALSE)</f>
        <v>74901.19</v>
      </c>
      <c r="G8" s="2648">
        <f t="shared" si="0"/>
        <v>298323.59999999998</v>
      </c>
      <c r="H8" s="2629"/>
      <c r="I8" s="2649">
        <f>VLOOKUP(A8,'G-3.06 PF Exec Labor'!$Q$8:$S$25,3,FALSE)</f>
        <v>292996.76</v>
      </c>
      <c r="J8" s="2649">
        <f>VLOOKUP(A8,'G-3.06 PF Exec Labor'!$Q$8:$R$25,2,FALSE)</f>
        <v>5326.84</v>
      </c>
      <c r="K8" s="2629"/>
      <c r="L8" s="2650">
        <f t="shared" si="1"/>
        <v>0.98214408782945783</v>
      </c>
      <c r="M8" s="2650">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5">
      <c r="A9" s="2646" t="s">
        <v>2364</v>
      </c>
      <c r="B9" s="2646"/>
      <c r="C9" s="2647"/>
      <c r="E9" s="2648">
        <f>VLOOKUP(A9,'G-3.06 PF Exec Labor'!$Q$8:$U$25,5,FALSE)</f>
        <v>407033.13</v>
      </c>
      <c r="F9" s="2648">
        <f>VLOOKUP(A9,'G-3.06 PF Exec Labor'!$Q$8:$T$25,4,FALSE)</f>
        <v>63990.87</v>
      </c>
      <c r="G9" s="2648">
        <f t="shared" si="0"/>
        <v>343042.26</v>
      </c>
      <c r="H9" s="2629"/>
      <c r="I9" s="2649">
        <f>VLOOKUP(A9,'G-3.06 PF Exec Labor'!$Q$8:$S$25,3,FALSE)</f>
        <v>342985.17</v>
      </c>
      <c r="J9" s="2649">
        <f>VLOOKUP(A9,'G-3.06 PF Exec Labor'!$Q$8:$R$25,2,FALSE)</f>
        <v>57.09</v>
      </c>
      <c r="K9" s="2629"/>
      <c r="L9" s="2650">
        <f t="shared" si="1"/>
        <v>0.99983357735574607</v>
      </c>
      <c r="M9" s="2650">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5">
      <c r="A10" s="2646" t="s">
        <v>2366</v>
      </c>
      <c r="B10" s="2646"/>
      <c r="C10" s="2647"/>
      <c r="E10" s="2648">
        <f>VLOOKUP(A10,'G-3.06 PF Exec Labor'!$Q$8:$U$25,5,FALSE)</f>
        <v>364061.41</v>
      </c>
      <c r="F10" s="2648">
        <f>VLOOKUP(A10,'G-3.06 PF Exec Labor'!$Q$8:$T$25,4,FALSE)</f>
        <v>59830.75</v>
      </c>
      <c r="G10" s="2648">
        <f t="shared" si="0"/>
        <v>304230.65999999997</v>
      </c>
      <c r="H10" s="2629"/>
      <c r="I10" s="2649">
        <f>VLOOKUP(A10,'G-3.06 PF Exec Labor'!$Q$8:$S$25,3,FALSE)</f>
        <v>299475.77</v>
      </c>
      <c r="J10" s="2649">
        <f>VLOOKUP(A10,'G-3.06 PF Exec Labor'!$Q$8:$R$25,2,FALSE)</f>
        <v>4754.8900000000003</v>
      </c>
      <c r="K10" s="2629"/>
      <c r="L10" s="2650">
        <f t="shared" si="1"/>
        <v>0.98437077314955712</v>
      </c>
      <c r="M10" s="2650">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5">
      <c r="A11" s="2646" t="s">
        <v>2368</v>
      </c>
      <c r="B11" s="2646"/>
      <c r="C11" s="2647"/>
      <c r="E11" s="2648">
        <f>VLOOKUP(A11,'G-3.06 PF Exec Labor'!$Q$8:$U$25,5,FALSE)</f>
        <v>350731.69</v>
      </c>
      <c r="F11" s="2648">
        <f>VLOOKUP(A11,'G-3.06 PF Exec Labor'!$Q$8:$T$25,4,FALSE)</f>
        <v>57808.18</v>
      </c>
      <c r="G11" s="2648">
        <f t="shared" si="0"/>
        <v>292923.51</v>
      </c>
      <c r="H11" s="2629"/>
      <c r="I11" s="2649">
        <f>VLOOKUP(A11,'G-3.06 PF Exec Labor'!$Q$8:$S$25,3,FALSE)</f>
        <v>292923.51</v>
      </c>
      <c r="J11" s="2649">
        <f>VLOOKUP(A11,'G-3.06 PF Exec Labor'!$Q$8:$R$25,2,FALSE)</f>
        <v>0</v>
      </c>
      <c r="K11" s="2629"/>
      <c r="L11" s="2650">
        <f t="shared" si="1"/>
        <v>1</v>
      </c>
      <c r="M11" s="2650">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5">
      <c r="A12" s="2646" t="s">
        <v>2371</v>
      </c>
      <c r="B12" s="2646"/>
      <c r="C12" s="2647"/>
      <c r="E12" s="2648">
        <f>VLOOKUP(A12,'G-3.06 PF Exec Labor'!$Q$8:$U$25,5,FALSE)</f>
        <v>349085.53</v>
      </c>
      <c r="F12" s="2648">
        <f>VLOOKUP(A12,'G-3.06 PF Exec Labor'!$Q$8:$T$25,4,FALSE)</f>
        <v>60309.27</v>
      </c>
      <c r="G12" s="2648">
        <f t="shared" si="0"/>
        <v>288776.26</v>
      </c>
      <c r="H12" s="2629"/>
      <c r="I12" s="2649">
        <f>VLOOKUP(A12,'G-3.06 PF Exec Labor'!$Q$8:$S$25,3,FALSE)</f>
        <v>288776.26</v>
      </c>
      <c r="J12" s="2649">
        <f>VLOOKUP(A12,'G-3.06 PF Exec Labor'!$Q$8:$R$25,2,FALSE)</f>
        <v>0</v>
      </c>
      <c r="K12" s="2629"/>
      <c r="L12" s="2650">
        <f t="shared" si="1"/>
        <v>1</v>
      </c>
      <c r="M12" s="2650">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5">
      <c r="A13" s="2646" t="s">
        <v>2373</v>
      </c>
      <c r="B13" s="2646"/>
      <c r="C13" s="2647"/>
      <c r="E13" s="2648">
        <f>VLOOKUP(A13,'G-3.06 PF Exec Labor'!$Q$8:$U$25,5,FALSE)</f>
        <v>342463.75</v>
      </c>
      <c r="F13" s="2648">
        <f>VLOOKUP(A13,'G-3.06 PF Exec Labor'!$Q$8:$T$25,4,FALSE)</f>
        <v>54522.99</v>
      </c>
      <c r="G13" s="2648">
        <f t="shared" si="0"/>
        <v>287940.76</v>
      </c>
      <c r="H13" s="2629"/>
      <c r="I13" s="2649">
        <f>VLOOKUP(A13,'G-3.06 PF Exec Labor'!$Q$8:$S$25,3,FALSE)</f>
        <v>287711.03999999998</v>
      </c>
      <c r="J13" s="2649">
        <f>VLOOKUP(A13,'G-3.06 PF Exec Labor'!$Q$8:$R$25,2,FALSE)</f>
        <v>229.72</v>
      </c>
      <c r="K13" s="2629"/>
      <c r="L13" s="2650">
        <f t="shared" si="1"/>
        <v>0.99920219700746771</v>
      </c>
      <c r="M13" s="2650">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5">
      <c r="A14" s="2646" t="s">
        <v>2375</v>
      </c>
      <c r="B14" s="2646"/>
      <c r="C14" s="2647"/>
      <c r="E14" s="2648">
        <f>VLOOKUP(A14,'G-3.06 PF Exec Labor'!$Q$8:$U$25,5,FALSE)</f>
        <v>271702.27</v>
      </c>
      <c r="F14" s="2648">
        <f>VLOOKUP(A14,'G-3.06 PF Exec Labor'!$Q$8:$T$25,4,FALSE)</f>
        <v>42713.47</v>
      </c>
      <c r="G14" s="2648">
        <f t="shared" si="0"/>
        <v>228988.80000000002</v>
      </c>
      <c r="H14" s="2629"/>
      <c r="I14" s="2649">
        <f>VLOOKUP(A14,'G-3.06 PF Exec Labor'!$Q$8:$S$25,3,FALSE)</f>
        <v>214931.81</v>
      </c>
      <c r="J14" s="2649">
        <f>VLOOKUP(A14,'G-3.06 PF Exec Labor'!$Q$8:$R$25,2,FALSE)</f>
        <v>14056.99</v>
      </c>
      <c r="K14" s="2629"/>
      <c r="L14" s="2650">
        <f t="shared" si="1"/>
        <v>0.93861276184686748</v>
      </c>
      <c r="M14" s="2650">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5">
      <c r="A15" s="2646" t="s">
        <v>2369</v>
      </c>
      <c r="B15" s="2646"/>
      <c r="C15" s="2647"/>
      <c r="E15" s="2648">
        <f>VLOOKUP(A15,'G-3.06 PF Exec Labor'!$Q$8:$U$25,5,FALSE)</f>
        <v>382967.79</v>
      </c>
      <c r="F15" s="2648">
        <f>VLOOKUP(A15,'G-3.06 PF Exec Labor'!$Q$8:$T$25,4,FALSE)</f>
        <v>39180.699999999997</v>
      </c>
      <c r="G15" s="2648">
        <f t="shared" si="0"/>
        <v>343787.08999999997</v>
      </c>
      <c r="H15" s="2629"/>
      <c r="I15" s="2649">
        <f>VLOOKUP(A15,'G-3.06 PF Exec Labor'!$Q$8:$S$25,3,FALSE)</f>
        <v>322477.02</v>
      </c>
      <c r="J15" s="2649">
        <f>VLOOKUP(A15,'G-3.06 PF Exec Labor'!$Q$8:$R$25,2,FALSE)</f>
        <v>21310.07</v>
      </c>
      <c r="K15" s="2629"/>
      <c r="L15" s="2650">
        <f t="shared" si="1"/>
        <v>0.93801375729379499</v>
      </c>
      <c r="M15" s="2650">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5">
      <c r="A16" s="2646" t="s">
        <v>2378</v>
      </c>
      <c r="B16" s="2646"/>
      <c r="C16" s="2647"/>
      <c r="E16" s="2648">
        <f>VLOOKUP(A16,'G-3.06 PF Exec Labor'!$Q$8:$U$25,5,FALSE)</f>
        <v>229894.75</v>
      </c>
      <c r="F16" s="2648">
        <f>VLOOKUP(A16,'G-3.06 PF Exec Labor'!$Q$8:$T$25,4,FALSE)</f>
        <v>51601.919999999998</v>
      </c>
      <c r="G16" s="2648">
        <f t="shared" si="0"/>
        <v>178292.83000000002</v>
      </c>
      <c r="H16" s="2629"/>
      <c r="I16" s="2649">
        <f>VLOOKUP(A16,'G-3.06 PF Exec Labor'!$Q$8:$S$25,3,FALSE)</f>
        <v>48003.42</v>
      </c>
      <c r="J16" s="2649">
        <f>VLOOKUP(A16,'G-3.06 PF Exec Labor'!$Q$8:$R$25,2,FALSE)</f>
        <v>130289.41</v>
      </c>
      <c r="K16" s="2629"/>
      <c r="L16" s="2650">
        <f t="shared" si="1"/>
        <v>0.26923920608585322</v>
      </c>
      <c r="M16" s="2650">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5">
      <c r="A17" s="2653" t="s">
        <v>2380</v>
      </c>
      <c r="B17" s="2646"/>
      <c r="C17" s="2647"/>
      <c r="E17" s="2648">
        <f>VLOOKUP(A17,'G-3.06 PF Exec Labor'!$Q$8:$U$25,5,FALSE)</f>
        <v>228566.13</v>
      </c>
      <c r="F17" s="2648">
        <f>VLOOKUP(A17,'G-3.06 PF Exec Labor'!$Q$8:$T$25,4,FALSE)</f>
        <v>37897.4</v>
      </c>
      <c r="G17" s="2648">
        <f t="shared" si="0"/>
        <v>190668.73</v>
      </c>
      <c r="H17" s="2629"/>
      <c r="I17" s="2649">
        <f>VLOOKUP(A17,'G-3.06 PF Exec Labor'!$Q$8:$S$25,3,FALSE)</f>
        <v>190668.73</v>
      </c>
      <c r="J17" s="2649">
        <f>VLOOKUP(A17,'G-3.06 PF Exec Labor'!$Q$8:$R$25,2,FALSE)</f>
        <v>0</v>
      </c>
      <c r="K17" s="2629"/>
      <c r="L17" s="2650">
        <f t="shared" si="1"/>
        <v>1</v>
      </c>
      <c r="M17" s="2650">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5">
      <c r="A18" s="2653" t="s">
        <v>2382</v>
      </c>
      <c r="C18" s="2647"/>
      <c r="E18" s="2648">
        <f>VLOOKUP(A18,'G-3.06 PF Exec Labor'!$Q$8:$U$25,5,FALSE)</f>
        <v>199186.14</v>
      </c>
      <c r="F18" s="2648">
        <f>VLOOKUP(A18,'G-3.06 PF Exec Labor'!$Q$8:$T$25,4,FALSE)</f>
        <v>31898.84</v>
      </c>
      <c r="G18" s="2648">
        <f t="shared" si="0"/>
        <v>167287.30000000002</v>
      </c>
      <c r="I18" s="2649">
        <f>VLOOKUP(A18,'G-3.06 PF Exec Labor'!$Q$8:$S$25,3,FALSE)</f>
        <v>167287.29999999999</v>
      </c>
      <c r="J18" s="2649">
        <f>VLOOKUP(A18,'G-3.06 PF Exec Labor'!$Q$8:$R$25,2,FALSE)</f>
        <v>0</v>
      </c>
      <c r="L18" s="2650">
        <f t="shared" si="1"/>
        <v>0.99999999999999978</v>
      </c>
      <c r="M18" s="2650">
        <f t="shared" si="2"/>
        <v>0</v>
      </c>
      <c r="Q18" s="182" t="s">
        <v>2378</v>
      </c>
      <c r="R18" s="924">
        <v>130289.41</v>
      </c>
      <c r="S18" s="1082">
        <v>48003.42</v>
      </c>
      <c r="T18" s="1082">
        <v>51601.919999999998</v>
      </c>
      <c r="U18" s="1082">
        <v>229894.75</v>
      </c>
      <c r="W18" s="2654" t="s">
        <v>978</v>
      </c>
      <c r="X18" s="2655">
        <v>402820.78</v>
      </c>
      <c r="Y18" s="2655">
        <v>3814088.14</v>
      </c>
      <c r="Z18" s="2656">
        <v>911996.36</v>
      </c>
      <c r="AA18" s="2655">
        <v>5128905.28</v>
      </c>
    </row>
    <row r="19" spans="1:27" ht="15">
      <c r="A19" s="2653" t="s">
        <v>2383</v>
      </c>
      <c r="B19" s="2646"/>
      <c r="C19" s="2647"/>
      <c r="E19" s="2648">
        <f>VLOOKUP(A19,'G-3.06 PF Exec Labor'!$Q$8:$U$25,5,FALSE)</f>
        <v>163687.14000000001</v>
      </c>
      <c r="F19" s="2648">
        <f>VLOOKUP(A19,'G-3.06 PF Exec Labor'!$Q$8:$T$25,4,FALSE)</f>
        <v>51441.81</v>
      </c>
      <c r="G19" s="2648">
        <f t="shared" si="0"/>
        <v>112245.33000000002</v>
      </c>
      <c r="H19" s="2629"/>
      <c r="I19" s="2649">
        <f>VLOOKUP(A19,'G-3.06 PF Exec Labor'!$Q$8:$S$25,3,FALSE)</f>
        <v>7470.33</v>
      </c>
      <c r="J19" s="2649">
        <f>VLOOKUP(A19,'G-3.06 PF Exec Labor'!$Q$8:$R$25,2,FALSE)</f>
        <v>104775</v>
      </c>
      <c r="K19" s="2629"/>
      <c r="L19" s="2650">
        <f t="shared" si="1"/>
        <v>6.6553592920079604E-2</v>
      </c>
      <c r="M19" s="2650">
        <f t="shared" si="2"/>
        <v>0.93344640707992022</v>
      </c>
      <c r="N19" s="477" t="s">
        <v>2384</v>
      </c>
      <c r="Q19" s="182" t="s">
        <v>2380</v>
      </c>
      <c r="R19" s="924"/>
      <c r="S19" s="1082">
        <v>190668.73</v>
      </c>
      <c r="T19" s="1082">
        <v>37897.4</v>
      </c>
      <c r="U19" s="1082">
        <v>228566.13</v>
      </c>
      <c r="W19" s="477"/>
      <c r="X19" s="477"/>
      <c r="Y19" s="477"/>
      <c r="Z19" s="477"/>
      <c r="AA19" s="477"/>
    </row>
    <row r="20" spans="1:27" ht="15">
      <c r="A20" s="2653" t="s">
        <v>2385</v>
      </c>
      <c r="B20" s="2646"/>
      <c r="C20" s="2647"/>
      <c r="E20" s="2648">
        <f>VLOOKUP(A20,'G-3.06 PF Exec Labor'!$Q$8:$U$25,5,FALSE)</f>
        <v>116615.44</v>
      </c>
      <c r="F20" s="2648">
        <f>VLOOKUP(A20,'G-3.06 PF Exec Labor'!$Q$8:$T$25,4,FALSE)</f>
        <v>0</v>
      </c>
      <c r="G20" s="2648">
        <f t="shared" si="0"/>
        <v>116615.44</v>
      </c>
      <c r="H20" s="2629"/>
      <c r="I20" s="2649">
        <f>VLOOKUP(A20,'G-3.06 PF Exec Labor'!$Q$8:$S$25,3,FALSE)</f>
        <v>16615.439999999999</v>
      </c>
      <c r="J20" s="2649">
        <f>VLOOKUP(A20,'G-3.06 PF Exec Labor'!$Q$8:$R$25,2,FALSE)</f>
        <v>100000</v>
      </c>
      <c r="K20" s="2629"/>
      <c r="L20" s="2650">
        <f t="shared" si="1"/>
        <v>0.14248061834693587</v>
      </c>
      <c r="M20" s="2650">
        <f t="shared" si="2"/>
        <v>0.85751938165306407</v>
      </c>
      <c r="Q20" s="182" t="s">
        <v>2382</v>
      </c>
      <c r="R20" s="924"/>
      <c r="S20" s="1082">
        <v>167287.29999999999</v>
      </c>
      <c r="T20" s="1082">
        <v>31898.84</v>
      </c>
      <c r="U20" s="1082">
        <v>199186.14</v>
      </c>
      <c r="W20" s="477"/>
      <c r="X20" s="477"/>
      <c r="Y20" s="477"/>
      <c r="Z20" s="477"/>
      <c r="AA20" s="477"/>
    </row>
    <row r="21" spans="1:27" ht="15">
      <c r="A21" s="2629"/>
      <c r="B21" s="2629"/>
      <c r="C21" s="2629"/>
      <c r="E21" s="2629"/>
      <c r="F21" s="2629"/>
      <c r="G21" s="2629"/>
      <c r="H21" s="2629"/>
      <c r="I21" s="2629"/>
      <c r="J21" s="2629"/>
      <c r="K21" s="2629"/>
      <c r="L21" s="2650"/>
      <c r="M21" s="2650"/>
      <c r="Q21" s="182" t="s">
        <v>2383</v>
      </c>
      <c r="R21" s="924">
        <v>104775</v>
      </c>
      <c r="S21" s="1082">
        <v>7470.33</v>
      </c>
      <c r="T21" s="1082">
        <v>51441.81</v>
      </c>
      <c r="U21" s="1082">
        <v>163687.14000000001</v>
      </c>
      <c r="W21" s="477"/>
      <c r="X21" s="477"/>
      <c r="Y21" s="477"/>
      <c r="Z21" s="477"/>
      <c r="AA21" s="477"/>
    </row>
    <row r="22" spans="1:27" ht="15">
      <c r="A22" s="2646"/>
      <c r="B22" s="2646"/>
      <c r="C22" s="2646"/>
      <c r="E22" s="2657">
        <f>SUM(E6:E20)</f>
        <v>5128905.2799999993</v>
      </c>
      <c r="F22" s="2658">
        <f>SUM(F6:F20)</f>
        <v>911996.3600000001</v>
      </c>
      <c r="G22" s="2658">
        <f>SUM(G6:G20)</f>
        <v>4216908.919999999</v>
      </c>
      <c r="H22" s="2629"/>
      <c r="I22" s="2658">
        <f>SUM(I6:I21)</f>
        <v>3814088.1399999997</v>
      </c>
      <c r="J22" s="2658">
        <f>SUM(J6:J21)</f>
        <v>402820.78</v>
      </c>
      <c r="K22" s="2629"/>
      <c r="L22" s="2659">
        <f>I22/G22</f>
        <v>0.90447486828812051</v>
      </c>
      <c r="M22" s="2659">
        <f>J22/G22</f>
        <v>9.5525131711879638E-2</v>
      </c>
      <c r="N22" s="879"/>
      <c r="Q22" s="182" t="s">
        <v>2385</v>
      </c>
      <c r="R22" s="924">
        <v>100000</v>
      </c>
      <c r="S22" s="1082">
        <v>16615.439999999999</v>
      </c>
      <c r="T22" s="1082"/>
      <c r="U22" s="1082">
        <v>116615.44</v>
      </c>
    </row>
    <row r="23" spans="1:27" ht="15">
      <c r="A23" s="2660">
        <f>COUNTA(A6:A20)</f>
        <v>15</v>
      </c>
      <c r="B23" s="2660"/>
      <c r="C23" s="2660"/>
      <c r="E23" s="2661">
        <f>AA18</f>
        <v>5128905.28</v>
      </c>
      <c r="F23" s="2650">
        <f>F22/E22</f>
        <v>0.17781501318737558</v>
      </c>
      <c r="G23" s="2660"/>
      <c r="H23" s="2629"/>
      <c r="I23" s="2662">
        <f>Y18</f>
        <v>3814088.14</v>
      </c>
      <c r="J23" s="2662">
        <f>X18</f>
        <v>402820.78</v>
      </c>
      <c r="K23" s="2629"/>
      <c r="L23" s="2629"/>
      <c r="M23" s="2629"/>
      <c r="N23" s="879"/>
      <c r="Q23" s="2654" t="s">
        <v>978</v>
      </c>
      <c r="R23" s="2656">
        <v>402821</v>
      </c>
      <c r="S23" s="2656">
        <v>3814088.14</v>
      </c>
      <c r="T23" s="2656">
        <v>911996.36</v>
      </c>
      <c r="U23" s="2656">
        <v>5128905.28</v>
      </c>
    </row>
    <row r="24" spans="1:27" ht="15.75" thickBot="1">
      <c r="A24" s="2660"/>
      <c r="B24" s="2660"/>
      <c r="C24" s="2660"/>
      <c r="D24" s="2660"/>
      <c r="E24" s="2660"/>
      <c r="F24" s="2660"/>
      <c r="G24" s="2660"/>
      <c r="H24" s="2629"/>
      <c r="I24" s="2629"/>
      <c r="J24" s="2629"/>
      <c r="K24" s="2629"/>
      <c r="L24" s="2629"/>
      <c r="M24" s="2629"/>
      <c r="Q24" s="182"/>
      <c r="R24" s="924"/>
      <c r="S24" s="1082"/>
      <c r="T24" s="1082"/>
      <c r="U24" s="1082"/>
    </row>
    <row r="25" spans="1:27" ht="15.75" thickBot="1">
      <c r="A25" s="2663" t="s">
        <v>2386</v>
      </c>
      <c r="B25" s="2664"/>
      <c r="C25" s="2664"/>
      <c r="D25" s="2664"/>
      <c r="E25" s="2664"/>
      <c r="F25" s="2664"/>
      <c r="G25" s="2664"/>
      <c r="H25" s="2664"/>
      <c r="I25" s="2664"/>
      <c r="J25" s="2664"/>
      <c r="K25" s="2664"/>
      <c r="L25" s="2664"/>
      <c r="M25" s="2665"/>
      <c r="Q25" s="182"/>
      <c r="R25" s="924"/>
      <c r="S25" s="1082"/>
      <c r="T25" s="1082"/>
      <c r="U25" s="1082"/>
    </row>
    <row r="26" spans="1:27" ht="15">
      <c r="A26" s="2660"/>
      <c r="B26" s="2660"/>
      <c r="C26" s="2660"/>
      <c r="D26" s="2660"/>
      <c r="E26" s="2666">
        <v>3.5000000000000003E-2</v>
      </c>
      <c r="F26" s="2660"/>
      <c r="G26" s="2660"/>
      <c r="H26" s="2629"/>
      <c r="I26" s="2629"/>
      <c r="J26" s="2629"/>
      <c r="K26" s="2629"/>
      <c r="L26" s="2629"/>
      <c r="M26" s="2629"/>
      <c r="Q26" s="1569" t="s">
        <v>679</v>
      </c>
      <c r="R26" s="1569" t="s">
        <v>1701</v>
      </c>
    </row>
    <row r="27" spans="1:27" ht="15">
      <c r="A27" s="2632"/>
      <c r="B27" s="2632"/>
      <c r="C27" s="2632"/>
      <c r="D27" s="2667" t="s">
        <v>2387</v>
      </c>
      <c r="E27" s="2667" t="s">
        <v>2388</v>
      </c>
      <c r="F27" s="2633" t="s">
        <v>2389</v>
      </c>
      <c r="G27" s="2633" t="s">
        <v>123</v>
      </c>
      <c r="H27" s="2629"/>
      <c r="I27" s="2668" t="s">
        <v>1183</v>
      </c>
      <c r="J27" s="2669"/>
      <c r="K27" s="2629"/>
      <c r="L27" s="2670" t="s">
        <v>772</v>
      </c>
      <c r="M27" s="2671"/>
      <c r="Q27" s="1569" t="s">
        <v>2340</v>
      </c>
      <c r="R27" s="1569" t="s">
        <v>1759</v>
      </c>
      <c r="Y27" s="477"/>
      <c r="Z27" s="477"/>
    </row>
    <row r="28" spans="1:27" ht="30">
      <c r="A28" s="2632" t="s">
        <v>432</v>
      </c>
      <c r="B28" s="2632"/>
      <c r="C28" s="2632"/>
      <c r="D28" s="2667" t="s">
        <v>2390</v>
      </c>
      <c r="E28" s="2667" t="s">
        <v>2391</v>
      </c>
      <c r="F28" s="2672" t="s">
        <v>2357</v>
      </c>
      <c r="G28" s="2672" t="s">
        <v>2358</v>
      </c>
      <c r="H28" s="2629"/>
      <c r="I28" s="2644" t="s">
        <v>2359</v>
      </c>
      <c r="J28" s="2645" t="s">
        <v>444</v>
      </c>
      <c r="K28" s="2629"/>
      <c r="L28" s="2644" t="s">
        <v>2359</v>
      </c>
      <c r="M28" s="2645" t="s">
        <v>444</v>
      </c>
      <c r="Q28" s="1570" t="s">
        <v>1758</v>
      </c>
      <c r="R28" s="1570" t="s">
        <v>1745</v>
      </c>
      <c r="Y28" s="477"/>
      <c r="Z28" s="477"/>
    </row>
    <row r="29" spans="1:27" ht="15">
      <c r="A29" s="2646" t="str">
        <f t="shared" ref="A29:A43" si="3">+A6</f>
        <v>88740</v>
      </c>
      <c r="B29" s="2673"/>
      <c r="C29" s="2647"/>
      <c r="D29" s="2674">
        <v>884000</v>
      </c>
      <c r="E29" s="2674">
        <f>+D29*(1+$E$26)</f>
        <v>914939.99999999988</v>
      </c>
      <c r="F29" s="2648">
        <f t="shared" ref="F29:F43" si="4">((VLOOKUP(A29,$A$6:$F$20,6,FALSE))/(VLOOKUP(A29,$A$6:$E$20,5,FALSE)))*E29</f>
        <v>172978.84378241617</v>
      </c>
      <c r="G29" s="2648">
        <f t="shared" ref="G29:G43" si="5">E29-F29</f>
        <v>741961.15621758369</v>
      </c>
      <c r="H29" s="2629"/>
      <c r="I29" s="2675">
        <f t="shared" ref="I29:I43" si="6">G29*L29</f>
        <v>740902.29065154633</v>
      </c>
      <c r="J29" s="2675">
        <f t="shared" ref="J29:J43" si="7">G29*M29</f>
        <v>741.96115621758372</v>
      </c>
      <c r="K29" s="2629"/>
      <c r="L29" s="2650">
        <f t="shared" ref="L29:L42" si="8">VLOOKUP(A29,$A$6:$L$20,12,FALSE)</f>
        <v>0.99857288274842404</v>
      </c>
      <c r="M29" s="2650">
        <f t="shared" ref="M29:M43" si="9">ROUND(1-L29,3)</f>
        <v>1E-3</v>
      </c>
      <c r="R29" s="2630"/>
      <c r="Y29" s="477"/>
      <c r="Z29" s="477"/>
    </row>
    <row r="30" spans="1:27" ht="39">
      <c r="A30" s="2646" t="str">
        <f t="shared" si="3"/>
        <v>03512</v>
      </c>
      <c r="B30" s="2673"/>
      <c r="C30" s="2647"/>
      <c r="D30" s="2674">
        <v>495000</v>
      </c>
      <c r="E30" s="2674">
        <v>0</v>
      </c>
      <c r="F30" s="2648">
        <f t="shared" si="4"/>
        <v>0</v>
      </c>
      <c r="G30" s="2648">
        <f t="shared" si="5"/>
        <v>0</v>
      </c>
      <c r="H30" s="2629"/>
      <c r="I30" s="2675">
        <f t="shared" si="6"/>
        <v>0</v>
      </c>
      <c r="J30" s="2675">
        <f t="shared" si="7"/>
        <v>0</v>
      </c>
      <c r="K30" s="2629"/>
      <c r="L30" s="2650">
        <f t="shared" si="8"/>
        <v>0.94164615646167182</v>
      </c>
      <c r="M30" s="2650">
        <f t="shared" si="9"/>
        <v>5.8000000000000003E-2</v>
      </c>
      <c r="Q30" s="2652" t="s">
        <v>1170</v>
      </c>
      <c r="R30" s="2676" t="s">
        <v>2332</v>
      </c>
      <c r="S30" s="2676" t="s">
        <v>2274</v>
      </c>
      <c r="T30" s="2676" t="s">
        <v>2392</v>
      </c>
      <c r="U30" s="2676" t="s">
        <v>1251</v>
      </c>
      <c r="Y30" s="2630"/>
    </row>
    <row r="31" spans="1:27" ht="15">
      <c r="A31" s="2646" t="str">
        <f t="shared" si="3"/>
        <v>85931</v>
      </c>
      <c r="B31" s="2673"/>
      <c r="C31" s="2647"/>
      <c r="D31" s="2674">
        <v>392000</v>
      </c>
      <c r="E31" s="2674">
        <f>+D31*(1+$E$26)</f>
        <v>405719.99999999994</v>
      </c>
      <c r="F31" s="2648">
        <f t="shared" si="4"/>
        <v>81422.541109340556</v>
      </c>
      <c r="G31" s="2648">
        <f t="shared" si="5"/>
        <v>324297.45889065939</v>
      </c>
      <c r="H31" s="2629"/>
      <c r="I31" s="2675">
        <f t="shared" si="6"/>
        <v>318506.83194757777</v>
      </c>
      <c r="J31" s="2675">
        <f t="shared" si="7"/>
        <v>5837.3542600318688</v>
      </c>
      <c r="K31" s="2629"/>
      <c r="L31" s="2650">
        <f t="shared" si="8"/>
        <v>0.98214408782945783</v>
      </c>
      <c r="M31" s="2650">
        <f t="shared" si="9"/>
        <v>1.7999999999999999E-2</v>
      </c>
      <c r="Q31" s="182">
        <v>880000</v>
      </c>
      <c r="R31" s="1082"/>
      <c r="S31" s="1082">
        <v>416</v>
      </c>
      <c r="T31" s="1082">
        <v>187</v>
      </c>
      <c r="U31" s="1082">
        <v>602.77</v>
      </c>
      <c r="Y31" s="477"/>
      <c r="Z31" s="477"/>
      <c r="AA31" s="477"/>
    </row>
    <row r="32" spans="1:27" ht="15">
      <c r="A32" s="2646" t="str">
        <f t="shared" si="3"/>
        <v>05320</v>
      </c>
      <c r="B32" s="2673"/>
      <c r="C32" s="2647"/>
      <c r="D32" s="2674">
        <v>500000</v>
      </c>
      <c r="E32" s="2674">
        <f>+D32*(1+$E$26)</f>
        <v>517499.99999999994</v>
      </c>
      <c r="F32" s="2648">
        <f t="shared" si="4"/>
        <v>81357.690036189437</v>
      </c>
      <c r="G32" s="2648">
        <f t="shared" si="5"/>
        <v>436142.30996381049</v>
      </c>
      <c r="H32" s="2629"/>
      <c r="I32" s="2675">
        <f t="shared" si="6"/>
        <v>436069.72600731527</v>
      </c>
      <c r="J32" s="2675">
        <f t="shared" si="7"/>
        <v>0</v>
      </c>
      <c r="K32" s="2629"/>
      <c r="L32" s="2650">
        <f t="shared" si="8"/>
        <v>0.99983357735574607</v>
      </c>
      <c r="M32" s="2650">
        <f t="shared" si="9"/>
        <v>0</v>
      </c>
      <c r="Q32" s="182">
        <v>920000</v>
      </c>
      <c r="R32" s="1082">
        <v>2176015</v>
      </c>
      <c r="S32" s="1082">
        <v>632915</v>
      </c>
      <c r="T32" s="1082">
        <v>282222</v>
      </c>
      <c r="U32" s="1082">
        <v>3091151.89</v>
      </c>
      <c r="Y32" s="477"/>
      <c r="Z32" s="477"/>
      <c r="AA32" s="477"/>
    </row>
    <row r="33" spans="1:27" ht="15">
      <c r="A33" s="2646" t="str">
        <f t="shared" si="3"/>
        <v>02552</v>
      </c>
      <c r="B33" s="2673"/>
      <c r="C33" s="2647"/>
      <c r="D33" s="2674">
        <v>400000</v>
      </c>
      <c r="E33" s="2674">
        <f>+D33*(1+$E$26)</f>
        <v>413999.99999999994</v>
      </c>
      <c r="F33" s="2648">
        <f t="shared" si="4"/>
        <v>68037.781043588213</v>
      </c>
      <c r="G33" s="2648">
        <f t="shared" si="5"/>
        <v>345962.2189564117</v>
      </c>
      <c r="H33" s="2629"/>
      <c r="I33" s="2675">
        <f t="shared" si="6"/>
        <v>340555.09695465933</v>
      </c>
      <c r="J33" s="2675">
        <f t="shared" si="7"/>
        <v>5535.3955033025877</v>
      </c>
      <c r="K33" s="2629"/>
      <c r="L33" s="2650">
        <f t="shared" si="8"/>
        <v>0.98437077314955712</v>
      </c>
      <c r="M33" s="2650">
        <f t="shared" si="9"/>
        <v>1.6E-2</v>
      </c>
      <c r="Q33" s="182">
        <v>928000</v>
      </c>
      <c r="R33" s="1082">
        <v>74050</v>
      </c>
      <c r="S33" s="1082">
        <v>20599</v>
      </c>
      <c r="T33" s="1082">
        <v>12183</v>
      </c>
      <c r="U33" s="1082">
        <v>106831.52</v>
      </c>
      <c r="Y33" s="477"/>
      <c r="Z33" s="477"/>
      <c r="AA33" s="477"/>
    </row>
    <row r="34" spans="1:27" ht="15">
      <c r="A34" s="2646" t="str">
        <f t="shared" si="3"/>
        <v>00365</v>
      </c>
      <c r="B34" s="2673"/>
      <c r="C34" s="2647"/>
      <c r="D34" s="2674">
        <v>336000</v>
      </c>
      <c r="E34" s="2674">
        <f>+D34*(1+$E$26)</f>
        <v>347760</v>
      </c>
      <c r="F34" s="2648">
        <f t="shared" si="4"/>
        <v>57318.381115775424</v>
      </c>
      <c r="G34" s="2648">
        <f t="shared" si="5"/>
        <v>290441.61888422456</v>
      </c>
      <c r="H34" s="2629"/>
      <c r="I34" s="2675">
        <f t="shared" si="6"/>
        <v>290441.61888422456</v>
      </c>
      <c r="J34" s="2675">
        <f t="shared" si="7"/>
        <v>0</v>
      </c>
      <c r="K34" s="2629"/>
      <c r="L34" s="2650">
        <f t="shared" si="8"/>
        <v>1</v>
      </c>
      <c r="M34" s="2650">
        <f t="shared" si="9"/>
        <v>0</v>
      </c>
      <c r="Q34" s="182">
        <v>921000</v>
      </c>
      <c r="R34" s="1082">
        <v>1732</v>
      </c>
      <c r="S34" s="1082">
        <v>496</v>
      </c>
      <c r="T34" s="1082">
        <v>222</v>
      </c>
      <c r="U34" s="1082">
        <v>2449.92</v>
      </c>
      <c r="Y34" s="477"/>
      <c r="Z34" s="477"/>
      <c r="AA34" s="477"/>
    </row>
    <row r="35" spans="1:27" ht="15">
      <c r="A35" s="2646" t="str">
        <f t="shared" si="3"/>
        <v>45464</v>
      </c>
      <c r="B35" s="2673"/>
      <c r="C35" s="2647"/>
      <c r="D35" s="2674">
        <v>340000</v>
      </c>
      <c r="E35" s="2674">
        <v>0</v>
      </c>
      <c r="F35" s="2648">
        <f t="shared" si="4"/>
        <v>0</v>
      </c>
      <c r="G35" s="2648">
        <f t="shared" si="5"/>
        <v>0</v>
      </c>
      <c r="H35" s="2629"/>
      <c r="I35" s="2675">
        <f t="shared" si="6"/>
        <v>0</v>
      </c>
      <c r="J35" s="2675">
        <f t="shared" si="7"/>
        <v>0</v>
      </c>
      <c r="K35" s="2629"/>
      <c r="L35" s="2650">
        <f t="shared" si="8"/>
        <v>1</v>
      </c>
      <c r="M35" s="2650">
        <f t="shared" si="9"/>
        <v>0</v>
      </c>
      <c r="N35" s="478" t="s">
        <v>2393</v>
      </c>
      <c r="Q35" s="182">
        <v>557000</v>
      </c>
      <c r="R35" s="1082">
        <v>275588</v>
      </c>
      <c r="S35" s="1082"/>
      <c r="T35" s="1082"/>
      <c r="U35" s="1082">
        <v>275587.59000000003</v>
      </c>
      <c r="Y35" s="477"/>
      <c r="Z35" s="477"/>
      <c r="AA35" s="477"/>
    </row>
    <row r="36" spans="1:27" ht="15">
      <c r="A36" s="2646" t="str">
        <f t="shared" si="3"/>
        <v>00107</v>
      </c>
      <c r="B36" s="2673"/>
      <c r="C36" s="2647"/>
      <c r="D36" s="2674">
        <v>360000</v>
      </c>
      <c r="E36" s="2674">
        <f t="shared" ref="E36:E43" si="10">+D36*(1+$E$26)</f>
        <v>372600</v>
      </c>
      <c r="F36" s="2648">
        <f t="shared" si="4"/>
        <v>59320.923963485191</v>
      </c>
      <c r="G36" s="2648">
        <f t="shared" si="5"/>
        <v>313279.07603651483</v>
      </c>
      <c r="H36" s="2629"/>
      <c r="I36" s="2675">
        <f t="shared" si="6"/>
        <v>313029.14105215517</v>
      </c>
      <c r="J36" s="2675">
        <f t="shared" si="7"/>
        <v>313.27907603651482</v>
      </c>
      <c r="K36" s="2629"/>
      <c r="L36" s="2650">
        <f t="shared" si="8"/>
        <v>0.99920219700746771</v>
      </c>
      <c r="M36" s="2650">
        <f t="shared" si="9"/>
        <v>1E-3</v>
      </c>
      <c r="Q36" s="182">
        <v>535000</v>
      </c>
      <c r="R36" s="1082">
        <v>2659</v>
      </c>
      <c r="S36" s="1082"/>
      <c r="T36" s="1082"/>
      <c r="U36" s="1082">
        <v>2658.65</v>
      </c>
      <c r="Y36" s="477"/>
      <c r="Z36" s="477"/>
      <c r="AA36" s="477"/>
    </row>
    <row r="37" spans="1:27" ht="15">
      <c r="A37" s="2646" t="str">
        <f t="shared" si="3"/>
        <v>01750</v>
      </c>
      <c r="B37" s="2673"/>
      <c r="C37" s="2647"/>
      <c r="D37" s="2674">
        <v>277000</v>
      </c>
      <c r="E37" s="2674">
        <f t="shared" si="10"/>
        <v>286695</v>
      </c>
      <c r="F37" s="2648">
        <f t="shared" si="4"/>
        <v>45070.430518118228</v>
      </c>
      <c r="G37" s="2648">
        <f t="shared" si="5"/>
        <v>241624.56948188177</v>
      </c>
      <c r="H37" s="2629"/>
      <c r="I37" s="2675">
        <f t="shared" si="6"/>
        <v>226791.90449144939</v>
      </c>
      <c r="J37" s="2675">
        <f t="shared" si="7"/>
        <v>14739.098738394789</v>
      </c>
      <c r="K37" s="2629"/>
      <c r="L37" s="2650">
        <f t="shared" si="8"/>
        <v>0.93861276184686748</v>
      </c>
      <c r="M37" s="2650">
        <f t="shared" si="9"/>
        <v>6.0999999999999999E-2</v>
      </c>
      <c r="Q37" s="182">
        <v>813000</v>
      </c>
      <c r="R37" s="1082"/>
      <c r="S37" s="1082">
        <v>132562</v>
      </c>
      <c r="T37" s="1082">
        <v>59838</v>
      </c>
      <c r="U37" s="1082">
        <v>192400.04</v>
      </c>
      <c r="Y37" s="477"/>
      <c r="Z37" s="477"/>
      <c r="AA37" s="477"/>
    </row>
    <row r="38" spans="1:27" ht="15">
      <c r="A38" s="2646" t="str">
        <f t="shared" si="3"/>
        <v>04682</v>
      </c>
      <c r="B38" s="2673"/>
      <c r="C38" s="2647"/>
      <c r="D38" s="2674">
        <v>411000</v>
      </c>
      <c r="E38" s="2674">
        <f t="shared" si="10"/>
        <v>425384.99999999994</v>
      </c>
      <c r="F38" s="2648">
        <f t="shared" si="4"/>
        <v>43520.323391948958</v>
      </c>
      <c r="G38" s="2648">
        <f t="shared" si="5"/>
        <v>381864.676608051</v>
      </c>
      <c r="H38" s="2629"/>
      <c r="I38" s="2675">
        <f t="shared" si="6"/>
        <v>358194.32008289784</v>
      </c>
      <c r="J38" s="2675">
        <f t="shared" si="7"/>
        <v>23675.609949699163</v>
      </c>
      <c r="K38" s="2629"/>
      <c r="L38" s="2650">
        <f t="shared" si="8"/>
        <v>0.93801375729379499</v>
      </c>
      <c r="M38" s="2650">
        <f t="shared" si="9"/>
        <v>6.2E-2</v>
      </c>
      <c r="Q38" s="182">
        <v>930200</v>
      </c>
      <c r="R38" s="1082">
        <v>28951</v>
      </c>
      <c r="S38" s="1082">
        <v>8417</v>
      </c>
      <c r="T38" s="1082">
        <v>3754</v>
      </c>
      <c r="U38" s="1082">
        <v>41121.620000000003</v>
      </c>
      <c r="Y38" s="477"/>
      <c r="Z38" s="477"/>
      <c r="AA38" s="477"/>
    </row>
    <row r="39" spans="1:27" ht="15">
      <c r="A39" s="2646" t="str">
        <f t="shared" si="3"/>
        <v>02284</v>
      </c>
      <c r="B39" s="2673"/>
      <c r="C39" s="2647"/>
      <c r="D39" s="2674">
        <v>335000</v>
      </c>
      <c r="E39" s="2674">
        <f t="shared" si="10"/>
        <v>346725</v>
      </c>
      <c r="F39" s="2648">
        <f t="shared" si="4"/>
        <v>77825.508029217715</v>
      </c>
      <c r="G39" s="2648">
        <f t="shared" si="5"/>
        <v>268899.49197078228</v>
      </c>
      <c r="H39" s="2629"/>
      <c r="I39" s="2675">
        <f t="shared" si="6"/>
        <v>72398.285735102691</v>
      </c>
      <c r="J39" s="2675">
        <f t="shared" si="7"/>
        <v>196565.52863064184</v>
      </c>
      <c r="K39" s="2629"/>
      <c r="L39" s="2650">
        <f t="shared" si="8"/>
        <v>0.26923920608585322</v>
      </c>
      <c r="M39" s="2650">
        <f t="shared" si="9"/>
        <v>0.73099999999999998</v>
      </c>
      <c r="Q39" s="182">
        <v>560000</v>
      </c>
      <c r="R39" s="1082">
        <v>1688</v>
      </c>
      <c r="S39" s="1082"/>
      <c r="T39" s="1082"/>
      <c r="U39" s="1082">
        <v>1687.69</v>
      </c>
      <c r="Y39" s="477"/>
      <c r="Z39" s="477"/>
      <c r="AA39" s="477"/>
    </row>
    <row r="40" spans="1:27" ht="15">
      <c r="A40" s="2646" t="str">
        <f t="shared" si="3"/>
        <v>00655</v>
      </c>
      <c r="B40" s="2673"/>
      <c r="C40" s="2647"/>
      <c r="D40" s="2674">
        <v>290000</v>
      </c>
      <c r="E40" s="2674">
        <f t="shared" si="10"/>
        <v>300150</v>
      </c>
      <c r="F40" s="2648">
        <f t="shared" si="4"/>
        <v>49766.361315213246</v>
      </c>
      <c r="G40" s="2648">
        <f t="shared" si="5"/>
        <v>250383.63868478674</v>
      </c>
      <c r="H40" s="2629"/>
      <c r="I40" s="2675">
        <f t="shared" si="6"/>
        <v>250383.63868478674</v>
      </c>
      <c r="J40" s="2675">
        <f t="shared" si="7"/>
        <v>0</v>
      </c>
      <c r="K40" s="2629"/>
      <c r="L40" s="2650">
        <f t="shared" si="8"/>
        <v>1</v>
      </c>
      <c r="M40" s="2650">
        <f t="shared" si="9"/>
        <v>0</v>
      </c>
      <c r="Q40" s="182">
        <v>580000</v>
      </c>
      <c r="R40" s="1082">
        <v>54213</v>
      </c>
      <c r="S40" s="1082"/>
      <c r="T40" s="1082"/>
      <c r="U40" s="1082">
        <v>54212.67</v>
      </c>
      <c r="Y40" s="477"/>
      <c r="Z40" s="477"/>
      <c r="AA40" s="477"/>
    </row>
    <row r="41" spans="1:27" ht="15">
      <c r="A41" s="2646" t="str">
        <f t="shared" si="3"/>
        <v>02749</v>
      </c>
      <c r="B41" s="2673"/>
      <c r="C41" s="2647"/>
      <c r="D41" s="2674">
        <v>255000</v>
      </c>
      <c r="E41" s="2674">
        <f t="shared" si="10"/>
        <v>263925</v>
      </c>
      <c r="F41" s="2648">
        <f t="shared" si="4"/>
        <v>42266.501810818758</v>
      </c>
      <c r="G41" s="2648">
        <f t="shared" si="5"/>
        <v>221658.49818918123</v>
      </c>
      <c r="H41" s="2629"/>
      <c r="I41" s="2675">
        <f t="shared" si="6"/>
        <v>221658.49818918118</v>
      </c>
      <c r="J41" s="2675">
        <f t="shared" si="7"/>
        <v>0</v>
      </c>
      <c r="K41" s="2629"/>
      <c r="L41" s="2650">
        <f t="shared" si="8"/>
        <v>0.99999999999999978</v>
      </c>
      <c r="M41" s="2650">
        <f t="shared" si="9"/>
        <v>0</v>
      </c>
      <c r="Q41" s="182">
        <v>870000</v>
      </c>
      <c r="R41" s="1082"/>
      <c r="S41" s="1082">
        <v>30172</v>
      </c>
      <c r="T41" s="1082">
        <v>13631</v>
      </c>
      <c r="U41" s="1082">
        <v>43803.01</v>
      </c>
      <c r="V41" s="477"/>
      <c r="W41" s="477"/>
      <c r="X41" s="477"/>
      <c r="Y41" s="477"/>
      <c r="Z41" s="477"/>
      <c r="AA41" s="477"/>
    </row>
    <row r="42" spans="1:27" ht="15">
      <c r="A42" s="2646" t="str">
        <f t="shared" si="3"/>
        <v>76183</v>
      </c>
      <c r="B42" s="2673"/>
      <c r="C42" s="2647"/>
      <c r="D42" s="2674">
        <v>0</v>
      </c>
      <c r="E42" s="2674">
        <f t="shared" si="10"/>
        <v>0</v>
      </c>
      <c r="F42" s="2648">
        <f t="shared" si="4"/>
        <v>0</v>
      </c>
      <c r="G42" s="2648">
        <f t="shared" si="5"/>
        <v>0</v>
      </c>
      <c r="H42" s="2629"/>
      <c r="I42" s="2675">
        <f t="shared" si="6"/>
        <v>0</v>
      </c>
      <c r="J42" s="2675">
        <f t="shared" si="7"/>
        <v>0</v>
      </c>
      <c r="K42" s="2629"/>
      <c r="L42" s="2650">
        <f t="shared" si="8"/>
        <v>6.6553592920079604E-2</v>
      </c>
      <c r="M42" s="2650">
        <f t="shared" si="9"/>
        <v>0.93300000000000005</v>
      </c>
      <c r="Q42" s="182">
        <v>926100</v>
      </c>
      <c r="R42" s="1082">
        <v>1108</v>
      </c>
      <c r="S42" s="1082">
        <v>327</v>
      </c>
      <c r="T42" s="1082">
        <v>145</v>
      </c>
      <c r="U42" s="1082">
        <v>1580.77</v>
      </c>
      <c r="V42" s="477"/>
      <c r="W42" s="477"/>
      <c r="X42" s="477"/>
      <c r="Y42" s="477"/>
      <c r="Z42" s="477"/>
      <c r="AA42" s="477"/>
    </row>
    <row r="43" spans="1:27" ht="15">
      <c r="A43" s="2646" t="str">
        <f t="shared" si="3"/>
        <v>06271</v>
      </c>
      <c r="B43" s="2673"/>
      <c r="C43" s="2647"/>
      <c r="D43" s="2674">
        <v>360000</v>
      </c>
      <c r="E43" s="2674">
        <f t="shared" si="10"/>
        <v>372600</v>
      </c>
      <c r="F43" s="2648">
        <f t="shared" si="4"/>
        <v>0</v>
      </c>
      <c r="G43" s="2648">
        <f t="shared" si="5"/>
        <v>372600</v>
      </c>
      <c r="H43" s="2629"/>
      <c r="I43" s="2675">
        <f t="shared" si="6"/>
        <v>372600</v>
      </c>
      <c r="J43" s="2675">
        <f t="shared" si="7"/>
        <v>0</v>
      </c>
      <c r="K43" s="2629"/>
      <c r="L43" s="2650">
        <v>1</v>
      </c>
      <c r="M43" s="2650">
        <f t="shared" si="9"/>
        <v>0</v>
      </c>
      <c r="N43" s="478" t="s">
        <v>2394</v>
      </c>
      <c r="Q43" s="2654" t="s">
        <v>978</v>
      </c>
      <c r="R43" s="2656">
        <v>2616003</v>
      </c>
      <c r="S43" s="2656">
        <v>825902</v>
      </c>
      <c r="T43" s="2656">
        <v>372183</v>
      </c>
      <c r="U43" s="2656">
        <v>3814088.14</v>
      </c>
      <c r="V43" s="477"/>
      <c r="W43" s="477"/>
      <c r="X43" s="477"/>
      <c r="Y43" s="477"/>
      <c r="Z43" s="477"/>
      <c r="AA43" s="477"/>
    </row>
    <row r="44" spans="1:27" ht="15">
      <c r="A44" s="2646"/>
      <c r="B44" s="2673"/>
      <c r="C44" s="2647"/>
      <c r="D44" s="2629"/>
      <c r="E44" s="2629"/>
      <c r="F44" s="2629"/>
      <c r="G44" s="2629"/>
      <c r="H44" s="2629"/>
      <c r="I44" s="2629"/>
      <c r="J44" s="2629"/>
      <c r="K44" s="2629"/>
      <c r="L44" s="2650"/>
      <c r="M44" s="2650"/>
      <c r="Q44" s="182"/>
      <c r="R44" s="1082"/>
      <c r="S44" s="1082"/>
      <c r="T44" s="1082"/>
      <c r="U44" s="1082"/>
      <c r="V44" s="477"/>
      <c r="W44" s="477"/>
      <c r="X44" s="477"/>
      <c r="Y44" s="477"/>
      <c r="Z44" s="477"/>
      <c r="AA44" s="477"/>
    </row>
    <row r="45" spans="1:27" ht="15">
      <c r="A45" s="2646"/>
      <c r="B45" s="2646"/>
      <c r="C45" s="2646"/>
      <c r="D45" s="2658">
        <f>SUM(D29:D43)</f>
        <v>5635000</v>
      </c>
      <c r="E45" s="2658">
        <f>SUM(E29:E43)</f>
        <v>4968000</v>
      </c>
      <c r="F45" s="2658">
        <f>SUM(F29:F43)</f>
        <v>778885.28611611191</v>
      </c>
      <c r="G45" s="2658">
        <f>SUM(G29:G43)</f>
        <v>4189114.7138838875</v>
      </c>
      <c r="H45" s="2629"/>
      <c r="I45" s="2658">
        <f>SUM(I29:I43)</f>
        <v>3941531.3526808964</v>
      </c>
      <c r="J45" s="2658">
        <f>SUM(J29:J43)</f>
        <v>247408.22731432435</v>
      </c>
      <c r="K45" s="2629"/>
      <c r="L45" s="2659">
        <f>I45/G45</f>
        <v>0.9408984050060909</v>
      </c>
      <c r="M45" s="2659">
        <f>J45/G45</f>
        <v>5.9059788096598287E-2</v>
      </c>
      <c r="N45" s="1130"/>
      <c r="Q45" s="477"/>
      <c r="R45" s="477"/>
      <c r="V45" s="477"/>
      <c r="W45" s="477"/>
      <c r="X45" s="477"/>
      <c r="Y45" s="477"/>
      <c r="Z45" s="477"/>
      <c r="AA45" s="477"/>
    </row>
    <row r="46" spans="1:27" ht="15">
      <c r="A46" s="2646"/>
      <c r="B46" s="2646"/>
      <c r="C46" s="2646"/>
      <c r="D46" s="2629"/>
      <c r="E46" s="2629"/>
      <c r="F46" s="2677">
        <f>F45/E45</f>
        <v>0.15678045211676972</v>
      </c>
      <c r="G46" s="2629"/>
      <c r="H46" s="2677"/>
      <c r="I46" s="2629"/>
      <c r="J46" s="2629"/>
      <c r="K46" s="2629"/>
      <c r="L46" s="2650"/>
      <c r="M46" s="2650"/>
      <c r="Q46" s="1569" t="s">
        <v>679</v>
      </c>
      <c r="R46" s="1569" t="s">
        <v>1701</v>
      </c>
      <c r="V46" s="477"/>
      <c r="W46" s="477"/>
      <c r="X46" s="477"/>
      <c r="Y46" s="477"/>
      <c r="Z46" s="477"/>
      <c r="AA46" s="477"/>
    </row>
    <row r="47" spans="1:27" ht="15.75" thickBot="1">
      <c r="A47" s="2629"/>
      <c r="B47" s="2629"/>
      <c r="C47" s="2629"/>
      <c r="D47" s="2634" t="s">
        <v>2395</v>
      </c>
      <c r="E47" s="2634"/>
      <c r="F47" s="2634"/>
      <c r="G47" s="2678">
        <f>I45-I22</f>
        <v>127443.21268089674</v>
      </c>
      <c r="J47" s="2629"/>
      <c r="K47" s="2629"/>
      <c r="L47" s="2629"/>
      <c r="M47" s="2629"/>
      <c r="Q47" s="1570" t="s">
        <v>2340</v>
      </c>
      <c r="R47" s="1570" t="s">
        <v>1759</v>
      </c>
      <c r="V47" s="477"/>
      <c r="W47" s="477"/>
      <c r="X47" s="477"/>
      <c r="Y47" s="477"/>
      <c r="Z47" s="477"/>
      <c r="AA47" s="477"/>
    </row>
    <row r="48" spans="1:27" ht="15.75" thickTop="1">
      <c r="A48" s="2679"/>
      <c r="B48" s="2679"/>
      <c r="C48" s="2629"/>
      <c r="D48" s="2629"/>
      <c r="E48" s="2629"/>
      <c r="F48" s="2629"/>
      <c r="G48" s="2629"/>
      <c r="J48" s="2629"/>
      <c r="K48" s="2629"/>
      <c r="L48" s="2629"/>
      <c r="M48" s="2629"/>
      <c r="R48" s="2630"/>
      <c r="V48" s="477"/>
      <c r="W48" s="477"/>
      <c r="X48" s="477"/>
      <c r="Y48" s="477"/>
      <c r="Z48" s="477"/>
      <c r="AA48" s="477"/>
    </row>
    <row r="49" spans="1:27" ht="26.25">
      <c r="A49" s="2679"/>
      <c r="B49" s="2679"/>
      <c r="C49" s="2629"/>
      <c r="D49" s="2680" t="s">
        <v>2396</v>
      </c>
      <c r="E49" s="2629"/>
      <c r="F49" s="2629"/>
      <c r="G49" s="2629"/>
      <c r="J49" s="2629"/>
      <c r="K49" s="2629"/>
      <c r="L49" s="2629"/>
      <c r="N49" s="987" t="s">
        <v>2397</v>
      </c>
      <c r="Q49" s="2651" t="s">
        <v>1251</v>
      </c>
      <c r="R49" s="2651" t="s">
        <v>1252</v>
      </c>
      <c r="S49" s="2651"/>
      <c r="T49" s="2651"/>
      <c r="U49" s="2651"/>
      <c r="V49" s="477"/>
      <c r="W49" s="477"/>
      <c r="X49" s="477"/>
      <c r="Y49" s="477"/>
      <c r="Z49" s="477"/>
      <c r="AA49" s="477"/>
    </row>
    <row r="50" spans="1:27" ht="15.75" thickBot="1">
      <c r="A50" s="2679"/>
      <c r="B50" s="2679"/>
      <c r="C50" s="2629"/>
      <c r="D50" s="2681">
        <v>0.70111999999999997</v>
      </c>
      <c r="E50" s="2682" t="s">
        <v>2398</v>
      </c>
      <c r="F50" s="2682"/>
      <c r="G50" s="2629"/>
      <c r="J50" s="2629"/>
      <c r="K50" s="2629"/>
      <c r="L50" s="2629"/>
      <c r="Q50" s="2652" t="s">
        <v>1170</v>
      </c>
      <c r="R50" s="2652" t="s">
        <v>1744</v>
      </c>
      <c r="S50" s="2652" t="s">
        <v>1745</v>
      </c>
      <c r="T50" s="2652" t="s">
        <v>377</v>
      </c>
      <c r="U50" s="2652" t="s">
        <v>978</v>
      </c>
      <c r="V50" s="477"/>
      <c r="W50" s="477"/>
      <c r="X50" s="477"/>
      <c r="Y50" s="477"/>
      <c r="Z50" s="477"/>
      <c r="AA50" s="477"/>
    </row>
    <row r="51" spans="1:27" ht="16.5" thickTop="1" thickBot="1">
      <c r="A51" s="2679"/>
      <c r="B51" s="2679"/>
      <c r="C51" s="2629"/>
      <c r="D51" s="2683">
        <v>0.66942999999999997</v>
      </c>
      <c r="E51" s="2682" t="s">
        <v>2399</v>
      </c>
      <c r="F51" s="2684">
        <f>G47*D50*D51</f>
        <v>59815.568932529663</v>
      </c>
      <c r="G51" s="2685" t="s">
        <v>2400</v>
      </c>
      <c r="J51" s="2629"/>
      <c r="K51" s="2629"/>
      <c r="N51" s="2629">
        <f>I45*D50*D51</f>
        <v>1849960.7422510567</v>
      </c>
      <c r="Q51" s="182" t="s">
        <v>2284</v>
      </c>
      <c r="R51" s="1082"/>
      <c r="S51" s="1082"/>
      <c r="T51" s="1082">
        <v>883516.77</v>
      </c>
      <c r="U51" s="1082">
        <v>883516.77</v>
      </c>
      <c r="V51" s="477"/>
      <c r="W51" s="477"/>
      <c r="X51" s="477"/>
      <c r="Y51" s="477"/>
      <c r="Z51" s="477"/>
      <c r="AA51" s="477"/>
    </row>
    <row r="52" spans="1:27" ht="15.75" thickTop="1">
      <c r="A52" s="2679"/>
      <c r="B52" s="2679"/>
      <c r="C52" s="2629"/>
      <c r="D52" s="2682"/>
      <c r="E52" s="2682"/>
      <c r="F52" s="2682"/>
      <c r="G52" s="2629"/>
      <c r="J52" s="2629"/>
      <c r="K52" s="2629"/>
      <c r="N52" s="2629"/>
      <c r="Q52" s="182" t="s">
        <v>2282</v>
      </c>
      <c r="R52" s="1082">
        <v>402820.78</v>
      </c>
      <c r="S52" s="1082">
        <v>3814088.14</v>
      </c>
      <c r="T52" s="1082">
        <v>28479.59</v>
      </c>
      <c r="U52" s="1082">
        <v>4245388.51</v>
      </c>
      <c r="V52" s="477"/>
      <c r="W52" s="477"/>
      <c r="X52" s="477"/>
      <c r="Y52" s="477"/>
      <c r="Z52" s="477"/>
      <c r="AA52" s="477"/>
    </row>
    <row r="53" spans="1:27" ht="15">
      <c r="A53" s="2679"/>
      <c r="B53" s="2679"/>
      <c r="C53" s="2629"/>
      <c r="D53" s="2680" t="s">
        <v>2401</v>
      </c>
      <c r="E53" s="2682"/>
      <c r="F53" s="2682"/>
      <c r="G53" s="2629"/>
      <c r="J53" s="2629"/>
      <c r="K53" s="2629"/>
      <c r="N53" s="2629"/>
      <c r="Q53" s="2654" t="s">
        <v>978</v>
      </c>
      <c r="R53" s="2656">
        <v>402820.78</v>
      </c>
      <c r="S53" s="2656">
        <v>3814088.14</v>
      </c>
      <c r="T53" s="2656">
        <v>911996.36</v>
      </c>
      <c r="U53" s="2656">
        <v>5128905.28</v>
      </c>
      <c r="V53" s="477"/>
      <c r="W53" s="477"/>
      <c r="X53" s="477"/>
      <c r="Y53" s="477"/>
      <c r="Z53" s="477"/>
      <c r="AA53" s="477"/>
    </row>
    <row r="54" spans="1:27" ht="15.75" thickBot="1">
      <c r="A54" s="2679"/>
      <c r="B54" s="2679"/>
      <c r="C54" s="2629"/>
      <c r="D54" s="2681">
        <v>0.20707999999999999</v>
      </c>
      <c r="E54" s="2682" t="s">
        <v>2398</v>
      </c>
      <c r="F54" s="2682"/>
      <c r="G54" s="2629"/>
      <c r="J54" s="2629"/>
      <c r="K54" s="2629"/>
      <c r="N54" s="2629"/>
      <c r="Q54" s="477"/>
      <c r="R54" s="477"/>
      <c r="S54" s="477"/>
      <c r="T54" s="477"/>
      <c r="U54" s="477"/>
      <c r="V54" s="477"/>
      <c r="W54" s="477"/>
      <c r="X54" s="477"/>
      <c r="Y54" s="477"/>
      <c r="Z54" s="477"/>
      <c r="AA54" s="477"/>
    </row>
    <row r="55" spans="1:27" ht="16.5" thickTop="1" thickBot="1">
      <c r="A55" s="2679"/>
      <c r="B55" s="2679"/>
      <c r="C55" s="2629"/>
      <c r="D55" s="2681">
        <v>0.71745999999999999</v>
      </c>
      <c r="E55" s="2682" t="s">
        <v>2399</v>
      </c>
      <c r="F55" s="2684">
        <f>G47*D54*D55</f>
        <v>18934.444158187092</v>
      </c>
      <c r="G55" s="2685" t="s">
        <v>2400</v>
      </c>
      <c r="J55" s="2629"/>
      <c r="K55" s="2629"/>
      <c r="N55" s="2629">
        <f>I45*D54*D55</f>
        <v>585599.68573569169</v>
      </c>
      <c r="Q55" s="477"/>
      <c r="R55" s="477"/>
      <c r="S55" s="477"/>
      <c r="T55" s="477"/>
      <c r="U55" s="477"/>
      <c r="V55" s="477"/>
      <c r="W55" s="477"/>
      <c r="X55" s="477"/>
      <c r="Y55" s="477"/>
      <c r="Z55" s="477"/>
      <c r="AA55" s="477"/>
    </row>
    <row r="56" spans="1:27" ht="15.75" thickTop="1">
      <c r="A56" s="2679"/>
      <c r="B56" s="2679"/>
      <c r="C56" s="2629"/>
      <c r="D56" s="2682"/>
      <c r="E56" s="2682"/>
      <c r="F56" s="2629"/>
      <c r="G56" s="2629"/>
      <c r="H56" s="2682"/>
      <c r="I56" s="2629"/>
      <c r="J56" s="2629"/>
      <c r="K56" s="2629"/>
      <c r="N56" s="2629"/>
      <c r="Q56" s="477"/>
      <c r="R56" s="477"/>
      <c r="S56" s="477"/>
      <c r="T56" s="477"/>
      <c r="U56" s="477"/>
      <c r="V56" s="477"/>
      <c r="W56" s="477"/>
      <c r="X56" s="477"/>
      <c r="Y56" s="477"/>
      <c r="Z56" s="477"/>
      <c r="AA56" s="477"/>
    </row>
    <row r="57" spans="1:27" ht="15">
      <c r="A57" s="2679"/>
      <c r="B57" s="2679"/>
      <c r="C57" s="2629"/>
      <c r="D57" s="2680" t="s">
        <v>2402</v>
      </c>
      <c r="E57" s="2682"/>
      <c r="F57" s="2629"/>
      <c r="G57" s="2629"/>
      <c r="H57" s="2682"/>
      <c r="I57" s="2629"/>
      <c r="J57" s="2629"/>
      <c r="K57" s="2629"/>
      <c r="N57" s="2629"/>
      <c r="Q57" s="477"/>
      <c r="R57" s="477"/>
      <c r="S57" s="477"/>
      <c r="T57" s="477"/>
      <c r="U57" s="477"/>
      <c r="V57" s="477"/>
      <c r="Y57" s="477"/>
      <c r="Z57" s="477"/>
      <c r="AA57" s="477"/>
    </row>
    <row r="58" spans="1:27" ht="15">
      <c r="A58" s="2679"/>
      <c r="B58" s="2679"/>
      <c r="C58" s="2629"/>
      <c r="D58" s="2681">
        <f>D50</f>
        <v>0.70111999999999997</v>
      </c>
      <c r="E58" s="2682" t="s">
        <v>2398</v>
      </c>
      <c r="F58" s="2629"/>
      <c r="G58" s="2629"/>
      <c r="H58" s="2682"/>
      <c r="I58" s="2629"/>
      <c r="J58" s="2629"/>
      <c r="K58" s="2629"/>
      <c r="N58" s="2629"/>
      <c r="Y58" s="477"/>
      <c r="Z58" s="477"/>
      <c r="AA58" s="477"/>
    </row>
    <row r="59" spans="1:27" ht="15.75" thickBot="1">
      <c r="A59" s="2679"/>
      <c r="B59" s="2679"/>
      <c r="C59" s="2629"/>
      <c r="D59" s="2683">
        <v>0.31405</v>
      </c>
      <c r="E59" s="2682" t="s">
        <v>2399</v>
      </c>
      <c r="F59" s="2629"/>
      <c r="G59" s="2629"/>
      <c r="H59" s="2678">
        <f>G47*D58*D59</f>
        <v>28061.305025560461</v>
      </c>
      <c r="I59" s="2629"/>
      <c r="J59" s="2629"/>
      <c r="K59" s="2629"/>
      <c r="N59" s="2629">
        <f>I45*D58*D59</f>
        <v>867872.92338847136</v>
      </c>
      <c r="Y59" s="477"/>
      <c r="Z59" s="477"/>
      <c r="AA59" s="477"/>
    </row>
    <row r="60" spans="1:27" ht="15.75" thickTop="1">
      <c r="A60" s="2679"/>
      <c r="B60" s="2679"/>
      <c r="C60" s="2629"/>
      <c r="D60" s="2682"/>
      <c r="E60" s="2682"/>
      <c r="F60" s="2629"/>
      <c r="G60" s="2629"/>
      <c r="H60" s="2682"/>
      <c r="I60" s="2629"/>
      <c r="J60" s="2629"/>
      <c r="K60" s="2629"/>
      <c r="N60" s="2629"/>
      <c r="Y60" s="477"/>
      <c r="Z60" s="477"/>
      <c r="AA60" s="477"/>
    </row>
    <row r="61" spans="1:27" ht="15">
      <c r="A61" s="2629"/>
      <c r="B61" s="2629"/>
      <c r="C61" s="2629"/>
      <c r="D61" s="2680" t="s">
        <v>2403</v>
      </c>
      <c r="E61" s="2682"/>
      <c r="F61" s="2629"/>
      <c r="G61" s="2629"/>
      <c r="H61" s="2682"/>
      <c r="I61" s="2629"/>
      <c r="J61" s="2629"/>
      <c r="K61" s="2629"/>
      <c r="N61" s="2629"/>
      <c r="Y61" s="477"/>
      <c r="Z61" s="477"/>
      <c r="AA61" s="477"/>
    </row>
    <row r="62" spans="1:27" ht="15">
      <c r="A62" s="2629"/>
      <c r="B62" s="2629"/>
      <c r="C62" s="2629"/>
      <c r="D62" s="2681">
        <f>D54</f>
        <v>0.20707999999999999</v>
      </c>
      <c r="E62" s="2682" t="s">
        <v>2398</v>
      </c>
      <c r="F62" s="2629"/>
      <c r="G62" s="2629"/>
      <c r="H62" s="2682"/>
      <c r="I62" s="2629"/>
      <c r="J62" s="2629"/>
      <c r="K62" s="2629"/>
      <c r="N62" s="2629"/>
      <c r="Y62" s="477"/>
      <c r="Z62" s="477"/>
      <c r="AA62" s="477"/>
    </row>
    <row r="63" spans="1:27" ht="15.75" thickBot="1">
      <c r="A63" s="2629"/>
      <c r="B63" s="2629"/>
      <c r="C63" s="2629"/>
      <c r="D63" s="2681">
        <f>1-D55</f>
        <v>0.28254000000000001</v>
      </c>
      <c r="E63" s="2682" t="s">
        <v>2399</v>
      </c>
      <c r="F63" s="2629"/>
      <c r="G63" s="2629"/>
      <c r="H63" s="2678">
        <f>G47*D62*D63</f>
        <v>7456.4963237730062</v>
      </c>
      <c r="I63" s="2629"/>
      <c r="J63" s="2629"/>
      <c r="K63" s="2629"/>
      <c r="N63" s="2629">
        <f>I45*D62*D63</f>
        <v>230612.62677746822</v>
      </c>
      <c r="Y63" s="477"/>
      <c r="Z63" s="477"/>
      <c r="AA63" s="477"/>
    </row>
    <row r="64" spans="1:27" ht="15.75" thickTop="1">
      <c r="A64" s="2629"/>
      <c r="B64" s="2629"/>
      <c r="C64" s="2629"/>
      <c r="D64" s="2681"/>
      <c r="E64" s="2682"/>
      <c r="F64" s="2629"/>
      <c r="G64" s="2629"/>
      <c r="H64" s="2687"/>
      <c r="I64" s="2629"/>
      <c r="J64" s="2629"/>
      <c r="K64" s="2629"/>
      <c r="N64" s="2629"/>
      <c r="Y64" s="477"/>
      <c r="Z64" s="477"/>
      <c r="AA64" s="477"/>
    </row>
    <row r="65" spans="1:27" ht="15">
      <c r="A65" s="2629"/>
      <c r="B65" s="2629"/>
      <c r="C65" s="2629"/>
      <c r="D65" s="2680" t="s">
        <v>2404</v>
      </c>
      <c r="E65" s="2682"/>
      <c r="F65" s="2629"/>
      <c r="G65" s="2629"/>
      <c r="H65" s="2687"/>
      <c r="I65" s="2629"/>
      <c r="J65" s="2629"/>
      <c r="K65" s="2629"/>
      <c r="N65" s="2629"/>
      <c r="Y65" s="477"/>
      <c r="Z65" s="477"/>
      <c r="AA65" s="477"/>
    </row>
    <row r="66" spans="1:27" ht="15.75" thickBot="1">
      <c r="A66" s="2629"/>
      <c r="B66" s="2629"/>
      <c r="C66" s="2629"/>
      <c r="D66" s="2681">
        <v>9.3160000000000007E-2</v>
      </c>
      <c r="E66" s="2682" t="s">
        <v>2398</v>
      </c>
      <c r="F66" s="2629"/>
      <c r="G66" s="2629"/>
      <c r="H66" s="2678">
        <f>G47*D66</f>
        <v>11872.609693352342</v>
      </c>
      <c r="I66" s="2629"/>
      <c r="J66" s="2629"/>
      <c r="K66" s="2629"/>
      <c r="N66" s="2629">
        <f>I45*D66</f>
        <v>367193.06081575231</v>
      </c>
      <c r="Y66" s="477"/>
      <c r="Z66" s="477"/>
      <c r="AA66" s="477"/>
    </row>
    <row r="67" spans="1:27" ht="15.75" thickTop="1">
      <c r="A67" s="2629"/>
      <c r="B67" s="2629"/>
      <c r="C67" s="2629"/>
      <c r="D67" s="2629"/>
      <c r="E67" s="2629"/>
      <c r="F67" s="2629"/>
      <c r="G67" s="2629"/>
      <c r="H67" s="2629"/>
      <c r="I67" s="2629"/>
      <c r="J67" s="2629"/>
      <c r="K67" s="2629"/>
      <c r="N67" s="2629"/>
      <c r="Y67" s="477"/>
      <c r="Z67" s="477"/>
      <c r="AA67" s="477"/>
    </row>
    <row r="68" spans="1:27" ht="15">
      <c r="A68" s="2629"/>
      <c r="B68" s="2629"/>
      <c r="C68" s="2629"/>
      <c r="D68" s="2629"/>
      <c r="E68" s="2629" t="s">
        <v>1189</v>
      </c>
      <c r="F68" s="2629"/>
      <c r="G68" s="2629"/>
      <c r="H68" s="2629">
        <f>G47-F51-F55-H59-H63-H66</f>
        <v>1302.7885474941868</v>
      </c>
      <c r="I68" s="2629"/>
      <c r="J68" s="2629"/>
      <c r="K68" s="2629"/>
      <c r="N68" s="2629"/>
      <c r="Y68" s="477"/>
      <c r="Z68" s="477"/>
      <c r="AA68" s="477"/>
    </row>
    <row r="69" spans="1:27" ht="15">
      <c r="A69" s="2629"/>
      <c r="B69" s="2629"/>
      <c r="C69" s="2629"/>
      <c r="D69" s="2629"/>
      <c r="E69" s="2629"/>
      <c r="F69" s="2629"/>
      <c r="G69" s="2629"/>
      <c r="H69" s="2629"/>
      <c r="I69" s="2629"/>
      <c r="J69" s="2629"/>
      <c r="K69" s="2629"/>
      <c r="N69" s="2629">
        <f>SUM(N51:N66)</f>
        <v>3901239.0389684406</v>
      </c>
      <c r="Y69" s="477"/>
      <c r="Z69" s="477"/>
      <c r="AA69" s="477"/>
    </row>
    <row r="70" spans="1:27" ht="15">
      <c r="A70" s="2629"/>
      <c r="B70" s="2629"/>
      <c r="C70" s="2629"/>
      <c r="D70" s="2629"/>
      <c r="E70" s="2629"/>
      <c r="F70" s="2629"/>
      <c r="G70" s="2629"/>
      <c r="H70" s="2629"/>
      <c r="I70" s="2629"/>
      <c r="J70" s="2629"/>
      <c r="K70" s="2629"/>
      <c r="N70" s="2629"/>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ColWidth="8.85546875" defaultRowHeight="15"/>
  <cols>
    <col min="1" max="1" width="33.42578125" style="2192" customWidth="1"/>
    <col min="2" max="2" width="7.5703125" style="2192" bestFit="1" customWidth="1"/>
    <col min="3" max="3" width="7.140625" style="2192" customWidth="1"/>
    <col min="4" max="4" width="8" style="2192" customWidth="1"/>
    <col min="5" max="5" width="11.42578125" style="2192" customWidth="1"/>
    <col min="6" max="6" width="16.28515625" style="2192" customWidth="1"/>
    <col min="7" max="7" width="15.42578125" style="2192" customWidth="1"/>
    <col min="8" max="8" width="15.140625" style="2192" customWidth="1"/>
    <col min="9" max="9" width="13.28515625" style="2192" bestFit="1" customWidth="1"/>
    <col min="10" max="10" width="14.28515625" style="2192" bestFit="1" customWidth="1"/>
    <col min="11" max="11" width="13.28515625" style="2192" bestFit="1" customWidth="1"/>
    <col min="12" max="12" width="4.140625" style="2192" customWidth="1"/>
    <col min="13" max="13" width="24.5703125" style="2192" customWidth="1"/>
    <col min="14" max="14" width="11.7109375" style="2192" customWidth="1"/>
    <col min="15" max="15" width="13.85546875" style="2192" customWidth="1"/>
    <col min="16" max="16" width="13.140625" style="2192" customWidth="1"/>
    <col min="17" max="17" width="1.7109375" style="2142" customWidth="1"/>
    <col min="18" max="18" width="8.85546875" style="2141"/>
    <col min="19" max="19" width="21.7109375" style="2141" customWidth="1"/>
    <col min="20" max="20" width="24.42578125" style="2141" customWidth="1"/>
    <col min="21" max="21" width="15.140625" style="2141" customWidth="1"/>
    <col min="22" max="25" width="13.7109375" style="2141" customWidth="1"/>
    <col min="26" max="26" width="12.7109375" style="2141" bestFit="1" customWidth="1"/>
    <col min="27" max="27" width="12.5703125" style="2141" customWidth="1"/>
    <col min="28" max="28" width="4.42578125" style="2141" customWidth="1"/>
    <col min="29" max="29" width="25.7109375" style="2141" hidden="1" customWidth="1"/>
    <col min="30" max="31" width="14" style="2141" hidden="1" customWidth="1"/>
    <col min="32" max="32" width="12.28515625" style="2141" hidden="1" customWidth="1"/>
    <col min="33" max="33" width="8" style="2141" hidden="1" customWidth="1"/>
    <col min="34" max="34" width="9.85546875" style="2141" bestFit="1" customWidth="1"/>
    <col min="35" max="37" width="8.85546875" style="2141"/>
    <col min="38" max="38" width="1.7109375" style="2142" customWidth="1"/>
    <col min="39" max="39" width="8.85546875" style="2141"/>
    <col min="40" max="40" width="24.42578125" style="2690" customWidth="1"/>
    <col min="41" max="41" width="11.85546875" style="2690" customWidth="1"/>
    <col min="42" max="42" width="13.28515625" style="2690" customWidth="1"/>
    <col min="43" max="45" width="11" style="2690" bestFit="1" customWidth="1"/>
    <col min="46" max="46" width="13.5703125" style="2690" customWidth="1"/>
    <col min="47" max="47" width="8.85546875" style="2141"/>
    <col min="48" max="48" width="1.7109375" style="2142" customWidth="1"/>
    <col min="49" max="16384" width="8.85546875" style="2141"/>
  </cols>
  <sheetData>
    <row r="1" spans="1:46" ht="15.75">
      <c r="A1" s="3884" t="s">
        <v>1204</v>
      </c>
      <c r="B1" s="3884"/>
      <c r="C1" s="3884"/>
      <c r="D1" s="3884"/>
      <c r="E1" s="3884"/>
      <c r="F1" s="3884"/>
      <c r="G1" s="3884"/>
      <c r="H1" s="3884"/>
      <c r="I1" s="3884"/>
      <c r="S1" s="2688" t="s">
        <v>2405</v>
      </c>
      <c r="T1" s="2689"/>
      <c r="U1" s="2689"/>
      <c r="V1" s="2689"/>
      <c r="W1" s="2689"/>
      <c r="X1" s="2689"/>
      <c r="AN1" s="3885" t="s">
        <v>2406</v>
      </c>
      <c r="AO1" s="3885"/>
      <c r="AP1" s="3885"/>
      <c r="AQ1" s="3885"/>
      <c r="AR1" s="3885"/>
      <c r="AS1" s="3885"/>
      <c r="AT1" s="3885"/>
    </row>
    <row r="2" spans="1:46" ht="15.75">
      <c r="A2" s="3884" t="s">
        <v>2407</v>
      </c>
      <c r="B2" s="3884"/>
      <c r="C2" s="3884"/>
      <c r="D2" s="3884"/>
      <c r="E2" s="3884"/>
      <c r="F2" s="3884"/>
      <c r="G2" s="3884"/>
      <c r="H2" s="3884"/>
      <c r="I2" s="3884"/>
      <c r="S2" s="2689" t="s">
        <v>2407</v>
      </c>
      <c r="T2" s="2689"/>
      <c r="U2" s="2689"/>
      <c r="V2" s="2689"/>
      <c r="W2" s="2689"/>
      <c r="X2" s="2689"/>
    </row>
    <row r="3" spans="1:46" ht="15.75">
      <c r="A3" s="3884" t="s">
        <v>2408</v>
      </c>
      <c r="B3" s="3884"/>
      <c r="C3" s="3884"/>
      <c r="D3" s="3884"/>
      <c r="E3" s="3884"/>
      <c r="F3" s="3884"/>
      <c r="G3" s="3884"/>
      <c r="H3" s="3884"/>
      <c r="I3" s="3884"/>
      <c r="S3" s="2689" t="s">
        <v>2409</v>
      </c>
      <c r="T3" s="2689"/>
      <c r="U3" s="2689"/>
      <c r="V3" s="2689"/>
      <c r="W3" s="2689"/>
      <c r="X3" s="2689"/>
      <c r="AN3" s="2691" t="s">
        <v>2410</v>
      </c>
      <c r="AO3" s="2692"/>
      <c r="AP3" s="2692"/>
      <c r="AQ3" s="2692"/>
      <c r="AR3" s="2692"/>
      <c r="AS3" s="2692"/>
    </row>
    <row r="4" spans="1:46">
      <c r="A4" s="2693"/>
      <c r="B4" s="2693"/>
      <c r="S4" s="2689"/>
      <c r="T4" s="2689"/>
      <c r="U4" s="2689"/>
      <c r="V4" s="2689"/>
      <c r="W4" s="2689"/>
      <c r="X4" s="2689"/>
    </row>
    <row r="5" spans="1:46">
      <c r="A5" s="2693"/>
      <c r="B5" s="2693"/>
      <c r="S5" s="2689" t="s">
        <v>2411</v>
      </c>
      <c r="T5" s="2689"/>
      <c r="U5" s="2689"/>
      <c r="V5" s="2689"/>
      <c r="W5" s="2689"/>
      <c r="X5" s="2689"/>
      <c r="AN5" s="2694"/>
      <c r="AO5" s="2695"/>
      <c r="AP5" s="3886" t="s">
        <v>1059</v>
      </c>
      <c r="AQ5" s="3887"/>
      <c r="AR5" s="3887"/>
      <c r="AS5" s="3887"/>
      <c r="AT5" s="3888"/>
    </row>
    <row r="6" spans="1:46">
      <c r="A6" s="2693"/>
      <c r="B6" s="2693"/>
      <c r="S6" s="2689"/>
      <c r="T6" s="2689"/>
      <c r="U6" s="2689"/>
      <c r="V6" s="2689"/>
      <c r="W6" s="2689"/>
      <c r="X6" s="2689"/>
      <c r="AN6" s="2696" t="s">
        <v>2277</v>
      </c>
      <c r="AO6" s="2696" t="s">
        <v>2412</v>
      </c>
      <c r="AP6" s="2697" t="s">
        <v>1742</v>
      </c>
      <c r="AQ6" s="2697" t="s">
        <v>1744</v>
      </c>
      <c r="AR6" s="2697" t="s">
        <v>1745</v>
      </c>
      <c r="AS6" s="2697" t="s">
        <v>377</v>
      </c>
      <c r="AT6" s="2698" t="s">
        <v>24</v>
      </c>
    </row>
    <row r="7" spans="1:46">
      <c r="A7" s="2693"/>
      <c r="B7" s="2693"/>
      <c r="S7" s="2699" t="s">
        <v>2413</v>
      </c>
      <c r="T7" s="2700" t="s">
        <v>2414</v>
      </c>
      <c r="U7" s="2145"/>
      <c r="V7" s="2689"/>
      <c r="W7" s="2689"/>
      <c r="X7" s="2689"/>
      <c r="AN7" s="2701" t="s">
        <v>2415</v>
      </c>
      <c r="AO7" s="2701" t="s">
        <v>2416</v>
      </c>
      <c r="AP7" s="2702">
        <v>20636155</v>
      </c>
      <c r="AQ7" s="2702">
        <v>524277</v>
      </c>
      <c r="AR7" s="2702">
        <v>39770537</v>
      </c>
      <c r="AS7" s="2702">
        <v>6999094</v>
      </c>
      <c r="AT7" s="2702">
        <f>SUM(AP7:AS7)</f>
        <v>67930063</v>
      </c>
    </row>
    <row r="8" spans="1:46" ht="30.75" thickBot="1">
      <c r="A8" s="2693"/>
      <c r="B8" s="2693"/>
      <c r="S8" s="2689"/>
      <c r="T8" s="2689"/>
      <c r="U8" s="2689"/>
      <c r="V8" s="2703" t="s">
        <v>2417</v>
      </c>
      <c r="W8" s="2703"/>
      <c r="X8" s="2703"/>
      <c r="Y8" s="2703" t="s">
        <v>2418</v>
      </c>
      <c r="Z8" s="2703" t="s">
        <v>2418</v>
      </c>
      <c r="AN8" s="2704" t="s">
        <v>24</v>
      </c>
      <c r="AO8" s="2705"/>
      <c r="AP8" s="2706">
        <f>SUM(AP7)</f>
        <v>20636155</v>
      </c>
      <c r="AQ8" s="2706">
        <f>SUM(AQ7)</f>
        <v>524277</v>
      </c>
      <c r="AR8" s="2706">
        <f>SUM(AR7)</f>
        <v>39770537</v>
      </c>
      <c r="AS8" s="2706">
        <f>SUM(AS7)</f>
        <v>6999094</v>
      </c>
      <c r="AT8" s="2706">
        <f>SUM(AT7)</f>
        <v>67930063</v>
      </c>
    </row>
    <row r="9" spans="1:46" ht="45.75" thickBot="1">
      <c r="A9" s="2693"/>
      <c r="B9" s="2693"/>
      <c r="S9" s="2700" t="s">
        <v>2419</v>
      </c>
      <c r="T9" s="2700" t="s">
        <v>2420</v>
      </c>
      <c r="U9" s="2700"/>
      <c r="V9" s="2707" t="s">
        <v>1251</v>
      </c>
      <c r="W9" s="2707" t="s">
        <v>2421</v>
      </c>
      <c r="X9" s="2707" t="s">
        <v>2422</v>
      </c>
      <c r="Y9" s="2708">
        <v>2025</v>
      </c>
      <c r="Z9" s="2708">
        <v>2026</v>
      </c>
      <c r="AD9" s="2709" t="s">
        <v>2423</v>
      </c>
      <c r="AE9" s="2710" t="s">
        <v>79</v>
      </c>
      <c r="AF9" s="2711" t="s">
        <v>2424</v>
      </c>
      <c r="AG9" s="2712" t="s">
        <v>2425</v>
      </c>
      <c r="AN9" s="2713"/>
      <c r="AO9" s="2714" t="s">
        <v>772</v>
      </c>
      <c r="AP9" s="2715">
        <f>AP8/$AT$8</f>
        <v>0.30378530636722656</v>
      </c>
      <c r="AQ9" s="2716">
        <f>AQ8/$AT$8</f>
        <v>7.7178936224451909E-3</v>
      </c>
      <c r="AR9" s="2717">
        <f>AR8/$AT$8</f>
        <v>0.58546297829872462</v>
      </c>
      <c r="AS9" s="2718">
        <f>AS8/$AT$8</f>
        <v>0.10303382171160359</v>
      </c>
      <c r="AT9" s="2715">
        <f>AT8/$AT$8</f>
        <v>1</v>
      </c>
    </row>
    <row r="10" spans="1:46">
      <c r="A10" s="2693"/>
      <c r="B10" s="2693"/>
      <c r="S10" s="2689" t="s">
        <v>2426</v>
      </c>
      <c r="T10" s="2689" t="s">
        <v>2427</v>
      </c>
      <c r="U10" s="2719" t="s">
        <v>2428</v>
      </c>
      <c r="V10" s="2720">
        <v>29140259</v>
      </c>
      <c r="W10" s="2720">
        <v>0</v>
      </c>
      <c r="X10" s="2720">
        <f t="shared" ref="X10:X16" si="0">SUM(V10:W10)</f>
        <v>29140259</v>
      </c>
      <c r="Y10" s="2720">
        <v>29498000</v>
      </c>
      <c r="Z10" s="2720">
        <v>30689000</v>
      </c>
      <c r="AA10" s="2721" t="s">
        <v>2429</v>
      </c>
      <c r="AD10" s="2722" t="s">
        <v>2430</v>
      </c>
      <c r="AE10" s="2190">
        <v>6522389</v>
      </c>
      <c r="AF10" s="2723">
        <v>3672757</v>
      </c>
      <c r="AG10" s="2724">
        <v>316224</v>
      </c>
      <c r="AR10" s="2725" t="s">
        <v>2428</v>
      </c>
    </row>
    <row r="11" spans="1:46" ht="15.75" thickBot="1">
      <c r="S11" s="2689" t="s">
        <v>2431</v>
      </c>
      <c r="T11" s="2689" t="s">
        <v>2432</v>
      </c>
      <c r="U11" s="2719" t="s">
        <v>2428</v>
      </c>
      <c r="V11" s="2720">
        <v>6352938</v>
      </c>
      <c r="W11" s="2720">
        <v>0</v>
      </c>
      <c r="X11" s="2720">
        <f t="shared" si="0"/>
        <v>6352938</v>
      </c>
      <c r="Y11" s="2726">
        <v>4354750</v>
      </c>
      <c r="Z11" s="2726">
        <v>4374372</v>
      </c>
      <c r="AA11" s="2721" t="s">
        <v>2429</v>
      </c>
      <c r="AD11" s="2727"/>
      <c r="AE11" s="2728">
        <f>SUM(AE10:AE10)</f>
        <v>6522389</v>
      </c>
      <c r="AF11" s="2729">
        <f>SUM(AF10:AF10)</f>
        <v>3672757</v>
      </c>
      <c r="AG11" s="2730">
        <f>SUM(AG10:AG10)</f>
        <v>316224</v>
      </c>
    </row>
    <row r="12" spans="1:46">
      <c r="S12" s="2689" t="s">
        <v>2433</v>
      </c>
      <c r="T12" s="2689" t="s">
        <v>2434</v>
      </c>
      <c r="U12" s="2719" t="s">
        <v>2428</v>
      </c>
      <c r="V12" s="2720">
        <v>11849246</v>
      </c>
      <c r="W12" s="2720">
        <v>0</v>
      </c>
      <c r="X12" s="2720">
        <f t="shared" si="0"/>
        <v>11849246</v>
      </c>
      <c r="Y12" s="2726">
        <f>V12*1.101</f>
        <v>13046019.845999999</v>
      </c>
      <c r="Z12" s="2726">
        <f>Y12*1.03</f>
        <v>13437400.44138</v>
      </c>
      <c r="AA12" s="2721" t="s">
        <v>2429</v>
      </c>
      <c r="AC12" s="2731" t="s">
        <v>2435</v>
      </c>
      <c r="AF12" s="2732"/>
      <c r="AH12" s="2163"/>
    </row>
    <row r="13" spans="1:46" ht="15.75" thickBot="1">
      <c r="S13" s="2689" t="s">
        <v>2436</v>
      </c>
      <c r="T13" s="2689" t="s">
        <v>2437</v>
      </c>
      <c r="U13" s="2719" t="s">
        <v>2428</v>
      </c>
      <c r="V13" s="2720">
        <v>2052016</v>
      </c>
      <c r="W13" s="2720">
        <v>0</v>
      </c>
      <c r="X13" s="2720">
        <f t="shared" si="0"/>
        <v>2052016</v>
      </c>
      <c r="Y13" s="2726">
        <f>X13*1.04</f>
        <v>2134096.64</v>
      </c>
      <c r="Z13" s="2726">
        <f>Y13*1.04</f>
        <v>2219460.5056000003</v>
      </c>
      <c r="AA13" s="2721" t="s">
        <v>2429</v>
      </c>
      <c r="AC13" s="2731" t="s">
        <v>2435</v>
      </c>
    </row>
    <row r="14" spans="1:46">
      <c r="S14" s="2689" t="s">
        <v>2438</v>
      </c>
      <c r="T14" s="2689" t="s">
        <v>2439</v>
      </c>
      <c r="U14" s="2719" t="s">
        <v>2428</v>
      </c>
      <c r="V14" s="2720">
        <v>6965726</v>
      </c>
      <c r="W14" s="2720">
        <v>0</v>
      </c>
      <c r="X14" s="2720">
        <f t="shared" si="0"/>
        <v>6965726</v>
      </c>
      <c r="Y14" s="2726">
        <f>X14</f>
        <v>6965726</v>
      </c>
      <c r="Z14" s="2726">
        <f>Y14</f>
        <v>6965726</v>
      </c>
      <c r="AA14" s="2721" t="s">
        <v>2429</v>
      </c>
      <c r="AB14" s="3874" t="s">
        <v>2440</v>
      </c>
      <c r="AC14" s="3875"/>
      <c r="AD14" s="3875"/>
      <c r="AE14" s="3875"/>
      <c r="AF14" s="3875"/>
      <c r="AG14" s="3875"/>
      <c r="AH14" s="3875"/>
      <c r="AI14" s="3875"/>
      <c r="AJ14" s="3875"/>
      <c r="AK14" s="3876"/>
    </row>
    <row r="15" spans="1:46">
      <c r="S15" s="2733" t="s">
        <v>2441</v>
      </c>
      <c r="T15" s="2689" t="s">
        <v>2442</v>
      </c>
      <c r="U15" s="2719"/>
      <c r="V15" s="2720">
        <v>11827588</v>
      </c>
      <c r="W15" s="2720">
        <v>-11827588</v>
      </c>
      <c r="X15" s="2720">
        <f t="shared" si="0"/>
        <v>0</v>
      </c>
      <c r="Y15" s="2726">
        <v>0</v>
      </c>
      <c r="Z15" s="2726">
        <v>0</v>
      </c>
      <c r="AA15" s="2721"/>
      <c r="AB15" s="3877"/>
      <c r="AC15" s="3878"/>
      <c r="AD15" s="3878"/>
      <c r="AE15" s="3878"/>
      <c r="AF15" s="3878"/>
      <c r="AG15" s="3878"/>
      <c r="AH15" s="3878"/>
      <c r="AI15" s="3878"/>
      <c r="AJ15" s="3878"/>
      <c r="AK15" s="3879"/>
    </row>
    <row r="16" spans="1:46">
      <c r="A16" s="2734"/>
      <c r="S16" s="2733">
        <v>926253</v>
      </c>
      <c r="T16" s="2689" t="s">
        <v>2443</v>
      </c>
      <c r="U16" s="2719"/>
      <c r="V16" s="2720">
        <v>492816</v>
      </c>
      <c r="W16" s="2720">
        <v>0</v>
      </c>
      <c r="X16" s="2720">
        <f t="shared" si="0"/>
        <v>492816</v>
      </c>
      <c r="Y16" s="2726">
        <f>11827588/12</f>
        <v>985632.33333333337</v>
      </c>
      <c r="Z16" s="2726">
        <f>11827588/12</f>
        <v>985632.33333333337</v>
      </c>
      <c r="AA16" s="2735" t="s">
        <v>2444</v>
      </c>
      <c r="AB16" s="3877"/>
      <c r="AC16" s="3878"/>
      <c r="AD16" s="3878"/>
      <c r="AE16" s="3878"/>
      <c r="AF16" s="3878"/>
      <c r="AG16" s="3878"/>
      <c r="AH16" s="3878"/>
      <c r="AI16" s="3878"/>
      <c r="AJ16" s="3878"/>
      <c r="AK16" s="3879"/>
    </row>
    <row r="17" spans="1:37" ht="15.75" thickBot="1">
      <c r="A17" s="2736"/>
      <c r="B17" s="2736"/>
      <c r="C17" s="2736"/>
      <c r="D17" s="2736"/>
      <c r="H17" s="3883">
        <v>2025</v>
      </c>
      <c r="I17" s="3883"/>
      <c r="J17" s="3883">
        <v>2026</v>
      </c>
      <c r="K17" s="3883"/>
      <c r="L17" s="2736"/>
      <c r="M17" s="2737" t="s">
        <v>2445</v>
      </c>
      <c r="S17" s="2699" t="s">
        <v>978</v>
      </c>
      <c r="T17" s="2699"/>
      <c r="U17" s="2699"/>
      <c r="V17" s="2738">
        <f>SUM(V10:V16)</f>
        <v>68680589</v>
      </c>
      <c r="W17" s="2738">
        <f>SUM(W10:W16)</f>
        <v>-11827588</v>
      </c>
      <c r="X17" s="2738">
        <f>SUM(X10:X16)</f>
        <v>56853001</v>
      </c>
      <c r="Y17" s="2738">
        <f>SUM(Y10:Y16)</f>
        <v>56984224.819333337</v>
      </c>
      <c r="Z17" s="2738">
        <f>SUM(Z10:Z16)</f>
        <v>58671591.280313335</v>
      </c>
      <c r="AA17" s="2739"/>
      <c r="AB17" s="3880"/>
      <c r="AC17" s="3881"/>
      <c r="AD17" s="3881"/>
      <c r="AE17" s="3881"/>
      <c r="AF17" s="3881"/>
      <c r="AG17" s="3881"/>
      <c r="AH17" s="3881"/>
      <c r="AI17" s="3881"/>
      <c r="AJ17" s="3881"/>
      <c r="AK17" s="3882"/>
    </row>
    <row r="18" spans="1:37">
      <c r="A18" s="2736"/>
      <c r="B18" s="2740"/>
      <c r="C18" s="2740"/>
      <c r="D18" s="2693"/>
      <c r="E18" s="2741" t="s">
        <v>2446</v>
      </c>
      <c r="F18" s="2741" t="s">
        <v>2447</v>
      </c>
      <c r="G18" s="2741" t="s">
        <v>2448</v>
      </c>
      <c r="H18" s="2741" t="s">
        <v>1868</v>
      </c>
      <c r="I18" s="2741"/>
      <c r="J18" s="2741" t="s">
        <v>1868</v>
      </c>
      <c r="K18" s="2741"/>
      <c r="L18" s="2742"/>
      <c r="S18" s="2192"/>
      <c r="T18" s="2192"/>
      <c r="U18" s="2192"/>
      <c r="V18" s="2190"/>
      <c r="W18" s="2190"/>
      <c r="X18" s="2190"/>
      <c r="Y18" s="2677">
        <f>(Y17-V17)/V17</f>
        <v>-0.17030087177421649</v>
      </c>
      <c r="Z18" s="2677">
        <f>(Z17-Y17)/Y17</f>
        <v>2.9611115468004337E-2</v>
      </c>
      <c r="AA18" s="2739"/>
      <c r="AD18" s="2192"/>
      <c r="AE18" s="2192"/>
      <c r="AF18" s="2192"/>
      <c r="AG18" s="2192"/>
    </row>
    <row r="19" spans="1:37">
      <c r="A19" s="2741" t="s">
        <v>2420</v>
      </c>
      <c r="B19" s="2741" t="s">
        <v>2449</v>
      </c>
      <c r="C19" s="2741" t="s">
        <v>2419</v>
      </c>
      <c r="D19" s="2741" t="s">
        <v>2450</v>
      </c>
      <c r="E19" s="2743" t="s">
        <v>1813</v>
      </c>
      <c r="F19" s="2743" t="s">
        <v>2451</v>
      </c>
      <c r="G19" s="2743" t="s">
        <v>2452</v>
      </c>
      <c r="H19" s="2743" t="s">
        <v>2453</v>
      </c>
      <c r="I19" s="2741" t="s">
        <v>19</v>
      </c>
      <c r="J19" s="2743" t="s">
        <v>2453</v>
      </c>
      <c r="K19" s="2741" t="s">
        <v>19</v>
      </c>
      <c r="L19" s="2736"/>
      <c r="S19" s="3889" t="s">
        <v>2454</v>
      </c>
      <c r="T19" s="3889"/>
      <c r="U19" s="3889"/>
      <c r="V19" s="3889"/>
      <c r="W19" s="3889"/>
      <c r="X19" s="3889"/>
      <c r="Y19" s="3889"/>
      <c r="Z19" s="2739"/>
      <c r="AC19" s="2192"/>
      <c r="AD19" s="2192"/>
      <c r="AE19" s="2192"/>
      <c r="AF19" s="2192"/>
    </row>
    <row r="20" spans="1:37">
      <c r="A20" s="2744"/>
      <c r="B20" s="2744"/>
      <c r="C20" s="2744"/>
      <c r="D20" s="2745" t="s">
        <v>2455</v>
      </c>
      <c r="E20" s="2746"/>
      <c r="F20" s="2746"/>
      <c r="G20" s="2746"/>
      <c r="H20" s="2746"/>
      <c r="I20" s="2746"/>
      <c r="J20" s="2746"/>
      <c r="K20" s="2746"/>
      <c r="L20" s="2746"/>
      <c r="S20" s="3889"/>
      <c r="T20" s="3889"/>
      <c r="U20" s="3889"/>
      <c r="V20" s="3889"/>
      <c r="W20" s="3889"/>
      <c r="X20" s="3889"/>
      <c r="Y20" s="3889"/>
      <c r="AC20" s="2192"/>
      <c r="AD20" s="2192"/>
      <c r="AE20" s="2192"/>
      <c r="AF20" s="2192"/>
    </row>
    <row r="21" spans="1:37">
      <c r="A21" s="2744" t="s">
        <v>2456</v>
      </c>
      <c r="B21" s="2745" t="s">
        <v>2457</v>
      </c>
      <c r="C21" s="2747" t="s">
        <v>2458</v>
      </c>
      <c r="D21" s="2747"/>
      <c r="E21" s="2746">
        <f>'G-3.07,5.03 Benefits'!V10</f>
        <v>29140259</v>
      </c>
      <c r="F21" s="2746">
        <f>'G-3.07,5.03 Benefits'!W10</f>
        <v>0</v>
      </c>
      <c r="G21" s="2746">
        <f>'G-3.07,5.03 Benefits'!X10</f>
        <v>29140259</v>
      </c>
      <c r="H21" s="2746">
        <f>'G-3.07,5.03 Benefits'!Y10</f>
        <v>29498000</v>
      </c>
      <c r="I21" s="2746">
        <f>+H21-E21</f>
        <v>357741</v>
      </c>
      <c r="J21" s="2746">
        <f>+'G-3.07,5.03 Benefits'!Z10</f>
        <v>30689000</v>
      </c>
      <c r="K21" s="2746">
        <f>+J21-H21</f>
        <v>1191000</v>
      </c>
      <c r="L21" s="2746"/>
      <c r="S21" s="2192"/>
      <c r="T21" s="2192"/>
      <c r="U21" s="2192"/>
      <c r="V21" s="2192"/>
      <c r="W21" s="2192"/>
      <c r="X21" s="2192"/>
      <c r="Y21" s="2748"/>
      <c r="Z21" s="2192"/>
      <c r="AA21" s="2192"/>
      <c r="AB21" s="2192"/>
      <c r="AC21" s="2192"/>
      <c r="AD21" s="2192"/>
      <c r="AE21" s="2192"/>
      <c r="AF21" s="2192"/>
      <c r="AG21" s="2192"/>
      <c r="AH21" s="2192"/>
      <c r="AI21" s="2192"/>
      <c r="AJ21" s="2192"/>
      <c r="AK21" s="2192"/>
    </row>
    <row r="22" spans="1:37">
      <c r="A22" s="2744" t="s">
        <v>2459</v>
      </c>
      <c r="B22" s="2745" t="s">
        <v>2457</v>
      </c>
      <c r="C22" s="2747" t="s">
        <v>2460</v>
      </c>
      <c r="D22" s="2747"/>
      <c r="E22" s="2749">
        <f>'G-3.07,5.03 Benefits'!V11</f>
        <v>6352938</v>
      </c>
      <c r="F22" s="2749">
        <f>'G-3.07,5.03 Benefits'!W11</f>
        <v>0</v>
      </c>
      <c r="G22" s="2749">
        <f>'G-3.07,5.03 Benefits'!X11</f>
        <v>6352938</v>
      </c>
      <c r="H22" s="2749">
        <f>'G-3.07,5.03 Benefits'!Y11</f>
        <v>4354750</v>
      </c>
      <c r="I22" s="2749">
        <f>+H22-E22</f>
        <v>-1998188</v>
      </c>
      <c r="J22" s="2749">
        <f>+'G-3.07,5.03 Benefits'!Z11</f>
        <v>4374372</v>
      </c>
      <c r="K22" s="2749">
        <f>+J22-H22</f>
        <v>19622</v>
      </c>
      <c r="L22" s="274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750" t="s">
        <v>2461</v>
      </c>
      <c r="B23" s="2745"/>
      <c r="C23" s="2741"/>
      <c r="D23" s="2741"/>
      <c r="E23" s="2751">
        <f>SUM(E21:E22)</f>
        <v>35493197</v>
      </c>
      <c r="F23" s="2751">
        <f>SUM(F21:F22)</f>
        <v>0</v>
      </c>
      <c r="G23" s="2751">
        <f>SUM(G21:G22)</f>
        <v>35493197</v>
      </c>
      <c r="H23" s="2751">
        <f>SUM(H21:H22)</f>
        <v>33852750</v>
      </c>
      <c r="I23" s="2751">
        <f>+H23-E23</f>
        <v>-1640447</v>
      </c>
      <c r="J23" s="2751">
        <f>SUM(J21:J22)</f>
        <v>35063372</v>
      </c>
      <c r="K23" s="2751">
        <f>+J23-H23</f>
        <v>1210622</v>
      </c>
      <c r="L23" s="2751"/>
      <c r="M23" s="2752"/>
      <c r="N23" s="275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745"/>
      <c r="C24" s="2741"/>
      <c r="D24" s="2741"/>
      <c r="E24" s="2751"/>
      <c r="F24" s="2751"/>
      <c r="G24" s="2751"/>
      <c r="H24" s="2751"/>
      <c r="I24" s="2751"/>
      <c r="J24" s="2751"/>
      <c r="K24" s="2751"/>
      <c r="L24" s="2751"/>
      <c r="M24" s="2752"/>
      <c r="N24" s="2752"/>
      <c r="S24" s="2192"/>
      <c r="T24" s="2192"/>
      <c r="U24" s="2192"/>
      <c r="V24" s="2192"/>
      <c r="W24" s="2192"/>
      <c r="X24" s="2753"/>
      <c r="Y24" s="2190"/>
      <c r="Z24" s="2192"/>
      <c r="AA24" s="2192"/>
      <c r="AB24" s="2192"/>
      <c r="AC24" s="2192"/>
      <c r="AD24" s="2192"/>
      <c r="AE24" s="2192"/>
      <c r="AF24" s="2192"/>
      <c r="AG24" s="2192"/>
      <c r="AH24" s="2192"/>
      <c r="AI24" s="2192"/>
      <c r="AJ24" s="2192"/>
      <c r="AK24" s="2192"/>
    </row>
    <row r="25" spans="1:37">
      <c r="A25" s="2750" t="s">
        <v>2462</v>
      </c>
      <c r="B25" s="2745"/>
      <c r="D25" s="2754">
        <f>'G-3.07,5.03 Benefits'!AR9</f>
        <v>0.58546297829872462</v>
      </c>
      <c r="E25" s="2751">
        <f>+E23*D25</f>
        <v>20779952.824963357</v>
      </c>
      <c r="F25" s="2751">
        <f t="shared" ref="F25:K25" si="1">+F23*$D$25</f>
        <v>0</v>
      </c>
      <c r="G25" s="2751">
        <f t="shared" si="1"/>
        <v>20779952.824963357</v>
      </c>
      <c r="H25" s="2751">
        <f t="shared" si="1"/>
        <v>19819531.838602152</v>
      </c>
      <c r="I25" s="2751">
        <f t="shared" si="1"/>
        <v>-960420.98636120791</v>
      </c>
      <c r="J25" s="2751">
        <f t="shared" si="1"/>
        <v>20528306.200316109</v>
      </c>
      <c r="K25" s="2751">
        <f t="shared" si="1"/>
        <v>708774.36171395855</v>
      </c>
      <c r="L25" s="2751"/>
      <c r="M25" s="2752">
        <f>+I25</f>
        <v>-960420.98636120791</v>
      </c>
      <c r="N25" s="275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755"/>
      <c r="D26" s="2755"/>
      <c r="I26" s="2746"/>
      <c r="K26" s="2746"/>
      <c r="M26" s="2752"/>
      <c r="N26" s="2752"/>
      <c r="S26" s="2192"/>
      <c r="T26" s="2192"/>
      <c r="U26" s="2192"/>
      <c r="V26" s="2192"/>
      <c r="W26" s="2192"/>
      <c r="X26" s="2192"/>
      <c r="Y26" s="2192"/>
      <c r="Z26" s="2192"/>
      <c r="AA26" s="2192"/>
      <c r="AB26" s="2192"/>
      <c r="AG26" s="2192"/>
      <c r="AH26" s="2192"/>
      <c r="AI26" s="2192"/>
      <c r="AJ26" s="2192"/>
      <c r="AK26" s="2192"/>
    </row>
    <row r="27" spans="1:37">
      <c r="A27" s="2744" t="s">
        <v>2434</v>
      </c>
      <c r="B27" s="2745" t="s">
        <v>2457</v>
      </c>
      <c r="C27" s="2747" t="s">
        <v>2433</v>
      </c>
      <c r="D27" s="2747"/>
      <c r="E27" s="2746">
        <f>'G-3.07,5.03 Benefits'!V12</f>
        <v>11849246</v>
      </c>
      <c r="F27" s="2746">
        <f>'G-3.07,5.03 Benefits'!W12</f>
        <v>0</v>
      </c>
      <c r="G27" s="2746">
        <f>'G-3.07,5.03 Benefits'!X12</f>
        <v>11849246</v>
      </c>
      <c r="H27" s="2746">
        <f>'G-3.07,5.03 Benefits'!Y12</f>
        <v>13046019.845999999</v>
      </c>
      <c r="I27" s="2746">
        <f>+H27-E27</f>
        <v>1196773.845999999</v>
      </c>
      <c r="J27" s="2746">
        <f>+'G-3.07,5.03 Benefits'!Z12</f>
        <v>13437400.44138</v>
      </c>
      <c r="K27" s="2746">
        <f>+J27-H27</f>
        <v>391380.59538000077</v>
      </c>
      <c r="L27" s="2746"/>
      <c r="M27" s="2752"/>
      <c r="N27" s="2752"/>
      <c r="S27" s="2756"/>
      <c r="T27" s="2192"/>
      <c r="U27" s="2192"/>
      <c r="V27" s="2192"/>
      <c r="W27" s="2192"/>
      <c r="X27" s="2192"/>
      <c r="Y27" s="2192"/>
      <c r="Z27" s="2192"/>
      <c r="AA27" s="2192"/>
      <c r="AB27" s="2192"/>
      <c r="AG27" s="2192"/>
      <c r="AH27" s="2192"/>
      <c r="AI27" s="2192"/>
      <c r="AJ27" s="2192"/>
      <c r="AK27" s="2192"/>
    </row>
    <row r="28" spans="1:37">
      <c r="A28" s="2744" t="s">
        <v>2437</v>
      </c>
      <c r="B28" s="2745" t="s">
        <v>2457</v>
      </c>
      <c r="C28" s="2747" t="s">
        <v>2436</v>
      </c>
      <c r="D28" s="2747"/>
      <c r="E28" s="2746">
        <f>'G-3.07,5.03 Benefits'!V13</f>
        <v>2052016</v>
      </c>
      <c r="F28" s="2746">
        <f>'G-3.07,5.03 Benefits'!W13</f>
        <v>0</v>
      </c>
      <c r="G28" s="2746">
        <f>'G-3.07,5.03 Benefits'!X13</f>
        <v>2052016</v>
      </c>
      <c r="H28" s="2746">
        <f>'G-3.07,5.03 Benefits'!Y13</f>
        <v>2134096.64</v>
      </c>
      <c r="I28" s="2746">
        <f>+H28-E28</f>
        <v>82080.64000000013</v>
      </c>
      <c r="J28" s="2746">
        <f>+'G-3.07,5.03 Benefits'!Z13</f>
        <v>2219460.5056000003</v>
      </c>
      <c r="K28" s="2746">
        <f>+J28-H28</f>
        <v>85363.865600000136</v>
      </c>
      <c r="L28" s="2746"/>
      <c r="M28" s="2752">
        <f>(I28+I27)*$D$32</f>
        <v>748721.95618424413</v>
      </c>
      <c r="N28" s="2752">
        <f>(K28+K27)*$D$32</f>
        <v>279116.23201277142</v>
      </c>
      <c r="P28" s="2757"/>
      <c r="V28" s="2192"/>
      <c r="W28" s="2192"/>
      <c r="X28" s="2192"/>
      <c r="Y28" s="2192"/>
      <c r="Z28" s="2192"/>
      <c r="AA28" s="2192"/>
      <c r="AB28" s="2192"/>
      <c r="AG28" s="2192"/>
      <c r="AH28" s="2192"/>
      <c r="AI28" s="2192"/>
      <c r="AJ28" s="2192"/>
      <c r="AK28" s="2192"/>
    </row>
    <row r="29" spans="1:37">
      <c r="A29" s="2744" t="s">
        <v>2463</v>
      </c>
      <c r="B29" s="2745" t="s">
        <v>2457</v>
      </c>
      <c r="C29" s="2747" t="s">
        <v>2464</v>
      </c>
      <c r="D29" s="2747"/>
      <c r="E29" s="2749">
        <f>'G-3.07,5.03 Benefits'!V14</f>
        <v>6965726</v>
      </c>
      <c r="F29" s="2749">
        <f>'G-3.07,5.03 Benefits'!W14</f>
        <v>0</v>
      </c>
      <c r="G29" s="2749">
        <f>'G-3.07,5.03 Benefits'!X14</f>
        <v>6965726</v>
      </c>
      <c r="H29" s="2749">
        <f>G29</f>
        <v>6965726</v>
      </c>
      <c r="I29" s="2749">
        <f>+H29-E29</f>
        <v>0</v>
      </c>
      <c r="J29" s="2749">
        <f>+'G-3.07,5.03 Benefits'!Z14</f>
        <v>6965726</v>
      </c>
      <c r="K29" s="2749">
        <f>+J29-H29</f>
        <v>0</v>
      </c>
      <c r="L29" s="2746"/>
      <c r="M29" s="2758">
        <f>I29*$D$32</f>
        <v>0</v>
      </c>
      <c r="N29" s="2758">
        <f>K29*$D$32</f>
        <v>0</v>
      </c>
      <c r="V29" s="2192"/>
      <c r="W29" s="2192"/>
      <c r="X29" s="2192"/>
      <c r="Y29" s="2192"/>
      <c r="Z29" s="2192"/>
      <c r="AA29" s="2192"/>
      <c r="AB29" s="2192"/>
      <c r="AG29" s="2192"/>
      <c r="AH29" s="2192"/>
      <c r="AI29" s="2192"/>
      <c r="AJ29" s="2192"/>
      <c r="AK29" s="2192"/>
    </row>
    <row r="30" spans="1:37">
      <c r="A30" s="2750" t="s">
        <v>2465</v>
      </c>
      <c r="B30" s="2745"/>
      <c r="C30" s="2747"/>
      <c r="D30" s="2747"/>
      <c r="E30" s="2751">
        <f t="shared" ref="E30:K30" si="2">+SUM(E27:E29)</f>
        <v>20866988</v>
      </c>
      <c r="F30" s="2751">
        <f t="shared" si="2"/>
        <v>0</v>
      </c>
      <c r="G30" s="2751">
        <f t="shared" si="2"/>
        <v>20866988</v>
      </c>
      <c r="H30" s="2751">
        <f t="shared" si="2"/>
        <v>22145842.486000001</v>
      </c>
      <c r="I30" s="2751">
        <f t="shared" si="2"/>
        <v>1278854.4859999991</v>
      </c>
      <c r="J30" s="2751">
        <f t="shared" si="2"/>
        <v>22622586.94698</v>
      </c>
      <c r="K30" s="2751">
        <f t="shared" si="2"/>
        <v>476744.46098000091</v>
      </c>
      <c r="L30" s="2746"/>
      <c r="M30" s="2752">
        <f>SUM(M28:M29)</f>
        <v>748721.95618424413</v>
      </c>
      <c r="N30" s="2752">
        <f>SUM(N28:N29)</f>
        <v>279116.23201277142</v>
      </c>
    </row>
    <row r="31" spans="1:37">
      <c r="A31" s="2744"/>
      <c r="B31" s="2745"/>
      <c r="C31" s="2747"/>
      <c r="D31" s="2747"/>
      <c r="E31" s="2751"/>
      <c r="F31" s="2751"/>
      <c r="G31" s="2751"/>
      <c r="H31" s="2751"/>
      <c r="I31" s="2751"/>
      <c r="J31" s="2751"/>
      <c r="K31" s="2751"/>
      <c r="L31" s="2746"/>
      <c r="M31" s="2752"/>
      <c r="N31" s="2752"/>
      <c r="S31" s="2756"/>
    </row>
    <row r="32" spans="1:37">
      <c r="A32" s="2693" t="s">
        <v>2466</v>
      </c>
      <c r="B32" s="2745"/>
      <c r="C32" s="2747"/>
      <c r="D32" s="2754">
        <f>+D25</f>
        <v>0.58546297829872462</v>
      </c>
      <c r="E32" s="2751">
        <f>+E30*D32</f>
        <v>12216848.942603746</v>
      </c>
      <c r="F32" s="2751">
        <f>+F30*D32</f>
        <v>0</v>
      </c>
      <c r="G32" s="2751">
        <f>+G30*$D$32</f>
        <v>12216848.942603746</v>
      </c>
      <c r="H32" s="2751">
        <f>+H30*$D$32</f>
        <v>12965570.898787992</v>
      </c>
      <c r="I32" s="2751">
        <f>+I30*$D$32</f>
        <v>748721.95618424413</v>
      </c>
      <c r="J32" s="2751">
        <f>+J30*$D$32</f>
        <v>13244687.130800763</v>
      </c>
      <c r="K32" s="2751">
        <f>+K30*$D$32</f>
        <v>279116.23201277142</v>
      </c>
      <c r="L32" s="2746"/>
      <c r="M32" s="2752"/>
      <c r="N32" s="2752"/>
    </row>
    <row r="33" spans="1:16">
      <c r="B33" s="2745"/>
      <c r="C33" s="2747"/>
      <c r="D33" s="2747"/>
      <c r="E33" s="2746"/>
      <c r="F33" s="2746"/>
      <c r="G33" s="2746"/>
      <c r="H33" s="2746"/>
      <c r="I33" s="2746"/>
      <c r="J33" s="2746"/>
      <c r="K33" s="2746"/>
      <c r="L33" s="2746"/>
      <c r="M33" s="2752"/>
      <c r="N33" s="2752"/>
    </row>
    <row r="34" spans="1:16">
      <c r="A34" s="2192" t="s">
        <v>2442</v>
      </c>
      <c r="B34" s="2745" t="s">
        <v>2457</v>
      </c>
      <c r="C34" s="2747"/>
      <c r="D34" s="2747"/>
      <c r="E34" s="2746">
        <f>+'G-3.07,5.03 Benefits'!V15</f>
        <v>11827588</v>
      </c>
      <c r="F34" s="2746">
        <f>+'G-3.07,5.03 Benefits'!W15</f>
        <v>-11827588</v>
      </c>
      <c r="G34" s="2746">
        <f>+'G-3.07,5.03 Benefits'!X15</f>
        <v>0</v>
      </c>
      <c r="H34" s="2746">
        <f>+H31*$D$32</f>
        <v>0</v>
      </c>
      <c r="I34" s="2746">
        <f>+H34-G34</f>
        <v>0</v>
      </c>
      <c r="J34" s="2746">
        <f>+'G-3.07,5.03 Benefits'!Z15</f>
        <v>0</v>
      </c>
      <c r="K34" s="2746">
        <f>+J34-H34</f>
        <v>0</v>
      </c>
      <c r="L34" s="2746"/>
      <c r="M34" s="2752"/>
      <c r="N34" s="2752"/>
    </row>
    <row r="35" spans="1:16">
      <c r="A35" s="2689" t="s">
        <v>2443</v>
      </c>
      <c r="B35" s="2745" t="s">
        <v>2457</v>
      </c>
      <c r="C35" s="2747"/>
      <c r="D35" s="2747"/>
      <c r="E35" s="2749">
        <f>'G-3.07,5.03 Benefits'!V16</f>
        <v>492816</v>
      </c>
      <c r="F35" s="2749">
        <f>'G-3.07,5.03 Benefits'!W16</f>
        <v>0</v>
      </c>
      <c r="G35" s="2749">
        <f>'G-3.07,5.03 Benefits'!X16</f>
        <v>492816</v>
      </c>
      <c r="H35" s="2749">
        <f>'G-3.07,5.03 Benefits'!Y16</f>
        <v>985632.33333333337</v>
      </c>
      <c r="I35" s="2749">
        <f>+H35-G35</f>
        <v>492816.33333333337</v>
      </c>
      <c r="J35" s="2749">
        <f>+'G-3.07,5.03 Benefits'!Z16</f>
        <v>985632.33333333337</v>
      </c>
      <c r="K35" s="2749">
        <f>+J35-H35</f>
        <v>0</v>
      </c>
      <c r="L35" s="2746"/>
      <c r="M35" s="2758">
        <f>+I35</f>
        <v>492816.33333333337</v>
      </c>
      <c r="N35" s="2758">
        <f>+K35</f>
        <v>0</v>
      </c>
    </row>
    <row r="36" spans="1:16">
      <c r="A36" s="2750" t="s">
        <v>2467</v>
      </c>
      <c r="B36" s="2745"/>
      <c r="C36" s="2747"/>
      <c r="D36" s="2747"/>
      <c r="E36" s="2751">
        <f t="shared" ref="E36:K36" si="3">SUM(E32:E35)</f>
        <v>24537252.942603745</v>
      </c>
      <c r="F36" s="2751">
        <f t="shared" si="3"/>
        <v>-11827588</v>
      </c>
      <c r="G36" s="2751">
        <f t="shared" si="3"/>
        <v>12709664.942603746</v>
      </c>
      <c r="H36" s="2751">
        <f t="shared" si="3"/>
        <v>13951203.232121326</v>
      </c>
      <c r="I36" s="2751">
        <f t="shared" si="3"/>
        <v>1241538.2895175775</v>
      </c>
      <c r="J36" s="2751">
        <f t="shared" si="3"/>
        <v>14230319.464134097</v>
      </c>
      <c r="K36" s="2751">
        <f t="shared" si="3"/>
        <v>279116.23201277142</v>
      </c>
      <c r="L36" s="2746"/>
      <c r="M36" s="2752">
        <f>+M25+M30+M35</f>
        <v>281117.3031563696</v>
      </c>
      <c r="N36" s="2752">
        <f>+N25+N30+N35</f>
        <v>987890.59372672997</v>
      </c>
    </row>
    <row r="37" spans="1:16">
      <c r="A37" s="2750"/>
      <c r="B37" s="2750"/>
      <c r="C37" s="2750"/>
      <c r="D37" s="2750"/>
      <c r="E37" s="2751"/>
      <c r="F37" s="2751"/>
      <c r="G37" s="2751"/>
      <c r="H37" s="2751"/>
      <c r="I37" s="2746"/>
      <c r="J37" s="2751"/>
      <c r="K37" s="2746"/>
      <c r="L37" s="2751"/>
      <c r="M37" s="2752"/>
      <c r="N37" s="2752"/>
    </row>
    <row r="38" spans="1:16">
      <c r="A38" s="2750"/>
      <c r="B38" s="2750"/>
      <c r="C38" s="2750" t="s">
        <v>24</v>
      </c>
      <c r="D38" s="2750"/>
      <c r="E38" s="2751">
        <f t="shared" ref="E38:K38" si="4">E36+E25</f>
        <v>45317205.767567098</v>
      </c>
      <c r="F38" s="2751">
        <f t="shared" si="4"/>
        <v>-11827588</v>
      </c>
      <c r="G38" s="2751">
        <f t="shared" si="4"/>
        <v>33489617.767567106</v>
      </c>
      <c r="H38" s="2751">
        <f t="shared" si="4"/>
        <v>33770735.070723474</v>
      </c>
      <c r="I38" s="2751">
        <f t="shared" si="4"/>
        <v>281117.3031563696</v>
      </c>
      <c r="J38" s="2751">
        <f t="shared" si="4"/>
        <v>34758625.664450206</v>
      </c>
      <c r="K38" s="2751">
        <f t="shared" si="4"/>
        <v>987890.59372672997</v>
      </c>
      <c r="L38" s="2751"/>
      <c r="M38" s="2759"/>
      <c r="N38" s="2759"/>
    </row>
    <row r="39" spans="1:16">
      <c r="B39" s="2745"/>
      <c r="H39" s="2760"/>
      <c r="I39" s="2760"/>
      <c r="J39" s="2760"/>
      <c r="K39" s="2760"/>
    </row>
    <row r="40" spans="1:16">
      <c r="N40" s="2761"/>
      <c r="O40" s="3890" t="s">
        <v>729</v>
      </c>
      <c r="P40" s="3890"/>
    </row>
    <row r="41" spans="1:16">
      <c r="A41" s="2192" t="s">
        <v>1121</v>
      </c>
      <c r="F41" s="2762" t="s">
        <v>2468</v>
      </c>
      <c r="I41" s="2763" t="s">
        <v>517</v>
      </c>
      <c r="J41" s="2763"/>
      <c r="K41" s="2764" t="s">
        <v>519</v>
      </c>
      <c r="M41" s="2192" t="s">
        <v>2469</v>
      </c>
      <c r="O41" s="2765">
        <f>+I42</f>
        <v>2025</v>
      </c>
      <c r="P41" s="2765">
        <f>+K42</f>
        <v>2026</v>
      </c>
    </row>
    <row r="42" spans="1:16" ht="30">
      <c r="A42" s="2680" t="s">
        <v>2470</v>
      </c>
      <c r="B42" s="2766"/>
      <c r="C42" s="2682"/>
      <c r="D42" s="2682"/>
      <c r="E42" s="2682"/>
      <c r="F42" s="2762" t="s">
        <v>2471</v>
      </c>
      <c r="I42" s="2763">
        <f>+H17</f>
        <v>2025</v>
      </c>
      <c r="J42" s="2763"/>
      <c r="K42" s="2763">
        <f>+J17</f>
        <v>2026</v>
      </c>
      <c r="M42" s="2192" t="s">
        <v>2472</v>
      </c>
      <c r="N42" s="2761">
        <v>0.33</v>
      </c>
      <c r="O42" s="2767">
        <f>$I$44*N42</f>
        <v>43541.064710675448</v>
      </c>
      <c r="P42" s="2767">
        <f>$K$44*N42</f>
        <v>153010.17683922854</v>
      </c>
    </row>
    <row r="43" spans="1:16" ht="15.75" thickBot="1">
      <c r="A43" s="2681">
        <v>0.70111999999999997</v>
      </c>
      <c r="B43" s="2682" t="s">
        <v>2398</v>
      </c>
      <c r="C43" s="2766"/>
      <c r="D43" s="2766"/>
      <c r="M43" s="2192" t="s">
        <v>2473</v>
      </c>
      <c r="N43" s="2761">
        <v>0.23</v>
      </c>
      <c r="O43" s="2767">
        <f>$I$44*N43</f>
        <v>30346.802677137432</v>
      </c>
      <c r="P43" s="2767">
        <f>$K$44*N43</f>
        <v>106643.45658491687</v>
      </c>
    </row>
    <row r="44" spans="1:16" ht="16.5" thickTop="1" thickBot="1">
      <c r="A44" s="2683">
        <v>0.66942999999999997</v>
      </c>
      <c r="B44" s="2682" t="s">
        <v>2399</v>
      </c>
      <c r="C44" s="2766"/>
      <c r="D44" s="2766"/>
      <c r="F44" s="2768">
        <v>-5560490</v>
      </c>
      <c r="H44" s="2769"/>
      <c r="I44" s="2770">
        <f>I38*A43*A44</f>
        <v>131942.62033538014</v>
      </c>
      <c r="K44" s="2770">
        <f>K38*A43*A44</f>
        <v>463667.20254311681</v>
      </c>
      <c r="M44" s="2192" t="s">
        <v>2249</v>
      </c>
      <c r="N44" s="2761">
        <v>0.06</v>
      </c>
      <c r="O44" s="2767">
        <f>$I$44*N44</f>
        <v>7916.5572201228078</v>
      </c>
      <c r="P44" s="2767">
        <f>$K$44*N44</f>
        <v>27820.032152587009</v>
      </c>
    </row>
    <row r="45" spans="1:16" ht="15.75" thickTop="1">
      <c r="A45" s="2683"/>
      <c r="B45" s="2682"/>
      <c r="C45" s="2766"/>
      <c r="D45" s="2766"/>
      <c r="E45" s="3891" t="s">
        <v>2474</v>
      </c>
      <c r="F45" s="3891"/>
      <c r="G45" s="3891"/>
      <c r="H45" s="2769"/>
      <c r="I45" s="2687"/>
      <c r="K45" s="2687"/>
      <c r="M45" s="2192" t="s">
        <v>2475</v>
      </c>
      <c r="N45" s="2761">
        <v>0.01</v>
      </c>
      <c r="O45" s="2767">
        <f>$I$44*N45</f>
        <v>1319.4262033538014</v>
      </c>
      <c r="P45" s="2767">
        <f>$K$44*N45</f>
        <v>4636.6720254311685</v>
      </c>
    </row>
    <row r="46" spans="1:16">
      <c r="A46" s="2683"/>
      <c r="B46" s="2682"/>
      <c r="C46" s="2766"/>
      <c r="D46" s="2766"/>
      <c r="E46" s="3891"/>
      <c r="F46" s="3891"/>
      <c r="G46" s="3891"/>
      <c r="H46" s="2769"/>
      <c r="I46" s="2687"/>
      <c r="K46" s="2687"/>
      <c r="M46" s="2192" t="s">
        <v>2245</v>
      </c>
      <c r="N46" s="2761">
        <v>0.37</v>
      </c>
      <c r="O46" s="2767">
        <f>$I$44*N46</f>
        <v>48818.769524090654</v>
      </c>
      <c r="P46" s="2767">
        <f>$K$44*N46</f>
        <v>171556.86494095321</v>
      </c>
    </row>
    <row r="47" spans="1:16">
      <c r="A47" s="2683"/>
      <c r="B47" s="2682"/>
      <c r="C47" s="2766"/>
      <c r="D47" s="2766"/>
      <c r="H47" s="2769"/>
      <c r="I47" s="2687"/>
      <c r="K47" s="2687"/>
      <c r="N47" s="2771"/>
      <c r="O47" s="2772">
        <f>SUM(O42:O46)</f>
        <v>131942.62033538014</v>
      </c>
      <c r="P47" s="2772">
        <f>SUM(P42:P46)</f>
        <v>463667.20254311681</v>
      </c>
    </row>
    <row r="48" spans="1:16">
      <c r="A48" s="2683"/>
      <c r="B48" s="2682"/>
      <c r="C48" s="2766"/>
      <c r="D48" s="2766"/>
      <c r="H48" s="2769"/>
      <c r="I48" s="2687"/>
      <c r="K48" s="2687"/>
      <c r="N48" s="2771"/>
      <c r="O48" s="2190"/>
      <c r="P48" s="2190"/>
    </row>
    <row r="49" spans="1:16">
      <c r="A49" s="2683"/>
      <c r="B49" s="2682"/>
      <c r="C49" s="2766"/>
      <c r="D49" s="2766"/>
      <c r="H49" s="2769"/>
      <c r="I49" s="2687"/>
      <c r="K49" s="2687"/>
      <c r="N49" s="2771"/>
    </row>
    <row r="50" spans="1:16">
      <c r="A50" s="2680" t="s">
        <v>2476</v>
      </c>
      <c r="B50" s="2682"/>
      <c r="C50" s="2766"/>
      <c r="D50" s="2766"/>
      <c r="H50" s="2769"/>
      <c r="K50" s="2682"/>
      <c r="N50" s="2771"/>
      <c r="O50" s="3892" t="s">
        <v>434</v>
      </c>
      <c r="P50" s="3892"/>
    </row>
    <row r="51" spans="1:16" ht="15.75" thickBot="1">
      <c r="A51" s="2681">
        <v>0.20707999999999999</v>
      </c>
      <c r="B51" s="2682" t="s">
        <v>2398</v>
      </c>
      <c r="C51" s="2766"/>
      <c r="D51" s="2766"/>
      <c r="H51" s="2769"/>
      <c r="K51" s="2682"/>
      <c r="M51" s="2192" t="s">
        <v>2469</v>
      </c>
      <c r="N51" s="2771"/>
      <c r="O51" s="2765">
        <f>+O41</f>
        <v>2025</v>
      </c>
      <c r="P51" s="2765">
        <f>+P41</f>
        <v>2026</v>
      </c>
    </row>
    <row r="52" spans="1:16" ht="16.5" thickTop="1" thickBot="1">
      <c r="A52" s="2681">
        <v>0.71745999999999999</v>
      </c>
      <c r="B52" s="2682" t="s">
        <v>2399</v>
      </c>
      <c r="C52" s="2766"/>
      <c r="D52" s="2766"/>
      <c r="E52" s="2766"/>
      <c r="F52" s="2768">
        <v>-1731369</v>
      </c>
      <c r="H52" s="2769"/>
      <c r="I52" s="2770">
        <f>I38*A51*A52</f>
        <v>41766.05224039757</v>
      </c>
      <c r="J52" s="2766"/>
      <c r="K52" s="2770">
        <f>K38*A51*A52</f>
        <v>146772.50273149219</v>
      </c>
      <c r="M52" s="2192" t="s">
        <v>671</v>
      </c>
      <c r="N52" s="2761">
        <v>0.04</v>
      </c>
      <c r="O52" s="2767">
        <f t="shared" ref="O52:O57" si="5">$I$52*N52</f>
        <v>1670.6420896159029</v>
      </c>
      <c r="P52" s="2767">
        <f t="shared" ref="P52:P57" si="6">$K$52*N52</f>
        <v>5870.9001092596873</v>
      </c>
    </row>
    <row r="53" spans="1:16" ht="15.75" thickTop="1">
      <c r="E53" s="3891" t="s">
        <v>2474</v>
      </c>
      <c r="F53" s="3891"/>
      <c r="G53" s="3891"/>
      <c r="I53" s="2687"/>
      <c r="M53" s="2192" t="s">
        <v>41</v>
      </c>
      <c r="N53" s="2761">
        <v>0</v>
      </c>
      <c r="O53" s="2767">
        <f t="shared" si="5"/>
        <v>0</v>
      </c>
      <c r="P53" s="2767">
        <f t="shared" si="6"/>
        <v>0</v>
      </c>
    </row>
    <row r="54" spans="1:16">
      <c r="E54" s="3891"/>
      <c r="F54" s="3891"/>
      <c r="G54" s="3891"/>
      <c r="M54" s="2192" t="s">
        <v>45</v>
      </c>
      <c r="N54" s="2761">
        <v>0.44</v>
      </c>
      <c r="O54" s="2767">
        <f t="shared" si="5"/>
        <v>18377.06298577493</v>
      </c>
      <c r="P54" s="2767">
        <f t="shared" si="6"/>
        <v>64579.901201856563</v>
      </c>
    </row>
    <row r="55" spans="1:16">
      <c r="E55" s="2693"/>
      <c r="F55" s="2693"/>
      <c r="G55" s="2693"/>
      <c r="I55" s="2687"/>
      <c r="K55" s="2687"/>
      <c r="M55" s="2192" t="s">
        <v>2249</v>
      </c>
      <c r="N55" s="2761">
        <v>0.15</v>
      </c>
      <c r="O55" s="2767">
        <f t="shared" si="5"/>
        <v>6264.907836059635</v>
      </c>
      <c r="P55" s="2767">
        <f t="shared" si="6"/>
        <v>22015.875409723827</v>
      </c>
    </row>
    <row r="56" spans="1:16">
      <c r="F56" s="2693"/>
      <c r="G56" s="2693"/>
      <c r="H56" s="2693"/>
      <c r="I56" s="2693"/>
      <c r="J56" s="2693"/>
      <c r="K56" s="2687"/>
      <c r="M56" s="2192" t="s">
        <v>2247</v>
      </c>
      <c r="N56" s="2761">
        <v>0.01</v>
      </c>
      <c r="O56" s="2767">
        <f t="shared" si="5"/>
        <v>417.66052240397573</v>
      </c>
      <c r="P56" s="2767">
        <f t="shared" si="6"/>
        <v>1467.7250273149218</v>
      </c>
    </row>
    <row r="57" spans="1:16">
      <c r="I57" s="2753"/>
      <c r="J57" s="2190"/>
      <c r="M57" s="2192" t="s">
        <v>2245</v>
      </c>
      <c r="N57" s="2761">
        <v>0.36</v>
      </c>
      <c r="O57" s="2767">
        <f t="shared" si="5"/>
        <v>15035.778806543125</v>
      </c>
      <c r="P57" s="2767">
        <f t="shared" si="6"/>
        <v>52838.100983337186</v>
      </c>
    </row>
    <row r="58" spans="1:16">
      <c r="I58" s="2752"/>
      <c r="K58" s="2687"/>
      <c r="N58" s="2771"/>
      <c r="O58" s="2772">
        <f>SUM(O52:O57)</f>
        <v>41766.05224039757</v>
      </c>
      <c r="P58" s="2772">
        <f>SUM(P52:P57)</f>
        <v>146772.50273149219</v>
      </c>
    </row>
    <row r="59" spans="1:16">
      <c r="A59" s="2771" t="s">
        <v>2477</v>
      </c>
      <c r="B59" s="2771"/>
      <c r="I59" s="2752"/>
      <c r="J59" s="2766"/>
      <c r="K59" s="2687"/>
    </row>
    <row r="60" spans="1:16">
      <c r="A60" s="2771" t="s">
        <v>2089</v>
      </c>
      <c r="B60" s="2773">
        <f>+D25*A43*A44</f>
        <v>0.27478749475311065</v>
      </c>
      <c r="C60" s="2774">
        <f>1-'G-3.07,5.03 Benefits'!AQ9</f>
        <v>0.99228210637755476</v>
      </c>
      <c r="D60" s="2774"/>
      <c r="I60" s="2769"/>
    </row>
    <row r="61" spans="1:16">
      <c r="A61" s="2771" t="s">
        <v>68</v>
      </c>
      <c r="B61" s="2773">
        <f>+D25*A51*A52</f>
        <v>8.6983181262384829E-2</v>
      </c>
      <c r="I61" s="2687"/>
      <c r="K61" s="2687"/>
    </row>
    <row r="62" spans="1:16">
      <c r="I62" s="2687"/>
      <c r="K62" s="2687"/>
    </row>
    <row r="63" spans="1:16">
      <c r="I63" s="2687"/>
      <c r="K63" s="2687"/>
    </row>
    <row r="64" spans="1:16">
      <c r="I64" s="2687"/>
      <c r="K64" s="2687"/>
    </row>
    <row r="65" spans="9:11">
      <c r="I65" s="2687"/>
      <c r="K65" s="2687"/>
    </row>
    <row r="66" spans="9:11">
      <c r="I66" s="2687"/>
      <c r="K66" s="2687"/>
    </row>
    <row r="67" spans="9:11">
      <c r="K67" s="2682"/>
    </row>
    <row r="68" spans="9:11">
      <c r="K68" s="2682"/>
    </row>
    <row r="69" spans="9:11">
      <c r="I69" s="2687"/>
      <c r="K69" s="2687"/>
    </row>
    <row r="70" spans="9:11">
      <c r="I70" s="2687"/>
      <c r="K70" s="2687"/>
    </row>
  </sheetData>
  <mergeCells count="13">
    <mergeCell ref="S19:Y20"/>
    <mergeCell ref="O40:P40"/>
    <mergeCell ref="E45:G46"/>
    <mergeCell ref="O50:P50"/>
    <mergeCell ref="E53:G54"/>
    <mergeCell ref="AB14:AK17"/>
    <mergeCell ref="H17:I17"/>
    <mergeCell ref="J17:K17"/>
    <mergeCell ref="A1:I1"/>
    <mergeCell ref="AN1:AT1"/>
    <mergeCell ref="A2:I2"/>
    <mergeCell ref="A3:I3"/>
    <mergeCell ref="AP5:AT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5546875" defaultRowHeight="15"/>
  <cols>
    <col min="1" max="1" width="30.140625" style="2733" customWidth="1"/>
    <col min="2" max="2" width="13.28515625" style="2775" bestFit="1" customWidth="1"/>
    <col min="3" max="3" width="13.5703125" style="2138" customWidth="1"/>
    <col min="4" max="4" width="12.5703125" style="2733" customWidth="1"/>
    <col min="5" max="5" width="13.28515625" style="2775" bestFit="1" customWidth="1"/>
    <col min="6" max="6" width="14.28515625" style="2775" customWidth="1"/>
    <col min="7" max="7" width="14.5703125" style="2775" bestFit="1" customWidth="1"/>
    <col min="8" max="8" width="5.140625" style="2775" customWidth="1"/>
    <col min="9" max="9" width="19.140625" style="2689" customWidth="1"/>
    <col min="10" max="10" width="15.28515625" style="2689" bestFit="1" customWidth="1"/>
    <col min="11" max="11" width="15.28515625" style="2689" customWidth="1"/>
    <col min="12" max="12" width="4.85546875" style="2689" customWidth="1"/>
    <col min="13" max="13" width="1.7109375" style="2142" customWidth="1"/>
    <col min="14" max="14" width="8.85546875" style="2141"/>
    <col min="15" max="15" width="29" style="2459" bestFit="1" customWidth="1"/>
    <col min="16" max="16" width="0.85546875" style="2459" customWidth="1"/>
    <col min="17" max="17" width="14.5703125" style="2459" bestFit="1" customWidth="1"/>
    <col min="18" max="19" width="16.5703125" style="2459" customWidth="1"/>
    <col min="20" max="16384" width="8.85546875" style="2141"/>
  </cols>
  <sheetData>
    <row r="1" spans="1:19" ht="18.75">
      <c r="A1" s="2136" t="s">
        <v>1734</v>
      </c>
      <c r="O1" s="2776" t="s">
        <v>2478</v>
      </c>
      <c r="Q1" s="2777"/>
    </row>
    <row r="2" spans="1:19">
      <c r="A2" s="2136" t="s">
        <v>1737</v>
      </c>
      <c r="P2" s="2778"/>
      <c r="Q2" s="2779" t="s">
        <v>517</v>
      </c>
      <c r="R2" s="2459" t="s">
        <v>2479</v>
      </c>
    </row>
    <row r="3" spans="1:19">
      <c r="A3" s="2136"/>
      <c r="I3" s="2145" t="s">
        <v>2480</v>
      </c>
      <c r="J3" s="2145" t="s">
        <v>517</v>
      </c>
      <c r="O3" s="2458" t="s">
        <v>2481</v>
      </c>
      <c r="P3" s="2780"/>
    </row>
    <row r="4" spans="1:19">
      <c r="A4" s="2144" t="s">
        <v>1739</v>
      </c>
      <c r="B4" s="2689"/>
      <c r="C4" s="2689"/>
      <c r="D4" s="2689"/>
      <c r="E4" s="2689"/>
      <c r="F4" s="2145"/>
      <c r="G4" s="2145" t="s">
        <v>1740</v>
      </c>
      <c r="H4" s="2689"/>
      <c r="I4" s="2145" t="s">
        <v>2482</v>
      </c>
      <c r="J4" s="2145" t="s">
        <v>394</v>
      </c>
      <c r="K4" s="2689" t="s">
        <v>2483</v>
      </c>
      <c r="O4" s="2781" t="s">
        <v>2484</v>
      </c>
      <c r="P4" s="2782"/>
      <c r="Q4" s="2783">
        <v>8010545.039535284</v>
      </c>
      <c r="R4" s="2783">
        <v>-1094293</v>
      </c>
      <c r="S4" s="2471">
        <f>Q4+R4</f>
        <v>6916252.039535284</v>
      </c>
    </row>
    <row r="5" spans="1:19" ht="30">
      <c r="A5" s="2147" t="s">
        <v>1736</v>
      </c>
      <c r="B5" s="2147">
        <v>2017</v>
      </c>
      <c r="C5" s="2147">
        <v>2018</v>
      </c>
      <c r="D5" s="2147">
        <v>2019</v>
      </c>
      <c r="E5" s="2147">
        <v>2020</v>
      </c>
      <c r="F5" s="2147">
        <v>2021</v>
      </c>
      <c r="G5" s="2147">
        <v>2022</v>
      </c>
      <c r="H5" s="2784"/>
      <c r="I5" s="2149" t="s">
        <v>1746</v>
      </c>
      <c r="J5" s="2149" t="s">
        <v>2485</v>
      </c>
      <c r="K5" s="2149" t="s">
        <v>1748</v>
      </c>
      <c r="L5" s="2785"/>
      <c r="O5" s="2781" t="s">
        <v>2486</v>
      </c>
      <c r="P5" s="2782"/>
      <c r="Q5" s="2783">
        <v>1836568.6642125</v>
      </c>
      <c r="S5" s="2786">
        <f>Q5+R5</f>
        <v>1836568.6642125</v>
      </c>
    </row>
    <row r="6" spans="1:19">
      <c r="A6" s="2787" t="s">
        <v>1749</v>
      </c>
      <c r="B6" s="2788">
        <v>8907284.0899999999</v>
      </c>
      <c r="C6" s="2788">
        <v>8939222</v>
      </c>
      <c r="D6" s="2788">
        <v>9560785</v>
      </c>
      <c r="E6" s="2788">
        <v>11027927</v>
      </c>
      <c r="F6" s="2789">
        <v>11636327</v>
      </c>
      <c r="G6" s="2789">
        <v>11677040</v>
      </c>
      <c r="H6" s="2689"/>
      <c r="I6" s="2790"/>
      <c r="J6" s="2787"/>
      <c r="K6" s="2787"/>
      <c r="O6" s="2476" t="s">
        <v>2481</v>
      </c>
      <c r="P6" s="2791"/>
      <c r="Q6" s="2792">
        <f>SUM(Q4:Q5)</f>
        <v>9847113.7037477847</v>
      </c>
      <c r="S6" s="2792">
        <f>SUM(S4:S5)</f>
        <v>8752820.7037477847</v>
      </c>
    </row>
    <row r="7" spans="1:19">
      <c r="A7" s="2787"/>
      <c r="B7" s="2788"/>
      <c r="C7" s="2788"/>
      <c r="D7" s="2788"/>
      <c r="E7" s="2788"/>
      <c r="F7" s="2788"/>
      <c r="G7" s="2788"/>
      <c r="H7" s="2689"/>
      <c r="I7" s="2787"/>
      <c r="J7" s="2787"/>
      <c r="K7" s="2787"/>
      <c r="P7" s="2780"/>
    </row>
    <row r="8" spans="1:19">
      <c r="A8" s="2787" t="s">
        <v>128</v>
      </c>
      <c r="B8" s="2788">
        <v>3024645.6942000003</v>
      </c>
      <c r="C8" s="2788">
        <v>2763400.8181698681</v>
      </c>
      <c r="D8" s="2788">
        <v>1915430.404649351</v>
      </c>
      <c r="E8" s="2788">
        <v>1301158.3403929451</v>
      </c>
      <c r="F8" s="2788">
        <v>4674952.357970004</v>
      </c>
      <c r="G8" s="2788">
        <v>797795.87000000034</v>
      </c>
      <c r="H8" s="2793">
        <f>G8/$G$12</f>
        <v>9.9802450921696831E-2</v>
      </c>
      <c r="I8" s="2790"/>
      <c r="J8" s="2790"/>
      <c r="K8" s="2790"/>
    </row>
    <row r="9" spans="1:19" ht="15.75" thickBot="1">
      <c r="A9" s="2787" t="s">
        <v>938</v>
      </c>
      <c r="B9" s="2788">
        <v>232665.0534</v>
      </c>
      <c r="C9" s="2788">
        <v>227418.58825925156</v>
      </c>
      <c r="D9" s="2788">
        <v>157633.47671826064</v>
      </c>
      <c r="E9" s="2788">
        <v>107080.95290710905</v>
      </c>
      <c r="F9" s="2788">
        <v>44962.698830913003</v>
      </c>
      <c r="G9" s="2788">
        <v>3228217</v>
      </c>
      <c r="H9" s="2793">
        <f>G9/$G$12</f>
        <v>0.40384261290684198</v>
      </c>
      <c r="I9" s="2790"/>
      <c r="J9" s="2790"/>
      <c r="K9" s="2790"/>
      <c r="O9" s="2794"/>
      <c r="P9" s="2794"/>
      <c r="Q9" s="2795"/>
      <c r="R9" s="2794"/>
      <c r="S9" s="2794"/>
    </row>
    <row r="10" spans="1:19">
      <c r="A10" s="2787" t="s">
        <v>933</v>
      </c>
      <c r="B10" s="2788">
        <v>6747286.5485999994</v>
      </c>
      <c r="C10" s="2788">
        <v>6703033.547677394</v>
      </c>
      <c r="D10" s="2788">
        <v>4646157.0743504977</v>
      </c>
      <c r="E10" s="2788">
        <v>3156150.1860849573</v>
      </c>
      <c r="F10" s="2788">
        <v>7980128.549638628</v>
      </c>
      <c r="G10" s="2788">
        <v>3109772</v>
      </c>
      <c r="H10" s="2793">
        <f>G10/$G$12</f>
        <v>0.38902541248761652</v>
      </c>
      <c r="I10" s="2790">
        <f>AVERAGE(B10:G10)</f>
        <v>5390421.3177252458</v>
      </c>
      <c r="J10" s="2790">
        <f>'G-3.08 PF Incentives'!S4</f>
        <v>6916252.039535284</v>
      </c>
      <c r="K10" s="2790">
        <f>J10-I10</f>
        <v>1525830.7218100382</v>
      </c>
      <c r="L10" s="2796"/>
    </row>
    <row r="11" spans="1:19" ht="17.25">
      <c r="A11" s="2787" t="s">
        <v>471</v>
      </c>
      <c r="B11" s="2164">
        <v>1628655.3738000002</v>
      </c>
      <c r="C11" s="2164">
        <v>1636727.1251204626</v>
      </c>
      <c r="D11" s="2164">
        <v>1134485.0442818908</v>
      </c>
      <c r="E11" s="2164">
        <v>770659.52061498829</v>
      </c>
      <c r="F11" s="2164">
        <v>568140.39356045367</v>
      </c>
      <c r="G11" s="2164">
        <v>857965.4099999998</v>
      </c>
      <c r="H11" s="2793">
        <f>G11/$G$12</f>
        <v>0.10732952368384464</v>
      </c>
      <c r="I11" s="2790"/>
      <c r="J11" s="2790"/>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689"/>
      <c r="I12" s="2790">
        <f>SUM(I8:I11)</f>
        <v>5390421.3177252458</v>
      </c>
      <c r="J12" s="2790">
        <f>SUM(J8:J11)</f>
        <v>6916252.039535284</v>
      </c>
      <c r="K12" s="2790">
        <f>SUM(K8:K11)</f>
        <v>1525830.7218100382</v>
      </c>
      <c r="L12" s="2796"/>
    </row>
    <row r="13" spans="1:19">
      <c r="A13" s="2787"/>
      <c r="B13" s="2787"/>
      <c r="C13" s="2787"/>
      <c r="D13" s="2787"/>
      <c r="E13" s="2787"/>
      <c r="F13" s="2787"/>
      <c r="G13" s="2787"/>
      <c r="H13" s="2689"/>
      <c r="I13" s="2787"/>
      <c r="J13" s="2787"/>
      <c r="K13" s="2787"/>
    </row>
    <row r="14" spans="1:19" ht="30">
      <c r="A14" s="2168" t="s">
        <v>1759</v>
      </c>
      <c r="B14" s="2168">
        <f t="shared" ref="B14:G14" si="1">+B5</f>
        <v>2017</v>
      </c>
      <c r="C14" s="2168">
        <f t="shared" si="1"/>
        <v>2018</v>
      </c>
      <c r="D14" s="2168">
        <f t="shared" si="1"/>
        <v>2019</v>
      </c>
      <c r="E14" s="2168">
        <f t="shared" si="1"/>
        <v>2020</v>
      </c>
      <c r="F14" s="2168">
        <f t="shared" si="1"/>
        <v>2021</v>
      </c>
      <c r="G14" s="2168">
        <f t="shared" si="1"/>
        <v>2022</v>
      </c>
      <c r="H14" s="2689"/>
      <c r="I14" s="2169" t="s">
        <v>1746</v>
      </c>
      <c r="J14" s="2149" t="str">
        <f>+J5</f>
        <v>Rate Year 1 Expense</v>
      </c>
      <c r="K14" s="2149" t="s">
        <v>1748</v>
      </c>
      <c r="L14" s="2145"/>
    </row>
    <row r="15" spans="1:19">
      <c r="A15" s="2787" t="s">
        <v>1749</v>
      </c>
      <c r="B15" s="2788">
        <v>2645970</v>
      </c>
      <c r="C15" s="2788">
        <v>2786099</v>
      </c>
      <c r="D15" s="2788">
        <v>2981115</v>
      </c>
      <c r="E15" s="2788">
        <v>2486258</v>
      </c>
      <c r="F15" s="2789">
        <v>2461365</v>
      </c>
      <c r="G15" s="2789">
        <v>2461365</v>
      </c>
      <c r="H15" s="2689"/>
      <c r="I15" s="2790"/>
      <c r="J15" s="2787"/>
      <c r="K15" s="2787"/>
    </row>
    <row r="16" spans="1:19">
      <c r="A16" s="2787"/>
      <c r="B16" s="2788"/>
      <c r="C16" s="2788"/>
      <c r="D16" s="2788"/>
      <c r="E16" s="2788"/>
      <c r="F16" s="2788"/>
      <c r="G16" s="2788"/>
      <c r="H16" s="2689"/>
      <c r="I16" s="2790"/>
      <c r="J16" s="2787"/>
      <c r="K16" s="2787"/>
    </row>
    <row r="17" spans="1:12">
      <c r="A17" s="2787" t="s">
        <v>933</v>
      </c>
      <c r="B17" s="2788">
        <v>1298642</v>
      </c>
      <c r="C17" s="2788">
        <v>1246174</v>
      </c>
      <c r="D17" s="2788">
        <v>979535</v>
      </c>
      <c r="E17" s="2788">
        <v>497252</v>
      </c>
      <c r="F17" s="2788">
        <v>695450</v>
      </c>
      <c r="G17" s="2788">
        <v>581270.01000000013</v>
      </c>
      <c r="H17" s="2689"/>
      <c r="I17" s="2790">
        <f>AVERAGE(B17:G17)</f>
        <v>883053.83499999996</v>
      </c>
      <c r="J17" s="2790">
        <f>'G-3.08 PF Incentives'!Q5</f>
        <v>1836568.6642125</v>
      </c>
      <c r="K17" s="2790">
        <f>J17-I17</f>
        <v>953514.82921250002</v>
      </c>
      <c r="L17" s="2796"/>
    </row>
    <row r="18" spans="1:12" ht="17.25">
      <c r="A18" s="2787" t="s">
        <v>938</v>
      </c>
      <c r="B18" s="2164">
        <v>1111307</v>
      </c>
      <c r="C18" s="2164">
        <v>1539925</v>
      </c>
      <c r="D18" s="2164">
        <v>2861870</v>
      </c>
      <c r="E18" s="2164">
        <v>124312</v>
      </c>
      <c r="F18" s="2164">
        <v>2042921</v>
      </c>
      <c r="G18" s="2164">
        <v>2717437.26</v>
      </c>
      <c r="H18" s="2689"/>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689"/>
      <c r="I19" s="2790">
        <f>SUM(I17:I18)</f>
        <v>883053.83499999996</v>
      </c>
      <c r="J19" s="2790">
        <f>SUM(J17:J18)</f>
        <v>1836568.6642125</v>
      </c>
      <c r="K19" s="2790">
        <f>SUM(K17:K18)</f>
        <v>953514.82921250002</v>
      </c>
    </row>
    <row r="20" spans="1:12">
      <c r="A20" s="2790"/>
      <c r="B20" s="2787"/>
      <c r="C20" s="2787"/>
      <c r="D20" s="2787"/>
      <c r="E20" s="2787"/>
      <c r="F20" s="2787"/>
      <c r="G20" s="2787"/>
      <c r="H20" s="2689"/>
      <c r="I20" s="2787"/>
      <c r="J20" s="2787"/>
      <c r="K20" s="2787"/>
    </row>
    <row r="21" spans="1:12">
      <c r="A21" s="2797" t="s">
        <v>24</v>
      </c>
      <c r="B21" s="2168">
        <f t="shared" ref="B21:G21" si="3">+B14</f>
        <v>2017</v>
      </c>
      <c r="C21" s="2168">
        <f t="shared" si="3"/>
        <v>2018</v>
      </c>
      <c r="D21" s="2168">
        <f t="shared" si="3"/>
        <v>2019</v>
      </c>
      <c r="E21" s="2168">
        <f t="shared" si="3"/>
        <v>2020</v>
      </c>
      <c r="F21" s="2168">
        <f t="shared" si="3"/>
        <v>2021</v>
      </c>
      <c r="G21" s="2168">
        <f t="shared" si="3"/>
        <v>2022</v>
      </c>
      <c r="H21" s="2689"/>
      <c r="I21" s="3841" t="s">
        <v>1760</v>
      </c>
      <c r="J21" s="3842"/>
      <c r="K21" s="2171">
        <f>K12+K19</f>
        <v>2479345.551022538</v>
      </c>
    </row>
    <row r="22" spans="1:12">
      <c r="A22" s="2787" t="s">
        <v>1761</v>
      </c>
      <c r="B22" s="2790">
        <f t="shared" ref="B22:G22" si="4">B6+B15</f>
        <v>11553254.09</v>
      </c>
      <c r="C22" s="2790">
        <f t="shared" si="4"/>
        <v>11725321</v>
      </c>
      <c r="D22" s="2790">
        <f t="shared" si="4"/>
        <v>12541900</v>
      </c>
      <c r="E22" s="2790">
        <f t="shared" si="4"/>
        <v>13514185</v>
      </c>
      <c r="F22" s="2790">
        <f t="shared" si="4"/>
        <v>14097692</v>
      </c>
      <c r="G22" s="2790">
        <f t="shared" si="4"/>
        <v>14138405</v>
      </c>
      <c r="H22" s="2689"/>
      <c r="I22" s="2787"/>
      <c r="J22" s="2787"/>
      <c r="K22" s="2787"/>
    </row>
    <row r="23" spans="1:12" ht="15.75" thickBot="1">
      <c r="A23" s="2798" t="s">
        <v>1762</v>
      </c>
      <c r="B23" s="2799">
        <f t="shared" ref="B23:G23" si="5">B12+B19</f>
        <v>14043201.67</v>
      </c>
      <c r="C23" s="2799">
        <f t="shared" si="5"/>
        <v>14116679.079226976</v>
      </c>
      <c r="D23" s="2799">
        <f t="shared" si="5"/>
        <v>11695111</v>
      </c>
      <c r="E23" s="2799">
        <f t="shared" si="5"/>
        <v>5956612.9999999991</v>
      </c>
      <c r="F23" s="2799">
        <f t="shared" si="5"/>
        <v>16006555</v>
      </c>
      <c r="G23" s="2799">
        <f t="shared" si="5"/>
        <v>11292457.550000001</v>
      </c>
      <c r="H23" s="2689"/>
      <c r="I23" s="2174" t="s">
        <v>538</v>
      </c>
      <c r="J23" s="2175">
        <v>0.70111999999999997</v>
      </c>
      <c r="K23" s="2176"/>
    </row>
    <row r="24" spans="1:12" ht="16.5" thickTop="1" thickBot="1">
      <c r="A24" s="2798"/>
      <c r="B24" s="2788"/>
      <c r="C24" s="2177"/>
      <c r="D24" s="2798"/>
      <c r="E24" s="2788"/>
      <c r="F24" s="2788"/>
      <c r="G24" s="2788"/>
      <c r="H24" s="2689"/>
      <c r="I24" s="2178" t="s">
        <v>1764</v>
      </c>
      <c r="J24" s="2179">
        <v>0.66942999999999997</v>
      </c>
      <c r="K24" s="2180">
        <f>K21*J23*J24</f>
        <v>1163682.7226419998</v>
      </c>
      <c r="L24" s="2190"/>
    </row>
    <row r="25" spans="1:12" ht="15.75" thickTop="1">
      <c r="B25" s="2800"/>
      <c r="C25" s="2185"/>
      <c r="E25" s="2800"/>
      <c r="F25" s="2800"/>
      <c r="G25" s="2800"/>
      <c r="H25" s="2689"/>
      <c r="I25" s="2178"/>
      <c r="J25" s="2175"/>
      <c r="K25" s="2186"/>
      <c r="L25" s="2190"/>
    </row>
    <row r="26" spans="1:12" ht="15.75" thickBot="1">
      <c r="A26" s="2138"/>
      <c r="B26" s="2800"/>
      <c r="C26" s="2185"/>
      <c r="E26" s="2800"/>
      <c r="F26" s="2800"/>
      <c r="G26" s="2800"/>
      <c r="H26" s="2689"/>
      <c r="I26" s="2178" t="s">
        <v>1104</v>
      </c>
      <c r="J26" s="2175">
        <v>0.20707999999999999</v>
      </c>
      <c r="K26" s="2176"/>
      <c r="L26" s="2190"/>
    </row>
    <row r="27" spans="1:12" ht="16.5" thickTop="1" thickBot="1">
      <c r="A27" s="2138"/>
      <c r="B27" s="2800"/>
      <c r="C27" s="2185"/>
      <c r="E27" s="2800"/>
      <c r="F27" s="2800"/>
      <c r="G27" s="2800"/>
      <c r="H27" s="2689"/>
      <c r="I27" s="2178" t="s">
        <v>1764</v>
      </c>
      <c r="J27" s="2179">
        <v>0.71745999999999999</v>
      </c>
      <c r="K27" s="2180">
        <f>K21*J26*J27</f>
        <v>368360.37712130533</v>
      </c>
      <c r="L27" s="2190"/>
    </row>
    <row r="28" spans="1:12" ht="15.75" thickTop="1">
      <c r="A28" s="2733" t="s">
        <v>1766</v>
      </c>
      <c r="B28" s="2800"/>
      <c r="C28" s="2185"/>
      <c r="E28" s="2800"/>
      <c r="F28" s="2800"/>
      <c r="G28" s="2800"/>
      <c r="H28" s="2689"/>
      <c r="I28" s="2188"/>
      <c r="J28" s="2189"/>
      <c r="K28" s="2190"/>
      <c r="L28" s="2190"/>
    </row>
    <row r="29" spans="1:12">
      <c r="A29" s="2733" t="s">
        <v>1767</v>
      </c>
      <c r="B29" s="2800"/>
      <c r="C29" s="2185"/>
      <c r="E29" s="2800"/>
      <c r="F29" s="2800"/>
      <c r="G29" s="2800"/>
      <c r="H29" s="2689"/>
      <c r="I29" s="2191"/>
      <c r="J29" s="2192"/>
      <c r="K29" s="2192"/>
      <c r="L29" s="2190"/>
    </row>
    <row r="30" spans="1:12">
      <c r="A30" s="2733" t="s">
        <v>1768</v>
      </c>
      <c r="H30" s="2689"/>
      <c r="I30" s="2191"/>
      <c r="J30" s="2192"/>
      <c r="K30" s="2192"/>
      <c r="L30" s="2192"/>
    </row>
    <row r="31" spans="1:12">
      <c r="I31" s="2191"/>
      <c r="J31" s="2192"/>
      <c r="K31" s="2192"/>
      <c r="L31" s="2192"/>
    </row>
    <row r="32" spans="1:12">
      <c r="I32" s="2801" t="s">
        <v>155</v>
      </c>
      <c r="J32" s="2802" t="s">
        <v>14</v>
      </c>
      <c r="K32" s="2192"/>
      <c r="L32" s="2192"/>
    </row>
    <row r="33" spans="7:12">
      <c r="G33" s="2803" t="s">
        <v>1610</v>
      </c>
      <c r="I33" s="2804">
        <f>I12+I19</f>
        <v>6273475.1527252458</v>
      </c>
      <c r="J33" s="2804">
        <f>J12+J19</f>
        <v>8752820.7037477847</v>
      </c>
      <c r="K33" s="2192"/>
      <c r="L33" s="2192"/>
    </row>
    <row r="34" spans="7:12">
      <c r="G34" s="2775" t="s">
        <v>2148</v>
      </c>
      <c r="I34" s="2805">
        <f>I33*$J$23*$J$24</f>
        <v>2944460.34081027</v>
      </c>
      <c r="J34" s="2805">
        <f>J33*$J$23*$J$24</f>
        <v>4108143.0634522703</v>
      </c>
      <c r="K34" s="2190"/>
      <c r="L34" s="2192"/>
    </row>
    <row r="35" spans="7:12">
      <c r="G35" s="2775" t="s">
        <v>2149</v>
      </c>
      <c r="I35" s="2805">
        <f>I33*$J$26*$J$27</f>
        <v>932060.34639501653</v>
      </c>
      <c r="J35" s="2805">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28.28515625" style="2141" bestFit="1" customWidth="1"/>
    <col min="6" max="6" width="11.28515625" style="2141" customWidth="1"/>
    <col min="7" max="8" width="17" style="2141" customWidth="1"/>
    <col min="9" max="11" width="16" style="2141" customWidth="1"/>
    <col min="12" max="13" width="16.5703125" style="2141" customWidth="1"/>
    <col min="14" max="14" width="8.140625" style="2141" bestFit="1" customWidth="1"/>
    <col min="15" max="16384" width="8.85546875" style="2141"/>
  </cols>
  <sheetData>
    <row r="1" spans="1:14" ht="19.5" thickBot="1">
      <c r="A1" s="2806" t="s">
        <v>2487</v>
      </c>
      <c r="B1" s="2807"/>
      <c r="C1" s="2807"/>
      <c r="D1" s="2807"/>
      <c r="E1" s="2807"/>
      <c r="F1" s="2807"/>
      <c r="G1" s="2807"/>
      <c r="H1" s="2807"/>
      <c r="I1" s="2807"/>
      <c r="J1" s="2807"/>
      <c r="K1" s="2807"/>
      <c r="L1" s="2807"/>
      <c r="M1" s="2807"/>
      <c r="N1" s="2808"/>
    </row>
    <row r="2" spans="1:14" ht="19.5" thickBot="1">
      <c r="A2" s="2809" t="s">
        <v>2488</v>
      </c>
      <c r="B2" s="2808"/>
      <c r="C2" s="2808"/>
      <c r="D2" s="2808"/>
      <c r="E2" s="2808"/>
      <c r="F2" s="2808"/>
      <c r="G2" s="2808"/>
      <c r="H2" s="2808"/>
      <c r="I2" s="2808"/>
      <c r="J2" s="2808"/>
      <c r="K2" s="2808"/>
      <c r="L2" s="2808"/>
      <c r="M2" s="2808"/>
      <c r="N2" s="2808"/>
    </row>
    <row r="3" spans="1:14" ht="15">
      <c r="A3" s="3897" t="s">
        <v>2489</v>
      </c>
      <c r="B3" s="3899" t="s">
        <v>2490</v>
      </c>
      <c r="C3" s="3893" t="s">
        <v>2491</v>
      </c>
      <c r="D3" s="3899" t="s">
        <v>2492</v>
      </c>
      <c r="E3" s="3899" t="s">
        <v>2492</v>
      </c>
      <c r="F3" s="3893" t="s">
        <v>2493</v>
      </c>
      <c r="G3" s="3903" t="s">
        <v>2494</v>
      </c>
      <c r="H3" s="3893" t="s">
        <v>2495</v>
      </c>
      <c r="I3" s="3893" t="s">
        <v>2496</v>
      </c>
      <c r="J3" s="3893" t="s">
        <v>2497</v>
      </c>
      <c r="K3" s="3893" t="s">
        <v>2498</v>
      </c>
      <c r="L3" s="3895" t="s">
        <v>2499</v>
      </c>
      <c r="M3" s="3896"/>
      <c r="N3" s="2810"/>
    </row>
    <row r="4" spans="1:14" ht="15">
      <c r="A4" s="3898"/>
      <c r="B4" s="3900"/>
      <c r="C4" s="3894"/>
      <c r="D4" s="3900"/>
      <c r="E4" s="3900"/>
      <c r="F4" s="3894"/>
      <c r="G4" s="3904"/>
      <c r="H4" s="3894"/>
      <c r="I4" s="3894"/>
      <c r="J4" s="3894"/>
      <c r="K4" s="3894"/>
      <c r="L4" s="2811" t="s">
        <v>2500</v>
      </c>
      <c r="M4" s="2811" t="s">
        <v>132</v>
      </c>
      <c r="N4" s="2811"/>
    </row>
    <row r="5" spans="1:14" ht="15">
      <c r="A5" s="2812" t="s">
        <v>2501</v>
      </c>
      <c r="B5" s="2813" t="s">
        <v>2475</v>
      </c>
      <c r="C5" s="2814">
        <v>1</v>
      </c>
      <c r="D5" s="2815" t="s">
        <v>2502</v>
      </c>
      <c r="E5" s="2815" t="s">
        <v>2503</v>
      </c>
      <c r="F5" s="2816">
        <v>44835</v>
      </c>
      <c r="G5" s="2817">
        <v>44969.599999999999</v>
      </c>
      <c r="H5" s="2817">
        <f t="shared" ref="H5:H15" si="0">+G5*1.06</f>
        <v>47667.775999999998</v>
      </c>
      <c r="I5" s="2818">
        <f t="shared" ref="I5:K15" si="1">+H5*1.04</f>
        <v>49574.48704</v>
      </c>
      <c r="J5" s="2818">
        <f t="shared" si="1"/>
        <v>51557.466521599999</v>
      </c>
      <c r="K5" s="2818">
        <f t="shared" si="1"/>
        <v>53619.765182463998</v>
      </c>
      <c r="L5" s="2819">
        <v>3</v>
      </c>
      <c r="M5" s="2820">
        <f t="shared" ref="M5:M15" si="2">+J5/12*L5</f>
        <v>12889.3666304</v>
      </c>
      <c r="N5" s="2821"/>
    </row>
    <row r="6" spans="1:14" ht="15">
      <c r="A6" s="2812" t="s">
        <v>2501</v>
      </c>
      <c r="B6" s="2813" t="s">
        <v>2475</v>
      </c>
      <c r="C6" s="2814">
        <v>2</v>
      </c>
      <c r="D6" s="2815" t="s">
        <v>2502</v>
      </c>
      <c r="E6" s="2815" t="s">
        <v>2504</v>
      </c>
      <c r="F6" s="2816">
        <v>44835</v>
      </c>
      <c r="G6" s="2817">
        <v>64147.199999999997</v>
      </c>
      <c r="H6" s="2817">
        <f t="shared" si="0"/>
        <v>67996.032000000007</v>
      </c>
      <c r="I6" s="2818">
        <f t="shared" si="1"/>
        <v>70715.873280000014</v>
      </c>
      <c r="J6" s="2818">
        <f t="shared" si="1"/>
        <v>73544.508211200024</v>
      </c>
      <c r="K6" s="2818">
        <f t="shared" si="1"/>
        <v>76486.288539648027</v>
      </c>
      <c r="L6" s="2819">
        <v>3</v>
      </c>
      <c r="M6" s="2820">
        <f t="shared" si="2"/>
        <v>18386.127052800006</v>
      </c>
      <c r="N6" s="2821"/>
    </row>
    <row r="7" spans="1:14" ht="15">
      <c r="A7" s="2812" t="s">
        <v>2501</v>
      </c>
      <c r="B7" s="2813" t="s">
        <v>2475</v>
      </c>
      <c r="C7" s="2814">
        <v>3</v>
      </c>
      <c r="D7" s="2815" t="s">
        <v>2502</v>
      </c>
      <c r="E7" s="2815" t="s">
        <v>2505</v>
      </c>
      <c r="F7" s="2816">
        <v>44835</v>
      </c>
      <c r="G7" s="2817">
        <v>52956.800000000003</v>
      </c>
      <c r="H7" s="2817">
        <f t="shared" si="0"/>
        <v>56134.208000000006</v>
      </c>
      <c r="I7" s="2818">
        <f t="shared" si="1"/>
        <v>58379.576320000007</v>
      </c>
      <c r="J7" s="2818">
        <f t="shared" si="1"/>
        <v>60714.759372800007</v>
      </c>
      <c r="K7" s="2818">
        <f t="shared" si="1"/>
        <v>63143.349747712011</v>
      </c>
      <c r="L7" s="2819">
        <v>3</v>
      </c>
      <c r="M7" s="2820">
        <f t="shared" si="2"/>
        <v>15178.689843200002</v>
      </c>
      <c r="N7" s="2821"/>
    </row>
    <row r="8" spans="1:14" ht="15">
      <c r="A8" s="2812" t="s">
        <v>2501</v>
      </c>
      <c r="B8" s="2813" t="s">
        <v>2475</v>
      </c>
      <c r="C8" s="2814">
        <v>4</v>
      </c>
      <c r="D8" s="2815" t="s">
        <v>2502</v>
      </c>
      <c r="E8" s="2815" t="s">
        <v>2503</v>
      </c>
      <c r="F8" s="2816">
        <v>44835</v>
      </c>
      <c r="G8" s="2817">
        <v>44969.599999999999</v>
      </c>
      <c r="H8" s="2817">
        <f t="shared" si="0"/>
        <v>47667.775999999998</v>
      </c>
      <c r="I8" s="2818">
        <f t="shared" si="1"/>
        <v>49574.48704</v>
      </c>
      <c r="J8" s="2818">
        <f t="shared" si="1"/>
        <v>51557.466521599999</v>
      </c>
      <c r="K8" s="2818">
        <f t="shared" si="1"/>
        <v>53619.765182463998</v>
      </c>
      <c r="L8" s="2819">
        <v>3</v>
      </c>
      <c r="M8" s="2820">
        <f t="shared" si="2"/>
        <v>12889.3666304</v>
      </c>
      <c r="N8" s="2821"/>
    </row>
    <row r="9" spans="1:14" ht="15">
      <c r="A9" s="2812" t="s">
        <v>2501</v>
      </c>
      <c r="B9" s="2813" t="s">
        <v>2475</v>
      </c>
      <c r="C9" s="2814">
        <v>5</v>
      </c>
      <c r="D9" s="2815" t="s">
        <v>2502</v>
      </c>
      <c r="E9" s="2815" t="s">
        <v>2506</v>
      </c>
      <c r="F9" s="2816">
        <v>44835</v>
      </c>
      <c r="G9" s="2817">
        <v>49025.599999999999</v>
      </c>
      <c r="H9" s="2817">
        <f t="shared" si="0"/>
        <v>51967.135999999999</v>
      </c>
      <c r="I9" s="2818">
        <f t="shared" si="1"/>
        <v>54045.82144</v>
      </c>
      <c r="J9" s="2818">
        <f t="shared" si="1"/>
        <v>56207.654297599998</v>
      </c>
      <c r="K9" s="2818">
        <f t="shared" si="1"/>
        <v>58455.960469504003</v>
      </c>
      <c r="L9" s="2819">
        <v>3</v>
      </c>
      <c r="M9" s="2820">
        <f t="shared" si="2"/>
        <v>14051.913574400001</v>
      </c>
      <c r="N9" s="2821"/>
    </row>
    <row r="10" spans="1:14" ht="15">
      <c r="A10" s="2812" t="s">
        <v>2501</v>
      </c>
      <c r="B10" s="2813" t="s">
        <v>2475</v>
      </c>
      <c r="C10" s="2814">
        <v>6</v>
      </c>
      <c r="D10" s="2815" t="s">
        <v>2502</v>
      </c>
      <c r="E10" s="2815" t="s">
        <v>2506</v>
      </c>
      <c r="F10" s="2816">
        <v>45017</v>
      </c>
      <c r="G10" s="2817">
        <v>49025.599999999999</v>
      </c>
      <c r="H10" s="2817">
        <f t="shared" si="0"/>
        <v>51967.135999999999</v>
      </c>
      <c r="I10" s="2818">
        <f t="shared" si="1"/>
        <v>54045.82144</v>
      </c>
      <c r="J10" s="2818">
        <f t="shared" si="1"/>
        <v>56207.654297599998</v>
      </c>
      <c r="K10" s="2818">
        <f t="shared" si="1"/>
        <v>58455.960469504003</v>
      </c>
      <c r="L10" s="2819">
        <v>9</v>
      </c>
      <c r="M10" s="2820">
        <f t="shared" si="2"/>
        <v>42155.740723200004</v>
      </c>
      <c r="N10" s="2821"/>
    </row>
    <row r="11" spans="1:14" ht="15">
      <c r="A11" s="2812" t="s">
        <v>2501</v>
      </c>
      <c r="B11" s="2813" t="s">
        <v>2475</v>
      </c>
      <c r="C11" s="2814">
        <v>7</v>
      </c>
      <c r="D11" s="2815" t="s">
        <v>2502</v>
      </c>
      <c r="E11" s="2815" t="s">
        <v>2503</v>
      </c>
      <c r="F11" s="2816">
        <v>45017</v>
      </c>
      <c r="G11" s="2817">
        <v>44969.599999999999</v>
      </c>
      <c r="H11" s="2817">
        <f t="shared" si="0"/>
        <v>47667.775999999998</v>
      </c>
      <c r="I11" s="2818">
        <f t="shared" si="1"/>
        <v>49574.48704</v>
      </c>
      <c r="J11" s="2818">
        <f t="shared" si="1"/>
        <v>51557.466521599999</v>
      </c>
      <c r="K11" s="2818">
        <f t="shared" si="1"/>
        <v>53619.765182463998</v>
      </c>
      <c r="L11" s="2819">
        <v>9</v>
      </c>
      <c r="M11" s="2820">
        <f t="shared" si="2"/>
        <v>38668.0998912</v>
      </c>
      <c r="N11" s="2821"/>
    </row>
    <row r="12" spans="1:14" ht="15">
      <c r="A12" s="2812" t="s">
        <v>2501</v>
      </c>
      <c r="B12" s="2813" t="s">
        <v>2475</v>
      </c>
      <c r="C12" s="2814">
        <v>8</v>
      </c>
      <c r="D12" s="2815" t="s">
        <v>2502</v>
      </c>
      <c r="E12" s="2815" t="s">
        <v>2506</v>
      </c>
      <c r="F12" s="2816">
        <v>45017</v>
      </c>
      <c r="G12" s="2817">
        <v>49025.599999999999</v>
      </c>
      <c r="H12" s="2817">
        <f t="shared" si="0"/>
        <v>51967.135999999999</v>
      </c>
      <c r="I12" s="2818">
        <f t="shared" si="1"/>
        <v>54045.82144</v>
      </c>
      <c r="J12" s="2818">
        <f t="shared" si="1"/>
        <v>56207.654297599998</v>
      </c>
      <c r="K12" s="2818">
        <f t="shared" si="1"/>
        <v>58455.960469504003</v>
      </c>
      <c r="L12" s="2819">
        <v>9</v>
      </c>
      <c r="M12" s="2820">
        <f t="shared" si="2"/>
        <v>42155.740723200004</v>
      </c>
      <c r="N12" s="2821"/>
    </row>
    <row r="13" spans="1:14" ht="15">
      <c r="A13" s="2812" t="s">
        <v>2501</v>
      </c>
      <c r="B13" s="2813" t="s">
        <v>2475</v>
      </c>
      <c r="C13" s="2814">
        <v>9</v>
      </c>
      <c r="D13" s="2815" t="s">
        <v>2502</v>
      </c>
      <c r="E13" s="2815" t="s">
        <v>2504</v>
      </c>
      <c r="F13" s="2816">
        <v>45017</v>
      </c>
      <c r="G13" s="2817">
        <v>64147.199999999997</v>
      </c>
      <c r="H13" s="2817">
        <f t="shared" si="0"/>
        <v>67996.032000000007</v>
      </c>
      <c r="I13" s="2818">
        <f t="shared" si="1"/>
        <v>70715.873280000014</v>
      </c>
      <c r="J13" s="2818">
        <f t="shared" si="1"/>
        <v>73544.508211200024</v>
      </c>
      <c r="K13" s="2818">
        <f t="shared" si="1"/>
        <v>76486.288539648027</v>
      </c>
      <c r="L13" s="2819">
        <v>9</v>
      </c>
      <c r="M13" s="2820">
        <f t="shared" si="2"/>
        <v>55158.381158400021</v>
      </c>
      <c r="N13" s="2821"/>
    </row>
    <row r="14" spans="1:14" ht="15">
      <c r="A14" s="2812" t="s">
        <v>2501</v>
      </c>
      <c r="B14" s="2813" t="s">
        <v>2475</v>
      </c>
      <c r="C14" s="2814">
        <v>10</v>
      </c>
      <c r="D14" s="2815" t="s">
        <v>2502</v>
      </c>
      <c r="E14" s="2815" t="s">
        <v>2503</v>
      </c>
      <c r="F14" s="2816">
        <v>45017</v>
      </c>
      <c r="G14" s="2817">
        <v>44969.599999999999</v>
      </c>
      <c r="H14" s="2817">
        <f t="shared" si="0"/>
        <v>47667.775999999998</v>
      </c>
      <c r="I14" s="2818">
        <f t="shared" si="1"/>
        <v>49574.48704</v>
      </c>
      <c r="J14" s="2818">
        <f t="shared" si="1"/>
        <v>51557.466521599999</v>
      </c>
      <c r="K14" s="2818">
        <f t="shared" si="1"/>
        <v>53619.765182463998</v>
      </c>
      <c r="L14" s="2819">
        <v>9</v>
      </c>
      <c r="M14" s="2820">
        <f t="shared" si="2"/>
        <v>38668.0998912</v>
      </c>
      <c r="N14" s="2821"/>
    </row>
    <row r="15" spans="1:14" ht="15">
      <c r="A15" s="2812" t="s">
        <v>2501</v>
      </c>
      <c r="B15" s="2813" t="s">
        <v>2475</v>
      </c>
      <c r="C15" s="2814">
        <v>11</v>
      </c>
      <c r="D15" s="2815" t="s">
        <v>2507</v>
      </c>
      <c r="E15" s="2815" t="s">
        <v>2508</v>
      </c>
      <c r="F15" s="2816">
        <v>45200</v>
      </c>
      <c r="G15" s="2818">
        <v>42931.199999999997</v>
      </c>
      <c r="H15" s="2817">
        <f t="shared" si="0"/>
        <v>45507.072</v>
      </c>
      <c r="I15" s="2818">
        <f t="shared" si="1"/>
        <v>47327.354879999999</v>
      </c>
      <c r="J15" s="2818">
        <f t="shared" si="1"/>
        <v>49220.449075199998</v>
      </c>
      <c r="K15" s="2818">
        <f t="shared" si="1"/>
        <v>51189.267038208003</v>
      </c>
      <c r="L15" s="2819">
        <v>12</v>
      </c>
      <c r="M15" s="2820">
        <f t="shared" si="2"/>
        <v>49220.449075199998</v>
      </c>
      <c r="N15" s="2821"/>
    </row>
    <row r="16" spans="1:14" ht="15.75" thickBot="1">
      <c r="A16" s="3901"/>
      <c r="B16" s="3902"/>
      <c r="C16" s="3902"/>
      <c r="D16" s="3902"/>
      <c r="E16" s="3902"/>
      <c r="F16" s="2822"/>
      <c r="G16" s="2823"/>
      <c r="H16" s="2823"/>
      <c r="I16" s="2823"/>
      <c r="J16" s="2823"/>
      <c r="K16" s="2823"/>
      <c r="L16" s="2824"/>
      <c r="M16" s="2825">
        <f>SUM(M5:M15)</f>
        <v>339421.97519360005</v>
      </c>
      <c r="N16" s="2826"/>
    </row>
    <row r="17" spans="1:14" ht="15.75" thickBot="1">
      <c r="A17" s="2192"/>
      <c r="B17" s="2192"/>
      <c r="C17" s="2192"/>
      <c r="D17" s="2192"/>
      <c r="E17" s="2192"/>
      <c r="F17" s="2192"/>
      <c r="L17" s="2827"/>
      <c r="M17" s="2827"/>
      <c r="N17" s="2828"/>
    </row>
    <row r="18" spans="1:14" ht="14.25" thickTop="1" thickBot="1">
      <c r="B18" s="2141" t="s">
        <v>2509</v>
      </c>
      <c r="K18" s="2829" t="s">
        <v>2245</v>
      </c>
      <c r="L18" s="2141">
        <v>920000</v>
      </c>
      <c r="M18" s="2830">
        <f>M16</f>
        <v>339421.97519360005</v>
      </c>
    </row>
    <row r="19" spans="1:14" ht="15.75" thickTop="1">
      <c r="B19" s="2141" t="s">
        <v>2510</v>
      </c>
      <c r="H19" s="2492"/>
      <c r="M19" s="2831"/>
    </row>
    <row r="20" spans="1:14" ht="15">
      <c r="H20" s="2492"/>
      <c r="L20" s="2192"/>
      <c r="M20" s="2192"/>
      <c r="N20" s="2737" t="s">
        <v>2511</v>
      </c>
    </row>
    <row r="21" spans="1:14">
      <c r="B21" s="2141" t="s">
        <v>2512</v>
      </c>
      <c r="L21" s="2141" t="s">
        <v>538</v>
      </c>
      <c r="M21" s="2163">
        <f>$M$18*N21</f>
        <v>261843.68854335084</v>
      </c>
      <c r="N21" s="2832">
        <v>0.77144000000000001</v>
      </c>
    </row>
    <row r="22" spans="1:14">
      <c r="B22" s="2141" t="s">
        <v>2513</v>
      </c>
      <c r="C22" s="2492"/>
      <c r="L22" s="2141" t="s">
        <v>2514</v>
      </c>
      <c r="M22" s="2163">
        <f>$M$18*N22</f>
        <v>77578.28665024924</v>
      </c>
      <c r="N22" s="2833">
        <v>0.22856000000000001</v>
      </c>
    </row>
    <row r="23" spans="1:14">
      <c r="C23" s="2492"/>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14.28515625" style="2141" customWidth="1"/>
    <col min="6" max="6" width="17" style="2141" customWidth="1"/>
    <col min="7" max="9" width="16" style="2141" customWidth="1"/>
    <col min="10" max="10" width="8" style="2141" bestFit="1" customWidth="1"/>
    <col min="11" max="16" width="14.140625" style="2141" customWidth="1"/>
    <col min="17" max="16384" width="8.85546875" style="2141"/>
  </cols>
  <sheetData>
    <row r="1" spans="1:16" ht="19.5" thickBot="1">
      <c r="A1" s="2806" t="s">
        <v>2515</v>
      </c>
      <c r="B1" s="2807"/>
      <c r="C1" s="2807"/>
      <c r="D1" s="2807"/>
      <c r="E1" s="2807"/>
      <c r="F1" s="2807"/>
      <c r="G1" s="2807"/>
      <c r="H1" s="2807"/>
      <c r="I1" s="2807"/>
      <c r="J1" s="2807"/>
      <c r="K1" s="2807"/>
      <c r="L1" s="2807"/>
      <c r="M1" s="2807"/>
      <c r="N1" s="2807"/>
      <c r="O1" s="2807"/>
      <c r="P1" s="2807"/>
    </row>
    <row r="2" spans="1:16" ht="19.5" thickBot="1">
      <c r="A2" s="2809" t="s">
        <v>2488</v>
      </c>
      <c r="B2" s="2808"/>
      <c r="C2" s="2808"/>
      <c r="D2" s="2808"/>
      <c r="E2" s="2808"/>
      <c r="F2" s="2808"/>
      <c r="G2" s="2808"/>
      <c r="H2" s="2808"/>
      <c r="I2" s="2808"/>
      <c r="J2" s="2808"/>
      <c r="K2" s="2808"/>
      <c r="L2" s="2808"/>
      <c r="M2" s="2808"/>
      <c r="N2" s="2808"/>
      <c r="O2" s="2808"/>
      <c r="P2" s="2808"/>
    </row>
    <row r="3" spans="1:16" ht="15">
      <c r="A3" s="3897" t="s">
        <v>2489</v>
      </c>
      <c r="B3" s="3899" t="s">
        <v>2490</v>
      </c>
      <c r="C3" s="3893" t="s">
        <v>2491</v>
      </c>
      <c r="D3" s="3899" t="s">
        <v>2516</v>
      </c>
      <c r="E3" s="3893" t="s">
        <v>2517</v>
      </c>
      <c r="F3" s="3903" t="s">
        <v>2494</v>
      </c>
      <c r="G3" s="3893" t="s">
        <v>2496</v>
      </c>
      <c r="H3" s="3893" t="s">
        <v>2497</v>
      </c>
      <c r="I3" s="3893" t="s">
        <v>2498</v>
      </c>
      <c r="J3" s="3903" t="s">
        <v>937</v>
      </c>
      <c r="K3" s="3905">
        <v>2024</v>
      </c>
      <c r="L3" s="3906"/>
      <c r="M3" s="3895">
        <v>2025</v>
      </c>
      <c r="N3" s="3896"/>
      <c r="O3" s="3905" t="s">
        <v>2518</v>
      </c>
      <c r="P3" s="3906"/>
    </row>
    <row r="4" spans="1:16" ht="15">
      <c r="A4" s="3898"/>
      <c r="B4" s="3900"/>
      <c r="C4" s="3894"/>
      <c r="D4" s="3900"/>
      <c r="E4" s="3894"/>
      <c r="F4" s="3904"/>
      <c r="G4" s="3894"/>
      <c r="H4" s="3894"/>
      <c r="I4" s="3894"/>
      <c r="J4" s="3904"/>
      <c r="K4" s="2811" t="s">
        <v>2519</v>
      </c>
      <c r="L4" s="2811" t="s">
        <v>132</v>
      </c>
      <c r="M4" s="2811" t="s">
        <v>2519</v>
      </c>
      <c r="N4" s="2811" t="s">
        <v>132</v>
      </c>
      <c r="O4" s="2811" t="s">
        <v>2519</v>
      </c>
      <c r="P4" s="2811" t="s">
        <v>132</v>
      </c>
    </row>
    <row r="5" spans="1:16" ht="15">
      <c r="A5" s="2812" t="s">
        <v>2520</v>
      </c>
      <c r="B5" s="2813" t="s">
        <v>2521</v>
      </c>
      <c r="C5" s="2814">
        <v>1</v>
      </c>
      <c r="D5" s="2815" t="s">
        <v>2522</v>
      </c>
      <c r="E5" s="2834">
        <v>45474</v>
      </c>
      <c r="F5" s="2835">
        <v>125000</v>
      </c>
      <c r="G5" s="2818">
        <f>+F5</f>
        <v>125000</v>
      </c>
      <c r="H5" s="2818">
        <f t="shared" ref="H5:I8" si="0">+G5*1.04</f>
        <v>130000</v>
      </c>
      <c r="I5" s="2818">
        <f t="shared" si="0"/>
        <v>135200</v>
      </c>
      <c r="J5" s="2835" t="s">
        <v>958</v>
      </c>
      <c r="K5" s="2836">
        <v>6</v>
      </c>
      <c r="L5" s="2820">
        <f>+(G5/12)*K5</f>
        <v>62500</v>
      </c>
      <c r="M5" s="2819">
        <v>12</v>
      </c>
      <c r="N5" s="2820">
        <f>+(H5/12)*M5</f>
        <v>130000</v>
      </c>
      <c r="O5" s="2819">
        <v>12</v>
      </c>
      <c r="P5" s="2820">
        <f>+((I5/12)*O5)-N5</f>
        <v>5200</v>
      </c>
    </row>
    <row r="6" spans="1:16" ht="15">
      <c r="A6" s="2812" t="s">
        <v>2520</v>
      </c>
      <c r="B6" s="2813" t="s">
        <v>2521</v>
      </c>
      <c r="C6" s="2814">
        <v>2</v>
      </c>
      <c r="D6" s="2815" t="s">
        <v>2523</v>
      </c>
      <c r="E6" s="2834">
        <v>45505</v>
      </c>
      <c r="F6" s="2835">
        <v>125000</v>
      </c>
      <c r="G6" s="2818">
        <f>+F6</f>
        <v>125000</v>
      </c>
      <c r="H6" s="2818">
        <f t="shared" si="0"/>
        <v>130000</v>
      </c>
      <c r="I6" s="2818">
        <f t="shared" si="0"/>
        <v>135200</v>
      </c>
      <c r="J6" s="2835" t="s">
        <v>958</v>
      </c>
      <c r="K6" s="2836">
        <v>5</v>
      </c>
      <c r="L6" s="2820">
        <f>+(G6/12)*K6</f>
        <v>52083.333333333328</v>
      </c>
      <c r="M6" s="2819">
        <v>12</v>
      </c>
      <c r="N6" s="2820">
        <f>+(H6/12)*M6</f>
        <v>130000</v>
      </c>
      <c r="O6" s="2819">
        <v>12</v>
      </c>
      <c r="P6" s="2820">
        <f>+((I6/12)*O6)-N6</f>
        <v>5200</v>
      </c>
    </row>
    <row r="7" spans="1:16" ht="15">
      <c r="A7" s="2812" t="s">
        <v>2520</v>
      </c>
      <c r="B7" s="2813" t="s">
        <v>2521</v>
      </c>
      <c r="C7" s="2814">
        <v>3</v>
      </c>
      <c r="D7" s="2815" t="s">
        <v>2524</v>
      </c>
      <c r="E7" s="2834">
        <v>45352</v>
      </c>
      <c r="F7" s="2835">
        <v>125000</v>
      </c>
      <c r="G7" s="2818">
        <f>+F7</f>
        <v>125000</v>
      </c>
      <c r="H7" s="2818">
        <f t="shared" si="0"/>
        <v>130000</v>
      </c>
      <c r="I7" s="2818">
        <f t="shared" si="0"/>
        <v>135200</v>
      </c>
      <c r="J7" s="2835" t="s">
        <v>958</v>
      </c>
      <c r="K7" s="2836">
        <v>10</v>
      </c>
      <c r="L7" s="2820">
        <f>+(G7/12)*K7</f>
        <v>104166.66666666666</v>
      </c>
      <c r="M7" s="2819">
        <v>12</v>
      </c>
      <c r="N7" s="2820">
        <f>+(H7/12)*M7</f>
        <v>130000</v>
      </c>
      <c r="O7" s="2819">
        <v>12</v>
      </c>
      <c r="P7" s="2820">
        <f>+((I7/12)*O7)-N7</f>
        <v>5200</v>
      </c>
    </row>
    <row r="8" spans="1:16" ht="15">
      <c r="A8" s="2812" t="s">
        <v>2525</v>
      </c>
      <c r="B8" s="2813" t="s">
        <v>2526</v>
      </c>
      <c r="C8" s="2814">
        <v>4</v>
      </c>
      <c r="D8" s="2815" t="s">
        <v>2527</v>
      </c>
      <c r="E8" s="2834">
        <v>45597</v>
      </c>
      <c r="F8" s="2818">
        <v>100000</v>
      </c>
      <c r="G8" s="2818">
        <f>+F8</f>
        <v>100000</v>
      </c>
      <c r="H8" s="2818">
        <f t="shared" si="0"/>
        <v>104000</v>
      </c>
      <c r="I8" s="2818">
        <f t="shared" si="0"/>
        <v>108160</v>
      </c>
      <c r="J8" s="2835" t="s">
        <v>958</v>
      </c>
      <c r="K8" s="2836">
        <v>2</v>
      </c>
      <c r="L8" s="2820">
        <f>+(G8/12)*K8</f>
        <v>16666.666666666668</v>
      </c>
      <c r="M8" s="2819">
        <v>12</v>
      </c>
      <c r="N8" s="2820">
        <f>+(H8/12)*M8</f>
        <v>104000</v>
      </c>
      <c r="O8" s="2819">
        <v>12</v>
      </c>
      <c r="P8" s="2820">
        <f>+((I8/12)*O8)-N8</f>
        <v>4160</v>
      </c>
    </row>
    <row r="9" spans="1:16" ht="15.75" thickBot="1">
      <c r="A9" s="3901" t="s">
        <v>24</v>
      </c>
      <c r="B9" s="3902"/>
      <c r="C9" s="3902"/>
      <c r="D9" s="3902"/>
      <c r="E9" s="3902"/>
      <c r="F9" s="2823">
        <f>SUM(F5:F8)</f>
        <v>475000</v>
      </c>
      <c r="G9" s="2823">
        <f>SUM(G5:G8)</f>
        <v>475000</v>
      </c>
      <c r="H9" s="2823">
        <f>SUM(H5:H8)</f>
        <v>494000</v>
      </c>
      <c r="I9" s="2823">
        <f>SUM(I5:I8)</f>
        <v>513760</v>
      </c>
      <c r="J9" s="2823"/>
      <c r="K9" s="2837"/>
      <c r="L9" s="2838">
        <f>SUM(L5:L8)</f>
        <v>235416.66666666666</v>
      </c>
      <c r="M9" s="2837"/>
      <c r="N9" s="2825">
        <f>SUM(N5:N8)</f>
        <v>494000</v>
      </c>
      <c r="O9" s="2837"/>
      <c r="P9" s="2839">
        <f>SUM(P5:P8)</f>
        <v>19760</v>
      </c>
    </row>
    <row r="10" spans="1:16" ht="15.75" thickBot="1">
      <c r="A10" s="2840" t="s">
        <v>2528</v>
      </c>
      <c r="B10" s="2192"/>
      <c r="C10" s="2192"/>
      <c r="D10" s="2192"/>
      <c r="E10" s="2192"/>
      <c r="G10" s="2841"/>
      <c r="I10" s="2827"/>
      <c r="J10" s="2827"/>
      <c r="K10" s="2842"/>
      <c r="L10" s="2842"/>
      <c r="M10" s="2842"/>
      <c r="N10" s="2842"/>
      <c r="O10" s="2842"/>
      <c r="P10" s="2842"/>
    </row>
    <row r="11" spans="1:16" ht="14.25" thickTop="1" thickBot="1">
      <c r="K11" s="2829" t="s">
        <v>2245</v>
      </c>
      <c r="L11" s="2141">
        <v>920000</v>
      </c>
      <c r="N11" s="2830">
        <f>N9</f>
        <v>494000</v>
      </c>
      <c r="P11" s="2843">
        <f>P9</f>
        <v>19760</v>
      </c>
    </row>
    <row r="12" spans="1:16" ht="13.5" thickTop="1">
      <c r="K12" s="2831"/>
      <c r="L12" s="2831"/>
      <c r="M12" s="2831"/>
      <c r="O12" s="2831"/>
    </row>
    <row r="13" spans="1:16">
      <c r="K13" s="2831"/>
      <c r="L13" s="2831"/>
      <c r="M13" s="2831"/>
      <c r="O13" s="2831"/>
      <c r="P13" s="2829" t="s">
        <v>2529</v>
      </c>
    </row>
    <row r="14" spans="1:16">
      <c r="I14" s="2163"/>
      <c r="K14" s="2831"/>
      <c r="L14" s="2831"/>
      <c r="M14" s="2831"/>
      <c r="O14" s="2831"/>
    </row>
    <row r="15" spans="1:16" ht="15.75" thickBot="1">
      <c r="K15" s="2831"/>
      <c r="L15" s="2192"/>
      <c r="M15" s="2192" t="s">
        <v>2511</v>
      </c>
      <c r="N15" s="2844" t="s">
        <v>517</v>
      </c>
      <c r="O15" s="2192"/>
    </row>
    <row r="16" spans="1:16">
      <c r="L16" s="2141" t="s">
        <v>538</v>
      </c>
      <c r="M16" s="2845">
        <v>0.77144000000000001</v>
      </c>
      <c r="N16" s="2846">
        <f>$N$11*M16</f>
        <v>381091.36</v>
      </c>
    </row>
    <row r="17" spans="3:14" ht="13.5" thickBot="1">
      <c r="C17" s="2492"/>
      <c r="L17" s="2141" t="s">
        <v>2514</v>
      </c>
      <c r="M17" s="2847">
        <v>0.22856000000000001</v>
      </c>
      <c r="N17" s="2848">
        <f>$N$11*M17</f>
        <v>112908.64</v>
      </c>
    </row>
    <row r="18" spans="3:14">
      <c r="C18" s="2492"/>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5546875" defaultRowHeight="12.75"/>
  <cols>
    <col min="1" max="1" width="36.7109375" style="1009" customWidth="1"/>
    <col min="2" max="2" width="4.5703125" style="1009" bestFit="1" customWidth="1"/>
    <col min="3" max="3" width="8.85546875" style="1009"/>
    <col min="4" max="4" width="3.140625" style="1009" customWidth="1"/>
    <col min="5" max="5" width="11.140625" style="1009" customWidth="1"/>
    <col min="6" max="6" width="15.5703125" style="1009" customWidth="1"/>
    <col min="7" max="7" width="12.7109375" style="1009" bestFit="1" customWidth="1"/>
    <col min="8" max="8" width="3" style="1009" customWidth="1"/>
    <col min="9" max="9" width="2.42578125" style="1009" customWidth="1"/>
    <col min="10" max="10" width="15.7109375" style="1009" customWidth="1"/>
    <col min="11" max="11" width="4.5703125" style="1009" customWidth="1"/>
    <col min="12" max="12" width="2.7109375" style="1009" customWidth="1"/>
    <col min="13" max="13" width="12.28515625" style="1009" hidden="1" customWidth="1"/>
    <col min="14" max="14" width="12.140625" style="1009" hidden="1" customWidth="1"/>
    <col min="15" max="15" width="3" style="1009" hidden="1" customWidth="1"/>
    <col min="16" max="16" width="1.85546875" style="1009" hidden="1" customWidth="1"/>
    <col min="17" max="17" width="13.7109375" style="1009" hidden="1" customWidth="1"/>
    <col min="18" max="18" width="8.85546875" style="1009"/>
    <col min="19" max="19" width="12.7109375" style="1009" bestFit="1" customWidth="1"/>
    <col min="20" max="20" width="18.140625" style="1009" customWidth="1"/>
    <col min="21" max="21" width="17.28515625" style="1009" customWidth="1"/>
    <col min="22" max="22" width="8.85546875" style="2141"/>
    <col min="23" max="23" width="1.7109375" style="2142" customWidth="1"/>
    <col min="24" max="24" width="8.85546875" style="2141"/>
    <col min="25" max="25" width="27.42578125" style="2871" customWidth="1"/>
    <col min="26" max="26" width="6.85546875" style="2871" customWidth="1"/>
    <col min="27" max="27" width="11.140625" style="2871" customWidth="1"/>
    <col min="28" max="28" width="13.28515625" style="2871" customWidth="1"/>
    <col min="29" max="29" width="7" style="2871" customWidth="1"/>
    <col min="30" max="30" width="13.7109375" style="2871" customWidth="1"/>
    <col min="31" max="31" width="11.42578125" style="2871" customWidth="1"/>
    <col min="32" max="32" width="7.7109375" style="2871" customWidth="1"/>
    <col min="33" max="33" width="2.7109375" style="2871" customWidth="1"/>
    <col min="34" max="34" width="14" style="2871" customWidth="1"/>
    <col min="35" max="35" width="10.7109375" style="2871" bestFit="1" customWidth="1"/>
    <col min="36" max="36" width="8.140625" style="2871" customWidth="1"/>
    <col min="37" max="37" width="10" style="2871" customWidth="1"/>
    <col min="38" max="38" width="14.42578125" style="2871" bestFit="1" customWidth="1"/>
    <col min="39" max="40" width="5.7109375" style="2871" bestFit="1" customWidth="1"/>
    <col min="41" max="41" width="14.5703125" style="2871" customWidth="1"/>
    <col min="42" max="42" width="13.140625" style="2871" customWidth="1"/>
    <col min="43" max="43" width="11" style="2871" customWidth="1"/>
    <col min="44" max="44" width="5.7109375" style="2871" customWidth="1"/>
    <col min="45" max="45" width="15.42578125" style="2871" customWidth="1"/>
    <col min="46" max="46" width="11.140625" style="2871" customWidth="1"/>
    <col min="47" max="47" width="11.85546875" style="2871" customWidth="1"/>
    <col min="48" max="48" width="10.42578125" style="2871" customWidth="1"/>
    <col min="49" max="49" width="14.42578125" style="2871" customWidth="1"/>
    <col min="50" max="50" width="19.140625" style="2871" customWidth="1"/>
    <col min="51" max="51" width="11.140625" style="2871" customWidth="1"/>
    <col min="52" max="52" width="5.85546875" style="2871" customWidth="1"/>
    <col min="53" max="53" width="15" style="2871" customWidth="1"/>
    <col min="54" max="54" width="12.28515625" style="2871" customWidth="1"/>
    <col min="55" max="55" width="10.42578125" style="2871" bestFit="1" customWidth="1"/>
    <col min="56" max="16384" width="8.85546875" style="2141"/>
  </cols>
  <sheetData>
    <row r="1" spans="1:55" ht="15">
      <c r="A1" s="3907" t="s">
        <v>1204</v>
      </c>
      <c r="B1" s="3907"/>
      <c r="C1" s="3907"/>
      <c r="D1" s="3907"/>
      <c r="E1" s="3907"/>
      <c r="F1" s="3907"/>
      <c r="J1" s="2849"/>
      <c r="K1" s="2849"/>
      <c r="L1" s="2849"/>
      <c r="M1" s="2849"/>
      <c r="N1" s="2849"/>
      <c r="O1" s="2849"/>
      <c r="P1" s="2849"/>
      <c r="Q1" s="2849"/>
      <c r="R1" s="2849"/>
      <c r="S1" s="2849"/>
      <c r="T1" s="2849"/>
      <c r="Y1" s="2850" t="s">
        <v>1204</v>
      </c>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1"/>
      <c r="AY1" s="2851"/>
      <c r="AZ1" s="2851"/>
      <c r="BA1" s="2851"/>
      <c r="BB1" s="2851"/>
      <c r="BC1" s="2851"/>
    </row>
    <row r="2" spans="1:55" ht="15">
      <c r="A2" s="3907" t="s">
        <v>2530</v>
      </c>
      <c r="B2" s="3907"/>
      <c r="C2" s="3907"/>
      <c r="D2" s="3907"/>
      <c r="E2" s="3907"/>
      <c r="F2" s="3907"/>
      <c r="Y2" s="2850" t="s">
        <v>80</v>
      </c>
      <c r="Z2" s="2850"/>
      <c r="AA2" s="2850"/>
      <c r="AB2" s="2850"/>
      <c r="AC2" s="2850"/>
      <c r="AD2" s="2850"/>
      <c r="AE2" s="2850"/>
      <c r="AF2" s="2850"/>
      <c r="AG2" s="2852"/>
      <c r="AH2" s="2852"/>
      <c r="AI2" s="2852"/>
      <c r="AJ2" s="2850"/>
      <c r="AK2" s="2852"/>
      <c r="AL2" s="2852"/>
      <c r="AM2" s="2852"/>
      <c r="AN2" s="2850"/>
      <c r="AO2" s="3908" t="s">
        <v>2531</v>
      </c>
      <c r="AP2" s="3908"/>
      <c r="AQ2" s="3908"/>
      <c r="AR2" s="3908"/>
      <c r="AS2" s="3908"/>
      <c r="AT2" s="2850">
        <f>20-2.7</f>
        <v>17.3</v>
      </c>
      <c r="AU2" s="2850"/>
      <c r="AV2" s="2850"/>
      <c r="AW2" s="2850"/>
      <c r="AX2" s="2851"/>
      <c r="AY2" s="2851"/>
      <c r="AZ2" s="2851"/>
      <c r="BA2" s="2851"/>
      <c r="BB2" s="2851"/>
      <c r="BC2" s="2851"/>
    </row>
    <row r="3" spans="1:55" ht="39.75" thickBot="1">
      <c r="A3" s="3907" t="s">
        <v>2532</v>
      </c>
      <c r="B3" s="3907"/>
      <c r="C3" s="3907"/>
      <c r="D3" s="3907"/>
      <c r="E3" s="3907"/>
      <c r="F3" s="3907"/>
      <c r="Y3" s="2850" t="s">
        <v>2533</v>
      </c>
      <c r="Z3" s="2850"/>
      <c r="AA3" s="2850"/>
      <c r="AB3" s="2850"/>
      <c r="AC3" s="2850"/>
      <c r="AD3" s="2850"/>
      <c r="AE3" s="2850"/>
      <c r="AF3" s="2850"/>
      <c r="AG3" s="2852"/>
      <c r="AH3" s="2852"/>
      <c r="AI3" s="2852"/>
      <c r="AJ3" s="2850"/>
      <c r="AK3" s="2852"/>
      <c r="AL3" s="2853"/>
      <c r="AM3" s="2852"/>
      <c r="AN3" s="2850"/>
      <c r="AO3" s="3908"/>
      <c r="AP3" s="3908"/>
      <c r="AQ3" s="3908"/>
      <c r="AR3" s="3908"/>
      <c r="AS3" s="3908"/>
      <c r="AT3" s="2853"/>
      <c r="AU3" s="2850"/>
      <c r="AV3" s="2850"/>
      <c r="AW3" s="2853"/>
      <c r="AX3" s="2851"/>
      <c r="AY3" s="2851"/>
      <c r="AZ3" s="2851"/>
      <c r="BA3" s="2853"/>
      <c r="BB3" s="2851"/>
      <c r="BC3" s="2851"/>
    </row>
    <row r="4" spans="1:55" ht="27.75">
      <c r="A4" s="2854"/>
      <c r="B4" s="2854"/>
      <c r="C4" s="2851"/>
      <c r="D4" s="2851"/>
      <c r="E4" s="3909"/>
      <c r="F4" s="3909"/>
      <c r="K4" s="2855"/>
      <c r="Y4" s="2850" t="s">
        <v>2534</v>
      </c>
      <c r="Z4" s="2850"/>
      <c r="AA4" s="2850"/>
      <c r="AB4" s="2850"/>
      <c r="AC4" s="2850"/>
      <c r="AD4" s="2850"/>
      <c r="AE4" s="2850"/>
      <c r="AF4" s="2850"/>
      <c r="AG4" s="2852"/>
      <c r="AH4" s="3910" t="s">
        <v>2535</v>
      </c>
      <c r="AI4" s="3911"/>
      <c r="AJ4" s="2856"/>
      <c r="AK4" s="2857"/>
      <c r="AL4" s="2853"/>
      <c r="AM4" s="2852"/>
      <c r="AN4" s="2850"/>
      <c r="AO4" s="2858">
        <v>15534129</v>
      </c>
      <c r="AP4" s="2859" t="s">
        <v>2148</v>
      </c>
      <c r="AQ4" s="2860">
        <v>8271330.3067396097</v>
      </c>
      <c r="AR4" s="2853"/>
      <c r="AS4" s="2861">
        <f>(20000000-AL11)/AL11</f>
        <v>1.3002808235240391</v>
      </c>
      <c r="AT4" s="2862">
        <f>(20000000-AA11)/AA11</f>
        <v>6.2737641829221644</v>
      </c>
      <c r="AU4" s="2863"/>
      <c r="AV4" s="2850"/>
      <c r="AW4" s="2853"/>
      <c r="AX4" s="2851"/>
      <c r="AY4" s="2851"/>
      <c r="AZ4" s="2851"/>
      <c r="BA4" s="2853"/>
      <c r="BB4" s="2851"/>
      <c r="BC4" s="2851"/>
    </row>
    <row r="5" spans="1:55" ht="16.5" thickBot="1">
      <c r="A5" s="2854"/>
      <c r="B5" s="2864"/>
      <c r="C5" s="2864"/>
      <c r="D5" s="2851"/>
      <c r="E5" s="2851"/>
      <c r="F5" s="2865"/>
      <c r="K5" s="2855"/>
      <c r="M5" s="2865">
        <v>9.2024000000000008</v>
      </c>
      <c r="Y5" s="2866"/>
      <c r="Z5" s="2866"/>
      <c r="AA5" s="3912"/>
      <c r="AB5" s="3912"/>
      <c r="AC5" s="3912"/>
      <c r="AD5" s="2867"/>
      <c r="AE5" s="2867"/>
      <c r="AF5" s="2867"/>
      <c r="AG5" s="2852"/>
      <c r="AH5" s="2868"/>
      <c r="AI5" s="3913" t="s">
        <v>2536</v>
      </c>
      <c r="AJ5" s="2869">
        <f>(AL11-AA11)/AA11</f>
        <v>2.162120080529442</v>
      </c>
      <c r="AK5" s="2870"/>
      <c r="AL5" s="2853"/>
      <c r="AM5" s="2852"/>
      <c r="AO5" s="2872"/>
      <c r="AP5" s="2873" t="s">
        <v>2149</v>
      </c>
      <c r="AQ5" s="2874">
        <v>1745966.9614898348</v>
      </c>
      <c r="AR5" s="2853"/>
      <c r="AS5" s="3908" t="s">
        <v>2537</v>
      </c>
      <c r="AT5" s="3908"/>
      <c r="AU5" s="3915"/>
      <c r="AW5" s="2853"/>
      <c r="BA5" s="2853"/>
    </row>
    <row r="6" spans="1:55" ht="30.75" thickBot="1">
      <c r="A6" s="2875" t="s">
        <v>2538</v>
      </c>
      <c r="B6" s="2876"/>
      <c r="C6" s="2877"/>
      <c r="D6" s="2878"/>
      <c r="E6" s="2879" t="s">
        <v>2539</v>
      </c>
      <c r="F6" s="2880">
        <f>'G-3.12 PF Ins'!AL26</f>
        <v>14587489.671450399</v>
      </c>
      <c r="G6" s="2881"/>
      <c r="H6" s="2882"/>
      <c r="K6" s="2855"/>
      <c r="M6" s="2883">
        <f>F8</f>
        <v>23634725.956748988</v>
      </c>
      <c r="O6" s="2882"/>
      <c r="U6" s="2884"/>
      <c r="Y6" s="2885" t="s">
        <v>2540</v>
      </c>
      <c r="Z6" s="2866"/>
      <c r="AA6" s="2866"/>
      <c r="AB6" s="2866"/>
      <c r="AC6" s="2866"/>
      <c r="AD6" s="2866"/>
      <c r="AE6" s="2866"/>
      <c r="AF6" s="2866"/>
      <c r="AG6" s="2866"/>
      <c r="AH6" s="2886"/>
      <c r="AI6" s="3914"/>
      <c r="AJ6" s="2887"/>
      <c r="AK6" s="2888"/>
      <c r="AL6" s="2866"/>
      <c r="AM6" s="2866"/>
      <c r="AN6" s="2866"/>
      <c r="AO6" s="2866"/>
      <c r="AP6" s="2866"/>
      <c r="AQ6" s="2866"/>
      <c r="AR6" s="2866"/>
      <c r="AS6" s="3908"/>
      <c r="AT6" s="3908"/>
      <c r="AU6" s="3915"/>
      <c r="AV6" s="2885"/>
      <c r="AW6" s="2866"/>
      <c r="AX6" s="2866"/>
      <c r="AY6" s="2866"/>
      <c r="AZ6" s="2866"/>
      <c r="BA6" s="2866"/>
      <c r="BB6" s="2866"/>
      <c r="BC6" s="2866"/>
    </row>
    <row r="7" spans="1:55" ht="15">
      <c r="A7" s="2875"/>
      <c r="B7" s="2876"/>
      <c r="C7" s="2889"/>
      <c r="D7" s="2878"/>
      <c r="E7" s="2851"/>
      <c r="F7" s="2851"/>
      <c r="H7" s="2878"/>
      <c r="K7" s="2855"/>
      <c r="O7" s="2878"/>
      <c r="U7" s="2884"/>
      <c r="Y7" s="2866"/>
      <c r="Z7" s="2866"/>
      <c r="AA7" s="2890"/>
      <c r="AB7" s="2890"/>
      <c r="AC7" s="2890"/>
      <c r="AD7" s="2890"/>
      <c r="AE7" s="2890"/>
      <c r="AF7" s="2890"/>
      <c r="AG7" s="2891"/>
      <c r="AH7" s="2866"/>
      <c r="AI7" s="2866"/>
      <c r="AJ7" s="2866"/>
      <c r="AK7" s="2891"/>
      <c r="AL7" s="2866"/>
      <c r="AM7" s="2866"/>
      <c r="AN7" s="2866"/>
      <c r="AO7" s="2866" t="s">
        <v>2541</v>
      </c>
      <c r="AP7" s="2866"/>
      <c r="AQ7" s="2892">
        <v>45214</v>
      </c>
      <c r="AR7" s="2891"/>
      <c r="AS7" s="2866" t="s">
        <v>2541</v>
      </c>
      <c r="AT7" s="2866"/>
      <c r="AU7" s="2892">
        <v>45214</v>
      </c>
      <c r="AV7" s="2866"/>
      <c r="AW7" s="2866" t="s">
        <v>2541</v>
      </c>
      <c r="AX7" s="2866"/>
      <c r="AY7" s="2892">
        <v>45214</v>
      </c>
      <c r="AZ7" s="2866"/>
      <c r="BA7" s="2866" t="s">
        <v>2541</v>
      </c>
      <c r="BB7" s="2866"/>
      <c r="BC7" s="2892">
        <v>45214</v>
      </c>
    </row>
    <row r="8" spans="1:55" ht="15.75">
      <c r="A8" s="2875" t="s">
        <v>2542</v>
      </c>
      <c r="B8" s="2876"/>
      <c r="C8" s="2893"/>
      <c r="D8" s="2878"/>
      <c r="E8" s="2894" t="s">
        <v>2543</v>
      </c>
      <c r="F8" s="2895">
        <f>'G-3.12 PF Ins'!AW26</f>
        <v>23634725.956748988</v>
      </c>
      <c r="G8" s="2881"/>
      <c r="H8" s="2896"/>
      <c r="K8" s="2855"/>
      <c r="M8" s="2897">
        <f>'G-3.12 PF Ins'!AT27</f>
        <v>21470999.575468473</v>
      </c>
      <c r="O8" s="2896"/>
      <c r="U8" s="2883"/>
      <c r="Y8" s="2866"/>
      <c r="Z8" s="2866"/>
      <c r="AA8" s="3916" t="s">
        <v>2544</v>
      </c>
      <c r="AB8" s="3917"/>
      <c r="AC8" s="3918"/>
      <c r="AD8" s="3916" t="s">
        <v>2545</v>
      </c>
      <c r="AE8" s="3917"/>
      <c r="AF8" s="3918"/>
      <c r="AG8" s="2898"/>
      <c r="AH8" s="2899">
        <v>44926</v>
      </c>
      <c r="AI8" s="2899"/>
      <c r="AJ8" s="2899"/>
      <c r="AK8" s="2898"/>
      <c r="AL8" s="2899">
        <v>45107</v>
      </c>
      <c r="AM8" s="2899"/>
      <c r="AN8" s="2899"/>
      <c r="AO8" s="3919" t="s">
        <v>2546</v>
      </c>
      <c r="AP8" s="3920"/>
      <c r="AQ8" s="3921"/>
      <c r="AR8" s="2900"/>
      <c r="AS8" s="3919" t="s">
        <v>2547</v>
      </c>
      <c r="AT8" s="3920"/>
      <c r="AU8" s="3921"/>
      <c r="AV8" s="2901"/>
      <c r="AW8" s="3919" t="s">
        <v>2548</v>
      </c>
      <c r="AX8" s="3920"/>
      <c r="AY8" s="3921"/>
      <c r="AZ8" s="2866"/>
      <c r="BA8" s="3919" t="s">
        <v>2549</v>
      </c>
      <c r="BB8" s="3920"/>
      <c r="BC8" s="3921"/>
    </row>
    <row r="9" spans="1:55" ht="24.75">
      <c r="A9" s="2854"/>
      <c r="B9" s="2876"/>
      <c r="C9" s="2889"/>
      <c r="D9" s="2878"/>
      <c r="E9" s="2851"/>
      <c r="F9" s="2851"/>
      <c r="H9" s="2878"/>
      <c r="K9" s="2855"/>
      <c r="O9" s="2878"/>
      <c r="Y9" s="2902" t="s">
        <v>2550</v>
      </c>
      <c r="Z9" s="2902"/>
      <c r="AA9" s="2903" t="s">
        <v>2551</v>
      </c>
      <c r="AB9" s="2904" t="s">
        <v>2552</v>
      </c>
      <c r="AC9" s="2905" t="s">
        <v>2553</v>
      </c>
      <c r="AD9" s="2903" t="s">
        <v>2551</v>
      </c>
      <c r="AE9" s="2906" t="s">
        <v>2552</v>
      </c>
      <c r="AF9" s="2907" t="s">
        <v>2553</v>
      </c>
      <c r="AG9" s="2907"/>
      <c r="AH9" s="2903" t="s">
        <v>2551</v>
      </c>
      <c r="AI9" s="2906"/>
      <c r="AJ9" s="2906"/>
      <c r="AK9" s="2907"/>
      <c r="AL9" s="2908" t="s">
        <v>2551</v>
      </c>
      <c r="AM9" s="2906"/>
      <c r="AN9" s="2906"/>
      <c r="AO9" s="2903" t="s">
        <v>2551</v>
      </c>
      <c r="AP9" s="2904" t="s">
        <v>2552</v>
      </c>
      <c r="AQ9" s="2905" t="s">
        <v>2553</v>
      </c>
      <c r="AR9" s="2907"/>
      <c r="AS9" s="2903" t="s">
        <v>2551</v>
      </c>
      <c r="AT9" s="2906" t="s">
        <v>2552</v>
      </c>
      <c r="AU9" s="2907" t="s">
        <v>2553</v>
      </c>
      <c r="AV9" s="2909"/>
      <c r="AW9" s="2908" t="s">
        <v>2551</v>
      </c>
      <c r="AX9" s="2904" t="s">
        <v>2552</v>
      </c>
      <c r="AY9" s="2905" t="s">
        <v>2553</v>
      </c>
      <c r="AZ9" s="2901"/>
      <c r="BA9" s="2903" t="s">
        <v>2551</v>
      </c>
      <c r="BB9" s="2904" t="s">
        <v>2552</v>
      </c>
      <c r="BC9" s="2905" t="s">
        <v>2553</v>
      </c>
    </row>
    <row r="10" spans="1:55" ht="15.75" thickBot="1">
      <c r="A10" s="2854" t="s">
        <v>2554</v>
      </c>
      <c r="B10" s="2876"/>
      <c r="C10" s="2889"/>
      <c r="D10" s="2878"/>
      <c r="E10" s="2851"/>
      <c r="F10" s="2910">
        <f>F8-F6</f>
        <v>9047236.2852985896</v>
      </c>
      <c r="H10" s="2896"/>
      <c r="K10" s="2855"/>
      <c r="M10" s="2910">
        <f>M8-M6</f>
        <v>-2163726.3812805153</v>
      </c>
      <c r="O10" s="2896"/>
      <c r="U10" s="2883"/>
      <c r="AA10" s="2867"/>
      <c r="AB10" s="2867"/>
      <c r="AC10" s="2867"/>
      <c r="AD10" s="2911"/>
      <c r="AE10" s="2911"/>
      <c r="AF10" s="2911"/>
      <c r="AG10" s="2911"/>
      <c r="AK10" s="2911"/>
      <c r="AS10" s="2912"/>
      <c r="AT10" s="2912"/>
      <c r="AU10" s="2912"/>
    </row>
    <row r="11" spans="1:55" ht="15">
      <c r="A11" s="2854"/>
      <c r="B11" s="2854"/>
      <c r="C11" s="2851"/>
      <c r="D11" s="2878"/>
      <c r="E11" s="2851"/>
      <c r="F11" s="2851"/>
      <c r="H11" s="2878"/>
      <c r="K11" s="2855"/>
      <c r="O11" s="2878"/>
      <c r="U11" s="2883"/>
      <c r="Y11" s="2866" t="s">
        <v>2535</v>
      </c>
      <c r="Z11" s="2866"/>
      <c r="AA11" s="2913">
        <v>2749607.9742256906</v>
      </c>
      <c r="AB11" s="2914">
        <v>2981117.1661600005</v>
      </c>
      <c r="AC11" s="2915" t="s">
        <v>1740</v>
      </c>
      <c r="AD11" s="2913">
        <v>5551297.6332862293</v>
      </c>
      <c r="AE11" s="2914">
        <v>5806260.457470228</v>
      </c>
      <c r="AF11" s="2915" t="s">
        <v>1740</v>
      </c>
      <c r="AG11" s="2915"/>
      <c r="AH11" s="2913">
        <v>8552657.184728371</v>
      </c>
      <c r="AI11" s="2914" t="s">
        <v>1740</v>
      </c>
      <c r="AJ11" s="2916">
        <f>(AO11-AH11)/AH11</f>
        <v>6.532367853200384E-2</v>
      </c>
      <c r="AK11" s="2915"/>
      <c r="AL11" s="2913">
        <v>8694590.5888829362</v>
      </c>
      <c r="AM11" s="2914" t="s">
        <v>1740</v>
      </c>
      <c r="AN11" s="2916">
        <f>(AS11-AL11)/AL11</f>
        <v>0.67486800678563508</v>
      </c>
      <c r="AO11" s="2913">
        <v>9111348.2132580001</v>
      </c>
      <c r="AP11" s="2914">
        <v>9360680.1660639998</v>
      </c>
      <c r="AQ11" s="2917" t="s">
        <v>1740</v>
      </c>
      <c r="AR11" s="2916">
        <f>(AS11-AO11)/AO11</f>
        <v>0.59825870645902768</v>
      </c>
      <c r="AS11" s="2918">
        <v>14562291.609419504</v>
      </c>
      <c r="AT11" s="2919">
        <v>14822938.225620503</v>
      </c>
      <c r="AU11" s="2915" t="s">
        <v>2555</v>
      </c>
      <c r="AV11" s="2916">
        <f>(AW11-AS11)/AS11</f>
        <v>0.11279518967343687</v>
      </c>
      <c r="AW11" s="2920">
        <v>16204848.053583875</v>
      </c>
      <c r="AX11" s="2921">
        <v>16465495.512782231</v>
      </c>
      <c r="AY11" s="2871" t="s">
        <v>2555</v>
      </c>
      <c r="AZ11" s="2916">
        <f>(BA11-AW11)/AW11</f>
        <v>9.9070230324310574E-2</v>
      </c>
      <c r="BA11" s="2920">
        <v>17810266.082622886</v>
      </c>
      <c r="BB11" s="2921">
        <v>18070912.698823884</v>
      </c>
      <c r="BC11" s="2871" t="s">
        <v>2555</v>
      </c>
    </row>
    <row r="12" spans="1:55" ht="75.75" thickBot="1">
      <c r="A12" s="2922"/>
      <c r="B12" s="2922"/>
      <c r="C12" s="2923"/>
      <c r="D12" s="2924"/>
      <c r="E12" s="2922"/>
      <c r="F12" s="2925" t="s">
        <v>2556</v>
      </c>
      <c r="G12" s="2925" t="s">
        <v>2557</v>
      </c>
      <c r="H12" s="2926"/>
      <c r="J12" s="2925" t="s">
        <v>2558</v>
      </c>
      <c r="K12" s="2927"/>
      <c r="L12" s="1861"/>
      <c r="M12" s="2925" t="s">
        <v>2559</v>
      </c>
      <c r="N12" s="2928" t="s">
        <v>2557</v>
      </c>
      <c r="O12" s="2926"/>
      <c r="Q12" s="2925" t="s">
        <v>2560</v>
      </c>
      <c r="AA12" s="2867"/>
      <c r="AB12" s="2867"/>
      <c r="AC12" s="2867"/>
      <c r="AD12" s="2911"/>
      <c r="AE12" s="2911"/>
      <c r="AF12" s="2911"/>
      <c r="AG12" s="2911"/>
      <c r="AK12" s="2911"/>
      <c r="AR12" s="2929"/>
      <c r="AV12" s="2929"/>
      <c r="AW12" s="2921"/>
      <c r="AZ12" s="2929"/>
    </row>
    <row r="13" spans="1:55" ht="15.75" thickBot="1">
      <c r="A13" s="2930" t="s">
        <v>2561</v>
      </c>
      <c r="B13" s="2930"/>
      <c r="C13" s="2931"/>
      <c r="D13" s="2932"/>
      <c r="E13" s="2931"/>
      <c r="F13" s="2933">
        <f>F10-G13</f>
        <v>4023092.0644489527</v>
      </c>
      <c r="G13" s="2934">
        <f>'G-3.12 PF Ins'!AY30</f>
        <v>5024144.2208496369</v>
      </c>
      <c r="H13" s="2935"/>
      <c r="J13" s="2936">
        <f>F13+G13</f>
        <v>9047236.2852985896</v>
      </c>
      <c r="K13" s="2937"/>
      <c r="L13" s="2883"/>
      <c r="M13" s="2883">
        <f>'G-3.12 PF Ins'!AU32</f>
        <v>0</v>
      </c>
      <c r="N13" s="2938">
        <f>'G-3.12 PF Ins'!AU30</f>
        <v>0</v>
      </c>
      <c r="O13" s="2935"/>
      <c r="Q13" s="2936">
        <f>M13+N13</f>
        <v>0</v>
      </c>
      <c r="Y13" s="2866" t="s">
        <v>2562</v>
      </c>
      <c r="Z13" s="2866"/>
      <c r="AA13" s="2913">
        <v>894645.61195616436</v>
      </c>
      <c r="AB13" s="2914">
        <v>1279676.3480219177</v>
      </c>
      <c r="AC13" s="2915" t="s">
        <v>1740</v>
      </c>
      <c r="AD13" s="2913">
        <v>1041330.8357008218</v>
      </c>
      <c r="AE13" s="2914">
        <v>1391964.4578378082</v>
      </c>
      <c r="AF13" s="2915" t="s">
        <v>1740</v>
      </c>
      <c r="AG13" s="2915"/>
      <c r="AH13" s="2913">
        <v>1195577.7276346576</v>
      </c>
      <c r="AI13" s="2914" t="s">
        <v>1740</v>
      </c>
      <c r="AJ13" s="2916">
        <f>(AO13-AH13)/AH13</f>
        <v>-2.4395654700474571E-4</v>
      </c>
      <c r="AK13" s="2915"/>
      <c r="AL13" s="2913">
        <v>1195504.8103811303</v>
      </c>
      <c r="AM13" s="2914" t="s">
        <v>1740</v>
      </c>
      <c r="AN13" s="2916">
        <f>(AS13-AL13)/AL13</f>
        <v>8.4161848457784075E-3</v>
      </c>
      <c r="AO13" s="2913">
        <v>1195286.0586205481</v>
      </c>
      <c r="AP13" s="2914">
        <v>1438518.1805383561</v>
      </c>
      <c r="AQ13" s="2917" t="s">
        <v>1740</v>
      </c>
      <c r="AR13" s="2916">
        <f>(AS13-AO13)/AO13</f>
        <v>8.6007371663243265E-3</v>
      </c>
      <c r="AS13" s="2918">
        <v>1205566.3998493152</v>
      </c>
      <c r="AT13" s="2919">
        <v>1450965.285671233</v>
      </c>
      <c r="AU13" s="2915" t="s">
        <v>2555</v>
      </c>
      <c r="AV13" s="2916">
        <f>(AW13-AS13)/AS13</f>
        <v>-5.3895199491848971E-3</v>
      </c>
      <c r="AW13" s="2920">
        <v>1199068.9756872603</v>
      </c>
      <c r="AX13" s="2921">
        <v>1435762.4122180822</v>
      </c>
      <c r="AY13" s="2871" t="s">
        <v>2555</v>
      </c>
      <c r="AZ13" s="2916">
        <f>(BA13-AW13)/AW13</f>
        <v>-5.3355377274102479E-3</v>
      </c>
      <c r="BA13" s="2920">
        <v>1192671.2979297137</v>
      </c>
      <c r="BB13" s="2921">
        <v>1421094.5576339946</v>
      </c>
      <c r="BC13" s="2871" t="s">
        <v>2555</v>
      </c>
    </row>
    <row r="14" spans="1:55" ht="15.75" thickTop="1">
      <c r="A14" s="2939" t="s">
        <v>2563</v>
      </c>
      <c r="B14" s="2931"/>
      <c r="C14" s="2931"/>
      <c r="D14" s="2932"/>
      <c r="E14" s="2931"/>
      <c r="F14" s="2931"/>
      <c r="G14" s="2938"/>
      <c r="H14" s="2932"/>
      <c r="K14" s="2855"/>
      <c r="O14" s="2932"/>
      <c r="AA14" s="2867"/>
      <c r="AB14" s="2867"/>
      <c r="AC14" s="2867"/>
      <c r="AD14" s="2911"/>
      <c r="AE14" s="2911"/>
      <c r="AF14" s="2911"/>
      <c r="AG14" s="2911"/>
      <c r="AK14" s="2911"/>
      <c r="AR14" s="2929"/>
      <c r="AV14" s="2929"/>
      <c r="AW14" s="2921"/>
      <c r="AZ14" s="2929"/>
    </row>
    <row r="15" spans="1:55" ht="15">
      <c r="A15" s="2940" t="s">
        <v>2470</v>
      </c>
      <c r="B15" s="2940"/>
      <c r="C15" s="2931"/>
      <c r="D15" s="2932"/>
      <c r="E15" s="2931"/>
      <c r="F15" s="2931"/>
      <c r="G15" s="2938"/>
      <c r="H15" s="2932"/>
      <c r="K15" s="2855"/>
      <c r="O15" s="2932"/>
      <c r="Y15" s="2866" t="s">
        <v>10</v>
      </c>
      <c r="Z15" s="2866"/>
      <c r="AA15" s="2913">
        <v>1762594.7502783902</v>
      </c>
      <c r="AB15" s="2914">
        <v>1792894.2931367236</v>
      </c>
      <c r="AC15" s="2915" t="s">
        <v>1740</v>
      </c>
      <c r="AD15" s="2913">
        <v>2210376.3658224167</v>
      </c>
      <c r="AE15" s="2914">
        <v>2265607.1283510835</v>
      </c>
      <c r="AF15" s="2915" t="s">
        <v>1740</v>
      </c>
      <c r="AG15" s="2915"/>
      <c r="AH15" s="2913">
        <v>2709827.2793219676</v>
      </c>
      <c r="AI15" s="2914" t="s">
        <v>1740</v>
      </c>
      <c r="AJ15" s="2916">
        <f>(AO15-AH15)/AH15</f>
        <v>0.10154149694526476</v>
      </c>
      <c r="AK15" s="2915"/>
      <c r="AL15" s="2913">
        <v>2853718.3493644134</v>
      </c>
      <c r="AM15" s="2914" t="s">
        <v>1740</v>
      </c>
      <c r="AN15" s="2916">
        <f>(AS15-AL15)/AL15</f>
        <v>0.25728226954070088</v>
      </c>
      <c r="AO15" s="2913">
        <v>2984987.1977274343</v>
      </c>
      <c r="AP15" s="2914">
        <v>3110559.8384863511</v>
      </c>
      <c r="AQ15" s="2917" t="s">
        <v>1740</v>
      </c>
      <c r="AR15" s="2916">
        <f>(AS15-AO15)/AO15</f>
        <v>0.20199158162233904</v>
      </c>
      <c r="AS15" s="2918">
        <v>3587929.4829188325</v>
      </c>
      <c r="AT15" s="2919">
        <v>3674844.4829188325</v>
      </c>
      <c r="AU15" s="2941" t="s">
        <v>2555</v>
      </c>
      <c r="AV15" s="2916">
        <f>(AW15-AS15)/AS15</f>
        <v>0.10148639070459049</v>
      </c>
      <c r="AW15" s="2920">
        <v>3952055.4962428524</v>
      </c>
      <c r="AX15" s="2921">
        <v>4038970.4962428524</v>
      </c>
      <c r="AY15" s="2871" t="s">
        <v>2555</v>
      </c>
      <c r="AZ15" s="2916">
        <f>(BA15-AW15)/AW15</f>
        <v>6.882149002577978E-2</v>
      </c>
      <c r="BA15" s="2920">
        <v>4224041.8441588581</v>
      </c>
      <c r="BB15" s="2921">
        <v>4310956.8441588581</v>
      </c>
      <c r="BC15" s="2871" t="s">
        <v>2555</v>
      </c>
    </row>
    <row r="16" spans="1:55" ht="15.75" thickBot="1">
      <c r="A16" s="2930">
        <v>0.70111999999999997</v>
      </c>
      <c r="B16" s="2930"/>
      <c r="C16" s="2931" t="s">
        <v>2398</v>
      </c>
      <c r="D16" s="2932"/>
      <c r="E16" s="2931"/>
      <c r="F16" s="2931"/>
      <c r="G16" s="2938"/>
      <c r="H16" s="2932"/>
      <c r="K16" s="2855"/>
      <c r="O16" s="2932"/>
      <c r="U16" s="2942"/>
      <c r="AA16" s="2867"/>
      <c r="AB16" s="2867"/>
      <c r="AC16" s="2867"/>
      <c r="AD16" s="2911"/>
      <c r="AE16" s="2911"/>
      <c r="AF16" s="2911"/>
      <c r="AG16" s="2911"/>
      <c r="AK16" s="2911"/>
      <c r="AR16" s="2929"/>
      <c r="AV16" s="2929"/>
      <c r="AW16" s="2921"/>
      <c r="AZ16" s="2929"/>
    </row>
    <row r="17" spans="1:55" ht="15.75" thickBot="1">
      <c r="A17" s="2943">
        <v>0.66942999999999997</v>
      </c>
      <c r="B17" s="2930"/>
      <c r="C17" s="2931" t="s">
        <v>2399</v>
      </c>
      <c r="D17" s="2932"/>
      <c r="E17" s="2931"/>
      <c r="F17" s="2944">
        <f>((F13)*$A$16*$A$17)</f>
        <v>1888241.324436032</v>
      </c>
      <c r="G17" s="2945">
        <f>'G-3.12 PF Ins'!AY28</f>
        <v>3371334.4525925973</v>
      </c>
      <c r="H17" s="2946"/>
      <c r="J17" s="2947">
        <f>F17+G17</f>
        <v>5259575.7770286296</v>
      </c>
      <c r="K17" s="2937"/>
      <c r="L17" s="2883"/>
      <c r="M17" s="2938">
        <f>M13*A16*A17</f>
        <v>0</v>
      </c>
      <c r="N17" s="2938">
        <f>'G-3.12 PF Ins'!AU28</f>
        <v>0</v>
      </c>
      <c r="O17" s="2946"/>
      <c r="Q17" s="2883">
        <f>M17+N17</f>
        <v>0</v>
      </c>
      <c r="T17" s="2948"/>
      <c r="U17" s="2942"/>
      <c r="Y17" s="2866" t="s">
        <v>2564</v>
      </c>
      <c r="Z17" s="2866"/>
      <c r="AA17" s="2913">
        <v>331524.54666666669</v>
      </c>
      <c r="AB17" s="2914">
        <v>331524.54666666669</v>
      </c>
      <c r="AC17" s="2915" t="s">
        <v>1740</v>
      </c>
      <c r="AD17" s="2913">
        <v>415425.53038251365</v>
      </c>
      <c r="AE17" s="2914">
        <v>415425.53038251365</v>
      </c>
      <c r="AF17" s="2915" t="s">
        <v>1740</v>
      </c>
      <c r="AG17" s="2915"/>
      <c r="AH17" s="2913">
        <v>643833.78244299721</v>
      </c>
      <c r="AI17" s="2914" t="s">
        <v>1740</v>
      </c>
      <c r="AJ17" s="2916">
        <f>(AO17-AH17)/AH17</f>
        <v>0.2541363626353107</v>
      </c>
      <c r="AK17" s="2915"/>
      <c r="AL17" s="2913">
        <v>742959.38282191788</v>
      </c>
      <c r="AM17" s="2914" t="s">
        <v>1740</v>
      </c>
      <c r="AN17" s="2916">
        <f>(AS17-AL17)/AL17</f>
        <v>0.12009587617688439</v>
      </c>
      <c r="AO17" s="2913">
        <v>807455.35805479449</v>
      </c>
      <c r="AP17" s="2914">
        <v>807455.35805479449</v>
      </c>
      <c r="AQ17" s="2917" t="s">
        <v>1740</v>
      </c>
      <c r="AR17" s="2916">
        <f>(AS17-AO17)/AO17</f>
        <v>3.0627554284283629E-2</v>
      </c>
      <c r="AS17" s="2918">
        <v>832185.74086575338</v>
      </c>
      <c r="AT17" s="2919">
        <v>834885.74086575338</v>
      </c>
      <c r="AU17" s="2941" t="s">
        <v>2555</v>
      </c>
      <c r="AV17" s="2916">
        <f>(AW17-AS17)/AS17</f>
        <v>3.0000000000000072E-2</v>
      </c>
      <c r="AW17" s="2920">
        <v>857151.31309172604</v>
      </c>
      <c r="AX17" s="2921">
        <v>859851.31309172604</v>
      </c>
      <c r="AY17" s="2871" t="s">
        <v>2555</v>
      </c>
      <c r="AZ17" s="2916">
        <f>(BA17-AW17)/AW17</f>
        <v>2.9999999999999971E-2</v>
      </c>
      <c r="BA17" s="2920">
        <v>882865.8524844778</v>
      </c>
      <c r="BB17" s="2921">
        <v>885565.8524844778</v>
      </c>
      <c r="BC17" s="2871" t="s">
        <v>2555</v>
      </c>
    </row>
    <row r="18" spans="1:55" ht="16.5" thickTop="1" thickBot="1">
      <c r="A18" s="2931"/>
      <c r="B18" s="2931"/>
      <c r="C18" s="2931"/>
      <c r="D18" s="2932"/>
      <c r="E18" s="2931"/>
      <c r="F18" s="2931"/>
      <c r="G18" s="2938"/>
      <c r="H18" s="2932"/>
      <c r="K18" s="2855"/>
      <c r="O18" s="2932"/>
      <c r="T18" s="2881"/>
      <c r="AA18" s="2867"/>
      <c r="AB18" s="2867"/>
      <c r="AC18" s="2867"/>
      <c r="AD18" s="2911"/>
      <c r="AE18" s="2911"/>
      <c r="AF18" s="2911"/>
      <c r="AG18" s="2911"/>
      <c r="AK18" s="2911"/>
      <c r="AR18" s="2929"/>
      <c r="AV18" s="2929"/>
      <c r="AW18" s="2921"/>
      <c r="AZ18" s="2929"/>
    </row>
    <row r="19" spans="1:55" ht="15.75" thickBot="1">
      <c r="A19" s="2940" t="s">
        <v>2476</v>
      </c>
      <c r="B19" s="2940"/>
      <c r="C19" s="2931"/>
      <c r="D19" s="2932"/>
      <c r="E19" s="2931"/>
      <c r="F19" s="2931"/>
      <c r="G19" s="2938"/>
      <c r="H19" s="2932"/>
      <c r="K19" s="2855"/>
      <c r="O19" s="2932"/>
      <c r="S19" s="2949" t="s">
        <v>2565</v>
      </c>
      <c r="T19" s="2950" t="s">
        <v>2566</v>
      </c>
      <c r="U19" s="2951" t="s">
        <v>2567</v>
      </c>
      <c r="Y19" s="2866" t="s">
        <v>2568</v>
      </c>
      <c r="Z19" s="2866"/>
      <c r="AA19" s="2913">
        <v>630847.47</v>
      </c>
      <c r="AB19" s="2914">
        <v>630847.47</v>
      </c>
      <c r="AC19" s="2915" t="s">
        <v>1740</v>
      </c>
      <c r="AD19" s="2913">
        <v>673609.96000000008</v>
      </c>
      <c r="AE19" s="2914">
        <v>673609.96000000008</v>
      </c>
      <c r="AF19" s="2915" t="s">
        <v>1740</v>
      </c>
      <c r="AG19" s="2915"/>
      <c r="AH19" s="2913">
        <v>798869.4</v>
      </c>
      <c r="AI19" s="2914" t="s">
        <v>1740</v>
      </c>
      <c r="AJ19" s="2916">
        <f>(AO19-AH19)/AH19</f>
        <v>6.6182031756382093E-3</v>
      </c>
      <c r="AK19" s="2915"/>
      <c r="AL19" s="2913">
        <v>756855.54</v>
      </c>
      <c r="AM19" s="2914" t="s">
        <v>1740</v>
      </c>
      <c r="AN19" s="2916">
        <f>(AS19-AL19)/AL19</f>
        <v>0.20062122079465802</v>
      </c>
      <c r="AO19" s="2913">
        <v>804156.48000000021</v>
      </c>
      <c r="AP19" s="2914">
        <v>804156.48000000021</v>
      </c>
      <c r="AQ19" s="2917" t="s">
        <v>2555</v>
      </c>
      <c r="AR19" s="2916">
        <f>(AS19-AO19)/AO19</f>
        <v>0.12999999999999992</v>
      </c>
      <c r="AS19" s="2918">
        <v>908696.82240000018</v>
      </c>
      <c r="AT19" s="2919">
        <v>908696.82240000018</v>
      </c>
      <c r="AU19" s="2941" t="s">
        <v>2555</v>
      </c>
      <c r="AV19" s="2916">
        <f>(AW19-AS19)/AS19</f>
        <v>0.12999999999999995</v>
      </c>
      <c r="AW19" s="2920">
        <v>1026827.4093120001</v>
      </c>
      <c r="AX19" s="2921">
        <v>1026827.4093120001</v>
      </c>
      <c r="AY19" s="2871" t="s">
        <v>2555</v>
      </c>
      <c r="AZ19" s="2916">
        <f>(BA19-AW19)/AW19</f>
        <v>-0.59768857331458436</v>
      </c>
      <c r="BA19" s="2920">
        <v>413104.40000000008</v>
      </c>
      <c r="BB19" s="2921">
        <v>413104.40000000008</v>
      </c>
      <c r="BC19" s="2871" t="s">
        <v>2555</v>
      </c>
    </row>
    <row r="20" spans="1:55" ht="15.75" thickBot="1">
      <c r="A20" s="2943">
        <v>0.20707999999999999</v>
      </c>
      <c r="B20" s="2930"/>
      <c r="C20" s="2931" t="s">
        <v>2398</v>
      </c>
      <c r="D20" s="2932"/>
      <c r="E20" s="2931"/>
      <c r="F20" s="2931"/>
      <c r="G20" s="2938"/>
      <c r="H20" s="2932"/>
      <c r="K20" s="2855"/>
      <c r="O20" s="2932"/>
      <c r="S20" s="2952" t="s">
        <v>2148</v>
      </c>
      <c r="T20" s="2953">
        <f>'G-3.12 PF Ins'!AX36</f>
        <v>12795273.282893196</v>
      </c>
      <c r="U20" s="2954" t="s">
        <v>2569</v>
      </c>
      <c r="AA20" s="2867"/>
      <c r="AB20" s="2867"/>
      <c r="AC20" s="2867"/>
      <c r="AD20" s="2911"/>
      <c r="AE20" s="2911"/>
      <c r="AF20" s="2911"/>
      <c r="AG20" s="2911"/>
      <c r="AK20" s="2911"/>
      <c r="AR20" s="2929"/>
      <c r="AV20" s="2929"/>
      <c r="AW20" s="2921"/>
      <c r="AZ20" s="2929"/>
    </row>
    <row r="21" spans="1:55" ht="15.75" thickBot="1">
      <c r="A21" s="2930">
        <v>0.71745999999999999</v>
      </c>
      <c r="B21" s="2930"/>
      <c r="C21" s="2931" t="s">
        <v>2399</v>
      </c>
      <c r="D21" s="2932"/>
      <c r="E21" s="2931"/>
      <c r="F21" s="2944">
        <f>((F13)*$A$20*$A$21)</f>
        <v>597717.29255043063</v>
      </c>
      <c r="G21" s="2938"/>
      <c r="H21" s="2946"/>
      <c r="J21" s="2947">
        <f>F21+G21</f>
        <v>597717.29255043063</v>
      </c>
      <c r="K21" s="2937"/>
      <c r="L21" s="2883"/>
      <c r="M21" s="2883">
        <f>$M$13*A20*A21</f>
        <v>0</v>
      </c>
      <c r="O21" s="2946"/>
      <c r="Q21" s="2883">
        <f>M21+N21</f>
        <v>0</v>
      </c>
      <c r="S21" s="2952" t="s">
        <v>2149</v>
      </c>
      <c r="T21" s="2953">
        <f>'G-3.12 PF Ins'!AX37</f>
        <v>2247385.4286230444</v>
      </c>
      <c r="U21" s="2954" t="s">
        <v>2569</v>
      </c>
      <c r="Y21" s="2866" t="s">
        <v>2570</v>
      </c>
      <c r="Z21" s="2866"/>
      <c r="AA21" s="2913">
        <v>374790</v>
      </c>
      <c r="AB21" s="2914">
        <v>379166</v>
      </c>
      <c r="AC21" s="2915" t="s">
        <v>1740</v>
      </c>
      <c r="AD21" s="2913">
        <v>434338</v>
      </c>
      <c r="AE21" s="2914">
        <v>441017.5</v>
      </c>
      <c r="AF21" s="2915" t="s">
        <v>1740</v>
      </c>
      <c r="AG21" s="2915"/>
      <c r="AH21" s="2913">
        <v>414652</v>
      </c>
      <c r="AI21" s="2914" t="s">
        <v>1740</v>
      </c>
      <c r="AJ21" s="2916">
        <f>(AO21-AH21)/AH21</f>
        <v>9.4951911482399703E-2</v>
      </c>
      <c r="AK21" s="2915"/>
      <c r="AL21" s="2913">
        <v>434338</v>
      </c>
      <c r="AM21" s="2914" t="s">
        <v>1740</v>
      </c>
      <c r="AN21" s="2916">
        <f>(AS21-AL21)/AL21</f>
        <v>0.13940332183691051</v>
      </c>
      <c r="AO21" s="2913">
        <v>454024</v>
      </c>
      <c r="AP21" s="2914">
        <v>461199</v>
      </c>
      <c r="AQ21" s="2917" t="s">
        <v>2555</v>
      </c>
      <c r="AR21" s="2916">
        <f>(AS21-AO21)/AO21</f>
        <v>9.0000000000000066E-2</v>
      </c>
      <c r="AS21" s="2918">
        <v>494886.16000000003</v>
      </c>
      <c r="AT21" s="2919">
        <v>502706.91000000003</v>
      </c>
      <c r="AU21" s="2941" t="s">
        <v>2555</v>
      </c>
      <c r="AV21" s="2916">
        <f>(AW21-AS21)/AS21</f>
        <v>4.0000000000000029E-2</v>
      </c>
      <c r="AW21" s="2920">
        <v>514681.60640000005</v>
      </c>
      <c r="AX21" s="2921">
        <v>522815.18640000006</v>
      </c>
      <c r="AY21" s="2871" t="s">
        <v>2555</v>
      </c>
      <c r="AZ21" s="2916">
        <f>(BA21-AW21)/AW21</f>
        <v>4.0000000000000098E-2</v>
      </c>
      <c r="BA21" s="2920">
        <v>535268.8706560001</v>
      </c>
      <c r="BB21" s="2921">
        <v>543727.79385600006</v>
      </c>
      <c r="BC21" s="2871" t="s">
        <v>2555</v>
      </c>
    </row>
    <row r="22" spans="1:55" ht="15.75" thickTop="1">
      <c r="A22" s="2931"/>
      <c r="B22" s="2931"/>
      <c r="C22" s="2931"/>
      <c r="D22" s="2932"/>
      <c r="E22" s="2931"/>
      <c r="F22" s="2931"/>
      <c r="G22" s="2938"/>
      <c r="H22" s="2932"/>
      <c r="K22" s="2855"/>
      <c r="O22" s="2932"/>
      <c r="AA22" s="2867"/>
      <c r="AB22" s="2867"/>
      <c r="AC22" s="2867"/>
      <c r="AD22" s="2911"/>
      <c r="AE22" s="2911"/>
      <c r="AF22" s="2911"/>
      <c r="AG22" s="2911"/>
      <c r="AK22" s="2911"/>
    </row>
    <row r="23" spans="1:55" ht="15">
      <c r="A23" s="2940" t="s">
        <v>2402</v>
      </c>
      <c r="B23" s="2940"/>
      <c r="C23" s="2931"/>
      <c r="D23" s="2932"/>
      <c r="E23" s="2931"/>
      <c r="F23" s="2931"/>
      <c r="G23" s="2938"/>
      <c r="H23" s="2932"/>
      <c r="K23" s="2855"/>
      <c r="O23" s="2932"/>
      <c r="Y23" s="2866" t="s">
        <v>2571</v>
      </c>
      <c r="Z23" s="2866"/>
      <c r="AA23" s="2955">
        <f>SUM(AA11:AA21)</f>
        <v>6744010.3531269114</v>
      </c>
      <c r="AB23" s="2956">
        <f>SUM(AB11:AB21)</f>
        <v>7395225.8239853084</v>
      </c>
      <c r="AC23" s="2867"/>
      <c r="AD23" s="2955">
        <f>SUM(AD11:AD21)</f>
        <v>10326378.325191982</v>
      </c>
      <c r="AE23" s="2956">
        <f>SUM(AE11:AE21)</f>
        <v>10993885.034041634</v>
      </c>
      <c r="AF23" s="2911"/>
      <c r="AG23" s="2911"/>
      <c r="AH23" s="2955">
        <f>SUM(AH11:AH21)</f>
        <v>14315417.374127993</v>
      </c>
      <c r="AI23" s="2955"/>
      <c r="AJ23" s="2955"/>
      <c r="AK23" s="2911"/>
      <c r="AL23" s="2955">
        <f>SUM(AL11:AL21)</f>
        <v>14677966.671450399</v>
      </c>
      <c r="AM23" s="2955"/>
      <c r="AN23" s="2955"/>
      <c r="AO23" s="2957">
        <f>SUM(AO11:AO21)</f>
        <v>15357257.307660777</v>
      </c>
      <c r="AP23" s="2956">
        <f>SUM(AP11:AP21)</f>
        <v>15982569.023143502</v>
      </c>
      <c r="AQ23" s="2958"/>
      <c r="AS23" s="2957">
        <f>SUM(AS11:AS21)</f>
        <v>21591556.215453405</v>
      </c>
      <c r="AT23" s="2956">
        <f>SUM(AT11:AT21)</f>
        <v>22195037.46747632</v>
      </c>
      <c r="AW23" s="2959">
        <f>SUM(AW11:AW21)</f>
        <v>23754632.854317714</v>
      </c>
      <c r="AX23" s="2956">
        <f>SUM(AX11:AX21)</f>
        <v>24349722.330046888</v>
      </c>
      <c r="BA23" s="2955">
        <f>SUM(BA11:BA21)</f>
        <v>25058218.347851936</v>
      </c>
      <c r="BB23" s="2956">
        <f>SUM(BB11:BB21)</f>
        <v>25645362.146957215</v>
      </c>
    </row>
    <row r="24" spans="1:55" ht="15.75" thickBot="1">
      <c r="A24" s="2930">
        <v>0.70111999999999997</v>
      </c>
      <c r="B24" s="2930"/>
      <c r="C24" s="2931" t="s">
        <v>2398</v>
      </c>
      <c r="D24" s="2932"/>
      <c r="E24" s="2931"/>
      <c r="F24" s="2931"/>
      <c r="G24" s="2938"/>
      <c r="H24" s="2932"/>
      <c r="K24" s="2855"/>
      <c r="O24" s="2932"/>
      <c r="AA24" s="2960"/>
      <c r="AB24" s="2960"/>
      <c r="AC24" s="2867"/>
      <c r="AD24" s="2961"/>
      <c r="AE24" s="2961"/>
      <c r="AF24" s="2911"/>
      <c r="AG24" s="2911"/>
      <c r="AH24" s="2960"/>
      <c r="AI24" s="2961"/>
      <c r="AJ24" s="2961"/>
      <c r="AK24" s="2911"/>
      <c r="AL24" s="2960" t="s">
        <v>2572</v>
      </c>
      <c r="AM24" s="2961"/>
      <c r="AN24" s="2961"/>
      <c r="AQ24" s="3924" t="s">
        <v>2573</v>
      </c>
      <c r="AR24" s="3924"/>
      <c r="AU24" s="3924" t="s">
        <v>2573</v>
      </c>
      <c r="AV24" s="3924"/>
      <c r="AW24" s="2960" t="s">
        <v>2572</v>
      </c>
      <c r="AY24" s="3924" t="s">
        <v>2573</v>
      </c>
      <c r="AZ24" s="3924"/>
      <c r="BA24" s="2960" t="s">
        <v>2572</v>
      </c>
    </row>
    <row r="25" spans="1:55" ht="15.75" thickBot="1">
      <c r="A25" s="2943">
        <v>0.33056999999999997</v>
      </c>
      <c r="B25" s="2930"/>
      <c r="C25" s="2931" t="s">
        <v>2399</v>
      </c>
      <c r="D25" s="2932"/>
      <c r="E25" s="2931"/>
      <c r="F25" s="2938">
        <f>((F13)*$A$24*$A$25)</f>
        <v>932428.98379041732</v>
      </c>
      <c r="G25" s="2938">
        <f>'G-3.12 PF Ins'!AY29</f>
        <v>1652809.7682570391</v>
      </c>
      <c r="H25" s="2946"/>
      <c r="J25" s="2938">
        <f>F25+G25</f>
        <v>2585238.7520474563</v>
      </c>
      <c r="K25" s="2855"/>
      <c r="M25" s="2962">
        <f>$M$13*A24*A25</f>
        <v>0</v>
      </c>
      <c r="N25" s="2962">
        <f>'G-3.12 PF Ins'!AU29</f>
        <v>0</v>
      </c>
      <c r="O25" s="2946"/>
      <c r="Q25" s="2963">
        <f>M25+N25</f>
        <v>0</v>
      </c>
      <c r="Z25" s="2964">
        <v>0.1</v>
      </c>
      <c r="AA25" s="2965">
        <f>-AA13*0.1</f>
        <v>-89464.561195616436</v>
      </c>
      <c r="AB25" s="2960"/>
      <c r="AC25" s="2867"/>
      <c r="AD25" s="2960"/>
      <c r="AE25" s="2960"/>
      <c r="AF25" s="2867"/>
      <c r="AK25" s="2966" t="s">
        <v>2574</v>
      </c>
      <c r="AL25" s="2967">
        <v>-90477</v>
      </c>
      <c r="AM25" s="2968"/>
      <c r="AO25" s="2967">
        <f>-AO13*0.1</f>
        <v>-119528.60586205481</v>
      </c>
      <c r="AQ25" s="3924"/>
      <c r="AR25" s="3924"/>
      <c r="AS25" s="2967">
        <f>-AS13*0.1</f>
        <v>-120556.63998493152</v>
      </c>
      <c r="AU25" s="3924"/>
      <c r="AV25" s="3924"/>
      <c r="AW25" s="2967">
        <f>-AW13*0.1</f>
        <v>-119906.89756872604</v>
      </c>
      <c r="AX25" s="2969" t="s">
        <v>2575</v>
      </c>
      <c r="AY25" s="3924"/>
      <c r="AZ25" s="3924"/>
      <c r="BA25" s="2967">
        <f>-BA13*0.1</f>
        <v>-119267.12979297138</v>
      </c>
    </row>
    <row r="26" spans="1:55" ht="16.5" thickTop="1" thickBot="1">
      <c r="A26" s="2931"/>
      <c r="B26" s="2931"/>
      <c r="C26" s="2931"/>
      <c r="D26" s="2932"/>
      <c r="E26" s="2931"/>
      <c r="F26" s="2931"/>
      <c r="G26" s="2938"/>
      <c r="H26" s="2932"/>
      <c r="K26" s="2855"/>
      <c r="O26" s="2932"/>
      <c r="AA26" s="2970">
        <f>AA23+AA25</f>
        <v>6654545.7919312948</v>
      </c>
      <c r="AB26" s="2960"/>
      <c r="AC26" s="2867"/>
      <c r="AD26" s="2960"/>
      <c r="AE26" s="2960"/>
      <c r="AF26" s="2867"/>
      <c r="AK26" s="2966"/>
      <c r="AL26" s="2971">
        <f>AL23+AL25</f>
        <v>14587489.671450399</v>
      </c>
      <c r="AO26" s="2972">
        <f>AO23+AO25</f>
        <v>15237728.701798722</v>
      </c>
      <c r="AS26" s="2972">
        <f>AS23+AS25</f>
        <v>21470999.575468473</v>
      </c>
      <c r="AW26" s="2971">
        <f>AW23+AW25</f>
        <v>23634725.956748988</v>
      </c>
      <c r="AX26" s="2973">
        <f>AW26-AL26</f>
        <v>9047236.2852985896</v>
      </c>
      <c r="BA26" s="2972">
        <f>BA23+BA25</f>
        <v>24938951.218058966</v>
      </c>
    </row>
    <row r="27" spans="1:55" ht="15.75" thickBot="1">
      <c r="A27" s="2940" t="s">
        <v>2403</v>
      </c>
      <c r="B27" s="2940"/>
      <c r="C27" s="2931"/>
      <c r="D27" s="2932"/>
      <c r="E27" s="2931"/>
      <c r="F27" s="2931"/>
      <c r="G27" s="2938"/>
      <c r="H27" s="2932"/>
      <c r="K27" s="2855"/>
      <c r="O27" s="2932"/>
      <c r="AJ27" s="2974"/>
      <c r="AN27" s="2974"/>
      <c r="AO27" s="2887"/>
      <c r="AP27" s="2975">
        <f>AO26</f>
        <v>15237728.701798722</v>
      </c>
      <c r="AQ27" s="2976"/>
      <c r="AR27" s="2977"/>
      <c r="AS27" s="2978"/>
      <c r="AT27" s="2979">
        <f>AS26</f>
        <v>21470999.575468473</v>
      </c>
      <c r="AU27" s="2976"/>
      <c r="AW27" s="2978" t="s">
        <v>2576</v>
      </c>
      <c r="AX27" s="2980">
        <f>AW26</f>
        <v>23634725.956748988</v>
      </c>
      <c r="AY27" s="2976" t="s">
        <v>2577</v>
      </c>
      <c r="BA27" s="2978" t="s">
        <v>2578</v>
      </c>
      <c r="BB27" s="2980">
        <f>BA26</f>
        <v>24938951.218058966</v>
      </c>
      <c r="BC27" s="2976" t="s">
        <v>2577</v>
      </c>
    </row>
    <row r="28" spans="1:55" ht="15.75" thickBot="1">
      <c r="A28" s="2943">
        <v>0.20707999999999999</v>
      </c>
      <c r="B28" s="2930"/>
      <c r="C28" s="2931" t="s">
        <v>2398</v>
      </c>
      <c r="D28" s="2932"/>
      <c r="E28" s="2931"/>
      <c r="F28" s="2931"/>
      <c r="G28" s="2938"/>
      <c r="H28" s="2932"/>
      <c r="K28" s="2855"/>
      <c r="O28" s="2932"/>
      <c r="AC28" s="2974"/>
      <c r="AD28" s="2974"/>
      <c r="AE28" s="2974"/>
      <c r="AF28" s="2974"/>
      <c r="AH28" s="2974" t="s">
        <v>2579</v>
      </c>
      <c r="AI28" s="2967">
        <v>2169057.2662500003</v>
      </c>
      <c r="AJ28" s="2974"/>
      <c r="AK28" s="2974" t="s">
        <v>2579</v>
      </c>
      <c r="AL28" s="2967">
        <f>(AI28/2)+(AP28/2)</f>
        <v>2324251.2503175</v>
      </c>
      <c r="AM28" s="2974"/>
      <c r="AN28" s="2974"/>
      <c r="AO28" s="2871" t="s">
        <v>2579</v>
      </c>
      <c r="AP28" s="2981">
        <v>2479445.2343850001</v>
      </c>
      <c r="AQ28" s="2982"/>
      <c r="AR28" s="2983"/>
      <c r="AS28" s="2871" t="s">
        <v>2579</v>
      </c>
      <c r="AT28" s="2981">
        <v>5042593.8866040064</v>
      </c>
      <c r="AU28" s="2982"/>
      <c r="AW28" s="2871" t="s">
        <v>2579</v>
      </c>
      <c r="AX28" s="2981">
        <v>5695585.7029100973</v>
      </c>
      <c r="AY28" s="2982">
        <f>AX28-AL28</f>
        <v>3371334.4525925973</v>
      </c>
      <c r="BA28" s="2871" t="s">
        <v>2579</v>
      </c>
      <c r="BB28" s="2981">
        <v>6318089.9021992534</v>
      </c>
      <c r="BC28" s="2982">
        <f>BB28-AX28</f>
        <v>622504.19928915612</v>
      </c>
    </row>
    <row r="29" spans="1:55" ht="15.75" thickBot="1">
      <c r="A29" s="2930">
        <v>0.28254000000000001</v>
      </c>
      <c r="B29" s="2930"/>
      <c r="C29" s="2931" t="s">
        <v>2399</v>
      </c>
      <c r="D29" s="2932"/>
      <c r="E29" s="2931"/>
      <c r="F29" s="2938">
        <f>((F13)*$A$28*$A$29)</f>
        <v>235384.61215565843</v>
      </c>
      <c r="G29" s="2938"/>
      <c r="H29" s="2946"/>
      <c r="J29" s="2938">
        <f>F29+G29</f>
        <v>235384.61215565843</v>
      </c>
      <c r="K29" s="2855"/>
      <c r="M29" s="2962">
        <f>$M$13*A28*A29</f>
        <v>0</v>
      </c>
      <c r="N29" s="2938"/>
      <c r="O29" s="2946"/>
      <c r="Q29" s="2963">
        <f>M29+N29</f>
        <v>0</v>
      </c>
      <c r="AC29" s="2974"/>
      <c r="AD29" s="2974"/>
      <c r="AE29" s="2974"/>
      <c r="AF29" s="2974"/>
      <c r="AH29" s="2871" t="s">
        <v>2580</v>
      </c>
      <c r="AI29" s="2965">
        <v>1092682.9837500001</v>
      </c>
      <c r="AJ29" s="2974"/>
      <c r="AK29" s="2871" t="s">
        <v>2580</v>
      </c>
      <c r="AL29" s="2965">
        <f>(AI29/2)+(AP29/2)</f>
        <v>1159716.9571825</v>
      </c>
      <c r="AM29" s="2974"/>
      <c r="AN29" s="2974"/>
      <c r="AO29" s="2871" t="s">
        <v>2580</v>
      </c>
      <c r="AP29" s="2984">
        <v>1226750.930615</v>
      </c>
      <c r="AQ29" s="2985"/>
      <c r="AR29" s="2983"/>
      <c r="AS29" s="2871" t="s">
        <v>2580</v>
      </c>
      <c r="AT29" s="2984">
        <v>2490074.0347679164</v>
      </c>
      <c r="AU29" s="2985"/>
      <c r="AW29" s="2871" t="s">
        <v>2580</v>
      </c>
      <c r="AX29" s="2984">
        <v>2812526.7254395392</v>
      </c>
      <c r="AY29" s="2985">
        <f>AX29-AL29</f>
        <v>1652809.7682570391</v>
      </c>
      <c r="BA29" s="2871" t="s">
        <v>2580</v>
      </c>
      <c r="BB29" s="2984">
        <v>3119924.3818920678</v>
      </c>
      <c r="BC29" s="2982">
        <f>BB29-AX29</f>
        <v>307397.65645252867</v>
      </c>
    </row>
    <row r="30" spans="1:55" ht="15.75" thickTop="1">
      <c r="A30" s="2930"/>
      <c r="B30" s="2930"/>
      <c r="C30" s="2931"/>
      <c r="D30" s="2932"/>
      <c r="E30" s="2931"/>
      <c r="F30" s="2986"/>
      <c r="G30" s="2938"/>
      <c r="H30" s="2946"/>
      <c r="K30" s="2855"/>
      <c r="O30" s="2946"/>
      <c r="AC30" s="2974"/>
      <c r="AD30" s="2974"/>
      <c r="AE30" s="2974"/>
      <c r="AF30" s="2974"/>
      <c r="AH30" s="2974"/>
      <c r="AI30" s="2987">
        <f>SUM(AI28:AI29)</f>
        <v>3261740.2500000005</v>
      </c>
      <c r="AJ30" s="2974"/>
      <c r="AK30" s="2974"/>
      <c r="AL30" s="2987">
        <f>SUM(AL28:AL29)</f>
        <v>3483968.2075</v>
      </c>
      <c r="AM30" s="2974"/>
      <c r="AN30" s="2974"/>
      <c r="AP30" s="2988">
        <f>SUM(AP28:AP29)</f>
        <v>3706196.165</v>
      </c>
      <c r="AQ30" s="2982"/>
      <c r="AR30" s="2983"/>
      <c r="AT30" s="2983">
        <f>SUM(AT28:AT29)</f>
        <v>7532667.9213719228</v>
      </c>
      <c r="AU30" s="2982"/>
      <c r="AV30" s="2989"/>
      <c r="AX30" s="2988">
        <f>SUM(AX28:AX29)</f>
        <v>8508112.4283496365</v>
      </c>
      <c r="AY30" s="2982">
        <f>SUM(AY28:AY29)</f>
        <v>5024144.2208496369</v>
      </c>
      <c r="BB30" s="2988">
        <f>SUM(BB28:BB29)</f>
        <v>9438014.2840913218</v>
      </c>
      <c r="BC30" s="2982">
        <f>SUM(BC28:BC29)</f>
        <v>929901.85574168479</v>
      </c>
    </row>
    <row r="31" spans="1:55" ht="15">
      <c r="A31" s="2940" t="s">
        <v>2404</v>
      </c>
      <c r="B31" s="2940"/>
      <c r="C31" s="2931"/>
      <c r="D31" s="2932"/>
      <c r="E31" s="2931"/>
      <c r="F31" s="2986"/>
      <c r="G31" s="2938"/>
      <c r="H31" s="2946"/>
      <c r="K31" s="2855"/>
      <c r="O31" s="2946"/>
      <c r="AC31" s="2974"/>
      <c r="AD31" s="2974"/>
      <c r="AE31" s="2974"/>
      <c r="AF31" s="2974"/>
      <c r="AH31" s="2974"/>
      <c r="AI31" s="2974"/>
      <c r="AJ31" s="2974"/>
      <c r="AK31" s="2974"/>
      <c r="AL31" s="2974"/>
      <c r="AM31" s="2974"/>
      <c r="AN31" s="2974"/>
      <c r="AQ31" s="2982"/>
      <c r="AU31" s="2990"/>
      <c r="AY31" s="2990"/>
      <c r="BC31" s="2990"/>
    </row>
    <row r="32" spans="1:55" ht="15">
      <c r="A32" s="2930">
        <v>9.1800000000000007E-2</v>
      </c>
      <c r="B32" s="2930"/>
      <c r="C32" s="2931" t="s">
        <v>2398</v>
      </c>
      <c r="D32" s="2932"/>
      <c r="E32" s="2931"/>
      <c r="F32" s="2986">
        <f>((F13)*$A$32)</f>
        <v>369319.85151641391</v>
      </c>
      <c r="H32" s="2946"/>
      <c r="J32" s="2883">
        <f>F32+G32</f>
        <v>369319.85151641391</v>
      </c>
      <c r="K32" s="2855"/>
      <c r="M32" s="2883">
        <f>$M$13*A32</f>
        <v>0</v>
      </c>
      <c r="O32" s="2946"/>
      <c r="Q32" s="2883">
        <f>M32+N32</f>
        <v>0</v>
      </c>
      <c r="AC32" s="2974"/>
      <c r="AD32" s="2974"/>
      <c r="AE32" s="2974"/>
      <c r="AH32" s="2974" t="s">
        <v>2581</v>
      </c>
      <c r="AI32" s="2991">
        <f>AH23-AI30</f>
        <v>11053677.124127993</v>
      </c>
      <c r="AJ32" s="2974"/>
      <c r="AK32" s="2974"/>
      <c r="AL32" s="2991">
        <f>AL26-AL30</f>
        <v>11103521.463950399</v>
      </c>
      <c r="AM32" s="2974"/>
      <c r="AN32" s="2974"/>
      <c r="AO32" s="2871" t="s">
        <v>2582</v>
      </c>
      <c r="AP32" s="2992">
        <f>AP27-AP30</f>
        <v>11531532.536798723</v>
      </c>
      <c r="AQ32" s="2993"/>
      <c r="AR32" s="2958"/>
      <c r="AS32" s="2871" t="s">
        <v>2582</v>
      </c>
      <c r="AT32" s="2992">
        <f>AT27-AT30</f>
        <v>13938331.654096551</v>
      </c>
      <c r="AU32" s="2993"/>
      <c r="AV32" s="2994"/>
      <c r="AW32" s="2871" t="s">
        <v>2582</v>
      </c>
      <c r="AX32" s="2995">
        <f>AX27-AX30</f>
        <v>15126613.528399352</v>
      </c>
      <c r="AY32" s="2993">
        <f>AX32-AL32</f>
        <v>4023092.0644489527</v>
      </c>
      <c r="BA32" s="2871" t="s">
        <v>2582</v>
      </c>
      <c r="BB32" s="2995">
        <f>BB27-BB30</f>
        <v>15500936.933967644</v>
      </c>
      <c r="BC32" s="2993"/>
    </row>
    <row r="33" spans="1:55" ht="15">
      <c r="A33" s="2930"/>
      <c r="B33" s="2930"/>
      <c r="C33" s="2931"/>
      <c r="D33" s="2932"/>
      <c r="E33" s="2931"/>
      <c r="F33" s="2931"/>
      <c r="H33" s="2932"/>
      <c r="K33" s="2855"/>
      <c r="O33" s="2932"/>
      <c r="Y33" s="2940" t="s">
        <v>2470</v>
      </c>
      <c r="Z33" s="2940"/>
      <c r="AA33" s="2931"/>
      <c r="AC33" s="2974"/>
      <c r="AD33" s="2974"/>
      <c r="AE33" s="2974"/>
      <c r="AF33" s="2974"/>
      <c r="AH33" s="2974" t="s">
        <v>2583</v>
      </c>
      <c r="AI33" s="2987">
        <f>AI32*Y34*Y35</f>
        <v>5188051.7766899709</v>
      </c>
      <c r="AJ33" s="2974"/>
      <c r="AK33" s="2974" t="s">
        <v>2583</v>
      </c>
      <c r="AL33" s="2987">
        <f>AL32*Y34*Y35</f>
        <v>5211446.2555470662</v>
      </c>
      <c r="AM33" s="2974"/>
      <c r="AN33" s="2974"/>
      <c r="AO33" s="2974" t="s">
        <v>2583</v>
      </c>
      <c r="AP33" s="2958">
        <f>AP32*Y34*Y35</f>
        <v>5412333.5785616599</v>
      </c>
      <c r="AQ33" s="2990"/>
      <c r="AS33" s="2974" t="s">
        <v>2583</v>
      </c>
      <c r="AT33" s="2958">
        <f>AT32*Y34*Y35</f>
        <v>6541966.5772836031</v>
      </c>
      <c r="AU33" s="2990"/>
      <c r="AV33" s="2958"/>
      <c r="AW33" s="2974" t="s">
        <v>2583</v>
      </c>
      <c r="AX33" s="2958">
        <f>AX32*Y34*Y35</f>
        <v>7099687.5799830984</v>
      </c>
      <c r="AY33" s="2982">
        <f>AX33-AL33</f>
        <v>1888241.3244360322</v>
      </c>
      <c r="BA33" s="2974" t="s">
        <v>2583</v>
      </c>
      <c r="BB33" s="2958">
        <f>BB32*Y34*Y35</f>
        <v>7275376.5554712825</v>
      </c>
      <c r="BC33" s="2993">
        <f>BB33-AX33</f>
        <v>175688.97548818402</v>
      </c>
    </row>
    <row r="34" spans="1:55" ht="15">
      <c r="A34" s="2930"/>
      <c r="B34" s="2930"/>
      <c r="C34" s="2931" t="s">
        <v>1189</v>
      </c>
      <c r="D34" s="2932"/>
      <c r="E34" s="2931"/>
      <c r="F34" s="2996">
        <f>F17+F21+F25+F29+F32-F13</f>
        <v>0</v>
      </c>
      <c r="H34" s="2997"/>
      <c r="K34" s="2855"/>
      <c r="O34" s="2997"/>
      <c r="Y34" s="2930">
        <v>0.70111999999999997</v>
      </c>
      <c r="Z34" s="2931" t="s">
        <v>2398</v>
      </c>
      <c r="AC34" s="2974"/>
      <c r="AD34" s="2974"/>
      <c r="AE34" s="2974"/>
      <c r="AF34" s="2974"/>
      <c r="AH34" s="2974" t="s">
        <v>2584</v>
      </c>
      <c r="AI34" s="2987">
        <f>AI32*Y38*Y39</f>
        <v>1642262.6819168702</v>
      </c>
      <c r="AJ34" s="2974"/>
      <c r="AK34" s="2974" t="s">
        <v>2584</v>
      </c>
      <c r="AL34" s="2987">
        <f>AL32*Y38*Y39</f>
        <v>1649668.1360726135</v>
      </c>
      <c r="AM34" s="2974"/>
      <c r="AN34" s="2974"/>
      <c r="AO34" s="2974" t="s">
        <v>2584</v>
      </c>
      <c r="AP34" s="2958">
        <f>AP32*Y38*Y39</f>
        <v>1713258.4331739917</v>
      </c>
      <c r="AQ34" s="2990"/>
      <c r="AS34" s="2974" t="s">
        <v>2584</v>
      </c>
      <c r="AT34" s="2958">
        <f>AT32*Y38*Y39</f>
        <v>2070840.4693437428</v>
      </c>
      <c r="AU34" s="2990"/>
      <c r="AV34" s="2958"/>
      <c r="AW34" s="2974" t="s">
        <v>2584</v>
      </c>
      <c r="AX34" s="2958">
        <f>AX32*Y38*Y39</f>
        <v>2247385.4286230444</v>
      </c>
      <c r="AY34" s="2982">
        <f>AX34-AL34</f>
        <v>597717.29255043087</v>
      </c>
      <c r="BA34" s="2974" t="s">
        <v>2584</v>
      </c>
      <c r="BB34" s="2958">
        <f>BB32*Y38*Y39</f>
        <v>2302999.2621944076</v>
      </c>
      <c r="BC34" s="2993">
        <f>BB34-AX34</f>
        <v>55613.83357136324</v>
      </c>
    </row>
    <row r="35" spans="1:55" ht="15.75" thickBot="1">
      <c r="A35" s="2930"/>
      <c r="B35" s="2930"/>
      <c r="C35" s="2931"/>
      <c r="D35" s="2932"/>
      <c r="E35" s="2931"/>
      <c r="F35" s="2996"/>
      <c r="H35" s="2997"/>
      <c r="K35" s="2855"/>
      <c r="O35" s="2997"/>
      <c r="Y35" s="2943">
        <v>0.66942999999999997</v>
      </c>
      <c r="Z35" s="2931" t="s">
        <v>2399</v>
      </c>
      <c r="AA35" s="2998">
        <f>1-Y35</f>
        <v>0.33057000000000003</v>
      </c>
      <c r="AC35" s="2974"/>
      <c r="AD35" s="2974"/>
      <c r="AE35" s="2974"/>
      <c r="AF35" s="2974"/>
      <c r="AH35" s="2974"/>
      <c r="AI35" s="2974"/>
      <c r="AJ35" s="2974"/>
      <c r="AK35" s="2974"/>
      <c r="AL35" s="2974"/>
      <c r="AM35" s="2974"/>
      <c r="AN35" s="2974"/>
      <c r="AU35" s="2990"/>
      <c r="AY35" s="2999" t="s">
        <v>2577</v>
      </c>
      <c r="BB35" s="3000"/>
      <c r="BC35" s="3001" t="s">
        <v>2585</v>
      </c>
    </row>
    <row r="36" spans="1:55" ht="15">
      <c r="A36" s="2930"/>
      <c r="B36" s="2930"/>
      <c r="C36" s="2931"/>
      <c r="D36" s="3002"/>
      <c r="E36" s="3003"/>
      <c r="H36" s="3004"/>
      <c r="J36" s="3005" t="s">
        <v>729</v>
      </c>
      <c r="K36" s="2855"/>
      <c r="O36" s="3004"/>
      <c r="Q36" s="3006" t="s">
        <v>729</v>
      </c>
      <c r="Y36" s="2931"/>
      <c r="Z36" s="2931"/>
      <c r="AC36" s="2974"/>
      <c r="AD36" s="2974"/>
      <c r="AE36" s="2974"/>
      <c r="AF36" s="2974"/>
      <c r="AH36" s="3007" t="s">
        <v>2586</v>
      </c>
      <c r="AI36" s="3008">
        <f>AI28+AI33</f>
        <v>7357109.0429399712</v>
      </c>
      <c r="AJ36" s="2974"/>
      <c r="AK36" s="3007" t="s">
        <v>2586</v>
      </c>
      <c r="AL36" s="3008">
        <f>AL28+AL33</f>
        <v>7535697.5058645662</v>
      </c>
      <c r="AM36" s="2974"/>
      <c r="AN36" s="2974"/>
      <c r="AO36" s="3009" t="s">
        <v>2586</v>
      </c>
      <c r="AP36" s="3010">
        <f>AP28+AP33</f>
        <v>7891778.8129466604</v>
      </c>
      <c r="AQ36" s="2983"/>
      <c r="AR36" s="2983"/>
      <c r="AS36" s="3009" t="s">
        <v>2586</v>
      </c>
      <c r="AT36" s="3010">
        <f>AT28+AT33</f>
        <v>11584560.46388761</v>
      </c>
      <c r="AU36" s="3011"/>
      <c r="AW36" s="3007" t="s">
        <v>2586</v>
      </c>
      <c r="AX36" s="3012">
        <f>AX28+AX33</f>
        <v>12795273.282893196</v>
      </c>
      <c r="AY36" s="3013">
        <f>AX36-AL36</f>
        <v>5259575.7770286296</v>
      </c>
      <c r="BA36" s="3007" t="s">
        <v>2586</v>
      </c>
      <c r="BB36" s="3014">
        <f>BB28+BB33</f>
        <v>13593466.457670536</v>
      </c>
      <c r="BC36" s="3013">
        <f>BB36-AX36</f>
        <v>798193.17477734014</v>
      </c>
    </row>
    <row r="37" spans="1:55" ht="15.75" thickBot="1">
      <c r="A37" s="2931"/>
      <c r="B37" s="3015">
        <v>0.7</v>
      </c>
      <c r="C37" s="2931" t="s">
        <v>2587</v>
      </c>
      <c r="D37" s="2932"/>
      <c r="E37" s="2931"/>
      <c r="H37" s="3016"/>
      <c r="J37" s="3017">
        <f>J17*B37</f>
        <v>3681703.0439200406</v>
      </c>
      <c r="K37" s="2855"/>
      <c r="O37" s="3016"/>
      <c r="Q37" s="3018">
        <f>Q25*B37</f>
        <v>0</v>
      </c>
      <c r="Y37" s="2940" t="s">
        <v>2476</v>
      </c>
      <c r="Z37" s="2931"/>
      <c r="AH37" s="2886" t="s">
        <v>2588</v>
      </c>
      <c r="AI37" s="3019">
        <f>AI34</f>
        <v>1642262.6819168702</v>
      </c>
      <c r="AK37" s="2886" t="s">
        <v>2588</v>
      </c>
      <c r="AL37" s="3019">
        <f>AL34</f>
        <v>1649668.1360726135</v>
      </c>
      <c r="AO37" s="3020" t="s">
        <v>2588</v>
      </c>
      <c r="AP37" s="3021">
        <f>AP34</f>
        <v>1713258.4331739917</v>
      </c>
      <c r="AQ37" s="2983"/>
      <c r="AR37" s="2983"/>
      <c r="AS37" s="3020" t="s">
        <v>2588</v>
      </c>
      <c r="AT37" s="3021">
        <f>AT34</f>
        <v>2070840.4693437428</v>
      </c>
      <c r="AU37" s="3022"/>
      <c r="AW37" s="2886" t="s">
        <v>2588</v>
      </c>
      <c r="AX37" s="3023">
        <f>AX34</f>
        <v>2247385.4286230444</v>
      </c>
      <c r="AY37" s="3024">
        <f>AX37-AL37</f>
        <v>597717.29255043087</v>
      </c>
      <c r="BA37" s="2886" t="s">
        <v>2588</v>
      </c>
      <c r="BB37" s="3025">
        <f>BB34</f>
        <v>2302999.2621944076</v>
      </c>
      <c r="BC37" s="3024">
        <f>BB37-AX37</f>
        <v>55613.83357136324</v>
      </c>
    </row>
    <row r="38" spans="1:55" ht="15.75" thickBot="1">
      <c r="A38" s="2931"/>
      <c r="B38" s="3015">
        <v>0.3</v>
      </c>
      <c r="C38" s="2931" t="s">
        <v>2589</v>
      </c>
      <c r="D38" s="2932"/>
      <c r="E38" s="2931"/>
      <c r="H38" s="3016"/>
      <c r="J38" s="3017">
        <f>J17*B38</f>
        <v>1577872.7331085887</v>
      </c>
      <c r="K38" s="2855"/>
      <c r="O38" s="3016"/>
      <c r="Q38" s="3018">
        <f>Q25*B38</f>
        <v>0</v>
      </c>
      <c r="Y38" s="2943">
        <v>0.20707999999999999</v>
      </c>
      <c r="Z38" s="2931" t="s">
        <v>2398</v>
      </c>
      <c r="AO38" s="3026" t="s">
        <v>2590</v>
      </c>
      <c r="AP38" s="3027">
        <f>AP36-AQ4</f>
        <v>-379551.49379294924</v>
      </c>
      <c r="AQ38" s="3028"/>
      <c r="AR38" s="3029" t="s">
        <v>2148</v>
      </c>
      <c r="AS38" s="3030">
        <f>AS26-AO4</f>
        <v>5936870.5754684731</v>
      </c>
      <c r="AT38" s="3030">
        <f>AT36-AQ4</f>
        <v>3313230.1571479999</v>
      </c>
      <c r="AX38" s="3925" t="s">
        <v>2591</v>
      </c>
      <c r="AY38" s="3925"/>
      <c r="BB38" s="3927" t="s">
        <v>2592</v>
      </c>
      <c r="BC38" s="3927"/>
    </row>
    <row r="39" spans="1:55" ht="16.5" thickTop="1" thickBot="1">
      <c r="A39" s="2931"/>
      <c r="B39" s="2931"/>
      <c r="C39" s="2931"/>
      <c r="D39" s="2932"/>
      <c r="E39" s="2931"/>
      <c r="H39" s="2946"/>
      <c r="J39" s="3031">
        <f>SUM(J37:J38)</f>
        <v>5259575.7770286296</v>
      </c>
      <c r="K39" s="2855"/>
      <c r="O39" s="2946"/>
      <c r="Q39" s="3032">
        <f>SUM(Q37:Q38)</f>
        <v>0</v>
      </c>
      <c r="Y39" s="2930">
        <v>0.71745999999999999</v>
      </c>
      <c r="Z39" s="2931" t="s">
        <v>2399</v>
      </c>
      <c r="AA39" s="2998">
        <f>1-Y39</f>
        <v>0.28254000000000001</v>
      </c>
      <c r="AO39" s="3033" t="s">
        <v>2593</v>
      </c>
      <c r="AP39" s="3034">
        <f>AP37-AQ5</f>
        <v>-32708.528315843083</v>
      </c>
      <c r="AQ39" s="3028"/>
      <c r="AR39" s="3035" t="s">
        <v>2149</v>
      </c>
      <c r="AS39" s="3029"/>
      <c r="AT39" s="3036">
        <f>AT37-AQ5</f>
        <v>324873.507853908</v>
      </c>
      <c r="AX39" s="3926"/>
      <c r="AY39" s="3926"/>
      <c r="BB39" s="3928"/>
      <c r="BC39" s="3928"/>
    </row>
    <row r="40" spans="1:55" ht="15.75" thickTop="1">
      <c r="A40" s="2931"/>
      <c r="B40" s="2931"/>
      <c r="C40" s="2931"/>
      <c r="D40" s="2932"/>
      <c r="E40" s="2931"/>
      <c r="H40" s="2932"/>
      <c r="J40" s="3017"/>
      <c r="K40" s="2855"/>
      <c r="O40" s="2932"/>
      <c r="Q40" s="3037"/>
      <c r="AI40" s="3038">
        <v>44926</v>
      </c>
      <c r="AL40" s="3038">
        <v>45107</v>
      </c>
      <c r="AO40" s="3038">
        <v>45291</v>
      </c>
      <c r="AS40" s="3038">
        <v>45657</v>
      </c>
      <c r="AW40" s="3038">
        <v>46022</v>
      </c>
      <c r="BA40" s="3038">
        <v>46387</v>
      </c>
    </row>
    <row r="41" spans="1:55" ht="15">
      <c r="A41" s="2931"/>
      <c r="B41" s="2931"/>
      <c r="C41" s="2931"/>
      <c r="D41" s="2932"/>
      <c r="E41" s="2931"/>
      <c r="H41" s="3002"/>
      <c r="J41" s="3039" t="s">
        <v>787</v>
      </c>
      <c r="K41" s="2855"/>
      <c r="O41" s="3002"/>
      <c r="Q41" s="3040" t="s">
        <v>787</v>
      </c>
      <c r="AH41" s="2871" t="s">
        <v>2579</v>
      </c>
      <c r="AI41" s="2958">
        <f>AI28</f>
        <v>2169057.2662500003</v>
      </c>
      <c r="AJ41" s="2869">
        <f>AL41/AI41</f>
        <v>1.0715490487421795</v>
      </c>
      <c r="AK41" s="2871" t="s">
        <v>2579</v>
      </c>
      <c r="AL41" s="2958">
        <f>AL28</f>
        <v>2324251.2503175</v>
      </c>
      <c r="AN41" s="2869">
        <f>AO41/AL41</f>
        <v>1.0667716039934581</v>
      </c>
      <c r="AO41" s="2983">
        <f>AP28</f>
        <v>2479445.2343850001</v>
      </c>
      <c r="AP41" s="2871" t="s">
        <v>2579</v>
      </c>
      <c r="AR41" s="2869">
        <f>AS41/AO41</f>
        <v>2.0337589298901242</v>
      </c>
      <c r="AS41" s="2983">
        <f>AT28</f>
        <v>5042593.8866040064</v>
      </c>
      <c r="AT41" s="2983"/>
      <c r="AU41" s="2871" t="s">
        <v>2579</v>
      </c>
      <c r="AV41" s="2869">
        <f>AW41/AS41</f>
        <v>1.129495222298351</v>
      </c>
      <c r="AW41" s="2983">
        <f>AX28</f>
        <v>5695585.7029100973</v>
      </c>
      <c r="AY41" s="2871" t="s">
        <v>2579</v>
      </c>
      <c r="AZ41" s="2869">
        <f>BA41/AW41</f>
        <v>1.1092959059453875</v>
      </c>
      <c r="BA41" s="2983">
        <f>BB28</f>
        <v>6318089.9021992534</v>
      </c>
    </row>
    <row r="42" spans="1:55" ht="15">
      <c r="A42" s="2931"/>
      <c r="B42" s="3015">
        <v>0.7</v>
      </c>
      <c r="C42" s="2931" t="s">
        <v>2587</v>
      </c>
      <c r="D42" s="2932"/>
      <c r="E42" s="2931"/>
      <c r="H42" s="3016"/>
      <c r="J42" s="3017">
        <f>J21*B42</f>
        <v>418402.10478530143</v>
      </c>
      <c r="K42" s="2855"/>
      <c r="O42" s="3016"/>
      <c r="Q42" s="3018">
        <f>Q29*B42</f>
        <v>0</v>
      </c>
      <c r="AH42" s="2871" t="s">
        <v>2594</v>
      </c>
      <c r="AI42" s="2958">
        <f>AI33</f>
        <v>5188051.7766899709</v>
      </c>
      <c r="AJ42" s="2869">
        <f>AL42/AI42</f>
        <v>1.0045092994179834</v>
      </c>
      <c r="AK42" s="2871" t="s">
        <v>2594</v>
      </c>
      <c r="AL42" s="2958">
        <f>AL33</f>
        <v>5211446.2555470662</v>
      </c>
      <c r="AN42" s="2869">
        <f>AO42/AL42</f>
        <v>1.0385473270113394</v>
      </c>
      <c r="AO42" s="2958">
        <f>AP33</f>
        <v>5412333.5785616599</v>
      </c>
      <c r="AP42" s="2871" t="s">
        <v>2594</v>
      </c>
      <c r="AR42" s="2869">
        <f>AS42/AO42</f>
        <v>1.2087145927583691</v>
      </c>
      <c r="AS42" s="2958">
        <f>AT33</f>
        <v>6541966.5772836031</v>
      </c>
      <c r="AT42" s="2983"/>
      <c r="AU42" s="2871" t="s">
        <v>2594</v>
      </c>
      <c r="AV42" s="2869">
        <f>AW42/AS42</f>
        <v>1.0852528052705332</v>
      </c>
      <c r="AW42" s="2958">
        <f>AX33</f>
        <v>7099687.5799830984</v>
      </c>
      <c r="AY42" s="2871" t="s">
        <v>2594</v>
      </c>
      <c r="AZ42" s="2869">
        <f>BA42/AW42</f>
        <v>1.0247460150195231</v>
      </c>
      <c r="BA42" s="2958">
        <f>BB33</f>
        <v>7275376.5554712825</v>
      </c>
    </row>
    <row r="43" spans="1:55" ht="15.75" thickBot="1">
      <c r="A43" s="2931"/>
      <c r="B43" s="3015">
        <v>0.3</v>
      </c>
      <c r="C43" s="2931" t="s">
        <v>2589</v>
      </c>
      <c r="D43" s="2932"/>
      <c r="E43" s="2931"/>
      <c r="H43" s="3016"/>
      <c r="J43" s="3017">
        <f>J21*B43</f>
        <v>179315.18776512917</v>
      </c>
      <c r="K43" s="2855"/>
      <c r="O43" s="3016"/>
      <c r="Q43" s="3018">
        <f>Q29*B43</f>
        <v>0</v>
      </c>
      <c r="Y43" s="2998">
        <f>1-Y34-Y38</f>
        <v>9.1800000000000048E-2</v>
      </c>
      <c r="AH43" s="2871" t="s">
        <v>2595</v>
      </c>
      <c r="AI43" s="2958">
        <f>AI34</f>
        <v>1642262.6819168702</v>
      </c>
      <c r="AJ43" s="2869">
        <f>AL43/AI43</f>
        <v>1.0045092994179832</v>
      </c>
      <c r="AK43" s="2871" t="s">
        <v>2595</v>
      </c>
      <c r="AL43" s="2958">
        <f>AL34</f>
        <v>1649668.1360726135</v>
      </c>
      <c r="AN43" s="2869">
        <f>AO43/AL43</f>
        <v>1.0385473270113397</v>
      </c>
      <c r="AO43" s="2958">
        <f>AP34</f>
        <v>1713258.4331739917</v>
      </c>
      <c r="AP43" s="2871" t="s">
        <v>2595</v>
      </c>
      <c r="AR43" s="2869">
        <f>AS43/AO43</f>
        <v>1.2087145927583691</v>
      </c>
      <c r="AS43" s="2958">
        <f>AT34</f>
        <v>2070840.4693437428</v>
      </c>
      <c r="AT43" s="2983"/>
      <c r="AU43" s="2871" t="s">
        <v>2595</v>
      </c>
      <c r="AV43" s="2869">
        <f>AW43/AS43</f>
        <v>1.0852528052705332</v>
      </c>
      <c r="AW43" s="2958">
        <f>AX34</f>
        <v>2247385.4286230444</v>
      </c>
      <c r="AY43" s="2871" t="s">
        <v>2595</v>
      </c>
      <c r="AZ43" s="2869">
        <f>BA43/AW43</f>
        <v>1.0247460150195231</v>
      </c>
      <c r="BA43" s="2958">
        <f>BB34</f>
        <v>2302999.2621944076</v>
      </c>
    </row>
    <row r="44" spans="1:55" ht="16.5" thickTop="1" thickBot="1">
      <c r="A44" s="2931"/>
      <c r="B44" s="2931"/>
      <c r="C44" s="2931"/>
      <c r="D44" s="2932"/>
      <c r="E44" s="2931"/>
      <c r="H44" s="2946"/>
      <c r="J44" s="3031">
        <f>SUM(J42:J43)</f>
        <v>597717.29255043063</v>
      </c>
      <c r="K44" s="2855"/>
      <c r="O44" s="2946"/>
      <c r="Q44" s="3032">
        <f>SUM(Q42:Q43)</f>
        <v>0</v>
      </c>
    </row>
    <row r="45" spans="1:55" ht="13.5" thickTop="1">
      <c r="AL45" s="2958">
        <f>(AL13+AL17+AL19+AL21)*Y34*Y35</f>
        <v>1468907.2406261803</v>
      </c>
      <c r="AX45" s="3041" t="s">
        <v>2596</v>
      </c>
      <c r="AY45" s="3042"/>
      <c r="AZ45" s="3042"/>
      <c r="BA45" s="3043"/>
    </row>
    <row r="46" spans="1:55">
      <c r="AL46" s="3044">
        <f>(AL11-AL30)*Y34*Y35</f>
        <v>2445609.5831120866</v>
      </c>
      <c r="AX46" s="3045" t="s">
        <v>2597</v>
      </c>
      <c r="AY46" s="2871">
        <v>407459</v>
      </c>
      <c r="AZ46" s="2871" t="s">
        <v>2148</v>
      </c>
      <c r="BA46" s="3046">
        <v>127045</v>
      </c>
    </row>
    <row r="47" spans="1:55" ht="13.5" thickBot="1">
      <c r="AL47" s="2958">
        <f>AL28</f>
        <v>2324251.2503175</v>
      </c>
      <c r="AX47" s="3020"/>
      <c r="AY47" s="3047">
        <v>407459</v>
      </c>
      <c r="AZ47" s="3047" t="s">
        <v>2149</v>
      </c>
      <c r="BA47" s="3048">
        <v>8413</v>
      </c>
    </row>
    <row r="48" spans="1:55">
      <c r="F48" s="3049"/>
      <c r="G48" s="3049"/>
      <c r="H48" s="3049"/>
      <c r="I48" s="3049"/>
      <c r="J48" s="3049"/>
      <c r="K48" s="3049"/>
      <c r="L48" s="3049"/>
      <c r="M48" s="3049"/>
      <c r="N48" s="3049"/>
      <c r="AL48" s="2958">
        <f>SUM(AL45:AL47)</f>
        <v>6238768.0740557667</v>
      </c>
    </row>
    <row r="49" spans="6:54">
      <c r="G49" s="1478"/>
      <c r="J49" s="2883"/>
      <c r="M49" s="2883"/>
      <c r="AL49" s="2958">
        <v>552503</v>
      </c>
      <c r="AY49" s="3922" t="s">
        <v>2598</v>
      </c>
      <c r="BA49" s="3922" t="s">
        <v>2599</v>
      </c>
    </row>
    <row r="50" spans="6:54" ht="13.5" thickBot="1">
      <c r="G50" s="1478"/>
      <c r="J50" s="2883"/>
      <c r="M50" s="2883"/>
      <c r="AK50" s="2871" t="s">
        <v>538</v>
      </c>
      <c r="AX50" s="2866"/>
      <c r="AY50" s="3923"/>
      <c r="AZ50" s="2866"/>
      <c r="BA50" s="3923"/>
      <c r="BB50" s="3050" t="s">
        <v>2600</v>
      </c>
    </row>
    <row r="51" spans="6:54" ht="13.5" thickBot="1">
      <c r="G51" s="1478"/>
      <c r="AK51" s="2871" t="s">
        <v>2601</v>
      </c>
      <c r="AL51" s="3051">
        <f>AL15*Y34*Y35</f>
        <v>1339394.8806660823</v>
      </c>
      <c r="AM51" s="2871" t="s">
        <v>2602</v>
      </c>
      <c r="AX51" s="3052" t="s">
        <v>2148</v>
      </c>
      <c r="AY51" s="2981">
        <v>8271000</v>
      </c>
      <c r="AZ51" s="2981"/>
      <c r="BA51" s="3053">
        <f>AX36</f>
        <v>12795273.282893196</v>
      </c>
      <c r="BB51" s="3053">
        <f>BA51-AY51</f>
        <v>4524273.2828931957</v>
      </c>
    </row>
    <row r="52" spans="6:54">
      <c r="F52" s="3049"/>
      <c r="G52" s="3054"/>
      <c r="H52" s="3049"/>
      <c r="I52" s="3049"/>
      <c r="J52" s="3049"/>
      <c r="K52" s="3049"/>
      <c r="L52" s="3049"/>
      <c r="M52" s="3049"/>
      <c r="N52" s="3049"/>
      <c r="AK52" s="2871" t="s">
        <v>2579</v>
      </c>
      <c r="AL52" s="2958">
        <f>AL41</f>
        <v>2324251.2503175</v>
      </c>
      <c r="AX52" s="3052" t="s">
        <v>2149</v>
      </c>
      <c r="AY52" s="2981">
        <v>1746000</v>
      </c>
      <c r="AZ52" s="2981"/>
      <c r="BA52" s="3053">
        <f>AX37</f>
        <v>2247385.4286230444</v>
      </c>
      <c r="BB52" s="3053">
        <f>BA52-AY52</f>
        <v>501385.4286230444</v>
      </c>
    </row>
    <row r="53" spans="6:54">
      <c r="G53" s="1478"/>
      <c r="J53" s="2883"/>
      <c r="M53" s="2883"/>
      <c r="AK53" s="2871" t="s">
        <v>2594</v>
      </c>
      <c r="AL53" s="3055">
        <f>(AL13+AL17+AL19+AL21+AL11-AL30+AL25)*Y34*Y35</f>
        <v>3872051.3748809835</v>
      </c>
    </row>
    <row r="54" spans="6:54">
      <c r="G54" s="1478"/>
      <c r="J54" s="2883"/>
      <c r="M54" s="2883"/>
      <c r="AL54" s="2958">
        <f>SUM(AL52:AL53)</f>
        <v>6196302.6251984835</v>
      </c>
    </row>
    <row r="55" spans="6:54" ht="13.5" thickBot="1">
      <c r="AK55" s="2871" t="s">
        <v>2603</v>
      </c>
      <c r="AL55" s="2958">
        <v>552503</v>
      </c>
      <c r="BA55" s="2871" t="s">
        <v>2600</v>
      </c>
    </row>
    <row r="56" spans="6:54" ht="13.5" thickBot="1">
      <c r="AL56" s="3056">
        <f>SUM(AL54:AL55)</f>
        <v>6748805.6251984835</v>
      </c>
      <c r="AM56" s="2871" t="s">
        <v>2602</v>
      </c>
      <c r="BA56" s="3057" t="s">
        <v>2604</v>
      </c>
      <c r="BB56" s="3057">
        <v>2025</v>
      </c>
    </row>
    <row r="57" spans="6:54">
      <c r="AK57" s="2966" t="s">
        <v>538</v>
      </c>
      <c r="AL57" s="3044">
        <f>AL51+AL56</f>
        <v>8088200.5058645662</v>
      </c>
      <c r="AZ57" s="3052" t="s">
        <v>2148</v>
      </c>
      <c r="BA57" s="3058">
        <f>(AT36-AL36)*1.049862/1000</f>
        <v>4250.7473628359885</v>
      </c>
      <c r="BB57" s="3058">
        <f>(AX36-AT36)*1.049862/1000</f>
        <v>1271.081381586843</v>
      </c>
    </row>
    <row r="58" spans="6:54">
      <c r="AK58" s="2966"/>
      <c r="AL58" s="3044"/>
      <c r="AZ58" s="3052" t="s">
        <v>2149</v>
      </c>
      <c r="BA58" s="3058">
        <f>(AT37-AL37)*1.049862/1000</f>
        <v>442.17282815269436</v>
      </c>
      <c r="BB58" s="3058">
        <f>(AX37-AT37)*1.049862/1000</f>
        <v>185.34784403888614</v>
      </c>
    </row>
    <row r="59" spans="6:54" ht="13.5" thickBot="1">
      <c r="AK59" s="2871" t="s">
        <v>2605</v>
      </c>
      <c r="AL59" s="3059"/>
    </row>
    <row r="60" spans="6:54" ht="13.5" thickBot="1">
      <c r="AK60" s="2871" t="s">
        <v>2601</v>
      </c>
      <c r="AL60" s="3051">
        <f>AL15*Y38*Y39</f>
        <v>423981.5490568981</v>
      </c>
      <c r="AM60" s="2871" t="s">
        <v>2606</v>
      </c>
    </row>
    <row r="61" spans="6:54">
      <c r="AK61" s="2871" t="s">
        <v>2594</v>
      </c>
      <c r="AL61" s="3059">
        <f>(AL11+AL13+AL17+AL19+AL21+AL25-AL30)*Y38*Y39</f>
        <v>1225686.5870157152</v>
      </c>
    </row>
    <row r="62" spans="6:54" ht="13.5" thickBot="1">
      <c r="AK62" s="2871" t="s">
        <v>2603</v>
      </c>
      <c r="AL62" s="3060">
        <v>55582</v>
      </c>
    </row>
    <row r="63" spans="6:54" ht="13.5" thickBot="1">
      <c r="AK63" s="2966" t="s">
        <v>2605</v>
      </c>
      <c r="AL63" s="3051">
        <f>SUM(AL61:AL62)</f>
        <v>1281268.5870157152</v>
      </c>
      <c r="AM63" s="2871" t="s">
        <v>2606</v>
      </c>
    </row>
    <row r="65" spans="37:38">
      <c r="AK65" s="2871" t="s">
        <v>2580</v>
      </c>
      <c r="AL65" s="2958">
        <f>AL29</f>
        <v>1159716.9571825</v>
      </c>
    </row>
    <row r="66" spans="37:38">
      <c r="AK66" s="2871" t="s">
        <v>676</v>
      </c>
      <c r="AL66" s="2958">
        <f>AL32*Y43</f>
        <v>1019303.2703906472</v>
      </c>
    </row>
    <row r="67" spans="37:38">
      <c r="AK67" s="2871" t="s">
        <v>2607</v>
      </c>
      <c r="AL67" s="2958">
        <f>AL32*Y34*AA35</f>
        <v>2573454.7132578371</v>
      </c>
    </row>
    <row r="68" spans="37:38">
      <c r="AK68" s="2871" t="s">
        <v>2608</v>
      </c>
      <c r="AL68" s="2958">
        <f>AL32*Y38*AA39</f>
        <v>649649.08868223499</v>
      </c>
    </row>
    <row r="70" spans="37:38">
      <c r="AK70" s="2871" t="s">
        <v>24</v>
      </c>
      <c r="AL70" s="3044">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5546875" defaultRowHeight="15"/>
  <cols>
    <col min="1" max="1" width="41.42578125" style="2459" customWidth="1"/>
    <col min="2" max="2" width="8.28515625" style="2459" customWidth="1"/>
    <col min="3" max="3" width="15.7109375" style="2459" customWidth="1"/>
    <col min="4" max="4" width="6.7109375" style="2476" bestFit="1" customWidth="1"/>
    <col min="5" max="5" width="11.5703125" style="2459" customWidth="1"/>
    <col min="6" max="6" width="5.85546875" style="2476" customWidth="1"/>
    <col min="7" max="7" width="11.5703125" style="2459" customWidth="1"/>
    <col min="8" max="8" width="5.85546875" style="2476" customWidth="1"/>
    <col min="9" max="9" width="11.5703125" style="2459" customWidth="1"/>
    <col min="10" max="10" width="5.85546875" style="2476" customWidth="1"/>
    <col min="11" max="11" width="11.5703125" style="2459" customWidth="1"/>
    <col min="12" max="12" width="5.85546875" style="2476" customWidth="1"/>
    <col min="13" max="13" width="11.5703125" style="2459" customWidth="1"/>
    <col min="14" max="14" width="6.7109375" style="2476" bestFit="1" customWidth="1"/>
    <col min="15" max="15" width="11.5703125" style="2459" customWidth="1"/>
    <col min="16" max="16" width="6.7109375" style="2476" bestFit="1" customWidth="1"/>
    <col min="17" max="17" width="11.5703125" style="2459" customWidth="1"/>
    <col min="18" max="18" width="1.85546875" style="2459" customWidth="1"/>
    <col min="19" max="19" width="14.28515625" style="2459" bestFit="1" customWidth="1"/>
    <col min="20" max="20" width="8.85546875" style="2459"/>
    <col min="21" max="21" width="1.7109375" style="2142" customWidth="1"/>
    <col min="22" max="22" width="8.85546875" style="2141"/>
    <col min="23" max="23" width="11.140625" style="3062" bestFit="1" customWidth="1"/>
    <col min="24" max="24" width="9" style="3062" bestFit="1" customWidth="1"/>
    <col min="25" max="25" width="42.5703125" style="3062" bestFit="1" customWidth="1"/>
    <col min="26" max="26" width="24" style="3062" bestFit="1" customWidth="1"/>
    <col min="27" max="27" width="20.28515625" style="3062" bestFit="1" customWidth="1"/>
    <col min="28" max="16384" width="8.85546875" style="2141"/>
  </cols>
  <sheetData>
    <row r="1" spans="1:27">
      <c r="A1" s="3929" t="s">
        <v>1204</v>
      </c>
      <c r="B1" s="3929"/>
      <c r="C1" s="3929"/>
      <c r="D1" s="3930"/>
      <c r="E1" s="3929"/>
      <c r="F1" s="3929"/>
      <c r="G1" s="3929"/>
      <c r="H1" s="3929"/>
      <c r="I1" s="3929"/>
      <c r="J1" s="3929"/>
      <c r="K1" s="3929"/>
      <c r="L1" s="3930"/>
      <c r="M1" s="3929"/>
      <c r="N1" s="3929"/>
      <c r="O1" s="3929"/>
      <c r="P1" s="3929"/>
      <c r="Q1" s="3929"/>
      <c r="R1" s="3929"/>
      <c r="S1" s="3929"/>
      <c r="T1" s="3061"/>
    </row>
    <row r="2" spans="1:27">
      <c r="A2" s="3929" t="s">
        <v>2530</v>
      </c>
      <c r="B2" s="3929"/>
      <c r="C2" s="3929"/>
      <c r="D2" s="3930"/>
      <c r="E2" s="3929"/>
      <c r="F2" s="3929"/>
      <c r="G2" s="3929"/>
      <c r="H2" s="3929"/>
      <c r="I2" s="3929"/>
      <c r="J2" s="3929"/>
      <c r="K2" s="3929"/>
      <c r="L2" s="3930"/>
      <c r="M2" s="3929"/>
      <c r="N2" s="3929"/>
      <c r="O2" s="3929"/>
      <c r="P2" s="3929"/>
      <c r="Q2" s="3929"/>
      <c r="R2" s="3929"/>
      <c r="S2" s="3929"/>
      <c r="T2" s="3061"/>
      <c r="W2" s="3062" t="s">
        <v>2609</v>
      </c>
      <c r="X2" s="3062" t="s">
        <v>2610</v>
      </c>
      <c r="Y2" s="3062" t="s">
        <v>2611</v>
      </c>
      <c r="Z2" s="3063" t="s">
        <v>2612</v>
      </c>
      <c r="AA2" s="3063" t="s">
        <v>2613</v>
      </c>
    </row>
    <row r="3" spans="1:27">
      <c r="A3" s="3929" t="s">
        <v>2614</v>
      </c>
      <c r="B3" s="3929"/>
      <c r="C3" s="3929"/>
      <c r="D3" s="3930"/>
      <c r="E3" s="3929"/>
      <c r="F3" s="3929"/>
      <c r="G3" s="3929"/>
      <c r="H3" s="3929"/>
      <c r="I3" s="3929"/>
      <c r="J3" s="3929"/>
      <c r="K3" s="3929"/>
      <c r="L3" s="3930"/>
      <c r="M3" s="3929"/>
      <c r="N3" s="3929"/>
      <c r="O3" s="3929"/>
      <c r="P3" s="3929"/>
      <c r="Q3" s="3929"/>
      <c r="R3" s="3929"/>
      <c r="S3" s="3929"/>
      <c r="T3" s="3061"/>
      <c r="W3" s="3062" t="s">
        <v>682</v>
      </c>
      <c r="X3" s="3062" t="s">
        <v>678</v>
      </c>
      <c r="Y3" s="3062" t="s">
        <v>2615</v>
      </c>
      <c r="Z3" s="3064">
        <v>539116.37</v>
      </c>
      <c r="AA3" s="3064">
        <v>564158.51</v>
      </c>
    </row>
    <row r="4" spans="1:27">
      <c r="A4" s="3929" t="s">
        <v>2616</v>
      </c>
      <c r="B4" s="3929"/>
      <c r="C4" s="3929"/>
      <c r="D4" s="3930"/>
      <c r="E4" s="3929"/>
      <c r="F4" s="3929"/>
      <c r="G4" s="3929"/>
      <c r="H4" s="3929"/>
      <c r="I4" s="3929"/>
      <c r="J4" s="3929"/>
      <c r="K4" s="3929"/>
      <c r="L4" s="3930"/>
      <c r="M4" s="3929"/>
      <c r="N4" s="3929"/>
      <c r="O4" s="3929"/>
      <c r="P4" s="3929"/>
      <c r="Q4" s="3929"/>
      <c r="R4" s="3929"/>
      <c r="S4" s="3929"/>
      <c r="T4" s="3061"/>
      <c r="Y4" s="3062" t="s">
        <v>2617</v>
      </c>
      <c r="Z4" s="3064">
        <v>1713800.9500000002</v>
      </c>
      <c r="AA4" s="3064">
        <f>1033084.95+56343.82</f>
        <v>1089428.77</v>
      </c>
    </row>
    <row r="5" spans="1:27">
      <c r="A5" s="3065"/>
      <c r="B5" s="3065"/>
      <c r="C5" s="3065"/>
      <c r="D5" s="3066"/>
      <c r="E5" s="3065"/>
      <c r="F5" s="3066"/>
      <c r="G5" s="3065"/>
      <c r="H5" s="3066"/>
      <c r="I5" s="3065"/>
      <c r="J5" s="3066"/>
      <c r="K5" s="3065"/>
      <c r="L5" s="3066"/>
      <c r="M5" s="3065"/>
      <c r="N5" s="3066"/>
      <c r="O5" s="3065"/>
      <c r="P5" s="3066"/>
      <c r="Q5" s="3065"/>
      <c r="R5" s="3065"/>
      <c r="S5" s="3065"/>
      <c r="T5" s="3061"/>
      <c r="Y5" s="3062" t="s">
        <v>2618</v>
      </c>
      <c r="Z5" s="3064">
        <v>1108713.3800000001</v>
      </c>
      <c r="AA5" s="3064">
        <v>1030270.7199999999</v>
      </c>
    </row>
    <row r="6" spans="1:27">
      <c r="C6" s="3067" t="s">
        <v>723</v>
      </c>
      <c r="D6" s="3068"/>
      <c r="E6" s="3067" t="s">
        <v>721</v>
      </c>
      <c r="F6" s="3068"/>
      <c r="G6" s="3067" t="s">
        <v>2619</v>
      </c>
      <c r="H6" s="3068"/>
      <c r="I6" s="3067" t="s">
        <v>2620</v>
      </c>
      <c r="J6" s="3068"/>
      <c r="K6" s="3067" t="s">
        <v>2621</v>
      </c>
      <c r="L6" s="3068"/>
      <c r="M6" s="3067" t="s">
        <v>968</v>
      </c>
      <c r="N6" s="3068"/>
      <c r="O6" s="3067" t="s">
        <v>2622</v>
      </c>
      <c r="P6" s="3068"/>
      <c r="Q6" s="3067" t="s">
        <v>973</v>
      </c>
      <c r="R6" s="3067"/>
      <c r="S6" s="3067" t="s">
        <v>2623</v>
      </c>
      <c r="Y6" s="3062" t="s">
        <v>2624</v>
      </c>
      <c r="Z6" s="3064">
        <v>12450520.269999998</v>
      </c>
      <c r="AA6" s="3064">
        <f>9741487.94000001+3188949.53</f>
        <v>12930437.47000001</v>
      </c>
    </row>
    <row r="7" spans="1:27">
      <c r="A7" s="2459" t="s">
        <v>2625</v>
      </c>
      <c r="B7" s="3069" t="s">
        <v>2626</v>
      </c>
      <c r="C7" s="3070">
        <f>'G-3.13 PF IS-IT'!AA13</f>
        <v>169177.84000001103</v>
      </c>
      <c r="D7" s="3069" t="s">
        <v>2626</v>
      </c>
      <c r="E7" s="3070">
        <f>'G-3.13 PF IS-IT'!AA18</f>
        <v>-27774.5</v>
      </c>
      <c r="F7" s="3069"/>
      <c r="G7" s="3071">
        <f>0</f>
        <v>0</v>
      </c>
      <c r="H7" s="3069" t="s">
        <v>2626</v>
      </c>
      <c r="I7" s="3071">
        <v>0</v>
      </c>
      <c r="J7" s="3069" t="s">
        <v>2626</v>
      </c>
      <c r="K7" s="3070">
        <f>'G-3.13 PF IS-IT'!AA28</f>
        <v>1831.1800000001676</v>
      </c>
      <c r="L7" s="3069" t="s">
        <v>2626</v>
      </c>
      <c r="M7" s="3070">
        <f>'G-3.13 PF IS-IT'!AA33</f>
        <v>35195.94</v>
      </c>
      <c r="N7" s="3069"/>
      <c r="O7" s="3071">
        <v>0</v>
      </c>
      <c r="P7" s="3069"/>
      <c r="Q7" s="3071">
        <v>0</v>
      </c>
      <c r="R7" s="3072"/>
      <c r="S7" s="3070">
        <f>SUM(C7,E7,I7,G7,K7,M7,O7,Q7)</f>
        <v>178430.4600000112</v>
      </c>
      <c r="Y7" s="3062" t="s">
        <v>2627</v>
      </c>
      <c r="Z7" s="3064">
        <v>1380537.4199999997</v>
      </c>
      <c r="AA7" s="3064">
        <f>1428962.77+72960</f>
        <v>1501922.77</v>
      </c>
    </row>
    <row r="8" spans="1:27">
      <c r="A8" s="2459" t="s">
        <v>2628</v>
      </c>
      <c r="B8" s="3069" t="s">
        <v>2629</v>
      </c>
      <c r="C8" s="3073"/>
      <c r="D8" s="3069"/>
      <c r="E8" s="3074"/>
      <c r="F8" s="3069"/>
      <c r="G8" s="3075"/>
      <c r="H8" s="3069"/>
      <c r="I8" s="3075"/>
      <c r="J8" s="3069"/>
      <c r="K8" s="3075"/>
      <c r="L8" s="3069"/>
      <c r="M8" s="3075"/>
      <c r="N8" s="3069"/>
      <c r="O8" s="3074">
        <v>0</v>
      </c>
      <c r="P8" s="3069"/>
      <c r="Q8" s="3074">
        <v>0</v>
      </c>
      <c r="R8" s="3076"/>
      <c r="S8" s="3075">
        <f>SUM(C8,E8,G8,I8,K8,M8,O8,Q8)</f>
        <v>0</v>
      </c>
      <c r="Y8" s="3062" t="s">
        <v>2630</v>
      </c>
      <c r="Z8" s="3064">
        <v>2130866.8699999996</v>
      </c>
      <c r="AA8" s="3064">
        <v>2376514.8600000008</v>
      </c>
    </row>
    <row r="9" spans="1:27">
      <c r="A9" s="2459" t="s">
        <v>2631</v>
      </c>
      <c r="B9" s="3077"/>
      <c r="C9" s="3078">
        <f>SUM(C7:C8)</f>
        <v>169177.84000001103</v>
      </c>
      <c r="D9" s="3079"/>
      <c r="E9" s="3078">
        <f>SUM(E7:E8)</f>
        <v>-27774.5</v>
      </c>
      <c r="F9" s="3079"/>
      <c r="G9" s="3078">
        <f>SUM(G7:G8)</f>
        <v>0</v>
      </c>
      <c r="H9" s="3079"/>
      <c r="I9" s="3078">
        <f>SUM(I7:I8)</f>
        <v>0</v>
      </c>
      <c r="J9" s="3079"/>
      <c r="K9" s="3078">
        <f>SUM(K7:K8)</f>
        <v>1831.1800000001676</v>
      </c>
      <c r="L9" s="3079"/>
      <c r="M9" s="3078">
        <f>SUM(M7:M8)</f>
        <v>35195.94</v>
      </c>
      <c r="N9" s="3079"/>
      <c r="O9" s="3078">
        <f>SUM(O7:O8)</f>
        <v>0</v>
      </c>
      <c r="P9" s="3079"/>
      <c r="Q9" s="3078">
        <f>SUM(Q7:Q8)</f>
        <v>0</v>
      </c>
      <c r="R9" s="2895"/>
      <c r="S9" s="3080">
        <f>SUM(S7:S8)</f>
        <v>178430.4600000112</v>
      </c>
      <c r="Y9" s="3062" t="s">
        <v>24</v>
      </c>
      <c r="Z9" s="3081">
        <f>SUM(Z3:Z8)</f>
        <v>19323555.259999998</v>
      </c>
      <c r="AA9" s="3081">
        <f>SUM(AA3:AA8)</f>
        <v>19492733.100000009</v>
      </c>
    </row>
    <row r="10" spans="1:27">
      <c r="E10" s="3082"/>
      <c r="F10" s="3083"/>
      <c r="H10" s="3083"/>
      <c r="J10" s="3083"/>
      <c r="L10" s="3083"/>
      <c r="O10" s="3082"/>
      <c r="Q10" s="3082"/>
      <c r="R10" s="3082"/>
      <c r="Z10" s="3064"/>
      <c r="AA10" s="3064"/>
    </row>
    <row r="11" spans="1:27">
      <c r="A11" s="2931"/>
      <c r="B11" s="2931"/>
      <c r="C11" s="2931"/>
      <c r="D11" s="2930"/>
      <c r="E11" s="3084"/>
      <c r="F11" s="3085"/>
      <c r="G11" s="2931"/>
      <c r="H11" s="3085"/>
      <c r="I11" s="2931"/>
      <c r="J11" s="3085"/>
      <c r="K11" s="2931"/>
      <c r="L11" s="3085"/>
      <c r="M11" s="2931"/>
      <c r="N11" s="2930"/>
      <c r="O11" s="3084"/>
      <c r="P11" s="2930"/>
      <c r="Q11" s="3084"/>
      <c r="R11" s="3084"/>
      <c r="W11" s="3086"/>
      <c r="X11" s="3062" t="s">
        <v>2632</v>
      </c>
      <c r="Z11" s="3087">
        <f>SUM(Z3:Z8)</f>
        <v>19323555.259999998</v>
      </c>
      <c r="AA11" s="3087">
        <f>SUM(AA3:AA8)</f>
        <v>19492733.100000009</v>
      </c>
    </row>
    <row r="12" spans="1:27" ht="15.75" thickBot="1">
      <c r="A12" s="3088" t="s">
        <v>2470</v>
      </c>
      <c r="B12" s="2931"/>
      <c r="C12" s="2931"/>
      <c r="D12" s="2930"/>
      <c r="E12" s="3084"/>
      <c r="F12" s="3085"/>
      <c r="G12" s="2931"/>
      <c r="H12" s="3085"/>
      <c r="I12" s="2931"/>
      <c r="J12" s="3085"/>
      <c r="K12" s="2931"/>
      <c r="L12" s="3085"/>
      <c r="M12" s="2931"/>
      <c r="N12" s="2930"/>
      <c r="O12" s="3084"/>
      <c r="P12" s="2930"/>
      <c r="Q12" s="3084"/>
      <c r="R12" s="3084"/>
      <c r="Z12" s="3089"/>
      <c r="AA12" s="3089"/>
    </row>
    <row r="13" spans="1:27" ht="15.75" thickBot="1">
      <c r="A13" s="2476" t="s">
        <v>2633</v>
      </c>
      <c r="B13" s="3090">
        <v>0.77144000000000001</v>
      </c>
      <c r="C13" s="2931"/>
      <c r="E13" s="3084"/>
      <c r="F13" s="3085"/>
      <c r="G13" s="2931"/>
      <c r="H13" s="3085"/>
      <c r="I13" s="2931"/>
      <c r="J13" s="3085"/>
      <c r="K13" s="2931"/>
      <c r="L13" s="3085"/>
      <c r="M13" s="2931"/>
      <c r="O13" s="3084"/>
      <c r="Q13" s="3084"/>
      <c r="R13" s="3084"/>
      <c r="W13" s="3091" t="s">
        <v>682</v>
      </c>
      <c r="X13" s="3092" t="s">
        <v>678</v>
      </c>
      <c r="Y13" s="3063" t="s">
        <v>19</v>
      </c>
      <c r="Z13" s="3093"/>
      <c r="AA13" s="3094">
        <f>AA11-Z11</f>
        <v>169177.84000001103</v>
      </c>
    </row>
    <row r="14" spans="1:27">
      <c r="A14" s="2476" t="s">
        <v>2634</v>
      </c>
      <c r="B14" s="3090">
        <v>0.70111999999999997</v>
      </c>
      <c r="C14" s="2931"/>
      <c r="D14" s="2943"/>
      <c r="E14" s="3084"/>
      <c r="F14" s="3085"/>
      <c r="G14" s="2931"/>
      <c r="H14" s="3085"/>
      <c r="I14" s="2931"/>
      <c r="J14" s="3085"/>
      <c r="K14" s="2931"/>
      <c r="L14" s="3085"/>
      <c r="M14" s="2931"/>
      <c r="N14" s="2943"/>
      <c r="O14" s="3084"/>
      <c r="P14" s="2943"/>
      <c r="Q14" s="3084"/>
      <c r="R14" s="3084"/>
      <c r="W14" s="3095"/>
      <c r="Z14" s="3089"/>
      <c r="AA14" s="3089"/>
    </row>
    <row r="15" spans="1:27" ht="15.75" thickBot="1">
      <c r="A15" s="2476" t="s">
        <v>1499</v>
      </c>
      <c r="B15" s="3090">
        <v>0.66942999999999997</v>
      </c>
      <c r="C15" s="3096">
        <f>ROUND((C9)*$B$14*$B$15,0)</f>
        <v>79404</v>
      </c>
      <c r="D15" s="2943"/>
      <c r="E15" s="3096">
        <f>ROUND((E9)*$B$15*$B$13,0)</f>
        <v>-14343</v>
      </c>
      <c r="F15" s="3097"/>
      <c r="G15" s="3096">
        <f>ROUND((G9)*$B$13,0)</f>
        <v>0</v>
      </c>
      <c r="H15" s="3097"/>
      <c r="I15" s="3096">
        <v>0</v>
      </c>
      <c r="J15" s="3097"/>
      <c r="K15" s="3096">
        <f>ROUND((K9)*$B$15,0)</f>
        <v>1226</v>
      </c>
      <c r="L15" s="3097"/>
      <c r="M15" s="3096">
        <f>M9</f>
        <v>35195.94</v>
      </c>
      <c r="N15" s="2943"/>
      <c r="O15" s="3096">
        <v>0</v>
      </c>
      <c r="P15" s="2943"/>
      <c r="Q15" s="3096">
        <v>0</v>
      </c>
      <c r="R15" s="3098"/>
      <c r="S15" s="3099">
        <f>SUM(C15,E15,G15,I15,K15,M15,O15,Q15)</f>
        <v>101482.94</v>
      </c>
      <c r="W15" s="3095"/>
      <c r="X15" s="3062" t="s">
        <v>677</v>
      </c>
      <c r="Y15" s="3062" t="s">
        <v>2624</v>
      </c>
      <c r="Z15" s="3064">
        <v>76416.5</v>
      </c>
      <c r="AA15" s="3064">
        <v>48642</v>
      </c>
    </row>
    <row r="16" spans="1:27" ht="15.75" thickTop="1">
      <c r="A16" s="2930"/>
      <c r="B16" s="3100"/>
      <c r="C16" s="2931"/>
      <c r="D16" s="2943"/>
      <c r="E16" s="2931"/>
      <c r="F16" s="3085"/>
      <c r="G16" s="2931"/>
      <c r="H16" s="3085"/>
      <c r="I16" s="2931"/>
      <c r="J16" s="3085"/>
      <c r="K16" s="2931"/>
      <c r="L16" s="3085"/>
      <c r="M16" s="2931"/>
      <c r="N16" s="2943"/>
      <c r="O16" s="2931"/>
      <c r="P16" s="2943"/>
      <c r="Q16" s="2931"/>
      <c r="R16" s="3084"/>
      <c r="S16" s="2931"/>
      <c r="W16" s="3095"/>
      <c r="X16" s="3062" t="s">
        <v>2635</v>
      </c>
      <c r="Z16" s="3087">
        <f>SUM(Z15:Z15)</f>
        <v>76416.5</v>
      </c>
      <c r="AA16" s="3087">
        <f>SUM(AA15:AA15)</f>
        <v>48642</v>
      </c>
    </row>
    <row r="17" spans="1:27" ht="15.75" thickBot="1">
      <c r="A17" s="3088" t="s">
        <v>2476</v>
      </c>
      <c r="B17" s="3100"/>
      <c r="C17" s="2931"/>
      <c r="D17" s="2943"/>
      <c r="E17" s="2931"/>
      <c r="F17" s="3085"/>
      <c r="G17" s="2931"/>
      <c r="H17" s="3085"/>
      <c r="I17" s="2931"/>
      <c r="J17" s="3085"/>
      <c r="K17" s="2931"/>
      <c r="L17" s="3085"/>
      <c r="M17" s="2931"/>
      <c r="N17" s="2943"/>
      <c r="O17" s="2931"/>
      <c r="P17" s="2943"/>
      <c r="Q17" s="2931"/>
      <c r="R17" s="3084"/>
      <c r="S17" s="2931"/>
      <c r="W17" s="3095"/>
      <c r="Z17" s="3089"/>
      <c r="AA17" s="3089"/>
    </row>
    <row r="18" spans="1:27" ht="15.75" thickBot="1">
      <c r="A18" s="2476" t="s">
        <v>2633</v>
      </c>
      <c r="B18" s="3090">
        <v>0.22856000000000001</v>
      </c>
      <c r="C18" s="2931"/>
      <c r="E18" s="2931"/>
      <c r="F18" s="3085"/>
      <c r="G18" s="2931"/>
      <c r="H18" s="3085"/>
      <c r="I18" s="2931"/>
      <c r="J18" s="3085"/>
      <c r="K18" s="2931"/>
      <c r="L18" s="3085"/>
      <c r="M18" s="2931"/>
      <c r="O18" s="2931"/>
      <c r="Q18" s="2931"/>
      <c r="R18" s="3084"/>
      <c r="S18" s="2931"/>
      <c r="W18" s="3091" t="s">
        <v>682</v>
      </c>
      <c r="X18" s="3092" t="s">
        <v>677</v>
      </c>
      <c r="Y18" s="3063" t="s">
        <v>19</v>
      </c>
      <c r="Z18" s="3093"/>
      <c r="AA18" s="3094">
        <f>AA16-Z16</f>
        <v>-27774.5</v>
      </c>
    </row>
    <row r="19" spans="1:27">
      <c r="A19" s="2476" t="s">
        <v>2634</v>
      </c>
      <c r="B19" s="3090">
        <v>0.20707999999999999</v>
      </c>
      <c r="C19" s="2931"/>
      <c r="D19" s="2943"/>
      <c r="E19" s="2931"/>
      <c r="F19" s="3085"/>
      <c r="G19" s="2931"/>
      <c r="H19" s="3085"/>
      <c r="I19" s="2931"/>
      <c r="J19" s="3085"/>
      <c r="K19" s="2931"/>
      <c r="L19" s="3085"/>
      <c r="M19" s="2931"/>
      <c r="N19" s="2943"/>
      <c r="O19" s="2931"/>
      <c r="P19" s="2943"/>
      <c r="Q19" s="2931"/>
      <c r="R19" s="3084"/>
      <c r="S19" s="2931"/>
      <c r="W19" s="3095"/>
      <c r="Z19" s="3089"/>
      <c r="AA19" s="3089"/>
    </row>
    <row r="20" spans="1:27" ht="15.75" thickBot="1">
      <c r="A20" s="2476" t="s">
        <v>1499</v>
      </c>
      <c r="B20" s="3090">
        <v>0.71745999999999999</v>
      </c>
      <c r="C20" s="3096">
        <f>ROUND((C9)*$B$19*$B$20,0)</f>
        <v>25135</v>
      </c>
      <c r="D20" s="2943"/>
      <c r="E20" s="3096">
        <f>ROUND((E9)*$B$20*$B$18,0)</f>
        <v>-4555</v>
      </c>
      <c r="F20" s="3097"/>
      <c r="G20" s="3096">
        <f>ROUND((G9)*$B$18,0)</f>
        <v>0</v>
      </c>
      <c r="H20" s="3097"/>
      <c r="I20" s="3096">
        <v>0</v>
      </c>
      <c r="J20" s="3097"/>
      <c r="K20" s="3096">
        <v>0</v>
      </c>
      <c r="L20" s="3097"/>
      <c r="M20" s="3096">
        <v>0</v>
      </c>
      <c r="N20" s="2943"/>
      <c r="O20" s="3096">
        <f>ROUND((O9)*B20,0)</f>
        <v>0</v>
      </c>
      <c r="P20" s="2943"/>
      <c r="Q20" s="3096">
        <v>0</v>
      </c>
      <c r="R20" s="3098"/>
      <c r="S20" s="3099">
        <f>SUM(C20,E20,G20,I20,K20,M20,O20,Q20)</f>
        <v>20580</v>
      </c>
      <c r="W20" s="3062" t="s">
        <v>2268</v>
      </c>
      <c r="Z20" s="3101">
        <f>SUM(Z16,Z11)</f>
        <v>19399971.759999998</v>
      </c>
      <c r="AA20" s="3101">
        <f>SUM(AA16,AA11)</f>
        <v>19541375.100000009</v>
      </c>
    </row>
    <row r="21" spans="1:27" ht="15.75" thickTop="1">
      <c r="A21" s="2930"/>
      <c r="B21" s="3100"/>
      <c r="C21" s="2931"/>
      <c r="D21" s="2943"/>
      <c r="E21" s="2931"/>
      <c r="F21" s="3085"/>
      <c r="G21" s="2931"/>
      <c r="H21" s="3085"/>
      <c r="I21" s="2931"/>
      <c r="J21" s="3085"/>
      <c r="K21" s="2931"/>
      <c r="L21" s="3085"/>
      <c r="M21" s="2931"/>
      <c r="N21" s="2943"/>
      <c r="O21" s="2931"/>
      <c r="P21" s="2943"/>
      <c r="Q21" s="2931"/>
      <c r="R21" s="3084"/>
      <c r="S21" s="2931"/>
      <c r="Z21" s="3101"/>
      <c r="AA21" s="3101"/>
    </row>
    <row r="22" spans="1:27">
      <c r="A22" s="3088" t="s">
        <v>2402</v>
      </c>
      <c r="B22" s="3100"/>
      <c r="C22" s="2931"/>
      <c r="D22" s="2943"/>
      <c r="E22" s="2931"/>
      <c r="F22" s="3085"/>
      <c r="G22" s="2931"/>
      <c r="H22" s="3085"/>
      <c r="I22" s="2931"/>
      <c r="J22" s="3085"/>
      <c r="K22" s="2931"/>
      <c r="L22" s="3085"/>
      <c r="M22" s="2931"/>
      <c r="N22" s="2943"/>
      <c r="O22" s="2931"/>
      <c r="P22" s="2943"/>
      <c r="Q22" s="2931"/>
      <c r="R22" s="3084"/>
      <c r="S22" s="2931"/>
      <c r="W22" s="3062" t="s">
        <v>681</v>
      </c>
      <c r="X22" s="3062" t="s">
        <v>677</v>
      </c>
      <c r="Y22" s="3062" t="s">
        <v>2624</v>
      </c>
      <c r="Z22" s="3064">
        <v>1171290.7099999997</v>
      </c>
      <c r="AA22" s="3064">
        <f>1019925.16+157872.83</f>
        <v>1177797.99</v>
      </c>
    </row>
    <row r="23" spans="1:27">
      <c r="A23" s="2476" t="s">
        <v>2633</v>
      </c>
      <c r="B23" s="3100">
        <f>B13</f>
        <v>0.77144000000000001</v>
      </c>
      <c r="C23" s="2931"/>
      <c r="E23" s="2931"/>
      <c r="F23" s="3085"/>
      <c r="G23" s="2931"/>
      <c r="H23" s="3085"/>
      <c r="I23" s="2931"/>
      <c r="J23" s="3085"/>
      <c r="K23" s="2931"/>
      <c r="L23" s="3085"/>
      <c r="M23" s="2931"/>
      <c r="O23" s="2931"/>
      <c r="Q23" s="2931"/>
      <c r="R23" s="3084"/>
      <c r="S23" s="2931"/>
      <c r="Y23" s="3062" t="s">
        <v>2627</v>
      </c>
      <c r="Z23" s="3064">
        <v>17049.78</v>
      </c>
      <c r="AA23" s="3064">
        <v>12373.68</v>
      </c>
    </row>
    <row r="24" spans="1:27">
      <c r="A24" s="2476" t="s">
        <v>2634</v>
      </c>
      <c r="B24" s="3100">
        <f>B14</f>
        <v>0.70111999999999997</v>
      </c>
      <c r="C24" s="2931"/>
      <c r="D24" s="2943"/>
      <c r="E24" s="2931"/>
      <c r="F24" s="3085"/>
      <c r="G24" s="2931"/>
      <c r="H24" s="3085"/>
      <c r="I24" s="2931"/>
      <c r="J24" s="3085"/>
      <c r="K24" s="2931"/>
      <c r="L24" s="3085"/>
      <c r="M24" s="2931"/>
      <c r="N24" s="2943"/>
      <c r="O24" s="2931"/>
      <c r="P24" s="2943"/>
      <c r="Q24" s="2931"/>
      <c r="R24" s="3084"/>
      <c r="S24" s="2931"/>
      <c r="Y24" s="3062" t="s">
        <v>24</v>
      </c>
      <c r="Z24" s="3081">
        <f>SUM(Z22:Z23)</f>
        <v>1188340.4899999998</v>
      </c>
      <c r="AA24" s="3081">
        <f>SUM(AA22:AA23)</f>
        <v>1190171.67</v>
      </c>
    </row>
    <row r="25" spans="1:27" ht="15.75" thickBot="1">
      <c r="A25" s="2476" t="s">
        <v>1499</v>
      </c>
      <c r="B25" s="3100">
        <f>1-B15</f>
        <v>0.33057000000000003</v>
      </c>
      <c r="C25" s="3096">
        <f>ROUND((C9)*$B$24*$B$25,0)</f>
        <v>39210</v>
      </c>
      <c r="D25" s="2943"/>
      <c r="E25" s="3096">
        <f>ROUND((E9)*$B$25*$B$23,0)</f>
        <v>-7083</v>
      </c>
      <c r="F25" s="3097"/>
      <c r="G25" s="3096">
        <v>0</v>
      </c>
      <c r="H25" s="3097"/>
      <c r="I25" s="3096">
        <f>ROUND((I9)*$B$23,0)</f>
        <v>0</v>
      </c>
      <c r="J25" s="3097"/>
      <c r="K25" s="3096">
        <f>ROUND((K9)*$B$25,0)</f>
        <v>605</v>
      </c>
      <c r="L25" s="3097"/>
      <c r="M25" s="3096">
        <v>0</v>
      </c>
      <c r="N25" s="2943"/>
      <c r="O25" s="3096">
        <v>0</v>
      </c>
      <c r="P25" s="2943"/>
      <c r="Q25" s="3096">
        <v>0</v>
      </c>
      <c r="R25" s="3098"/>
      <c r="S25" s="3102">
        <f>SUM(C25,E25,G25,I25,K25,M25,O25,Q25)</f>
        <v>32732</v>
      </c>
      <c r="Z25" s="3064"/>
      <c r="AA25" s="3064"/>
    </row>
    <row r="26" spans="1:27" ht="15.75" thickTop="1">
      <c r="A26" s="2930"/>
      <c r="B26" s="3100"/>
      <c r="C26" s="2931"/>
      <c r="D26" s="2943"/>
      <c r="E26" s="2931"/>
      <c r="F26" s="3085"/>
      <c r="G26" s="2931"/>
      <c r="H26" s="3085"/>
      <c r="I26" s="2931"/>
      <c r="J26" s="3085"/>
      <c r="K26" s="2931"/>
      <c r="L26" s="3085"/>
      <c r="M26" s="2931"/>
      <c r="N26" s="2943"/>
      <c r="O26" s="2931"/>
      <c r="P26" s="2943"/>
      <c r="Q26" s="2931"/>
      <c r="R26" s="3084"/>
      <c r="S26" s="2931"/>
      <c r="W26" s="3086"/>
      <c r="X26" s="3062" t="s">
        <v>2635</v>
      </c>
      <c r="Z26" s="3087">
        <f>SUM(Z22,Z23)</f>
        <v>1188340.4899999998</v>
      </c>
      <c r="AA26" s="3087">
        <f>SUM(AA22,AA23)</f>
        <v>1190171.67</v>
      </c>
    </row>
    <row r="27" spans="1:27" ht="15.75" thickBot="1">
      <c r="A27" s="3088" t="s">
        <v>2403</v>
      </c>
      <c r="B27" s="3100"/>
      <c r="C27" s="2931"/>
      <c r="D27" s="2943"/>
      <c r="E27" s="2931"/>
      <c r="F27" s="3085"/>
      <c r="G27" s="2931"/>
      <c r="H27" s="3085"/>
      <c r="I27" s="2931"/>
      <c r="J27" s="3085"/>
      <c r="K27" s="2931"/>
      <c r="L27" s="3085"/>
      <c r="M27" s="2931"/>
      <c r="N27" s="2943"/>
      <c r="O27" s="2931"/>
      <c r="P27" s="2943"/>
      <c r="Q27" s="2931"/>
      <c r="R27" s="3084"/>
      <c r="S27" s="2931"/>
      <c r="Z27" s="3089"/>
      <c r="AA27" s="3089"/>
    </row>
    <row r="28" spans="1:27" ht="15.75" thickBot="1">
      <c r="A28" s="2476" t="s">
        <v>2633</v>
      </c>
      <c r="B28" s="3100">
        <f>B18</f>
        <v>0.22856000000000001</v>
      </c>
      <c r="C28" s="2931"/>
      <c r="E28" s="2931"/>
      <c r="F28" s="3085"/>
      <c r="G28" s="2931"/>
      <c r="H28" s="3085"/>
      <c r="I28" s="2931"/>
      <c r="J28" s="3085"/>
      <c r="K28" s="2931"/>
      <c r="L28" s="3085"/>
      <c r="M28" s="2931"/>
      <c r="O28" s="2931"/>
      <c r="Q28" s="2931"/>
      <c r="R28" s="3084"/>
      <c r="S28" s="2931"/>
      <c r="W28" s="3091" t="s">
        <v>681</v>
      </c>
      <c r="X28" s="3092" t="s">
        <v>677</v>
      </c>
      <c r="Y28" s="3063" t="s">
        <v>19</v>
      </c>
      <c r="Z28" s="3093"/>
      <c r="AA28" s="3094">
        <f>AA26-Z26</f>
        <v>1831.1800000001676</v>
      </c>
    </row>
    <row r="29" spans="1:27">
      <c r="A29" s="2476" t="s">
        <v>2634</v>
      </c>
      <c r="B29" s="3100">
        <f>B19</f>
        <v>0.20707999999999999</v>
      </c>
      <c r="C29" s="2931"/>
      <c r="D29" s="2943"/>
      <c r="E29" s="2931"/>
      <c r="F29" s="3085"/>
      <c r="G29" s="2931"/>
      <c r="H29" s="3085"/>
      <c r="I29" s="2931"/>
      <c r="J29" s="3085"/>
      <c r="K29" s="2931"/>
      <c r="L29" s="3085"/>
      <c r="M29" s="2931"/>
      <c r="N29" s="2943"/>
      <c r="O29" s="2931"/>
      <c r="P29" s="2943"/>
      <c r="Q29" s="2931"/>
      <c r="R29" s="3084"/>
      <c r="S29" s="2931"/>
      <c r="Z29" s="3089"/>
      <c r="AA29" s="3089"/>
    </row>
    <row r="30" spans="1:27" ht="15.75" thickBot="1">
      <c r="A30" s="2476" t="s">
        <v>1499</v>
      </c>
      <c r="B30" s="3100">
        <f>1-B20</f>
        <v>0.28254000000000001</v>
      </c>
      <c r="C30" s="3096">
        <f>ROUND((C9)*$B$29*$B$30,0)</f>
        <v>9898</v>
      </c>
      <c r="D30" s="2943"/>
      <c r="E30" s="3096">
        <f>ROUND((E9)*$B$30*$B$28,0)</f>
        <v>-1794</v>
      </c>
      <c r="F30" s="3097"/>
      <c r="G30" s="3096">
        <v>0</v>
      </c>
      <c r="H30" s="3097"/>
      <c r="I30" s="3096">
        <f>ROUND((I9)*$B$28,0)</f>
        <v>0</v>
      </c>
      <c r="J30" s="3097"/>
      <c r="K30" s="3096">
        <v>0</v>
      </c>
      <c r="L30" s="3097"/>
      <c r="M30" s="3096">
        <v>0</v>
      </c>
      <c r="N30" s="2943"/>
      <c r="O30" s="3096">
        <f>ROUND((O9)*B30,0)</f>
        <v>0</v>
      </c>
      <c r="P30" s="2943"/>
      <c r="Q30" s="3096">
        <v>0</v>
      </c>
      <c r="R30" s="3098"/>
      <c r="S30" s="3102">
        <f>SUM(C30,E30,G30,I30,K30,M30,O30,Q30)</f>
        <v>8104</v>
      </c>
      <c r="X30" s="3062" t="s">
        <v>763</v>
      </c>
      <c r="Y30" s="3062" t="s">
        <v>2627</v>
      </c>
      <c r="Z30" s="3064">
        <v>79655.179999999993</v>
      </c>
      <c r="AA30" s="3064">
        <v>114851.12</v>
      </c>
    </row>
    <row r="31" spans="1:27" ht="15.75" thickTop="1">
      <c r="A31" s="2930"/>
      <c r="B31" s="3103"/>
      <c r="C31" s="3104"/>
      <c r="D31" s="3105"/>
      <c r="E31" s="3104"/>
      <c r="F31" s="3097"/>
      <c r="G31" s="3104"/>
      <c r="H31" s="3097"/>
      <c r="I31" s="3104"/>
      <c r="J31" s="3097"/>
      <c r="K31" s="3104"/>
      <c r="L31" s="3097"/>
      <c r="M31" s="3104"/>
      <c r="N31" s="3105"/>
      <c r="O31" s="3104"/>
      <c r="P31" s="3105"/>
      <c r="Q31" s="3104"/>
      <c r="R31" s="3098"/>
      <c r="S31" s="3104"/>
      <c r="X31" s="3062" t="s">
        <v>2636</v>
      </c>
      <c r="Z31" s="3106">
        <f>Z30</f>
        <v>79655.179999999993</v>
      </c>
      <c r="AA31" s="3081">
        <f>AA30</f>
        <v>114851.12</v>
      </c>
    </row>
    <row r="32" spans="1:27" ht="15.75" thickBot="1">
      <c r="A32" s="3088" t="s">
        <v>2404</v>
      </c>
      <c r="B32" s="3103"/>
      <c r="C32" s="3104"/>
      <c r="D32" s="3105"/>
      <c r="E32" s="3104"/>
      <c r="F32" s="3097"/>
      <c r="G32" s="3104"/>
      <c r="H32" s="3097"/>
      <c r="I32" s="3104"/>
      <c r="J32" s="3097"/>
      <c r="K32" s="3104"/>
      <c r="L32" s="3097"/>
      <c r="M32" s="3104"/>
      <c r="N32" s="3105"/>
      <c r="O32" s="3104"/>
      <c r="P32" s="3105"/>
      <c r="Q32" s="3104"/>
      <c r="R32" s="3098"/>
      <c r="S32" s="3104"/>
      <c r="Z32" s="3089"/>
      <c r="AA32" s="3089"/>
    </row>
    <row r="33" spans="1:27" ht="15.75" thickBot="1">
      <c r="A33" s="2476" t="s">
        <v>2634</v>
      </c>
      <c r="B33" s="3100">
        <f>1-B19-B14</f>
        <v>9.1800000000000104E-2</v>
      </c>
      <c r="C33" s="3096">
        <f>ROUND((C9)*$B$33,0)</f>
        <v>15531</v>
      </c>
      <c r="D33" s="2943"/>
      <c r="E33" s="3096">
        <v>0</v>
      </c>
      <c r="F33" s="3097"/>
      <c r="G33" s="3096">
        <v>0</v>
      </c>
      <c r="H33" s="3097"/>
      <c r="I33" s="3096">
        <v>0</v>
      </c>
      <c r="J33" s="3097"/>
      <c r="K33" s="3096">
        <v>0</v>
      </c>
      <c r="L33" s="3097"/>
      <c r="M33" s="3096">
        <v>0</v>
      </c>
      <c r="N33" s="2943"/>
      <c r="O33" s="3096">
        <v>0</v>
      </c>
      <c r="P33" s="2943"/>
      <c r="Q33" s="3096">
        <f>Q9</f>
        <v>0</v>
      </c>
      <c r="R33" s="3098"/>
      <c r="S33" s="3102">
        <f>SUM(C33,E33,G33,I33,K33,M33,O33,Q33)</f>
        <v>15531</v>
      </c>
      <c r="W33" s="3091" t="s">
        <v>681</v>
      </c>
      <c r="X33" s="3092" t="s">
        <v>763</v>
      </c>
      <c r="Y33" s="3063" t="s">
        <v>19</v>
      </c>
      <c r="Z33" s="3093"/>
      <c r="AA33" s="3094">
        <f>AA31-Z31</f>
        <v>35195.94</v>
      </c>
    </row>
    <row r="34" spans="1:27" ht="15.75" thickTop="1">
      <c r="E34" s="3082"/>
      <c r="F34" s="3083"/>
      <c r="H34" s="3083"/>
      <c r="J34" s="3083"/>
      <c r="L34" s="3083"/>
      <c r="O34" s="3082"/>
      <c r="Q34" s="3082"/>
      <c r="R34" s="3082"/>
      <c r="Z34" s="3081"/>
      <c r="AA34" s="3081"/>
    </row>
    <row r="35" spans="1:27">
      <c r="C35" s="3107">
        <f>SUM(C15:C33)-C9</f>
        <v>0.15999998897314072</v>
      </c>
      <c r="D35" s="3108"/>
      <c r="E35" s="2471">
        <f>SUM(E15:E33)-E9</f>
        <v>-0.5</v>
      </c>
      <c r="F35" s="3083"/>
      <c r="G35" s="3082">
        <f>SUM(G15:G33)-G9</f>
        <v>0</v>
      </c>
      <c r="H35" s="3083"/>
      <c r="I35" s="3082">
        <f>SUM(I15:I33)-I9</f>
        <v>0</v>
      </c>
      <c r="J35" s="3083"/>
      <c r="K35" s="2471">
        <f>SUM(K15:K33)-K9</f>
        <v>-0.18000000016763806</v>
      </c>
      <c r="L35" s="3083"/>
      <c r="M35" s="3082">
        <f>SUM(M15:M33)-M9</f>
        <v>0</v>
      </c>
      <c r="N35" s="3108"/>
      <c r="O35" s="3082">
        <f>SUM(O15:O33)-O9</f>
        <v>0</v>
      </c>
      <c r="P35" s="3108"/>
      <c r="Q35" s="3082">
        <f>SUM(Q15:Q33)-Q9</f>
        <v>0</v>
      </c>
      <c r="R35" s="3082"/>
      <c r="S35" s="3107">
        <f>SUM(C35:Q35)</f>
        <v>-0.52000001119449735</v>
      </c>
      <c r="W35" s="3062" t="s">
        <v>2342</v>
      </c>
      <c r="Z35" s="3109">
        <f>SUM(Z31,Z26)</f>
        <v>1267995.6699999997</v>
      </c>
      <c r="AA35" s="3109">
        <f>SUM(AA31,AA26)</f>
        <v>1305022.79</v>
      </c>
    </row>
    <row r="36" spans="1:27">
      <c r="Z36" s="3109"/>
      <c r="AA36" s="3109"/>
    </row>
    <row r="37" spans="1:27">
      <c r="W37" s="3063" t="s">
        <v>978</v>
      </c>
      <c r="Z37" s="3101">
        <f>SUM(Z35,Z20)</f>
        <v>20667967.429999996</v>
      </c>
      <c r="AA37" s="3101">
        <f>SUM(AA35,AA20)</f>
        <v>20846397.890000008</v>
      </c>
    </row>
    <row r="38" spans="1:27" ht="15.75" thickBot="1">
      <c r="Z38" s="3110"/>
      <c r="AA38" s="3110"/>
    </row>
    <row r="39" spans="1:27" ht="15.75" thickBot="1">
      <c r="Y39" s="3111" t="s">
        <v>1760</v>
      </c>
      <c r="Z39" s="3112"/>
      <c r="AA39" s="3094">
        <f>AA37-Z37</f>
        <v>178430.46000001207</v>
      </c>
    </row>
    <row r="42" spans="1:27">
      <c r="Z42" s="3110"/>
      <c r="AA42" s="3110"/>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75"/>
  <cols>
    <col min="1" max="1" width="9.140625" style="3113"/>
    <col min="2" max="2" width="9.28515625" style="3113" customWidth="1"/>
    <col min="3" max="3" width="9" style="3113" customWidth="1"/>
    <col min="4" max="4" width="32.28515625" style="3113" customWidth="1"/>
    <col min="5" max="5" width="18.85546875" style="273" customWidth="1"/>
    <col min="6" max="6" width="14.5703125" style="3113" customWidth="1"/>
    <col min="7" max="7" width="18.7109375" style="3113" customWidth="1"/>
    <col min="8" max="9" width="13.42578125" style="3113" customWidth="1"/>
    <col min="10" max="10" width="16.140625" style="3113" customWidth="1"/>
    <col min="11" max="11" width="15" style="3114" customWidth="1"/>
    <col min="12" max="12" width="15.140625" style="3113" customWidth="1"/>
    <col min="13" max="13" width="14" style="3114" customWidth="1"/>
    <col min="14" max="14" width="9.140625" style="3113" customWidth="1"/>
    <col min="15" max="16" width="9.140625" style="3113"/>
    <col min="17" max="17" width="12.7109375" style="3113" customWidth="1"/>
    <col min="18" max="18" width="18.28515625" style="3113" customWidth="1"/>
    <col min="19" max="19" width="12" style="3113" customWidth="1"/>
    <col min="20" max="20" width="11.85546875" style="3113" customWidth="1"/>
    <col min="21" max="21" width="15.85546875" style="3113" customWidth="1"/>
    <col min="22" max="22" width="14.7109375" style="3113" customWidth="1"/>
    <col min="23" max="27" width="8.85546875" style="3113"/>
  </cols>
  <sheetData>
    <row r="1" spans="1:25" ht="16.5" thickBot="1">
      <c r="A1" s="3113" t="s">
        <v>1204</v>
      </c>
      <c r="H1" s="3177">
        <f>M4</f>
        <v>4.5741943182418671E-2</v>
      </c>
      <c r="J1" s="3934" t="s">
        <v>2848</v>
      </c>
      <c r="K1" s="3934"/>
      <c r="L1" s="3934"/>
      <c r="M1" s="3113"/>
      <c r="O1" s="3159" t="s">
        <v>2847</v>
      </c>
      <c r="P1" s="3114"/>
      <c r="Q1" s="3114"/>
    </row>
    <row r="2" spans="1:25" ht="16.5" thickTop="1">
      <c r="A2" s="3113" t="s">
        <v>1577</v>
      </c>
      <c r="H2" s="3176">
        <v>2018</v>
      </c>
      <c r="I2" s="3176">
        <v>2019</v>
      </c>
      <c r="J2" s="3176">
        <v>2020</v>
      </c>
      <c r="K2" s="3176">
        <v>2021</v>
      </c>
      <c r="L2" s="3176">
        <v>2022</v>
      </c>
      <c r="M2" s="3175" t="s">
        <v>2846</v>
      </c>
      <c r="O2" s="3159" t="s">
        <v>2845</v>
      </c>
      <c r="P2" s="3114"/>
      <c r="Q2" s="3114"/>
    </row>
    <row r="3" spans="1:25" ht="16.5" thickBot="1">
      <c r="A3" s="3113" t="s">
        <v>2844</v>
      </c>
      <c r="F3" s="3113" t="s">
        <v>2843</v>
      </c>
      <c r="H3" s="3174">
        <v>37298</v>
      </c>
      <c r="I3" s="3174">
        <v>39437</v>
      </c>
      <c r="J3" s="3174">
        <v>42735</v>
      </c>
      <c r="K3" s="3173">
        <v>40856</v>
      </c>
      <c r="L3" s="3173">
        <v>44368</v>
      </c>
      <c r="M3" s="3172"/>
      <c r="O3" s="3159" t="s">
        <v>2842</v>
      </c>
      <c r="P3" s="3114"/>
      <c r="Q3" s="3114"/>
      <c r="U3" s="3113" t="s">
        <v>2841</v>
      </c>
    </row>
    <row r="4" spans="1:25" ht="16.5" thickBot="1">
      <c r="A4" s="3113" t="s">
        <v>2840</v>
      </c>
      <c r="H4" s="3159"/>
      <c r="I4" s="3171">
        <f>(I3-H3)/H3</f>
        <v>5.7348919513110622E-2</v>
      </c>
      <c r="J4" s="3171">
        <f>(J3-I3)/I3</f>
        <v>8.362705073915358E-2</v>
      </c>
      <c r="K4" s="3171">
        <f>(K3-J3)/J3</f>
        <v>-4.3968643968643965E-2</v>
      </c>
      <c r="L4" s="3171">
        <f>(L3-K3)/K3</f>
        <v>8.5960446446054439E-2</v>
      </c>
      <c r="M4" s="3170">
        <f>AVERAGE(I4:L4)</f>
        <v>4.5741943182418671E-2</v>
      </c>
      <c r="O4" s="3159" t="s">
        <v>2839</v>
      </c>
      <c r="P4" s="3114"/>
      <c r="Q4" s="3114"/>
      <c r="U4" s="3113" t="s">
        <v>2838</v>
      </c>
    </row>
    <row r="5" spans="1:25">
      <c r="A5" s="3113" t="s">
        <v>2837</v>
      </c>
      <c r="H5" s="3159"/>
      <c r="M5" s="3169"/>
      <c r="O5" s="3114" t="s">
        <v>2836</v>
      </c>
      <c r="P5" s="3114"/>
      <c r="Q5" s="3114"/>
      <c r="U5" s="3113" t="s">
        <v>2835</v>
      </c>
      <c r="V5" s="3113" t="s">
        <v>2834</v>
      </c>
    </row>
    <row r="6" spans="1:25" ht="16.5" thickBot="1">
      <c r="A6" s="3113" t="s">
        <v>2833</v>
      </c>
      <c r="K6" s="3168" t="s">
        <v>2832</v>
      </c>
      <c r="M6" s="3168" t="s">
        <v>2831</v>
      </c>
      <c r="O6" s="3159" t="s">
        <v>1544</v>
      </c>
      <c r="P6" s="3114"/>
      <c r="Q6" s="3114"/>
      <c r="T6" s="3113" t="s">
        <v>2830</v>
      </c>
    </row>
    <row r="7" spans="1:25">
      <c r="F7" s="3931" t="s">
        <v>2829</v>
      </c>
      <c r="G7" s="3932"/>
      <c r="H7" s="3933"/>
      <c r="I7" s="3167" t="s">
        <v>2828</v>
      </c>
      <c r="J7" s="3133" t="s">
        <v>2827</v>
      </c>
      <c r="K7" s="3166" t="s">
        <v>2826</v>
      </c>
      <c r="L7" s="3133" t="s">
        <v>2825</v>
      </c>
      <c r="M7" s="3166" t="s">
        <v>2600</v>
      </c>
      <c r="O7" s="3159" t="s">
        <v>2824</v>
      </c>
      <c r="P7" s="3114"/>
      <c r="Q7" s="3114"/>
      <c r="U7" s="3133" t="s">
        <v>1374</v>
      </c>
    </row>
    <row r="8" spans="1:25" ht="16.5" thickBot="1">
      <c r="A8" s="3113" t="s">
        <v>1576</v>
      </c>
      <c r="B8" s="3113" t="s">
        <v>818</v>
      </c>
      <c r="C8" s="3113" t="s">
        <v>70</v>
      </c>
      <c r="E8" s="286" t="s">
        <v>524</v>
      </c>
      <c r="F8" s="3165" t="s">
        <v>123</v>
      </c>
      <c r="G8" s="3164" t="s">
        <v>2823</v>
      </c>
      <c r="H8" s="3163" t="s">
        <v>471</v>
      </c>
      <c r="I8" s="3162" t="s">
        <v>155</v>
      </c>
      <c r="J8" s="3133" t="s">
        <v>876</v>
      </c>
      <c r="K8" s="3161">
        <f>H1*2.5</f>
        <v>0.11435485795604668</v>
      </c>
      <c r="L8" s="3160">
        <f>H1*3.5</f>
        <v>0.16009680113846536</v>
      </c>
      <c r="M8" s="3114">
        <v>2026</v>
      </c>
      <c r="O8" s="3159" t="s">
        <v>2822</v>
      </c>
      <c r="P8" s="3114"/>
      <c r="Q8" s="3114"/>
      <c r="T8" s="3113" t="s">
        <v>818</v>
      </c>
      <c r="U8" s="3133" t="s">
        <v>24</v>
      </c>
    </row>
    <row r="9" spans="1:25">
      <c r="A9" s="3133">
        <v>1</v>
      </c>
      <c r="B9" s="3137" t="s">
        <v>2821</v>
      </c>
      <c r="C9" s="3137"/>
      <c r="D9" s="3137"/>
      <c r="E9" s="3136"/>
      <c r="O9" s="3159" t="s">
        <v>2820</v>
      </c>
      <c r="P9" s="3114"/>
      <c r="Q9" s="3114"/>
    </row>
    <row r="10" spans="1:25">
      <c r="A10" s="3133">
        <v>2</v>
      </c>
      <c r="B10" s="3137"/>
      <c r="C10" s="3132" t="s">
        <v>2819</v>
      </c>
      <c r="D10" s="3137"/>
      <c r="E10" s="3136"/>
      <c r="O10" s="3159" t="s">
        <v>2818</v>
      </c>
      <c r="P10" s="3114"/>
      <c r="Q10" s="3114"/>
      <c r="T10" s="3155" t="s">
        <v>2817</v>
      </c>
      <c r="U10" s="3143">
        <v>670616.50171839981</v>
      </c>
      <c r="V10" s="3113">
        <v>813000</v>
      </c>
      <c r="X10" s="3154"/>
      <c r="Y10" s="3143"/>
    </row>
    <row r="11" spans="1:25">
      <c r="A11" s="3133">
        <v>3</v>
      </c>
      <c r="B11" s="3137" t="s">
        <v>2816</v>
      </c>
      <c r="C11" s="3137" t="s">
        <v>1849</v>
      </c>
      <c r="D11" s="3137"/>
      <c r="E11" s="3136">
        <v>139820536</v>
      </c>
      <c r="F11" s="3136"/>
      <c r="G11" s="3136">
        <f>E11</f>
        <v>139820536</v>
      </c>
      <c r="H11" s="3136"/>
      <c r="I11" s="3136"/>
      <c r="J11" s="3127">
        <f t="shared" ref="J11:J27" si="0">E11-SUM(F11:H11)+I11</f>
        <v>0</v>
      </c>
      <c r="K11" s="3126">
        <f t="shared" ref="K11:L27" si="1">$J11*K$8</f>
        <v>0</v>
      </c>
      <c r="L11" s="3127">
        <f t="shared" si="1"/>
        <v>0</v>
      </c>
      <c r="M11" s="3126">
        <f t="shared" ref="M11:M27" si="2">L11-K11</f>
        <v>0</v>
      </c>
      <c r="O11" s="3114"/>
      <c r="P11" s="3114"/>
      <c r="Q11" s="3114"/>
      <c r="T11" s="3155" t="s">
        <v>2815</v>
      </c>
      <c r="U11" s="3143">
        <v>0</v>
      </c>
      <c r="V11" s="3113">
        <v>814000</v>
      </c>
      <c r="X11" s="3154"/>
      <c r="Y11" s="3143"/>
    </row>
    <row r="12" spans="1:25">
      <c r="A12" s="3133">
        <v>4</v>
      </c>
      <c r="B12" s="3137" t="s">
        <v>2814</v>
      </c>
      <c r="C12" s="3137" t="s">
        <v>2813</v>
      </c>
      <c r="D12" s="3137"/>
      <c r="E12" s="3136"/>
      <c r="F12" s="3136"/>
      <c r="G12" s="3136"/>
      <c r="H12" s="3136"/>
      <c r="I12" s="3136"/>
      <c r="J12" s="3127">
        <f t="shared" si="0"/>
        <v>0</v>
      </c>
      <c r="K12" s="3126">
        <f t="shared" si="1"/>
        <v>0</v>
      </c>
      <c r="L12" s="3127">
        <f t="shared" si="1"/>
        <v>0</v>
      </c>
      <c r="M12" s="3126">
        <f t="shared" si="2"/>
        <v>0</v>
      </c>
      <c r="O12" s="3114"/>
      <c r="T12" s="3155" t="s">
        <v>2812</v>
      </c>
      <c r="U12" s="3143">
        <v>1310615.7309850003</v>
      </c>
      <c r="V12" s="3113">
        <v>870000</v>
      </c>
      <c r="X12" s="3154"/>
      <c r="Y12" s="3143"/>
    </row>
    <row r="13" spans="1:25">
      <c r="A13" s="3133">
        <v>5</v>
      </c>
      <c r="B13" s="3137" t="s">
        <v>2811</v>
      </c>
      <c r="C13" s="3137" t="s">
        <v>2810</v>
      </c>
      <c r="D13" s="3137"/>
      <c r="E13" s="3136"/>
      <c r="F13" s="3136"/>
      <c r="G13" s="3136"/>
      <c r="H13" s="3136"/>
      <c r="I13" s="3136"/>
      <c r="J13" s="3127">
        <f t="shared" si="0"/>
        <v>0</v>
      </c>
      <c r="K13" s="3126">
        <f t="shared" si="1"/>
        <v>0</v>
      </c>
      <c r="L13" s="3127">
        <f t="shared" si="1"/>
        <v>0</v>
      </c>
      <c r="M13" s="3126">
        <f t="shared" si="2"/>
        <v>0</v>
      </c>
      <c r="T13" s="3155" t="s">
        <v>2809</v>
      </c>
      <c r="U13" s="3143">
        <v>1442985.4350720011</v>
      </c>
      <c r="V13" s="3113">
        <v>874000</v>
      </c>
      <c r="X13" s="3154"/>
      <c r="Y13" s="3143"/>
    </row>
    <row r="14" spans="1:25">
      <c r="A14" s="3133">
        <v>6</v>
      </c>
      <c r="B14" s="3137" t="s">
        <v>2808</v>
      </c>
      <c r="C14" s="3137" t="s">
        <v>2807</v>
      </c>
      <c r="D14" s="3137"/>
      <c r="E14" s="3136"/>
      <c r="F14" s="3136"/>
      <c r="G14" s="3136"/>
      <c r="H14" s="3136"/>
      <c r="I14" s="3136"/>
      <c r="J14" s="3127">
        <f t="shared" si="0"/>
        <v>0</v>
      </c>
      <c r="K14" s="3126">
        <f t="shared" si="1"/>
        <v>0</v>
      </c>
      <c r="L14" s="3127">
        <f t="shared" si="1"/>
        <v>0</v>
      </c>
      <c r="M14" s="3126">
        <f t="shared" si="2"/>
        <v>0</v>
      </c>
      <c r="T14" s="3155" t="s">
        <v>2806</v>
      </c>
      <c r="U14" s="3143">
        <v>70940.190000000017</v>
      </c>
      <c r="V14" s="3113">
        <v>875000</v>
      </c>
      <c r="X14" s="3154"/>
      <c r="Y14" s="3143"/>
    </row>
    <row r="15" spans="1:25">
      <c r="A15" s="3133">
        <v>7</v>
      </c>
      <c r="B15" s="3137" t="s">
        <v>2805</v>
      </c>
      <c r="C15" s="3137" t="s">
        <v>2804</v>
      </c>
      <c r="D15" s="3137"/>
      <c r="E15" s="3136"/>
      <c r="F15" s="3136"/>
      <c r="G15" s="3136"/>
      <c r="H15" s="3136"/>
      <c r="I15" s="3136"/>
      <c r="J15" s="3127">
        <f t="shared" si="0"/>
        <v>0</v>
      </c>
      <c r="K15" s="3126">
        <f t="shared" si="1"/>
        <v>0</v>
      </c>
      <c r="L15" s="3127">
        <f t="shared" si="1"/>
        <v>0</v>
      </c>
      <c r="M15" s="3126">
        <f t="shared" si="2"/>
        <v>0</v>
      </c>
      <c r="T15" s="3155" t="s">
        <v>2803</v>
      </c>
      <c r="U15" s="3143">
        <v>4877.17</v>
      </c>
      <c r="V15" s="3113">
        <v>876000</v>
      </c>
      <c r="X15" s="3154"/>
      <c r="Y15" s="3143"/>
    </row>
    <row r="16" spans="1:25">
      <c r="A16" s="3133">
        <v>8</v>
      </c>
      <c r="B16" s="3137" t="s">
        <v>2802</v>
      </c>
      <c r="C16" s="3137" t="s">
        <v>2801</v>
      </c>
      <c r="D16" s="3137"/>
      <c r="E16" s="3136"/>
      <c r="F16" s="3136"/>
      <c r="G16" s="3136"/>
      <c r="H16" s="3136"/>
      <c r="I16" s="3136"/>
      <c r="J16" s="3127">
        <f t="shared" si="0"/>
        <v>0</v>
      </c>
      <c r="K16" s="3126">
        <f t="shared" si="1"/>
        <v>0</v>
      </c>
      <c r="L16" s="3127">
        <f t="shared" si="1"/>
        <v>0</v>
      </c>
      <c r="M16" s="3126">
        <f t="shared" si="2"/>
        <v>0</v>
      </c>
      <c r="T16" s="3155" t="s">
        <v>2800</v>
      </c>
      <c r="U16" s="3143">
        <v>40412.270000000011</v>
      </c>
      <c r="V16" s="3113">
        <v>877000</v>
      </c>
      <c r="X16" s="3154"/>
      <c r="Y16" s="3143"/>
    </row>
    <row r="17" spans="1:25">
      <c r="A17" s="3133">
        <v>9</v>
      </c>
      <c r="B17" s="3137" t="s">
        <v>2799</v>
      </c>
      <c r="C17" s="3137" t="s">
        <v>2798</v>
      </c>
      <c r="D17" s="3137"/>
      <c r="E17" s="3136"/>
      <c r="F17" s="3136"/>
      <c r="G17" s="3136"/>
      <c r="H17" s="3136"/>
      <c r="I17" s="3136"/>
      <c r="J17" s="3127">
        <f t="shared" si="0"/>
        <v>0</v>
      </c>
      <c r="K17" s="3126">
        <f t="shared" si="1"/>
        <v>0</v>
      </c>
      <c r="L17" s="3127">
        <f t="shared" si="1"/>
        <v>0</v>
      </c>
      <c r="M17" s="3126">
        <f t="shared" si="2"/>
        <v>0</v>
      </c>
      <c r="T17" s="3155" t="s">
        <v>2797</v>
      </c>
      <c r="U17" s="3143">
        <v>4774.5700000000015</v>
      </c>
      <c r="V17" s="3113">
        <v>878000</v>
      </c>
      <c r="X17" s="3154"/>
      <c r="Y17" s="3143"/>
    </row>
    <row r="18" spans="1:25">
      <c r="A18" s="3133">
        <v>10</v>
      </c>
      <c r="B18" s="3137" t="s">
        <v>2796</v>
      </c>
      <c r="C18" s="3137" t="s">
        <v>2795</v>
      </c>
      <c r="D18" s="3137"/>
      <c r="E18" s="3136"/>
      <c r="F18" s="3136"/>
      <c r="G18" s="3136"/>
      <c r="H18" s="3136"/>
      <c r="I18" s="3136"/>
      <c r="J18" s="3127">
        <f t="shared" si="0"/>
        <v>0</v>
      </c>
      <c r="K18" s="3126">
        <f t="shared" si="1"/>
        <v>0</v>
      </c>
      <c r="L18" s="3127">
        <f t="shared" si="1"/>
        <v>0</v>
      </c>
      <c r="M18" s="3126">
        <f t="shared" si="2"/>
        <v>0</v>
      </c>
      <c r="T18" s="3155" t="s">
        <v>2794</v>
      </c>
      <c r="U18" s="3143">
        <v>1159304.0226240021</v>
      </c>
      <c r="V18" s="3113">
        <v>879000</v>
      </c>
      <c r="X18" s="3154"/>
      <c r="Y18" s="3143"/>
    </row>
    <row r="19" spans="1:25">
      <c r="A19" s="3133">
        <v>11</v>
      </c>
      <c r="B19" s="3137" t="s">
        <v>2793</v>
      </c>
      <c r="C19" s="3137" t="s">
        <v>2792</v>
      </c>
      <c r="D19" s="3137"/>
      <c r="E19" s="3136"/>
      <c r="F19" s="3136"/>
      <c r="G19" s="3136"/>
      <c r="H19" s="3136"/>
      <c r="I19" s="3136"/>
      <c r="J19" s="3127">
        <f t="shared" si="0"/>
        <v>0</v>
      </c>
      <c r="K19" s="3126">
        <f t="shared" si="1"/>
        <v>0</v>
      </c>
      <c r="L19" s="3127">
        <f t="shared" si="1"/>
        <v>0</v>
      </c>
      <c r="M19" s="3126">
        <f t="shared" si="2"/>
        <v>0</v>
      </c>
      <c r="T19" s="3155" t="s">
        <v>2791</v>
      </c>
      <c r="U19" s="3143">
        <v>1433638.7625120028</v>
      </c>
      <c r="V19" s="3113">
        <v>880000</v>
      </c>
      <c r="X19" s="3154"/>
      <c r="Y19" s="3143"/>
    </row>
    <row r="20" spans="1:25">
      <c r="A20" s="3133">
        <v>12</v>
      </c>
      <c r="B20" s="3137" t="s">
        <v>2790</v>
      </c>
      <c r="C20" s="3137" t="s">
        <v>2789</v>
      </c>
      <c r="D20" s="3137"/>
      <c r="E20" s="3136"/>
      <c r="F20" s="3136"/>
      <c r="G20" s="3136"/>
      <c r="H20" s="3136"/>
      <c r="I20" s="3136"/>
      <c r="J20" s="3127">
        <f t="shared" si="0"/>
        <v>0</v>
      </c>
      <c r="K20" s="3126">
        <f t="shared" si="1"/>
        <v>0</v>
      </c>
      <c r="L20" s="3127">
        <f t="shared" si="1"/>
        <v>0</v>
      </c>
      <c r="M20" s="3126">
        <f t="shared" si="2"/>
        <v>0</v>
      </c>
      <c r="T20" s="3155" t="s">
        <v>2788</v>
      </c>
      <c r="U20" s="3143">
        <v>7619.0300000000007</v>
      </c>
      <c r="V20" s="3113">
        <v>885000</v>
      </c>
      <c r="X20" s="3154"/>
      <c r="Y20" s="3143"/>
    </row>
    <row r="21" spans="1:25">
      <c r="A21" s="3133">
        <v>13</v>
      </c>
      <c r="B21" s="3137" t="s">
        <v>2787</v>
      </c>
      <c r="C21" s="3137" t="s">
        <v>2786</v>
      </c>
      <c r="D21" s="3137"/>
      <c r="E21" s="3136"/>
      <c r="F21" s="3136"/>
      <c r="G21" s="3136"/>
      <c r="H21" s="3136"/>
      <c r="I21" s="3136"/>
      <c r="J21" s="3127">
        <f t="shared" si="0"/>
        <v>0</v>
      </c>
      <c r="K21" s="3126">
        <f t="shared" si="1"/>
        <v>0</v>
      </c>
      <c r="L21" s="3127">
        <f t="shared" si="1"/>
        <v>0</v>
      </c>
      <c r="M21" s="3126">
        <f t="shared" si="2"/>
        <v>0</v>
      </c>
      <c r="T21" s="3155" t="s">
        <v>2785</v>
      </c>
      <c r="U21" s="3143">
        <v>567879.31000000157</v>
      </c>
      <c r="V21" s="3113">
        <v>887000</v>
      </c>
      <c r="X21" s="3154"/>
      <c r="Y21" s="3143"/>
    </row>
    <row r="22" spans="1:25">
      <c r="A22" s="3133">
        <v>14</v>
      </c>
      <c r="B22" s="3137" t="s">
        <v>2784</v>
      </c>
      <c r="C22" s="3137" t="s">
        <v>2783</v>
      </c>
      <c r="D22" s="3137"/>
      <c r="E22" s="3136"/>
      <c r="F22" s="3136"/>
      <c r="G22" s="3136"/>
      <c r="H22" s="3136"/>
      <c r="I22" s="3136"/>
      <c r="J22" s="3127">
        <f t="shared" si="0"/>
        <v>0</v>
      </c>
      <c r="K22" s="3126">
        <f t="shared" si="1"/>
        <v>0</v>
      </c>
      <c r="L22" s="3127">
        <f t="shared" si="1"/>
        <v>0</v>
      </c>
      <c r="M22" s="3126">
        <f t="shared" si="2"/>
        <v>0</v>
      </c>
      <c r="T22" s="3155" t="s">
        <v>2782</v>
      </c>
      <c r="U22" s="3143">
        <v>121324.0402079999</v>
      </c>
      <c r="V22" s="3113">
        <v>889000</v>
      </c>
      <c r="X22" s="3154"/>
      <c r="Y22" s="3143"/>
    </row>
    <row r="23" spans="1:25">
      <c r="A23" s="3133">
        <v>15</v>
      </c>
      <c r="B23" s="3137" t="s">
        <v>2781</v>
      </c>
      <c r="C23" s="3137" t="s">
        <v>2780</v>
      </c>
      <c r="D23" s="3137"/>
      <c r="E23" s="3136"/>
      <c r="F23" s="3136"/>
      <c r="G23" s="3136"/>
      <c r="H23" s="3136"/>
      <c r="I23" s="3136"/>
      <c r="J23" s="3127">
        <f t="shared" si="0"/>
        <v>0</v>
      </c>
      <c r="K23" s="3126">
        <f t="shared" si="1"/>
        <v>0</v>
      </c>
      <c r="L23" s="3127">
        <f t="shared" si="1"/>
        <v>0</v>
      </c>
      <c r="M23" s="3126">
        <f t="shared" si="2"/>
        <v>0</v>
      </c>
      <c r="T23" s="3155" t="s">
        <v>2779</v>
      </c>
      <c r="U23" s="3143">
        <v>5106.9345599999988</v>
      </c>
      <c r="V23" s="3113">
        <v>890000</v>
      </c>
      <c r="X23" s="3154"/>
      <c r="Y23" s="3143"/>
    </row>
    <row r="24" spans="1:25">
      <c r="A24" s="3133">
        <v>16</v>
      </c>
      <c r="B24" s="3137" t="s">
        <v>2778</v>
      </c>
      <c r="C24" s="3137" t="s">
        <v>2777</v>
      </c>
      <c r="D24" s="3137"/>
      <c r="E24" s="3136"/>
      <c r="F24" s="3136"/>
      <c r="G24" s="3136"/>
      <c r="H24" s="3136"/>
      <c r="I24" s="3136"/>
      <c r="J24" s="3127">
        <f t="shared" si="0"/>
        <v>0</v>
      </c>
      <c r="K24" s="3126">
        <f t="shared" si="1"/>
        <v>0</v>
      </c>
      <c r="L24" s="3127">
        <f t="shared" si="1"/>
        <v>0</v>
      </c>
      <c r="M24" s="3126">
        <f t="shared" si="2"/>
        <v>0</v>
      </c>
      <c r="T24" s="3155" t="s">
        <v>2776</v>
      </c>
      <c r="U24" s="3143">
        <v>37779.366959999999</v>
      </c>
      <c r="V24" s="3113">
        <v>891000</v>
      </c>
      <c r="X24" s="3154"/>
      <c r="Y24" s="3143"/>
    </row>
    <row r="25" spans="1:25">
      <c r="A25" s="3133">
        <v>17</v>
      </c>
      <c r="B25" s="3137" t="s">
        <v>1334</v>
      </c>
      <c r="C25" s="3137" t="s">
        <v>1334</v>
      </c>
      <c r="D25" s="3137"/>
      <c r="E25" s="3136"/>
      <c r="F25" s="3136"/>
      <c r="G25" s="3136"/>
      <c r="H25" s="3136"/>
      <c r="I25" s="3136"/>
      <c r="J25" s="3127">
        <f t="shared" si="0"/>
        <v>0</v>
      </c>
      <c r="K25" s="3126">
        <f t="shared" si="1"/>
        <v>0</v>
      </c>
      <c r="L25" s="3127">
        <f t="shared" si="1"/>
        <v>0</v>
      </c>
      <c r="M25" s="3126">
        <f t="shared" si="2"/>
        <v>0</v>
      </c>
      <c r="T25" s="3155" t="s">
        <v>2775</v>
      </c>
      <c r="U25" s="3143">
        <v>565851.65000000072</v>
      </c>
      <c r="V25" s="3113">
        <v>892000</v>
      </c>
      <c r="X25" s="3154"/>
      <c r="Y25" s="3143"/>
    </row>
    <row r="26" spans="1:25">
      <c r="A26" s="3133">
        <v>18</v>
      </c>
      <c r="B26" s="3137" t="s">
        <v>2774</v>
      </c>
      <c r="C26" s="3137" t="s">
        <v>227</v>
      </c>
      <c r="D26" s="3137"/>
      <c r="E26" s="3136">
        <v>9132838</v>
      </c>
      <c r="F26" s="3136"/>
      <c r="G26" s="3136">
        <f>E26</f>
        <v>9132838</v>
      </c>
      <c r="H26" s="3136"/>
      <c r="I26" s="3136"/>
      <c r="J26" s="3127">
        <f t="shared" si="0"/>
        <v>0</v>
      </c>
      <c r="K26" s="3126">
        <f t="shared" si="1"/>
        <v>0</v>
      </c>
      <c r="L26" s="3127">
        <f t="shared" si="1"/>
        <v>0</v>
      </c>
      <c r="M26" s="3126">
        <f t="shared" si="2"/>
        <v>0</v>
      </c>
      <c r="T26" s="3155" t="s">
        <v>2773</v>
      </c>
      <c r="U26" s="3143">
        <v>989093.59601600037</v>
      </c>
      <c r="V26" s="3113">
        <v>893000</v>
      </c>
      <c r="X26" s="3154"/>
      <c r="Y26" s="3143"/>
    </row>
    <row r="27" spans="1:25">
      <c r="A27" s="3133">
        <v>19</v>
      </c>
      <c r="B27" s="3137" t="s">
        <v>2772</v>
      </c>
      <c r="C27" s="3137" t="s">
        <v>2771</v>
      </c>
      <c r="D27" s="3137"/>
      <c r="E27" s="3136"/>
      <c r="F27" s="3136"/>
      <c r="G27" s="3136"/>
      <c r="H27" s="3136"/>
      <c r="I27" s="3136"/>
      <c r="J27" s="3127">
        <f t="shared" si="0"/>
        <v>0</v>
      </c>
      <c r="K27" s="3126">
        <f t="shared" si="1"/>
        <v>0</v>
      </c>
      <c r="L27" s="3127">
        <f t="shared" si="1"/>
        <v>0</v>
      </c>
      <c r="M27" s="3126">
        <f t="shared" si="2"/>
        <v>0</v>
      </c>
      <c r="T27" s="3155" t="s">
        <v>2770</v>
      </c>
      <c r="U27" s="3143">
        <v>73706.933952000021</v>
      </c>
      <c r="V27" s="3113">
        <v>894000</v>
      </c>
      <c r="X27" s="3154"/>
      <c r="Y27" s="3143"/>
    </row>
    <row r="28" spans="1:25">
      <c r="A28" s="3133">
        <v>20</v>
      </c>
      <c r="B28" s="3132"/>
      <c r="C28" s="3132" t="s">
        <v>2769</v>
      </c>
      <c r="D28" s="3132"/>
      <c r="E28" s="3158">
        <f t="shared" ref="E28:M28" si="3">SUM(E11:E27)</f>
        <v>148953374</v>
      </c>
      <c r="F28" s="3158">
        <f t="shared" si="3"/>
        <v>0</v>
      </c>
      <c r="G28" s="3158">
        <f t="shared" si="3"/>
        <v>148953374</v>
      </c>
      <c r="H28" s="3158">
        <f t="shared" si="3"/>
        <v>0</v>
      </c>
      <c r="I28" s="3158">
        <f t="shared" si="3"/>
        <v>0</v>
      </c>
      <c r="J28" s="3157">
        <f t="shared" si="3"/>
        <v>0</v>
      </c>
      <c r="K28" s="3156">
        <f t="shared" si="3"/>
        <v>0</v>
      </c>
      <c r="L28" s="3157">
        <f t="shared" si="3"/>
        <v>0</v>
      </c>
      <c r="M28" s="3156">
        <f t="shared" si="3"/>
        <v>0</v>
      </c>
      <c r="T28" s="3155" t="s">
        <v>2768</v>
      </c>
      <c r="U28" s="3143">
        <v>57779.495999999992</v>
      </c>
      <c r="V28" s="3113">
        <v>901000</v>
      </c>
      <c r="X28" s="3154"/>
      <c r="Y28" s="3143"/>
    </row>
    <row r="29" spans="1:25">
      <c r="A29" s="3133">
        <v>21</v>
      </c>
      <c r="B29" s="3137" t="s">
        <v>2767</v>
      </c>
      <c r="C29" s="3137" t="s">
        <v>228</v>
      </c>
      <c r="D29" s="3137"/>
      <c r="E29" s="3136">
        <v>-343977</v>
      </c>
      <c r="F29" s="3136"/>
      <c r="G29" s="3136">
        <f>E29</f>
        <v>-343977</v>
      </c>
      <c r="H29" s="3136"/>
      <c r="I29" s="3136"/>
      <c r="J29" s="3127">
        <f>E29-SUM(F29:H29)+I29</f>
        <v>0</v>
      </c>
      <c r="K29" s="3126">
        <f t="shared" ref="K29:L31" si="4">$J29*K$8</f>
        <v>0</v>
      </c>
      <c r="L29" s="3127">
        <f t="shared" si="4"/>
        <v>0</v>
      </c>
      <c r="M29" s="3126">
        <f>L29-K29</f>
        <v>0</v>
      </c>
      <c r="T29" s="3155" t="s">
        <v>2766</v>
      </c>
      <c r="U29" s="3143">
        <v>234846.55489290011</v>
      </c>
      <c r="V29" s="3113">
        <v>902000</v>
      </c>
      <c r="X29" s="3154"/>
      <c r="Y29" s="3143"/>
    </row>
    <row r="30" spans="1:25">
      <c r="A30" s="3133">
        <v>22</v>
      </c>
      <c r="B30" s="3137" t="s">
        <v>2765</v>
      </c>
      <c r="C30" s="3137" t="s">
        <v>2764</v>
      </c>
      <c r="D30" s="3137"/>
      <c r="E30" s="3136">
        <v>88650</v>
      </c>
      <c r="F30" s="3136"/>
      <c r="G30" s="3136">
        <f>E30</f>
        <v>88650</v>
      </c>
      <c r="H30" s="3136"/>
      <c r="I30" s="3136"/>
      <c r="J30" s="3127">
        <f>E30-SUM(F30:H30)+I30</f>
        <v>0</v>
      </c>
      <c r="K30" s="3126">
        <f t="shared" si="4"/>
        <v>0</v>
      </c>
      <c r="L30" s="3127">
        <f t="shared" si="4"/>
        <v>0</v>
      </c>
      <c r="M30" s="3126">
        <f>L30-K30</f>
        <v>0</v>
      </c>
      <c r="T30" s="3155" t="s">
        <v>2763</v>
      </c>
      <c r="U30" s="3143">
        <v>1948854.2636049024</v>
      </c>
      <c r="V30" s="3113">
        <v>903000</v>
      </c>
      <c r="X30" s="3154"/>
      <c r="Y30" s="3143"/>
    </row>
    <row r="31" spans="1:25">
      <c r="A31" s="3133">
        <v>23</v>
      </c>
      <c r="B31" s="3137" t="s">
        <v>2762</v>
      </c>
      <c r="C31" s="3137" t="s">
        <v>229</v>
      </c>
      <c r="D31" s="3137"/>
      <c r="E31" s="3136">
        <f>780647</f>
        <v>780647</v>
      </c>
      <c r="F31" s="3136">
        <f>U10</f>
        <v>670616.50171839981</v>
      </c>
      <c r="G31" s="3136"/>
      <c r="H31" s="3136"/>
      <c r="I31" s="3136"/>
      <c r="J31" s="3127">
        <f>E31-SUM(F31:H31)+I31</f>
        <v>110030.49828160019</v>
      </c>
      <c r="K31" s="3126">
        <f t="shared" si="4"/>
        <v>12582.522001825428</v>
      </c>
      <c r="L31" s="3127">
        <f t="shared" si="4"/>
        <v>17615.530802555601</v>
      </c>
      <c r="M31" s="3126">
        <f>L31-K31</f>
        <v>5033.0088007301729</v>
      </c>
      <c r="T31" s="3155" t="s">
        <v>2761</v>
      </c>
      <c r="U31" s="3143">
        <v>130355.39619130027</v>
      </c>
      <c r="V31" s="3113">
        <v>905000</v>
      </c>
      <c r="X31" s="3154"/>
      <c r="Y31" s="3143"/>
    </row>
    <row r="32" spans="1:25">
      <c r="A32" s="3133">
        <v>24</v>
      </c>
      <c r="B32" s="3132"/>
      <c r="C32" s="3132" t="s">
        <v>2760</v>
      </c>
      <c r="D32" s="3132"/>
      <c r="E32" s="3140">
        <f t="shared" ref="E32:M32" si="5">SUM(E28:E31)</f>
        <v>149478694</v>
      </c>
      <c r="F32" s="3140">
        <f t="shared" si="5"/>
        <v>670616.50171839981</v>
      </c>
      <c r="G32" s="3140">
        <f t="shared" si="5"/>
        <v>148698047</v>
      </c>
      <c r="H32" s="3140">
        <f t="shared" si="5"/>
        <v>0</v>
      </c>
      <c r="I32" s="3140">
        <f t="shared" si="5"/>
        <v>0</v>
      </c>
      <c r="J32" s="3139">
        <f t="shared" si="5"/>
        <v>110030.49828160019</v>
      </c>
      <c r="K32" s="3138">
        <f t="shared" si="5"/>
        <v>12582.522001825428</v>
      </c>
      <c r="L32" s="3139">
        <f t="shared" si="5"/>
        <v>17615.530802555601</v>
      </c>
      <c r="M32" s="3138">
        <f t="shared" si="5"/>
        <v>5033.0088007301729</v>
      </c>
      <c r="T32" s="3155" t="s">
        <v>2759</v>
      </c>
      <c r="U32" s="3143">
        <v>133598.04493890004</v>
      </c>
      <c r="V32" s="3113">
        <v>908000</v>
      </c>
      <c r="X32" s="3154"/>
      <c r="Y32" s="3143"/>
    </row>
    <row r="33" spans="1:25">
      <c r="A33" s="3133">
        <v>25</v>
      </c>
      <c r="B33" s="3137"/>
      <c r="C33" s="3137"/>
      <c r="D33" s="3137"/>
      <c r="E33" s="3146"/>
      <c r="F33" s="3146"/>
      <c r="G33" s="3146"/>
      <c r="H33" s="3146"/>
      <c r="I33" s="3146"/>
      <c r="J33" s="3145"/>
      <c r="K33" s="3144"/>
      <c r="L33" s="3145"/>
      <c r="M33" s="3144"/>
      <c r="T33" s="3155" t="s">
        <v>2758</v>
      </c>
      <c r="U33" s="3143">
        <v>13113.587210500002</v>
      </c>
      <c r="V33" s="3113">
        <v>909000</v>
      </c>
      <c r="X33" s="3154"/>
      <c r="Y33" s="3143"/>
    </row>
    <row r="34" spans="1:25">
      <c r="A34" s="3133">
        <v>26</v>
      </c>
      <c r="B34" s="3137"/>
      <c r="C34" s="3132" t="s">
        <v>2757</v>
      </c>
      <c r="D34" s="3137"/>
      <c r="E34" s="3136"/>
      <c r="F34" s="3136"/>
      <c r="G34" s="3136"/>
      <c r="H34" s="3136"/>
      <c r="I34" s="3136"/>
      <c r="J34" s="3135"/>
      <c r="K34" s="3134"/>
      <c r="L34" s="3135"/>
      <c r="M34" s="3134"/>
      <c r="T34" s="3155" t="s">
        <v>2756</v>
      </c>
      <c r="U34" s="3143">
        <v>20261.360601999993</v>
      </c>
      <c r="V34" s="3113">
        <v>910000</v>
      </c>
      <c r="X34" s="3154"/>
      <c r="Y34" s="3143"/>
    </row>
    <row r="35" spans="1:25">
      <c r="A35" s="3133">
        <v>27</v>
      </c>
      <c r="B35" s="3137" t="s">
        <v>2755</v>
      </c>
      <c r="C35" s="3137" t="s">
        <v>233</v>
      </c>
      <c r="D35" s="3137"/>
      <c r="E35" s="3136">
        <v>0</v>
      </c>
      <c r="F35" s="3136">
        <f>U11</f>
        <v>0</v>
      </c>
      <c r="G35" s="3136"/>
      <c r="H35" s="3136"/>
      <c r="I35" s="3136"/>
      <c r="J35" s="3127">
        <f t="shared" ref="J35:J54" si="6">E35-SUM(F35:H35)+I35</f>
        <v>0</v>
      </c>
      <c r="K35" s="3126">
        <f t="shared" ref="K35:L54" si="7">$J35*K$8</f>
        <v>0</v>
      </c>
      <c r="L35" s="3127">
        <f t="shared" si="7"/>
        <v>0</v>
      </c>
      <c r="M35" s="3126">
        <f t="shared" ref="M35:M54" si="8">L35-K35</f>
        <v>0</v>
      </c>
      <c r="T35" s="3155" t="s">
        <v>1755</v>
      </c>
      <c r="U35" s="3143">
        <v>5385107.7441059863</v>
      </c>
      <c r="V35" s="3113">
        <v>920000</v>
      </c>
      <c r="X35" s="3154"/>
      <c r="Y35" s="3143"/>
    </row>
    <row r="36" spans="1:25">
      <c r="A36" s="3133">
        <v>28</v>
      </c>
      <c r="B36" s="3137" t="s">
        <v>2754</v>
      </c>
      <c r="C36" s="3137" t="s">
        <v>2732</v>
      </c>
      <c r="D36" s="3137"/>
      <c r="E36" s="3136">
        <v>0</v>
      </c>
      <c r="F36" s="3136"/>
      <c r="G36" s="3136"/>
      <c r="H36" s="3136"/>
      <c r="I36" s="3136"/>
      <c r="J36" s="3127">
        <f t="shared" si="6"/>
        <v>0</v>
      </c>
      <c r="K36" s="3126">
        <f t="shared" si="7"/>
        <v>0</v>
      </c>
      <c r="L36" s="3127">
        <f t="shared" si="7"/>
        <v>0</v>
      </c>
      <c r="M36" s="3126">
        <f t="shared" si="8"/>
        <v>0</v>
      </c>
      <c r="T36" s="3155" t="s">
        <v>2753</v>
      </c>
      <c r="U36" s="3143">
        <v>40272.579513600809</v>
      </c>
      <c r="V36" s="3113">
        <v>921000</v>
      </c>
      <c r="X36" s="3154"/>
      <c r="Y36" s="3143"/>
    </row>
    <row r="37" spans="1:25">
      <c r="A37" s="3133">
        <v>29</v>
      </c>
      <c r="B37" s="3137" t="s">
        <v>2752</v>
      </c>
      <c r="C37" s="3137" t="s">
        <v>2730</v>
      </c>
      <c r="D37" s="3137"/>
      <c r="E37" s="3136">
        <v>0</v>
      </c>
      <c r="F37" s="3136"/>
      <c r="G37" s="3136"/>
      <c r="H37" s="3136"/>
      <c r="I37" s="3136"/>
      <c r="J37" s="3127">
        <f t="shared" si="6"/>
        <v>0</v>
      </c>
      <c r="K37" s="3126">
        <f t="shared" si="7"/>
        <v>0</v>
      </c>
      <c r="L37" s="3127">
        <f t="shared" si="7"/>
        <v>0</v>
      </c>
      <c r="M37" s="3126">
        <f t="shared" si="8"/>
        <v>0</v>
      </c>
      <c r="T37" s="3155" t="s">
        <v>2751</v>
      </c>
      <c r="U37" s="3143">
        <v>1152.4631725999998</v>
      </c>
      <c r="V37" s="3113">
        <v>923000</v>
      </c>
      <c r="X37" s="3154"/>
      <c r="Y37" s="3143"/>
    </row>
    <row r="38" spans="1:25">
      <c r="A38" s="3133">
        <v>30</v>
      </c>
      <c r="B38" s="3137" t="s">
        <v>2750</v>
      </c>
      <c r="C38" s="3137" t="s">
        <v>2727</v>
      </c>
      <c r="D38" s="3137"/>
      <c r="E38" s="3136">
        <v>0</v>
      </c>
      <c r="F38" s="3136"/>
      <c r="G38" s="3136"/>
      <c r="H38" s="3136"/>
      <c r="I38" s="3136"/>
      <c r="J38" s="3127">
        <f t="shared" si="6"/>
        <v>0</v>
      </c>
      <c r="K38" s="3126">
        <f t="shared" si="7"/>
        <v>0</v>
      </c>
      <c r="L38" s="3127">
        <f t="shared" si="7"/>
        <v>0</v>
      </c>
      <c r="M38" s="3126">
        <f t="shared" si="8"/>
        <v>0</v>
      </c>
      <c r="T38" s="3155">
        <v>925100</v>
      </c>
      <c r="U38" s="3143">
        <v>18.5319918</v>
      </c>
      <c r="V38" s="3113">
        <v>925100</v>
      </c>
      <c r="X38" s="3154"/>
      <c r="Y38" s="3143"/>
    </row>
    <row r="39" spans="1:25">
      <c r="A39" s="3133">
        <v>31</v>
      </c>
      <c r="B39" s="3137" t="s">
        <v>2749</v>
      </c>
      <c r="C39" s="3137" t="s">
        <v>2725</v>
      </c>
      <c r="D39" s="3137"/>
      <c r="E39" s="3136">
        <v>0</v>
      </c>
      <c r="F39" s="3136"/>
      <c r="G39" s="3136"/>
      <c r="H39" s="3136"/>
      <c r="I39" s="3136"/>
      <c r="J39" s="3127">
        <f t="shared" si="6"/>
        <v>0</v>
      </c>
      <c r="K39" s="3126">
        <f t="shared" si="7"/>
        <v>0</v>
      </c>
      <c r="L39" s="3127">
        <f t="shared" si="7"/>
        <v>0</v>
      </c>
      <c r="M39" s="3126">
        <f t="shared" si="8"/>
        <v>0</v>
      </c>
      <c r="T39" s="3155" t="s">
        <v>2748</v>
      </c>
      <c r="U39" s="3143">
        <v>67764.194160200059</v>
      </c>
      <c r="V39" s="3113">
        <v>926100</v>
      </c>
      <c r="X39" s="3154"/>
      <c r="Y39" s="3143"/>
    </row>
    <row r="40" spans="1:25">
      <c r="A40" s="3133">
        <v>32</v>
      </c>
      <c r="B40" s="3137" t="s">
        <v>2747</v>
      </c>
      <c r="C40" s="3137" t="s">
        <v>2723</v>
      </c>
      <c r="D40" s="3137"/>
      <c r="E40" s="3136">
        <v>0</v>
      </c>
      <c r="F40" s="3136"/>
      <c r="G40" s="3136"/>
      <c r="H40" s="3136"/>
      <c r="I40" s="3136"/>
      <c r="J40" s="3127">
        <f t="shared" si="6"/>
        <v>0</v>
      </c>
      <c r="K40" s="3126">
        <f t="shared" si="7"/>
        <v>0</v>
      </c>
      <c r="L40" s="3127">
        <f t="shared" si="7"/>
        <v>0</v>
      </c>
      <c r="M40" s="3126">
        <f t="shared" si="8"/>
        <v>0</v>
      </c>
      <c r="T40" s="3155" t="s">
        <v>1263</v>
      </c>
      <c r="U40" s="3143">
        <v>217065.18820919996</v>
      </c>
      <c r="V40" s="3113">
        <v>928000</v>
      </c>
      <c r="X40" s="3154"/>
      <c r="Y40" s="3143"/>
    </row>
    <row r="41" spans="1:25">
      <c r="A41" s="3133">
        <v>33</v>
      </c>
      <c r="B41" s="3137" t="s">
        <v>2746</v>
      </c>
      <c r="C41" s="3137" t="s">
        <v>2745</v>
      </c>
      <c r="D41" s="3137"/>
      <c r="E41" s="3136">
        <v>0</v>
      </c>
      <c r="F41" s="3136"/>
      <c r="G41" s="3136"/>
      <c r="H41" s="3136"/>
      <c r="I41" s="3136"/>
      <c r="J41" s="3127">
        <f t="shared" si="6"/>
        <v>0</v>
      </c>
      <c r="K41" s="3126">
        <f t="shared" si="7"/>
        <v>0</v>
      </c>
      <c r="L41" s="3127">
        <f t="shared" si="7"/>
        <v>0</v>
      </c>
      <c r="M41" s="3126">
        <f t="shared" si="8"/>
        <v>0</v>
      </c>
      <c r="T41" s="3155" t="s">
        <v>2744</v>
      </c>
      <c r="U41" s="3143">
        <v>132807.30956380002</v>
      </c>
      <c r="V41" s="3113">
        <v>930200</v>
      </c>
      <c r="X41" s="3154"/>
      <c r="Y41" s="3143"/>
    </row>
    <row r="42" spans="1:25">
      <c r="A42" s="3133">
        <v>34</v>
      </c>
      <c r="B42" s="3137" t="s">
        <v>2743</v>
      </c>
      <c r="C42" s="3137" t="s">
        <v>2742</v>
      </c>
      <c r="D42" s="3137"/>
      <c r="E42" s="3136">
        <v>0</v>
      </c>
      <c r="F42" s="3136"/>
      <c r="G42" s="3136"/>
      <c r="H42" s="3136"/>
      <c r="I42" s="3136"/>
      <c r="J42" s="3127">
        <f t="shared" si="6"/>
        <v>0</v>
      </c>
      <c r="K42" s="3126">
        <f t="shared" si="7"/>
        <v>0</v>
      </c>
      <c r="L42" s="3127">
        <f t="shared" si="7"/>
        <v>0</v>
      </c>
      <c r="M42" s="3126">
        <f t="shared" si="8"/>
        <v>0</v>
      </c>
      <c r="T42" s="3155" t="s">
        <v>2741</v>
      </c>
      <c r="U42" s="3143">
        <v>169.8299566</v>
      </c>
      <c r="V42" s="3113">
        <v>931000</v>
      </c>
      <c r="X42" s="3154"/>
      <c r="Y42" s="3143"/>
    </row>
    <row r="43" spans="1:25">
      <c r="A43" s="3133">
        <v>35</v>
      </c>
      <c r="B43" s="3137" t="s">
        <v>2740</v>
      </c>
      <c r="C43" s="3137" t="s">
        <v>234</v>
      </c>
      <c r="D43" s="3137"/>
      <c r="E43" s="3136">
        <v>570704</v>
      </c>
      <c r="F43" s="3136"/>
      <c r="G43" s="3136"/>
      <c r="H43" s="3136"/>
      <c r="I43" s="3136"/>
      <c r="J43" s="3127">
        <f t="shared" si="6"/>
        <v>570704</v>
      </c>
      <c r="K43" s="3126">
        <f t="shared" si="7"/>
        <v>65262.77485494766</v>
      </c>
      <c r="L43" s="3127">
        <f t="shared" si="7"/>
        <v>91367.884796926737</v>
      </c>
      <c r="M43" s="3126">
        <f t="shared" si="8"/>
        <v>26105.109941979077</v>
      </c>
      <c r="T43" s="3155" t="s">
        <v>2739</v>
      </c>
      <c r="U43" s="3143">
        <v>237986.69029660011</v>
      </c>
      <c r="V43" s="3113">
        <v>935000</v>
      </c>
      <c r="X43" s="3154"/>
      <c r="Y43" s="3143"/>
    </row>
    <row r="44" spans="1:25">
      <c r="A44" s="3133">
        <v>36</v>
      </c>
      <c r="B44" s="3137" t="s">
        <v>2738</v>
      </c>
      <c r="C44" s="3137" t="s">
        <v>2737</v>
      </c>
      <c r="D44" s="3137"/>
      <c r="E44" s="3136">
        <v>0</v>
      </c>
      <c r="F44" s="3136"/>
      <c r="G44" s="3136"/>
      <c r="H44" s="3136"/>
      <c r="I44" s="3136"/>
      <c r="J44" s="3127">
        <f t="shared" si="6"/>
        <v>0</v>
      </c>
      <c r="K44" s="3126">
        <f t="shared" si="7"/>
        <v>0</v>
      </c>
      <c r="L44" s="3127">
        <f t="shared" si="7"/>
        <v>0</v>
      </c>
      <c r="M44" s="3126">
        <f t="shared" si="8"/>
        <v>0</v>
      </c>
      <c r="T44" s="477"/>
      <c r="U44" s="3143">
        <f>SUM(U10:U43)</f>
        <v>17127678.749018297</v>
      </c>
    </row>
    <row r="45" spans="1:25">
      <c r="A45" s="3133">
        <v>37</v>
      </c>
      <c r="B45" s="3137" t="s">
        <v>2736</v>
      </c>
      <c r="C45" s="3137" t="s">
        <v>251</v>
      </c>
      <c r="D45" s="3137"/>
      <c r="E45" s="3136">
        <v>0</v>
      </c>
      <c r="F45" s="3136"/>
      <c r="G45" s="3136"/>
      <c r="H45" s="3136"/>
      <c r="I45" s="3136"/>
      <c r="J45" s="3127">
        <f t="shared" si="6"/>
        <v>0</v>
      </c>
      <c r="K45" s="3126">
        <f t="shared" si="7"/>
        <v>0</v>
      </c>
      <c r="L45" s="3127">
        <f t="shared" si="7"/>
        <v>0</v>
      </c>
      <c r="M45" s="3126">
        <f t="shared" si="8"/>
        <v>0</v>
      </c>
      <c r="T45" s="477"/>
      <c r="U45" s="3143"/>
    </row>
    <row r="46" spans="1:25">
      <c r="A46" s="3133">
        <v>38</v>
      </c>
      <c r="B46" s="3137"/>
      <c r="C46" s="3137"/>
      <c r="D46" s="3137"/>
      <c r="E46" s="3136"/>
      <c r="F46" s="3136"/>
      <c r="G46" s="3136"/>
      <c r="H46" s="3136"/>
      <c r="I46" s="3136"/>
      <c r="J46" s="3127">
        <f t="shared" si="6"/>
        <v>0</v>
      </c>
      <c r="K46" s="3126">
        <f t="shared" si="7"/>
        <v>0</v>
      </c>
      <c r="L46" s="3127">
        <f t="shared" si="7"/>
        <v>0</v>
      </c>
      <c r="M46" s="3126">
        <f t="shared" si="8"/>
        <v>0</v>
      </c>
      <c r="T46" s="477"/>
      <c r="U46" s="3143"/>
    </row>
    <row r="47" spans="1:25">
      <c r="A47" s="3133">
        <v>39</v>
      </c>
      <c r="B47" s="3137" t="s">
        <v>2735</v>
      </c>
      <c r="C47" s="3137" t="s">
        <v>233</v>
      </c>
      <c r="D47" s="3137"/>
      <c r="E47" s="3136">
        <v>0</v>
      </c>
      <c r="F47" s="3136"/>
      <c r="G47" s="3136"/>
      <c r="H47" s="3136"/>
      <c r="I47" s="3136"/>
      <c r="J47" s="3127">
        <f t="shared" si="6"/>
        <v>0</v>
      </c>
      <c r="K47" s="3126">
        <f t="shared" si="7"/>
        <v>0</v>
      </c>
      <c r="L47" s="3127">
        <f t="shared" si="7"/>
        <v>0</v>
      </c>
      <c r="M47" s="3126">
        <f t="shared" si="8"/>
        <v>0</v>
      </c>
      <c r="R47" s="3153" t="s">
        <v>2734</v>
      </c>
      <c r="U47" s="3133" t="s">
        <v>24</v>
      </c>
      <c r="V47" s="3133" t="s">
        <v>539</v>
      </c>
    </row>
    <row r="48" spans="1:25">
      <c r="A48" s="3133">
        <v>40</v>
      </c>
      <c r="B48" s="3137" t="s">
        <v>2733</v>
      </c>
      <c r="C48" s="3137" t="s">
        <v>2732</v>
      </c>
      <c r="D48" s="3137"/>
      <c r="E48" s="3136">
        <v>0</v>
      </c>
      <c r="F48" s="3136"/>
      <c r="G48" s="3136"/>
      <c r="H48" s="3136"/>
      <c r="I48" s="3136"/>
      <c r="J48" s="3127">
        <f t="shared" si="6"/>
        <v>0</v>
      </c>
      <c r="K48" s="3126">
        <f t="shared" si="7"/>
        <v>0</v>
      </c>
      <c r="L48" s="3127">
        <f t="shared" si="7"/>
        <v>0</v>
      </c>
      <c r="M48" s="3126">
        <f t="shared" si="8"/>
        <v>0</v>
      </c>
      <c r="R48" s="3113" t="s">
        <v>839</v>
      </c>
      <c r="S48" s="3152">
        <v>0.20707999999999999</v>
      </c>
      <c r="T48" s="3152">
        <v>0.71745999999999999</v>
      </c>
      <c r="U48" s="3143">
        <v>19323555</v>
      </c>
      <c r="V48" s="3143">
        <f>U48*S48*T48</f>
        <v>2870931.8086737236</v>
      </c>
    </row>
    <row r="49" spans="1:22">
      <c r="A49" s="3133">
        <v>41</v>
      </c>
      <c r="B49" s="3137" t="s">
        <v>2731</v>
      </c>
      <c r="C49" s="3137" t="s">
        <v>2730</v>
      </c>
      <c r="D49" s="3137"/>
      <c r="E49" s="3136">
        <v>0</v>
      </c>
      <c r="F49" s="3136"/>
      <c r="G49" s="3136"/>
      <c r="H49" s="3136"/>
      <c r="I49" s="3136"/>
      <c r="J49" s="3127">
        <f t="shared" si="6"/>
        <v>0</v>
      </c>
      <c r="K49" s="3126">
        <f t="shared" si="7"/>
        <v>0</v>
      </c>
      <c r="L49" s="3127">
        <f t="shared" si="7"/>
        <v>0</v>
      </c>
      <c r="M49" s="3126">
        <f t="shared" si="8"/>
        <v>0</v>
      </c>
      <c r="R49" s="3113" t="s">
        <v>2729</v>
      </c>
      <c r="S49" s="3152">
        <v>0.22856000000000001</v>
      </c>
      <c r="T49" s="3152">
        <v>0.71745999999999999</v>
      </c>
      <c r="U49" s="3143">
        <v>76417</v>
      </c>
      <c r="V49" s="3143">
        <f>U49*S49*T49</f>
        <v>12531.062745819199</v>
      </c>
    </row>
    <row r="50" spans="1:22">
      <c r="A50" s="3133">
        <v>42</v>
      </c>
      <c r="B50" s="3137" t="s">
        <v>2728</v>
      </c>
      <c r="C50" s="3137" t="s">
        <v>2727</v>
      </c>
      <c r="D50" s="3137"/>
      <c r="E50" s="3136">
        <v>0</v>
      </c>
      <c r="F50" s="3136"/>
      <c r="G50" s="3136"/>
      <c r="H50" s="3136"/>
      <c r="I50" s="3136"/>
      <c r="J50" s="3127">
        <f t="shared" si="6"/>
        <v>0</v>
      </c>
      <c r="K50" s="3126">
        <f t="shared" si="7"/>
        <v>0</v>
      </c>
      <c r="L50" s="3127">
        <f t="shared" si="7"/>
        <v>0</v>
      </c>
      <c r="M50" s="3126">
        <f t="shared" si="8"/>
        <v>0</v>
      </c>
      <c r="S50" s="3152"/>
      <c r="T50" s="3152"/>
      <c r="U50" s="3143">
        <v>0</v>
      </c>
      <c r="V50" s="3143">
        <f>U50*S50*T50</f>
        <v>0</v>
      </c>
    </row>
    <row r="51" spans="1:22">
      <c r="A51" s="3133">
        <v>43</v>
      </c>
      <c r="B51" s="3137" t="s">
        <v>2726</v>
      </c>
      <c r="C51" s="3137" t="s">
        <v>2725</v>
      </c>
      <c r="D51" s="3137"/>
      <c r="E51" s="3136">
        <v>0</v>
      </c>
      <c r="F51" s="3136"/>
      <c r="G51" s="3136"/>
      <c r="H51" s="3136"/>
      <c r="I51" s="3136"/>
      <c r="J51" s="3127">
        <f t="shared" si="6"/>
        <v>0</v>
      </c>
      <c r="K51" s="3126">
        <f t="shared" si="7"/>
        <v>0</v>
      </c>
      <c r="L51" s="3127">
        <f t="shared" si="7"/>
        <v>0</v>
      </c>
      <c r="M51" s="3126">
        <f t="shared" si="8"/>
        <v>0</v>
      </c>
      <c r="S51" s="3152"/>
      <c r="T51" s="3152"/>
      <c r="U51" s="3143">
        <v>0</v>
      </c>
      <c r="V51" s="3143">
        <f>U51*S51*T51</f>
        <v>0</v>
      </c>
    </row>
    <row r="52" spans="1:22">
      <c r="A52" s="3133">
        <v>44</v>
      </c>
      <c r="B52" s="3137" t="s">
        <v>2724</v>
      </c>
      <c r="C52" s="3137" t="s">
        <v>2723</v>
      </c>
      <c r="D52" s="3137"/>
      <c r="E52" s="3136">
        <v>0</v>
      </c>
      <c r="F52" s="3136"/>
      <c r="G52" s="3136"/>
      <c r="H52" s="3136"/>
      <c r="I52" s="3136"/>
      <c r="J52" s="3127">
        <f t="shared" si="6"/>
        <v>0</v>
      </c>
      <c r="K52" s="3126">
        <f t="shared" si="7"/>
        <v>0</v>
      </c>
      <c r="L52" s="3127">
        <f t="shared" si="7"/>
        <v>0</v>
      </c>
      <c r="M52" s="3126">
        <f t="shared" si="8"/>
        <v>0</v>
      </c>
      <c r="V52" s="3151">
        <f>SUM(V48:V51)</f>
        <v>2883462.8714195429</v>
      </c>
    </row>
    <row r="53" spans="1:22">
      <c r="A53" s="3133">
        <v>45</v>
      </c>
      <c r="B53" s="3137" t="s">
        <v>2722</v>
      </c>
      <c r="C53" s="3137" t="s">
        <v>2721</v>
      </c>
      <c r="D53" s="3137"/>
      <c r="E53" s="3136">
        <v>0</v>
      </c>
      <c r="F53" s="3136"/>
      <c r="G53" s="3136"/>
      <c r="H53" s="3136"/>
      <c r="I53" s="3136"/>
      <c r="J53" s="3127">
        <f t="shared" si="6"/>
        <v>0</v>
      </c>
      <c r="K53" s="3126">
        <f t="shared" si="7"/>
        <v>0</v>
      </c>
      <c r="L53" s="3127">
        <f t="shared" si="7"/>
        <v>0</v>
      </c>
      <c r="M53" s="3126">
        <f t="shared" si="8"/>
        <v>0</v>
      </c>
      <c r="T53" s="477"/>
      <c r="U53" s="3143"/>
    </row>
    <row r="54" spans="1:22">
      <c r="A54" s="3133">
        <v>46</v>
      </c>
      <c r="B54" s="3137" t="s">
        <v>2720</v>
      </c>
      <c r="C54" s="3137" t="s">
        <v>235</v>
      </c>
      <c r="D54" s="3137"/>
      <c r="E54" s="3136">
        <v>1491595</v>
      </c>
      <c r="F54" s="3136"/>
      <c r="G54" s="3136"/>
      <c r="H54" s="3136"/>
      <c r="I54" s="3136"/>
      <c r="J54" s="3127">
        <f t="shared" si="6"/>
        <v>1491595</v>
      </c>
      <c r="K54" s="3126">
        <f t="shared" si="7"/>
        <v>170571.13435294945</v>
      </c>
      <c r="L54" s="3127">
        <f t="shared" si="7"/>
        <v>238799.58809412923</v>
      </c>
      <c r="M54" s="3126">
        <f t="shared" si="8"/>
        <v>68228.453741179779</v>
      </c>
      <c r="T54" s="477"/>
      <c r="U54" s="3143"/>
    </row>
    <row r="55" spans="1:22">
      <c r="A55" s="3133">
        <v>47</v>
      </c>
      <c r="B55" s="3132"/>
      <c r="C55" s="3132" t="s">
        <v>2719</v>
      </c>
      <c r="D55" s="3132"/>
      <c r="E55" s="3140">
        <f t="shared" ref="E55:M55" si="9">SUM(E35:E54)</f>
        <v>2062299</v>
      </c>
      <c r="F55" s="3140">
        <f t="shared" si="9"/>
        <v>0</v>
      </c>
      <c r="G55" s="3140">
        <f t="shared" si="9"/>
        <v>0</v>
      </c>
      <c r="H55" s="3140">
        <f t="shared" si="9"/>
        <v>0</v>
      </c>
      <c r="I55" s="3140">
        <f t="shared" si="9"/>
        <v>0</v>
      </c>
      <c r="J55" s="3139">
        <f t="shared" si="9"/>
        <v>2062299</v>
      </c>
      <c r="K55" s="3138">
        <f t="shared" si="9"/>
        <v>235833.90920789712</v>
      </c>
      <c r="L55" s="3139">
        <f t="shared" si="9"/>
        <v>330167.47289105598</v>
      </c>
      <c r="M55" s="3138">
        <f t="shared" si="9"/>
        <v>94333.563683158864</v>
      </c>
      <c r="T55" s="477"/>
      <c r="U55" s="3143"/>
    </row>
    <row r="56" spans="1:22">
      <c r="A56" s="3133">
        <v>48</v>
      </c>
      <c r="B56" s="3137"/>
      <c r="C56" s="3137"/>
      <c r="D56" s="3137"/>
      <c r="E56" s="3136"/>
      <c r="F56" s="3136"/>
      <c r="G56" s="3136"/>
      <c r="H56" s="3136"/>
      <c r="I56" s="3136"/>
      <c r="J56" s="3135"/>
      <c r="K56" s="3134"/>
      <c r="L56" s="3135"/>
      <c r="M56" s="3134"/>
      <c r="T56" s="477"/>
      <c r="U56" s="3143"/>
    </row>
    <row r="57" spans="1:22">
      <c r="A57" s="3133">
        <v>49</v>
      </c>
      <c r="B57" s="3137"/>
      <c r="C57" s="3132" t="s">
        <v>2718</v>
      </c>
      <c r="D57" s="3137"/>
      <c r="E57" s="3141"/>
      <c r="F57" s="3141"/>
      <c r="G57" s="3141"/>
      <c r="H57" s="3141"/>
      <c r="I57" s="3141"/>
      <c r="J57" s="3150"/>
      <c r="K57" s="3149"/>
      <c r="L57" s="3150"/>
      <c r="M57" s="3149"/>
      <c r="T57" s="477"/>
      <c r="U57" s="3143"/>
    </row>
    <row r="58" spans="1:22">
      <c r="A58" s="3133">
        <v>50</v>
      </c>
      <c r="B58" s="3137"/>
      <c r="C58" s="3148" t="s">
        <v>2717</v>
      </c>
      <c r="D58" s="3137"/>
      <c r="E58" s="3136"/>
      <c r="F58" s="3136"/>
      <c r="G58" s="3136"/>
      <c r="H58" s="3136"/>
      <c r="I58" s="3136"/>
      <c r="J58" s="3135"/>
      <c r="K58" s="3134"/>
      <c r="L58" s="3135"/>
      <c r="M58" s="3134"/>
      <c r="T58" s="477"/>
      <c r="U58" s="3143"/>
    </row>
    <row r="59" spans="1:22">
      <c r="A59" s="3133">
        <v>51</v>
      </c>
      <c r="B59" s="3137" t="s">
        <v>2716</v>
      </c>
      <c r="C59" s="3137" t="s">
        <v>233</v>
      </c>
      <c r="D59" s="3137"/>
      <c r="E59" s="3136">
        <v>1609942</v>
      </c>
      <c r="F59" s="3136">
        <f>U12</f>
        <v>1310615.7309850003</v>
      </c>
      <c r="G59" s="3136"/>
      <c r="H59" s="3136"/>
      <c r="I59" s="3136"/>
      <c r="J59" s="3127">
        <f t="shared" ref="J59:J69" si="10">E59-SUM(F59:H59)+I59</f>
        <v>299326.26901499974</v>
      </c>
      <c r="K59" s="3126">
        <f t="shared" ref="K59:L69" si="11">$J59*K$8</f>
        <v>34229.41297572371</v>
      </c>
      <c r="L59" s="3127">
        <f t="shared" si="11"/>
        <v>47921.178166013196</v>
      </c>
      <c r="M59" s="3126">
        <f t="shared" ref="M59:M69" si="12">L59-K59</f>
        <v>13691.765190289487</v>
      </c>
      <c r="T59" s="477"/>
      <c r="U59" s="3143"/>
    </row>
    <row r="60" spans="1:22">
      <c r="A60" s="3133">
        <v>52</v>
      </c>
      <c r="B60" s="3137" t="s">
        <v>2715</v>
      </c>
      <c r="C60" s="3137" t="s">
        <v>244</v>
      </c>
      <c r="D60" s="3137"/>
      <c r="E60" s="3136">
        <v>0</v>
      </c>
      <c r="F60" s="3136"/>
      <c r="G60" s="3136"/>
      <c r="H60" s="3136"/>
      <c r="I60" s="3136"/>
      <c r="J60" s="3127">
        <f t="shared" si="10"/>
        <v>0</v>
      </c>
      <c r="K60" s="3126">
        <f t="shared" si="11"/>
        <v>0</v>
      </c>
      <c r="L60" s="3127">
        <f t="shared" si="11"/>
        <v>0</v>
      </c>
      <c r="M60" s="3126">
        <f t="shared" si="12"/>
        <v>0</v>
      </c>
      <c r="T60" s="477"/>
      <c r="U60" s="3143"/>
    </row>
    <row r="61" spans="1:22">
      <c r="A61" s="3133">
        <v>53</v>
      </c>
      <c r="B61" s="3137" t="s">
        <v>2714</v>
      </c>
      <c r="C61" s="3137" t="s">
        <v>2713</v>
      </c>
      <c r="D61" s="3137"/>
      <c r="E61" s="3136">
        <v>0</v>
      </c>
      <c r="F61" s="3136"/>
      <c r="G61" s="3136"/>
      <c r="H61" s="3136"/>
      <c r="I61" s="3136"/>
      <c r="J61" s="3127">
        <f t="shared" si="10"/>
        <v>0</v>
      </c>
      <c r="K61" s="3126">
        <f t="shared" si="11"/>
        <v>0</v>
      </c>
      <c r="L61" s="3127">
        <f t="shared" si="11"/>
        <v>0</v>
      </c>
      <c r="M61" s="3126">
        <f t="shared" si="12"/>
        <v>0</v>
      </c>
      <c r="T61" s="477"/>
      <c r="U61" s="3143"/>
    </row>
    <row r="62" spans="1:22">
      <c r="A62" s="3133">
        <v>54</v>
      </c>
      <c r="B62" s="3137" t="s">
        <v>2712</v>
      </c>
      <c r="C62" s="3137" t="s">
        <v>2711</v>
      </c>
      <c r="D62" s="3137"/>
      <c r="E62" s="3136">
        <v>3230198</v>
      </c>
      <c r="F62" s="3136">
        <f t="shared" ref="F62:F68" si="13">U13</f>
        <v>1442985.4350720011</v>
      </c>
      <c r="G62" s="3136"/>
      <c r="H62" s="3136"/>
      <c r="I62" s="3136">
        <v>-2754</v>
      </c>
      <c r="J62" s="3127">
        <f t="shared" si="10"/>
        <v>1784458.5649279989</v>
      </c>
      <c r="K62" s="3126">
        <f t="shared" si="11"/>
        <v>204061.50572079222</v>
      </c>
      <c r="L62" s="3127">
        <f t="shared" si="11"/>
        <v>285686.1080091091</v>
      </c>
      <c r="M62" s="3126">
        <f t="shared" si="12"/>
        <v>81624.602288316877</v>
      </c>
      <c r="T62" s="477"/>
      <c r="U62" s="3143"/>
    </row>
    <row r="63" spans="1:22">
      <c r="A63" s="3133">
        <v>55</v>
      </c>
      <c r="B63" s="3137" t="s">
        <v>2710</v>
      </c>
      <c r="C63" s="3137" t="s">
        <v>2694</v>
      </c>
      <c r="D63" s="3137"/>
      <c r="E63" s="3136">
        <v>88889</v>
      </c>
      <c r="F63" s="3136">
        <f t="shared" si="13"/>
        <v>70940.190000000017</v>
      </c>
      <c r="G63" s="3136"/>
      <c r="H63" s="3136"/>
      <c r="I63" s="3136"/>
      <c r="J63" s="3127">
        <f t="shared" si="10"/>
        <v>17948.809999999983</v>
      </c>
      <c r="K63" s="3126">
        <f t="shared" si="11"/>
        <v>2052.5336180300683</v>
      </c>
      <c r="L63" s="3127">
        <f t="shared" si="11"/>
        <v>2873.5470652420959</v>
      </c>
      <c r="M63" s="3126">
        <f t="shared" si="12"/>
        <v>821.01344721202759</v>
      </c>
      <c r="T63" s="477"/>
      <c r="U63" s="3143"/>
    </row>
    <row r="64" spans="1:22">
      <c r="A64" s="3133">
        <v>56</v>
      </c>
      <c r="B64" s="3137" t="s">
        <v>2709</v>
      </c>
      <c r="C64" s="3137" t="s">
        <v>2692</v>
      </c>
      <c r="D64" s="3137"/>
      <c r="E64" s="3136">
        <v>5860</v>
      </c>
      <c r="F64" s="3136">
        <f t="shared" si="13"/>
        <v>4877.17</v>
      </c>
      <c r="G64" s="3136"/>
      <c r="H64" s="3136"/>
      <c r="I64" s="3136"/>
      <c r="J64" s="3127">
        <f t="shared" si="10"/>
        <v>982.82999999999993</v>
      </c>
      <c r="K64" s="3126">
        <f t="shared" si="11"/>
        <v>112.39138504494134</v>
      </c>
      <c r="L64" s="3127">
        <f t="shared" si="11"/>
        <v>157.3479390629179</v>
      </c>
      <c r="M64" s="3126">
        <f t="shared" si="12"/>
        <v>44.956554017976558</v>
      </c>
      <c r="T64" s="477"/>
      <c r="U64" s="3143"/>
    </row>
    <row r="65" spans="1:21">
      <c r="A65" s="3133">
        <v>57</v>
      </c>
      <c r="B65" s="3137" t="s">
        <v>2708</v>
      </c>
      <c r="C65" s="3137" t="s">
        <v>2690</v>
      </c>
      <c r="D65" s="3137"/>
      <c r="E65" s="3136">
        <v>47365</v>
      </c>
      <c r="F65" s="3136">
        <f t="shared" si="13"/>
        <v>40412.270000000011</v>
      </c>
      <c r="G65" s="3136"/>
      <c r="H65" s="3136"/>
      <c r="I65" s="3136"/>
      <c r="J65" s="3127">
        <f t="shared" si="10"/>
        <v>6952.7299999999886</v>
      </c>
      <c r="K65" s="3126">
        <f t="shared" si="11"/>
        <v>795.07845155674306</v>
      </c>
      <c r="L65" s="3127">
        <f t="shared" si="11"/>
        <v>1113.1098321794404</v>
      </c>
      <c r="M65" s="3126">
        <f t="shared" si="12"/>
        <v>318.03138062269738</v>
      </c>
      <c r="T65" s="477"/>
      <c r="U65" s="3143"/>
    </row>
    <row r="66" spans="1:21">
      <c r="A66" s="3133">
        <v>58</v>
      </c>
      <c r="B66" s="3137" t="s">
        <v>2707</v>
      </c>
      <c r="C66" s="3137" t="s">
        <v>2706</v>
      </c>
      <c r="D66" s="3137"/>
      <c r="E66" s="3136">
        <v>357349</v>
      </c>
      <c r="F66" s="3136">
        <f t="shared" si="13"/>
        <v>4774.5700000000015</v>
      </c>
      <c r="G66" s="3136"/>
      <c r="H66" s="3136"/>
      <c r="I66" s="3136"/>
      <c r="J66" s="3127">
        <f t="shared" si="10"/>
        <v>352574.43</v>
      </c>
      <c r="K66" s="3126">
        <f t="shared" si="11"/>
        <v>40318.59886158412</v>
      </c>
      <c r="L66" s="3127">
        <f t="shared" si="11"/>
        <v>56446.038406217776</v>
      </c>
      <c r="M66" s="3126">
        <f t="shared" si="12"/>
        <v>16127.439544633657</v>
      </c>
      <c r="T66" s="477"/>
      <c r="U66" s="3143"/>
    </row>
    <row r="67" spans="1:21">
      <c r="A67" s="3133">
        <v>59</v>
      </c>
      <c r="B67" s="3137" t="s">
        <v>2705</v>
      </c>
      <c r="C67" s="3137" t="s">
        <v>2704</v>
      </c>
      <c r="D67" s="3137"/>
      <c r="E67" s="3136">
        <v>1411593</v>
      </c>
      <c r="F67" s="3136">
        <f t="shared" si="13"/>
        <v>1159304.0226240021</v>
      </c>
      <c r="G67" s="3136"/>
      <c r="H67" s="3136"/>
      <c r="I67" s="3136"/>
      <c r="J67" s="3127">
        <f t="shared" si="10"/>
        <v>252288.97737599793</v>
      </c>
      <c r="K67" s="3126">
        <f t="shared" si="11"/>
        <v>28850.470171708515</v>
      </c>
      <c r="L67" s="3127">
        <f t="shared" si="11"/>
        <v>40390.658240391924</v>
      </c>
      <c r="M67" s="3126">
        <f t="shared" si="12"/>
        <v>11540.188068683408</v>
      </c>
      <c r="T67" s="477"/>
      <c r="U67" s="3143"/>
    </row>
    <row r="68" spans="1:21">
      <c r="A68" s="3133">
        <v>60</v>
      </c>
      <c r="B68" s="3137" t="s">
        <v>2703</v>
      </c>
      <c r="C68" s="3137" t="s">
        <v>2702</v>
      </c>
      <c r="D68" s="3137"/>
      <c r="E68" s="3136">
        <v>2143569</v>
      </c>
      <c r="F68" s="3136">
        <f t="shared" si="13"/>
        <v>1433638.7625120028</v>
      </c>
      <c r="G68" s="3136"/>
      <c r="H68" s="3136"/>
      <c r="I68" s="3136">
        <v>-204</v>
      </c>
      <c r="J68" s="3127">
        <f t="shared" si="10"/>
        <v>709726.23748799716</v>
      </c>
      <c r="K68" s="3126">
        <f t="shared" si="11"/>
        <v>81160.643075619359</v>
      </c>
      <c r="L68" s="3127">
        <f t="shared" si="11"/>
        <v>113624.90030586712</v>
      </c>
      <c r="M68" s="3126">
        <f t="shared" si="12"/>
        <v>32464.257230247764</v>
      </c>
      <c r="T68" s="477"/>
      <c r="U68" s="3143"/>
    </row>
    <row r="69" spans="1:21">
      <c r="A69" s="3133">
        <v>61</v>
      </c>
      <c r="B69" s="3137" t="s">
        <v>2701</v>
      </c>
      <c r="C69" s="3137" t="s">
        <v>251</v>
      </c>
      <c r="D69" s="3137"/>
      <c r="E69" s="3136">
        <v>-5121</v>
      </c>
      <c r="F69" s="3136"/>
      <c r="G69" s="3136"/>
      <c r="H69" s="3136"/>
      <c r="I69" s="3136">
        <v>0</v>
      </c>
      <c r="J69" s="3127">
        <f t="shared" si="10"/>
        <v>-5121</v>
      </c>
      <c r="K69" s="3126">
        <f t="shared" si="11"/>
        <v>-585.61122759291504</v>
      </c>
      <c r="L69" s="3127">
        <f t="shared" si="11"/>
        <v>-819.85571863008113</v>
      </c>
      <c r="M69" s="3126">
        <f t="shared" si="12"/>
        <v>-234.24449103716609</v>
      </c>
      <c r="T69" s="477"/>
      <c r="U69" s="3143"/>
    </row>
    <row r="70" spans="1:21">
      <c r="A70" s="3133">
        <v>62</v>
      </c>
      <c r="B70" s="3132"/>
      <c r="C70" s="3132" t="s">
        <v>2700</v>
      </c>
      <c r="D70" s="3132"/>
      <c r="E70" s="3140">
        <f t="shared" ref="E70:M70" si="14">SUM(E59:E69)</f>
        <v>8889644</v>
      </c>
      <c r="F70" s="3140">
        <f t="shared" si="14"/>
        <v>5467548.151193006</v>
      </c>
      <c r="G70" s="3140">
        <f t="shared" si="14"/>
        <v>0</v>
      </c>
      <c r="H70" s="3140">
        <f t="shared" si="14"/>
        <v>0</v>
      </c>
      <c r="I70" s="3140">
        <f t="shared" si="14"/>
        <v>-2958</v>
      </c>
      <c r="J70" s="3139">
        <f t="shared" si="14"/>
        <v>3419137.848806994</v>
      </c>
      <c r="K70" s="3138">
        <f t="shared" si="14"/>
        <v>390995.02303246676</v>
      </c>
      <c r="L70" s="3139">
        <f t="shared" si="14"/>
        <v>547393.03224545345</v>
      </c>
      <c r="M70" s="3138">
        <f t="shared" si="14"/>
        <v>156398.00921298674</v>
      </c>
      <c r="T70" s="477"/>
      <c r="U70" s="3143"/>
    </row>
    <row r="71" spans="1:21">
      <c r="A71" s="3133">
        <v>63</v>
      </c>
      <c r="B71" s="3137"/>
      <c r="C71" s="3148" t="s">
        <v>2699</v>
      </c>
      <c r="D71" s="3137"/>
      <c r="E71" s="3136"/>
      <c r="F71" s="3136"/>
      <c r="G71" s="3136"/>
      <c r="H71" s="3136"/>
      <c r="I71" s="3136"/>
      <c r="J71" s="3135"/>
      <c r="K71" s="3134"/>
      <c r="L71" s="3135"/>
      <c r="M71" s="3134"/>
      <c r="T71" s="477"/>
      <c r="U71" s="3143"/>
    </row>
    <row r="72" spans="1:21">
      <c r="A72" s="3133">
        <v>64</v>
      </c>
      <c r="B72" s="3137" t="s">
        <v>2698</v>
      </c>
      <c r="C72" s="3137" t="s">
        <v>233</v>
      </c>
      <c r="D72" s="3137"/>
      <c r="E72" s="3136">
        <v>14914</v>
      </c>
      <c r="F72" s="3147">
        <f>U20</f>
        <v>7619.0300000000007</v>
      </c>
      <c r="G72" s="1988"/>
      <c r="H72" s="1988"/>
      <c r="I72" s="1988"/>
      <c r="J72" s="3127">
        <f t="shared" ref="J72:J80" si="15">E72-SUM(F72:H72)+I72</f>
        <v>7294.9699999999993</v>
      </c>
      <c r="K72" s="3126">
        <f t="shared" ref="K72:L80" si="16">$J72*K$8</f>
        <v>834.21525814362178</v>
      </c>
      <c r="L72" s="3127">
        <f t="shared" si="16"/>
        <v>1167.9013614010705</v>
      </c>
      <c r="M72" s="3126">
        <f t="shared" ref="M72:M80" si="17">L72-K72</f>
        <v>333.68610325744874</v>
      </c>
      <c r="T72" s="477"/>
      <c r="U72" s="3143"/>
    </row>
    <row r="73" spans="1:21">
      <c r="A73" s="3133">
        <v>65</v>
      </c>
      <c r="B73" s="3137" t="s">
        <v>2697</v>
      </c>
      <c r="C73" s="3137" t="s">
        <v>253</v>
      </c>
      <c r="D73" s="3137"/>
      <c r="E73" s="3136">
        <v>982204</v>
      </c>
      <c r="F73" s="3147">
        <f>U21</f>
        <v>567879.31000000157</v>
      </c>
      <c r="G73" s="1988"/>
      <c r="H73" s="1988"/>
      <c r="I73" s="1988"/>
      <c r="J73" s="3127">
        <f t="shared" si="15"/>
        <v>414324.68999999843</v>
      </c>
      <c r="K73" s="3126">
        <f t="shared" si="16"/>
        <v>47380.041072632892</v>
      </c>
      <c r="L73" s="3127">
        <f t="shared" si="16"/>
        <v>66332.057501686053</v>
      </c>
      <c r="M73" s="3126">
        <f t="shared" si="17"/>
        <v>18952.016429053161</v>
      </c>
      <c r="T73" s="477"/>
      <c r="U73" s="3143"/>
    </row>
    <row r="74" spans="1:21">
      <c r="A74" s="3133">
        <v>66</v>
      </c>
      <c r="B74" s="3137" t="s">
        <v>2696</v>
      </c>
      <c r="C74" s="3137" t="s">
        <v>316</v>
      </c>
      <c r="D74" s="3137"/>
      <c r="E74" s="3136">
        <v>0</v>
      </c>
      <c r="F74" s="1988"/>
      <c r="G74" s="1988"/>
      <c r="H74" s="1988"/>
      <c r="I74" s="1988"/>
      <c r="J74" s="3127">
        <f t="shared" si="15"/>
        <v>0</v>
      </c>
      <c r="K74" s="3126">
        <f t="shared" si="16"/>
        <v>0</v>
      </c>
      <c r="L74" s="3127">
        <f t="shared" si="16"/>
        <v>0</v>
      </c>
      <c r="M74" s="3126">
        <f t="shared" si="17"/>
        <v>0</v>
      </c>
      <c r="T74" s="477"/>
      <c r="U74" s="3143"/>
    </row>
    <row r="75" spans="1:21">
      <c r="A75" s="3133">
        <v>67</v>
      </c>
      <c r="B75" s="3137" t="s">
        <v>2695</v>
      </c>
      <c r="C75" s="3137" t="s">
        <v>2694</v>
      </c>
      <c r="D75" s="3137"/>
      <c r="E75" s="3136">
        <v>211901</v>
      </c>
      <c r="F75" s="3147">
        <f t="shared" ref="F75:F80" si="18">U22</f>
        <v>121324.0402079999</v>
      </c>
      <c r="G75" s="1988"/>
      <c r="H75" s="1988"/>
      <c r="I75" s="1988"/>
      <c r="J75" s="3127">
        <f t="shared" si="15"/>
        <v>90576.959792000096</v>
      </c>
      <c r="K75" s="3126">
        <f t="shared" si="16"/>
        <v>10357.915371104722</v>
      </c>
      <c r="L75" s="3127">
        <f t="shared" si="16"/>
        <v>14501.081519546613</v>
      </c>
      <c r="M75" s="3126">
        <f t="shared" si="17"/>
        <v>4143.166148441891</v>
      </c>
      <c r="T75" s="477"/>
      <c r="U75" s="3143"/>
    </row>
    <row r="76" spans="1:21">
      <c r="A76" s="3133">
        <v>68</v>
      </c>
      <c r="B76" s="3137" t="s">
        <v>2693</v>
      </c>
      <c r="C76" s="3137" t="s">
        <v>2692</v>
      </c>
      <c r="D76" s="3137"/>
      <c r="E76" s="3136">
        <v>7827</v>
      </c>
      <c r="F76" s="3147">
        <f t="shared" si="18"/>
        <v>5106.9345599999988</v>
      </c>
      <c r="G76" s="1988"/>
      <c r="H76" s="1988"/>
      <c r="I76" s="1988"/>
      <c r="J76" s="3127">
        <f t="shared" si="15"/>
        <v>2720.0654400000012</v>
      </c>
      <c r="K76" s="3126">
        <f t="shared" si="16"/>
        <v>311.05269702235177</v>
      </c>
      <c r="L76" s="3127">
        <f t="shared" si="16"/>
        <v>435.47377583129247</v>
      </c>
      <c r="M76" s="3126">
        <f t="shared" si="17"/>
        <v>124.42107880894071</v>
      </c>
      <c r="T76" s="477"/>
      <c r="U76" s="3143"/>
    </row>
    <row r="77" spans="1:21">
      <c r="A77" s="3133">
        <v>69</v>
      </c>
      <c r="B77" s="3137" t="s">
        <v>2691</v>
      </c>
      <c r="C77" s="3137" t="s">
        <v>2690</v>
      </c>
      <c r="D77" s="3137"/>
      <c r="E77" s="3136">
        <v>83430</v>
      </c>
      <c r="F77" s="3147">
        <f t="shared" si="18"/>
        <v>37779.366959999999</v>
      </c>
      <c r="G77" s="1988"/>
      <c r="H77" s="1988"/>
      <c r="I77" s="1988"/>
      <c r="J77" s="3127">
        <f t="shared" si="15"/>
        <v>45650.633040000001</v>
      </c>
      <c r="K77" s="3126">
        <f t="shared" si="16"/>
        <v>5220.3716568928112</v>
      </c>
      <c r="L77" s="3127">
        <f t="shared" si="16"/>
        <v>7308.5203196499369</v>
      </c>
      <c r="M77" s="3126">
        <f t="shared" si="17"/>
        <v>2088.1486627571257</v>
      </c>
      <c r="T77" s="477"/>
      <c r="U77" s="3143"/>
    </row>
    <row r="78" spans="1:21">
      <c r="A78" s="3133">
        <v>70</v>
      </c>
      <c r="B78" s="3137" t="s">
        <v>2689</v>
      </c>
      <c r="C78" s="3137" t="s">
        <v>254</v>
      </c>
      <c r="D78" s="3137"/>
      <c r="E78" s="3136">
        <v>1074003</v>
      </c>
      <c r="F78" s="3147">
        <f t="shared" si="18"/>
        <v>565851.65000000072</v>
      </c>
      <c r="G78" s="1988"/>
      <c r="H78" s="1988"/>
      <c r="I78" s="3136">
        <v>-1607</v>
      </c>
      <c r="J78" s="3127">
        <f t="shared" si="15"/>
        <v>506544.34999999928</v>
      </c>
      <c r="K78" s="3126">
        <f t="shared" si="16"/>
        <v>57925.807192687913</v>
      </c>
      <c r="L78" s="3127">
        <f t="shared" si="16"/>
        <v>81096.13006976308</v>
      </c>
      <c r="M78" s="3126">
        <f t="shared" si="17"/>
        <v>23170.322877075167</v>
      </c>
      <c r="T78" s="477"/>
      <c r="U78" s="3143"/>
    </row>
    <row r="79" spans="1:21">
      <c r="A79" s="3133">
        <v>71</v>
      </c>
      <c r="B79" s="3137" t="s">
        <v>2688</v>
      </c>
      <c r="C79" s="3137" t="s">
        <v>255</v>
      </c>
      <c r="D79" s="3137"/>
      <c r="E79" s="3136">
        <v>1530870</v>
      </c>
      <c r="F79" s="3147">
        <f t="shared" si="18"/>
        <v>989093.59601600037</v>
      </c>
      <c r="G79" s="1988"/>
      <c r="H79" s="1988"/>
      <c r="I79" s="1988"/>
      <c r="J79" s="3127">
        <f t="shared" si="15"/>
        <v>541776.40398399963</v>
      </c>
      <c r="K79" s="3126">
        <f t="shared" si="16"/>
        <v>61954.763721528041</v>
      </c>
      <c r="L79" s="3127">
        <f t="shared" si="16"/>
        <v>86736.669210139255</v>
      </c>
      <c r="M79" s="3126">
        <f t="shared" si="17"/>
        <v>24781.905488611214</v>
      </c>
      <c r="T79" s="477"/>
      <c r="U79" s="3143"/>
    </row>
    <row r="80" spans="1:21">
      <c r="A80" s="3133">
        <v>72</v>
      </c>
      <c r="B80" s="3137" t="s">
        <v>2687</v>
      </c>
      <c r="C80" s="3137" t="s">
        <v>235</v>
      </c>
      <c r="D80" s="3137"/>
      <c r="E80" s="3136">
        <v>120823</v>
      </c>
      <c r="F80" s="3147">
        <f t="shared" si="18"/>
        <v>73706.933952000021</v>
      </c>
      <c r="G80" s="1988"/>
      <c r="H80" s="1988"/>
      <c r="I80" s="1988"/>
      <c r="J80" s="3127">
        <f t="shared" si="15"/>
        <v>47116.066047999979</v>
      </c>
      <c r="K80" s="3126">
        <f t="shared" si="16"/>
        <v>5387.9510403667509</v>
      </c>
      <c r="L80" s="3127">
        <f t="shared" si="16"/>
        <v>7543.1314565134526</v>
      </c>
      <c r="M80" s="3126">
        <f t="shared" si="17"/>
        <v>2155.1804161467016</v>
      </c>
      <c r="T80" s="477"/>
      <c r="U80" s="3143"/>
    </row>
    <row r="81" spans="1:21">
      <c r="A81" s="3133">
        <v>73</v>
      </c>
      <c r="B81" s="3132"/>
      <c r="C81" s="3132" t="s">
        <v>2686</v>
      </c>
      <c r="D81" s="3132"/>
      <c r="E81" s="3140">
        <f t="shared" ref="E81:M81" si="19">SUM(E72:E76)+ SUM(E77:E80)</f>
        <v>4025972</v>
      </c>
      <c r="F81" s="3140">
        <f t="shared" si="19"/>
        <v>2368360.8616960025</v>
      </c>
      <c r="G81" s="3140">
        <f t="shared" si="19"/>
        <v>0</v>
      </c>
      <c r="H81" s="3140">
        <f t="shared" si="19"/>
        <v>0</v>
      </c>
      <c r="I81" s="3140">
        <f t="shared" si="19"/>
        <v>-1607</v>
      </c>
      <c r="J81" s="3139">
        <f t="shared" si="19"/>
        <v>1656004.1383039975</v>
      </c>
      <c r="K81" s="3138">
        <f t="shared" si="19"/>
        <v>189372.11801037911</v>
      </c>
      <c r="L81" s="3139">
        <f t="shared" si="19"/>
        <v>265120.96521453076</v>
      </c>
      <c r="M81" s="3138">
        <f t="shared" si="19"/>
        <v>75748.847204151651</v>
      </c>
      <c r="T81" s="477"/>
      <c r="U81" s="3143"/>
    </row>
    <row r="82" spans="1:21">
      <c r="A82" s="3133">
        <v>74</v>
      </c>
      <c r="B82" s="3137"/>
      <c r="C82" s="3137"/>
      <c r="D82" s="3137"/>
      <c r="E82" s="3146"/>
      <c r="F82" s="3146"/>
      <c r="G82" s="3146"/>
      <c r="H82" s="3146"/>
      <c r="I82" s="3146"/>
      <c r="J82" s="3145"/>
      <c r="K82" s="3144"/>
      <c r="L82" s="3145"/>
      <c r="M82" s="3144"/>
      <c r="T82" s="477"/>
      <c r="U82" s="3143"/>
    </row>
    <row r="83" spans="1:21">
      <c r="A83" s="3133">
        <v>75</v>
      </c>
      <c r="B83" s="3132"/>
      <c r="C83" s="3132" t="s">
        <v>2685</v>
      </c>
      <c r="D83" s="3132"/>
      <c r="E83" s="3131">
        <f t="shared" ref="E83:M83" si="20">E70+E81</f>
        <v>12915616</v>
      </c>
      <c r="F83" s="3131">
        <f t="shared" si="20"/>
        <v>7835909.012889009</v>
      </c>
      <c r="G83" s="3131">
        <f t="shared" si="20"/>
        <v>0</v>
      </c>
      <c r="H83" s="3131">
        <f t="shared" si="20"/>
        <v>0</v>
      </c>
      <c r="I83" s="3131">
        <f t="shared" si="20"/>
        <v>-4565</v>
      </c>
      <c r="J83" s="3130">
        <f t="shared" si="20"/>
        <v>5075141.987110991</v>
      </c>
      <c r="K83" s="3142">
        <f t="shared" si="20"/>
        <v>580367.14104284591</v>
      </c>
      <c r="L83" s="3130">
        <f t="shared" si="20"/>
        <v>812513.99745998415</v>
      </c>
      <c r="M83" s="3142">
        <f t="shared" si="20"/>
        <v>232146.85641713839</v>
      </c>
      <c r="T83" s="477"/>
      <c r="U83" s="3143"/>
    </row>
    <row r="84" spans="1:21">
      <c r="A84" s="3133">
        <v>76</v>
      </c>
      <c r="B84" s="3137"/>
      <c r="C84" s="3137"/>
      <c r="D84" s="3137"/>
      <c r="E84" s="3136"/>
      <c r="F84" s="3136"/>
      <c r="G84" s="3136"/>
      <c r="H84" s="3136"/>
      <c r="I84" s="3136"/>
      <c r="J84" s="3135"/>
      <c r="K84" s="3134"/>
      <c r="L84" s="3135"/>
      <c r="M84" s="3126">
        <f t="shared" ref="M84:M90" si="21">L84-K84</f>
        <v>0</v>
      </c>
      <c r="T84" s="477"/>
      <c r="U84" s="3143"/>
    </row>
    <row r="85" spans="1:21">
      <c r="A85" s="3133">
        <v>77</v>
      </c>
      <c r="B85" s="3137"/>
      <c r="C85" s="3132" t="s">
        <v>2684</v>
      </c>
      <c r="D85" s="3137"/>
      <c r="E85" s="3136"/>
      <c r="F85" s="3136"/>
      <c r="G85" s="3136"/>
      <c r="H85" s="3136"/>
      <c r="I85" s="3136"/>
      <c r="J85" s="3135"/>
      <c r="K85" s="3134"/>
      <c r="L85" s="3135"/>
      <c r="M85" s="3126">
        <f t="shared" si="21"/>
        <v>0</v>
      </c>
      <c r="T85" s="477"/>
      <c r="U85" s="3143"/>
    </row>
    <row r="86" spans="1:21">
      <c r="A86" s="3133">
        <v>78</v>
      </c>
      <c r="B86" s="3137" t="s">
        <v>2683</v>
      </c>
      <c r="C86" s="3137" t="s">
        <v>261</v>
      </c>
      <c r="D86" s="3137"/>
      <c r="E86" s="3136">
        <v>56410</v>
      </c>
      <c r="F86" s="3136">
        <f>U28</f>
        <v>57779.495999999992</v>
      </c>
      <c r="G86" s="3136"/>
      <c r="H86" s="3136"/>
      <c r="I86" s="3136"/>
      <c r="J86" s="3127">
        <f>E86-SUM(F86:H86)+I86</f>
        <v>-1369.4959999999919</v>
      </c>
      <c r="K86" s="3126">
        <f t="shared" ref="K86:L90" si="22">$J86*K$8</f>
        <v>-156.60852055137318</v>
      </c>
      <c r="L86" s="3127">
        <f t="shared" si="22"/>
        <v>-219.25192877192245</v>
      </c>
      <c r="M86" s="3126">
        <f t="shared" si="21"/>
        <v>-62.643408220549276</v>
      </c>
      <c r="T86" s="477"/>
      <c r="U86" s="3143"/>
    </row>
    <row r="87" spans="1:21">
      <c r="A87" s="3133">
        <v>79</v>
      </c>
      <c r="B87" s="3137" t="s">
        <v>2682</v>
      </c>
      <c r="C87" s="3137" t="s">
        <v>2681</v>
      </c>
      <c r="D87" s="3137"/>
      <c r="E87" s="3136">
        <v>334068</v>
      </c>
      <c r="F87" s="3136">
        <f>U29</f>
        <v>234846.55489290011</v>
      </c>
      <c r="G87" s="3136"/>
      <c r="H87" s="3136"/>
      <c r="I87" s="3136">
        <v>0</v>
      </c>
      <c r="J87" s="3127">
        <f>E87-SUM(F87:H87)+I87</f>
        <v>99221.445107099891</v>
      </c>
      <c r="K87" s="3126">
        <f t="shared" si="22"/>
        <v>11346.454261416091</v>
      </c>
      <c r="L87" s="3127">
        <f t="shared" si="22"/>
        <v>15885.035965982528</v>
      </c>
      <c r="M87" s="3126">
        <f t="shared" si="21"/>
        <v>4538.5817045664371</v>
      </c>
      <c r="T87" s="477"/>
      <c r="U87" s="3143"/>
    </row>
    <row r="88" spans="1:21">
      <c r="A88" s="3133">
        <v>80</v>
      </c>
      <c r="B88" s="3137" t="s">
        <v>2680</v>
      </c>
      <c r="C88" s="3137" t="s">
        <v>2679</v>
      </c>
      <c r="D88" s="3137"/>
      <c r="E88" s="3136">
        <v>3431676</v>
      </c>
      <c r="F88" s="3136">
        <f>U30</f>
        <v>1948854.2636049024</v>
      </c>
      <c r="G88" s="3136"/>
      <c r="H88" s="3136"/>
      <c r="I88" s="3136"/>
      <c r="J88" s="3127">
        <f>E88-SUM(F88:H88)+I88</f>
        <v>1482821.7363950976</v>
      </c>
      <c r="K88" s="3126">
        <f t="shared" si="22"/>
        <v>169567.86903959987</v>
      </c>
      <c r="L88" s="3127">
        <f t="shared" si="22"/>
        <v>237395.01665543983</v>
      </c>
      <c r="M88" s="3126">
        <f t="shared" si="21"/>
        <v>67827.14761583996</v>
      </c>
      <c r="U88" s="3143"/>
    </row>
    <row r="89" spans="1:21">
      <c r="A89" s="3133">
        <v>81</v>
      </c>
      <c r="B89" s="3137" t="s">
        <v>2678</v>
      </c>
      <c r="C89" s="3137" t="s">
        <v>265</v>
      </c>
      <c r="D89" s="3137"/>
      <c r="E89" s="3136">
        <v>15712</v>
      </c>
      <c r="F89" s="3136"/>
      <c r="G89" s="3136"/>
      <c r="H89" s="3136">
        <v>15712</v>
      </c>
      <c r="I89" s="3136"/>
      <c r="J89" s="3127">
        <f>E89-SUM(F89:H89)+I89</f>
        <v>0</v>
      </c>
      <c r="K89" s="3126">
        <f t="shared" si="22"/>
        <v>0</v>
      </c>
      <c r="L89" s="3127">
        <f t="shared" si="22"/>
        <v>0</v>
      </c>
      <c r="M89" s="3126">
        <f t="shared" si="21"/>
        <v>0</v>
      </c>
    </row>
    <row r="90" spans="1:21">
      <c r="A90" s="3133">
        <v>82</v>
      </c>
      <c r="B90" s="3137" t="s">
        <v>2677</v>
      </c>
      <c r="C90" s="3137" t="s">
        <v>2676</v>
      </c>
      <c r="D90" s="3137"/>
      <c r="E90" s="3136">
        <v>154636</v>
      </c>
      <c r="F90" s="3136">
        <f>U31</f>
        <v>130355.39619130027</v>
      </c>
      <c r="G90" s="3136"/>
      <c r="H90" s="3136"/>
      <c r="I90" s="3136"/>
      <c r="J90" s="3127">
        <f>E90-SUM(F90:H90)+I90</f>
        <v>24280.603808699729</v>
      </c>
      <c r="K90" s="3126">
        <f t="shared" si="22"/>
        <v>2776.6049996309034</v>
      </c>
      <c r="L90" s="3127">
        <f t="shared" si="22"/>
        <v>3887.246999483265</v>
      </c>
      <c r="M90" s="3126">
        <f t="shared" si="21"/>
        <v>1110.6419998523616</v>
      </c>
    </row>
    <row r="91" spans="1:21">
      <c r="A91" s="3133">
        <v>83</v>
      </c>
      <c r="B91" s="3132"/>
      <c r="C91" s="3132" t="s">
        <v>2675</v>
      </c>
      <c r="D91" s="3132"/>
      <c r="E91" s="3140">
        <f t="shared" ref="E91:M91" si="23">SUM(E86:E90)</f>
        <v>3992502</v>
      </c>
      <c r="F91" s="3140">
        <f t="shared" si="23"/>
        <v>2371835.7106891028</v>
      </c>
      <c r="G91" s="3140">
        <f t="shared" si="23"/>
        <v>0</v>
      </c>
      <c r="H91" s="3140">
        <f t="shared" si="23"/>
        <v>15712</v>
      </c>
      <c r="I91" s="3140">
        <f t="shared" si="23"/>
        <v>0</v>
      </c>
      <c r="J91" s="3139">
        <f t="shared" si="23"/>
        <v>1604954.2893108972</v>
      </c>
      <c r="K91" s="3138">
        <f t="shared" si="23"/>
        <v>183534.31978009551</v>
      </c>
      <c r="L91" s="3139">
        <f t="shared" si="23"/>
        <v>256948.0476921337</v>
      </c>
      <c r="M91" s="3138">
        <f t="shared" si="23"/>
        <v>73413.727912038215</v>
      </c>
    </row>
    <row r="92" spans="1:21">
      <c r="A92" s="3133">
        <v>84</v>
      </c>
      <c r="B92" s="3137"/>
      <c r="C92" s="3137"/>
      <c r="D92" s="3137"/>
      <c r="E92" s="3136"/>
      <c r="F92" s="3136"/>
      <c r="G92" s="3136"/>
      <c r="H92" s="3136"/>
      <c r="I92" s="3136"/>
      <c r="J92" s="3135"/>
      <c r="K92" s="3134"/>
      <c r="L92" s="3135"/>
      <c r="M92" s="3134"/>
    </row>
    <row r="93" spans="1:21">
      <c r="A93" s="3133">
        <v>85</v>
      </c>
      <c r="B93" s="3137"/>
      <c r="C93" s="3132" t="s">
        <v>2674</v>
      </c>
      <c r="D93" s="3137"/>
      <c r="E93" s="3136"/>
      <c r="F93" s="3136"/>
      <c r="G93" s="3136"/>
      <c r="H93" s="3136"/>
      <c r="I93" s="3136"/>
      <c r="J93" s="3135"/>
      <c r="K93" s="3134"/>
      <c r="L93" s="3135"/>
      <c r="M93" s="3134"/>
    </row>
    <row r="94" spans="1:21">
      <c r="A94" s="3133">
        <v>86</v>
      </c>
      <c r="B94" s="3137" t="s">
        <v>2673</v>
      </c>
      <c r="C94" s="3137" t="s">
        <v>261</v>
      </c>
      <c r="D94" s="3137"/>
      <c r="E94" s="3136">
        <v>0</v>
      </c>
      <c r="F94" s="3136"/>
      <c r="G94" s="3136"/>
      <c r="H94" s="3136"/>
      <c r="I94" s="3136"/>
      <c r="J94" s="3127">
        <f>E94-SUM(F94:H94)+I94</f>
        <v>0</v>
      </c>
      <c r="K94" s="3126">
        <f t="shared" ref="K94:L97" si="24">$J94*K$8</f>
        <v>0</v>
      </c>
      <c r="L94" s="3127">
        <f t="shared" si="24"/>
        <v>0</v>
      </c>
      <c r="M94" s="3126">
        <f>L94-K94</f>
        <v>0</v>
      </c>
    </row>
    <row r="95" spans="1:21">
      <c r="A95" s="3133">
        <v>87</v>
      </c>
      <c r="B95" s="3137" t="s">
        <v>2672</v>
      </c>
      <c r="C95" s="3137" t="s">
        <v>270</v>
      </c>
      <c r="D95" s="3137"/>
      <c r="E95" s="3136">
        <v>13605984</v>
      </c>
      <c r="F95" s="3136">
        <f>U32</f>
        <v>133598.04493890004</v>
      </c>
      <c r="G95" s="3136"/>
      <c r="H95" s="3136"/>
      <c r="I95" s="3136">
        <f>-(13328241+2246)</f>
        <v>-13330487</v>
      </c>
      <c r="J95" s="3127">
        <f>E95-SUM(F95:H95)+I95</f>
        <v>141898.95506110042</v>
      </c>
      <c r="K95" s="3126">
        <f t="shared" si="24"/>
        <v>16226.834850123589</v>
      </c>
      <c r="L95" s="3127">
        <f t="shared" si="24"/>
        <v>22717.568790173027</v>
      </c>
      <c r="M95" s="3126">
        <f>L95-K95</f>
        <v>6490.7339400494384</v>
      </c>
    </row>
    <row r="96" spans="1:21">
      <c r="A96" s="3133">
        <v>88</v>
      </c>
      <c r="B96" s="3137" t="s">
        <v>2671</v>
      </c>
      <c r="C96" s="3137" t="s">
        <v>271</v>
      </c>
      <c r="D96" s="3137"/>
      <c r="E96" s="3136">
        <v>358346</v>
      </c>
      <c r="F96" s="3136">
        <f>U33</f>
        <v>13113.587210500002</v>
      </c>
      <c r="G96" s="3136"/>
      <c r="H96" s="3136"/>
      <c r="I96" s="3136">
        <v>-1450</v>
      </c>
      <c r="J96" s="3127">
        <f>E96-SUM(F96:H96)+I96</f>
        <v>343782.41278949997</v>
      </c>
      <c r="K96" s="3126">
        <f t="shared" si="24"/>
        <v>39313.18898233027</v>
      </c>
      <c r="L96" s="3127">
        <f t="shared" si="24"/>
        <v>55038.464575262391</v>
      </c>
      <c r="M96" s="3126">
        <f>L96-K96</f>
        <v>15725.275592932121</v>
      </c>
    </row>
    <row r="97" spans="1:13">
      <c r="A97" s="3133">
        <v>89</v>
      </c>
      <c r="B97" s="3137" t="s">
        <v>2670</v>
      </c>
      <c r="C97" s="3137" t="s">
        <v>2669</v>
      </c>
      <c r="D97" s="3137"/>
      <c r="E97" s="3136">
        <v>102768</v>
      </c>
      <c r="F97" s="3136">
        <f>U34</f>
        <v>20261.360601999993</v>
      </c>
      <c r="G97" s="3136"/>
      <c r="H97" s="3136"/>
      <c r="I97" s="3136">
        <v>-4</v>
      </c>
      <c r="J97" s="3127">
        <f>E97-SUM(F97:H97)+I97</f>
        <v>82502.639397999999</v>
      </c>
      <c r="K97" s="3126">
        <f t="shared" si="24"/>
        <v>9434.5776093572294</v>
      </c>
      <c r="L97" s="3127">
        <f t="shared" si="24"/>
        <v>13208.408653100123</v>
      </c>
      <c r="M97" s="3126">
        <f>L97-K97</f>
        <v>3773.8310437428936</v>
      </c>
    </row>
    <row r="98" spans="1:13">
      <c r="A98" s="3133">
        <v>90</v>
      </c>
      <c r="B98" s="3132"/>
      <c r="C98" s="3132" t="s">
        <v>2668</v>
      </c>
      <c r="D98" s="3132"/>
      <c r="E98" s="3140">
        <f t="shared" ref="E98:M98" si="25">SUM(E94:E97)</f>
        <v>14067098</v>
      </c>
      <c r="F98" s="3140">
        <f t="shared" si="25"/>
        <v>166972.99275140004</v>
      </c>
      <c r="G98" s="3140">
        <f t="shared" si="25"/>
        <v>0</v>
      </c>
      <c r="H98" s="3140">
        <f t="shared" si="25"/>
        <v>0</v>
      </c>
      <c r="I98" s="3140">
        <f t="shared" si="25"/>
        <v>-13331941</v>
      </c>
      <c r="J98" s="3139">
        <f t="shared" si="25"/>
        <v>568184.00724860036</v>
      </c>
      <c r="K98" s="3138">
        <f t="shared" si="25"/>
        <v>64974.601441811086</v>
      </c>
      <c r="L98" s="3139">
        <f t="shared" si="25"/>
        <v>90964.442018535541</v>
      </c>
      <c r="M98" s="3138">
        <f t="shared" si="25"/>
        <v>25989.840576724455</v>
      </c>
    </row>
    <row r="99" spans="1:13">
      <c r="A99" s="3133">
        <v>91</v>
      </c>
      <c r="B99" s="3137"/>
      <c r="C99" s="3137"/>
      <c r="D99" s="3137"/>
      <c r="E99" s="3136"/>
      <c r="F99" s="3136"/>
      <c r="G99" s="3136"/>
      <c r="H99" s="3136"/>
      <c r="I99" s="3136"/>
      <c r="J99" s="3135"/>
      <c r="K99" s="3134"/>
      <c r="L99" s="3135"/>
      <c r="M99" s="3134"/>
    </row>
    <row r="100" spans="1:13">
      <c r="A100" s="3133">
        <v>92</v>
      </c>
      <c r="B100" s="3137"/>
      <c r="C100" s="3132" t="s">
        <v>49</v>
      </c>
      <c r="D100" s="3137"/>
      <c r="E100" s="3136"/>
      <c r="F100" s="3136"/>
      <c r="G100" s="3136"/>
      <c r="H100" s="3136"/>
      <c r="I100" s="3136"/>
      <c r="J100" s="3135"/>
      <c r="K100" s="3134"/>
      <c r="L100" s="3135"/>
      <c r="M100" s="3134"/>
    </row>
    <row r="101" spans="1:13">
      <c r="A101" s="3133">
        <v>93</v>
      </c>
      <c r="B101" s="3137" t="s">
        <v>2667</v>
      </c>
      <c r="C101" s="3137" t="s">
        <v>261</v>
      </c>
      <c r="D101" s="3137"/>
      <c r="E101" s="3136">
        <v>0</v>
      </c>
      <c r="F101" s="1988"/>
      <c r="G101" s="1988"/>
      <c r="H101" s="1988"/>
      <c r="I101" s="1988"/>
      <c r="J101" s="3127">
        <f>E101-SUM(F101:H101)+I101</f>
        <v>0</v>
      </c>
      <c r="K101" s="3126">
        <f t="shared" ref="K101:L104" si="26">$J101*K$8</f>
        <v>0</v>
      </c>
      <c r="L101" s="3127">
        <f t="shared" si="26"/>
        <v>0</v>
      </c>
      <c r="M101" s="3126">
        <f>L101-K101</f>
        <v>0</v>
      </c>
    </row>
    <row r="102" spans="1:13">
      <c r="A102" s="3133">
        <v>94</v>
      </c>
      <c r="B102" s="3137" t="s">
        <v>2666</v>
      </c>
      <c r="C102" s="3137" t="s">
        <v>275</v>
      </c>
      <c r="D102" s="3137"/>
      <c r="E102" s="3136">
        <v>0</v>
      </c>
      <c r="F102" s="1988"/>
      <c r="G102" s="1988"/>
      <c r="H102" s="1988"/>
      <c r="I102" s="1988"/>
      <c r="J102" s="3127">
        <f>E102-SUM(F102:H102)+I102</f>
        <v>0</v>
      </c>
      <c r="K102" s="3126">
        <f t="shared" si="26"/>
        <v>0</v>
      </c>
      <c r="L102" s="3127">
        <f t="shared" si="26"/>
        <v>0</v>
      </c>
      <c r="M102" s="3126">
        <f>L102-K102</f>
        <v>0</v>
      </c>
    </row>
    <row r="103" spans="1:13">
      <c r="A103" s="3133">
        <v>95</v>
      </c>
      <c r="B103" s="3137" t="s">
        <v>2665</v>
      </c>
      <c r="C103" s="3137" t="s">
        <v>2664</v>
      </c>
      <c r="D103" s="3137"/>
      <c r="E103" s="3136">
        <v>0</v>
      </c>
      <c r="F103" s="1988"/>
      <c r="G103" s="1988"/>
      <c r="H103" s="1988"/>
      <c r="I103" s="1988"/>
      <c r="J103" s="3127">
        <f>E103-SUM(F103:H103)+I103</f>
        <v>0</v>
      </c>
      <c r="K103" s="3126">
        <f t="shared" si="26"/>
        <v>0</v>
      </c>
      <c r="L103" s="3127">
        <f t="shared" si="26"/>
        <v>0</v>
      </c>
      <c r="M103" s="3126">
        <f>L103-K103</f>
        <v>0</v>
      </c>
    </row>
    <row r="104" spans="1:13">
      <c r="A104" s="3133">
        <v>96</v>
      </c>
      <c r="B104" s="3137" t="s">
        <v>2663</v>
      </c>
      <c r="C104" s="3137" t="s">
        <v>2662</v>
      </c>
      <c r="D104" s="3137"/>
      <c r="E104" s="3136">
        <v>279</v>
      </c>
      <c r="F104" s="1988"/>
      <c r="G104" s="1988"/>
      <c r="H104" s="1988"/>
      <c r="I104" s="1988"/>
      <c r="J104" s="3127">
        <f>E104-SUM(F104:H104)+I104</f>
        <v>279</v>
      </c>
      <c r="K104" s="3126">
        <f t="shared" si="26"/>
        <v>31.905005369737022</v>
      </c>
      <c r="L104" s="3127">
        <f t="shared" si="26"/>
        <v>44.667007517631838</v>
      </c>
      <c r="M104" s="3126">
        <f>L104-K104</f>
        <v>12.762002147894815</v>
      </c>
    </row>
    <row r="105" spans="1:13">
      <c r="A105" s="3133">
        <v>97</v>
      </c>
      <c r="B105" s="3132"/>
      <c r="C105" s="3132" t="s">
        <v>2661</v>
      </c>
      <c r="D105" s="3132"/>
      <c r="E105" s="3140">
        <f t="shared" ref="E105:M105" si="27">SUM(E101:E104)</f>
        <v>279</v>
      </c>
      <c r="F105" s="3140">
        <f t="shared" si="27"/>
        <v>0</v>
      </c>
      <c r="G105" s="3140">
        <f t="shared" si="27"/>
        <v>0</v>
      </c>
      <c r="H105" s="3140">
        <f t="shared" si="27"/>
        <v>0</v>
      </c>
      <c r="I105" s="3140">
        <f t="shared" si="27"/>
        <v>0</v>
      </c>
      <c r="J105" s="3139">
        <f t="shared" si="27"/>
        <v>279</v>
      </c>
      <c r="K105" s="3138">
        <f t="shared" si="27"/>
        <v>31.905005369737022</v>
      </c>
      <c r="L105" s="3139">
        <f t="shared" si="27"/>
        <v>44.667007517631838</v>
      </c>
      <c r="M105" s="3138">
        <f t="shared" si="27"/>
        <v>12.762002147894815</v>
      </c>
    </row>
    <row r="106" spans="1:13">
      <c r="A106" s="3133">
        <v>98</v>
      </c>
      <c r="B106" s="3137"/>
      <c r="C106" s="3137"/>
      <c r="D106" s="3137"/>
      <c r="E106" s="3136"/>
      <c r="F106" s="3136"/>
      <c r="G106" s="3136"/>
      <c r="H106" s="3136"/>
      <c r="I106" s="3136"/>
      <c r="J106" s="3135"/>
      <c r="K106" s="3134"/>
      <c r="L106" s="3135"/>
      <c r="M106" s="3134"/>
    </row>
    <row r="107" spans="1:13">
      <c r="A107" s="3133">
        <v>99</v>
      </c>
      <c r="B107" s="3132"/>
      <c r="C107" s="3132" t="s">
        <v>2660</v>
      </c>
      <c r="D107" s="3132"/>
      <c r="E107" s="3131">
        <f t="shared" ref="E107:M107" si="28">E105+E98+E91+E83+E55+E32</f>
        <v>182516488</v>
      </c>
      <c r="F107" s="3131">
        <f t="shared" si="28"/>
        <v>11045334.218047911</v>
      </c>
      <c r="G107" s="3131">
        <f t="shared" si="28"/>
        <v>148698047</v>
      </c>
      <c r="H107" s="3131">
        <f t="shared" si="28"/>
        <v>15712</v>
      </c>
      <c r="I107" s="3131">
        <f t="shared" si="28"/>
        <v>-13336506</v>
      </c>
      <c r="J107" s="3130">
        <f t="shared" si="28"/>
        <v>9420888.7819520887</v>
      </c>
      <c r="K107" s="3142">
        <f t="shared" si="28"/>
        <v>1077324.3984798449</v>
      </c>
      <c r="L107" s="3130">
        <f t="shared" si="28"/>
        <v>1508254.1578717825</v>
      </c>
      <c r="M107" s="3142">
        <f t="shared" si="28"/>
        <v>430929.75939193793</v>
      </c>
    </row>
    <row r="108" spans="1:13">
      <c r="A108" s="3133">
        <v>100</v>
      </c>
      <c r="B108" s="3137"/>
      <c r="C108" s="3132" t="s">
        <v>2659</v>
      </c>
      <c r="D108" s="3137"/>
      <c r="E108" s="3141"/>
      <c r="F108" s="1988"/>
      <c r="G108" s="1988"/>
      <c r="H108" s="1988"/>
      <c r="I108" s="1988"/>
      <c r="J108" s="3127"/>
      <c r="K108" s="3126"/>
      <c r="L108" s="3127"/>
      <c r="M108" s="3126"/>
    </row>
    <row r="109" spans="1:13">
      <c r="A109" s="3133">
        <v>101</v>
      </c>
      <c r="B109" s="3137" t="s">
        <v>2658</v>
      </c>
      <c r="C109" s="3137" t="s">
        <v>2657</v>
      </c>
      <c r="D109" s="3137"/>
      <c r="E109" s="3136">
        <v>6401276</v>
      </c>
      <c r="F109" s="3136">
        <f>U35</f>
        <v>5385107.7441059863</v>
      </c>
      <c r="G109" s="3136"/>
      <c r="H109" s="3136">
        <f>(7070465+673132)*S48*T48</f>
        <v>1150478.7261376295</v>
      </c>
      <c r="I109" s="3136">
        <v>-210612</v>
      </c>
      <c r="J109" s="3127">
        <f t="shared" ref="J109:J120" si="29">E109-SUM(F109:H109)+I109</f>
        <v>-344922.47024361603</v>
      </c>
      <c r="K109" s="3126">
        <f t="shared" ref="K109:L120" si="30">$J109*K$8</f>
        <v>-39443.560090557447</v>
      </c>
      <c r="L109" s="3127">
        <f t="shared" si="30"/>
        <v>-55220.98412678043</v>
      </c>
      <c r="M109" s="3126">
        <f t="shared" ref="M109:M120" si="31">L109-K109</f>
        <v>-15777.424036222983</v>
      </c>
    </row>
    <row r="110" spans="1:13">
      <c r="A110" s="3133">
        <v>102</v>
      </c>
      <c r="B110" s="3137" t="s">
        <v>2656</v>
      </c>
      <c r="C110" s="3137" t="s">
        <v>280</v>
      </c>
      <c r="D110" s="3137"/>
      <c r="E110" s="3136">
        <v>855551</v>
      </c>
      <c r="F110" s="3136">
        <f>U36</f>
        <v>40272.579513600809</v>
      </c>
      <c r="G110" s="3136"/>
      <c r="H110" s="3123">
        <v>0</v>
      </c>
      <c r="I110" s="3136">
        <v>-235</v>
      </c>
      <c r="J110" s="3127">
        <f t="shared" si="29"/>
        <v>815043.42048639921</v>
      </c>
      <c r="K110" s="3126">
        <f t="shared" si="30"/>
        <v>93204.1745777326</v>
      </c>
      <c r="L110" s="3127">
        <f t="shared" si="30"/>
        <v>130485.84440882565</v>
      </c>
      <c r="M110" s="3126">
        <f t="shared" si="31"/>
        <v>37281.669831093051</v>
      </c>
    </row>
    <row r="111" spans="1:13">
      <c r="A111" s="3133">
        <v>103</v>
      </c>
      <c r="B111" s="3137" t="s">
        <v>2655</v>
      </c>
      <c r="C111" s="3137" t="s">
        <v>281</v>
      </c>
      <c r="D111" s="3137"/>
      <c r="E111" s="3136">
        <v>-13733</v>
      </c>
      <c r="F111" s="3136"/>
      <c r="G111" s="3136"/>
      <c r="H111" s="3123">
        <f>E111</f>
        <v>-13733</v>
      </c>
      <c r="I111" s="3136"/>
      <c r="J111" s="3127">
        <f t="shared" si="29"/>
        <v>0</v>
      </c>
      <c r="K111" s="3126">
        <f t="shared" si="30"/>
        <v>0</v>
      </c>
      <c r="L111" s="3127">
        <f t="shared" si="30"/>
        <v>0</v>
      </c>
      <c r="M111" s="3126">
        <f t="shared" si="31"/>
        <v>0</v>
      </c>
    </row>
    <row r="112" spans="1:13">
      <c r="A112" s="3133">
        <v>104</v>
      </c>
      <c r="B112" s="3137" t="s">
        <v>2654</v>
      </c>
      <c r="C112" s="3137" t="s">
        <v>282</v>
      </c>
      <c r="D112" s="3137"/>
      <c r="E112" s="3136">
        <v>3098211</v>
      </c>
      <c r="F112" s="3136">
        <f>U37</f>
        <v>1152.4631725999998</v>
      </c>
      <c r="G112" s="3136"/>
      <c r="H112" s="3123">
        <f>V52-H110</f>
        <v>2883462.8714195429</v>
      </c>
      <c r="I112" s="3136"/>
      <c r="J112" s="3127">
        <f t="shared" si="29"/>
        <v>213595.66540785693</v>
      </c>
      <c r="K112" s="3126">
        <f t="shared" si="30"/>
        <v>24425.701977742752</v>
      </c>
      <c r="L112" s="3127">
        <f t="shared" si="30"/>
        <v>34195.982768839858</v>
      </c>
      <c r="M112" s="3126">
        <f t="shared" si="31"/>
        <v>9770.280791097106</v>
      </c>
    </row>
    <row r="113" spans="1:13">
      <c r="A113" s="3133">
        <v>105</v>
      </c>
      <c r="B113" s="3137" t="s">
        <v>2653</v>
      </c>
      <c r="C113" s="3137" t="s">
        <v>283</v>
      </c>
      <c r="D113" s="3137"/>
      <c r="E113" s="3136">
        <v>445161</v>
      </c>
      <c r="F113" s="3136"/>
      <c r="G113" s="3136"/>
      <c r="H113" s="3123">
        <v>423982</v>
      </c>
      <c r="I113" s="3136"/>
      <c r="J113" s="3127">
        <f t="shared" si="29"/>
        <v>21179</v>
      </c>
      <c r="K113" s="3126">
        <f t="shared" si="30"/>
        <v>2421.9215366511125</v>
      </c>
      <c r="L113" s="3127">
        <f t="shared" si="30"/>
        <v>3390.6901513115577</v>
      </c>
      <c r="M113" s="3126">
        <f t="shared" si="31"/>
        <v>968.76861466044511</v>
      </c>
    </row>
    <row r="114" spans="1:13">
      <c r="A114" s="3133">
        <v>106</v>
      </c>
      <c r="B114" s="3137" t="s">
        <v>2652</v>
      </c>
      <c r="C114" s="3137" t="s">
        <v>2651</v>
      </c>
      <c r="D114" s="3137"/>
      <c r="E114" s="3136">
        <v>1296904</v>
      </c>
      <c r="F114" s="3136">
        <f>U38</f>
        <v>18.5319918</v>
      </c>
      <c r="G114" s="3136"/>
      <c r="H114" s="3123">
        <v>1281269</v>
      </c>
      <c r="I114" s="3136">
        <v>-13442</v>
      </c>
      <c r="J114" s="3127">
        <f t="shared" si="29"/>
        <v>2174.4680081999395</v>
      </c>
      <c r="K114" s="3126">
        <f t="shared" si="30"/>
        <v>248.66098020767183</v>
      </c>
      <c r="L114" s="3127">
        <f t="shared" si="30"/>
        <v>348.12537229074059</v>
      </c>
      <c r="M114" s="3126">
        <f t="shared" si="31"/>
        <v>99.464392083068759</v>
      </c>
    </row>
    <row r="115" spans="1:13">
      <c r="A115" s="3133">
        <v>107</v>
      </c>
      <c r="B115" s="3137" t="s">
        <v>2650</v>
      </c>
      <c r="C115" s="3137" t="s">
        <v>2649</v>
      </c>
      <c r="D115" s="3137"/>
      <c r="E115" s="3136">
        <v>6986558</v>
      </c>
      <c r="F115" s="3136">
        <f>U39</f>
        <v>67764.194160200059</v>
      </c>
      <c r="G115" s="3136"/>
      <c r="H115" s="3123">
        <f>1731369+(33491704*S48*T48)</f>
        <v>6707285.6126670269</v>
      </c>
      <c r="I115" s="3136"/>
      <c r="J115" s="3127">
        <f t="shared" si="29"/>
        <v>211508.19317277335</v>
      </c>
      <c r="K115" s="3126">
        <f t="shared" si="30"/>
        <v>24186.989386812576</v>
      </c>
      <c r="L115" s="3127">
        <f t="shared" si="30"/>
        <v>33861.785141537614</v>
      </c>
      <c r="M115" s="3126">
        <f t="shared" si="31"/>
        <v>9674.7957547250371</v>
      </c>
    </row>
    <row r="116" spans="1:13">
      <c r="A116" s="3133">
        <v>108</v>
      </c>
      <c r="B116" s="3137" t="s">
        <v>2648</v>
      </c>
      <c r="C116" s="3137" t="s">
        <v>2647</v>
      </c>
      <c r="D116" s="3137"/>
      <c r="E116" s="3136">
        <v>0</v>
      </c>
      <c r="F116" s="3136"/>
      <c r="G116" s="3136"/>
      <c r="I116" s="3136"/>
      <c r="J116" s="3127">
        <f t="shared" si="29"/>
        <v>0</v>
      </c>
      <c r="K116" s="3126">
        <f t="shared" si="30"/>
        <v>0</v>
      </c>
      <c r="L116" s="3127">
        <f t="shared" si="30"/>
        <v>0</v>
      </c>
      <c r="M116" s="3126">
        <f t="shared" si="31"/>
        <v>0</v>
      </c>
    </row>
    <row r="117" spans="1:13">
      <c r="A117" s="3133">
        <v>109</v>
      </c>
      <c r="B117" s="3137" t="s">
        <v>2646</v>
      </c>
      <c r="C117" s="3137" t="s">
        <v>288</v>
      </c>
      <c r="D117" s="3137"/>
      <c r="E117" s="3136">
        <v>901022</v>
      </c>
      <c r="F117" s="3136">
        <f>U40</f>
        <v>217065.18820919996</v>
      </c>
      <c r="G117" s="3136"/>
      <c r="H117" s="3123">
        <v>608878</v>
      </c>
      <c r="I117" s="3136"/>
      <c r="J117" s="3127">
        <f t="shared" si="29"/>
        <v>75078.811790800071</v>
      </c>
      <c r="K117" s="3126">
        <f t="shared" si="30"/>
        <v>8585.6268578457039</v>
      </c>
      <c r="L117" s="3127">
        <f t="shared" si="30"/>
        <v>12019.877600983988</v>
      </c>
      <c r="M117" s="3126">
        <f t="shared" si="31"/>
        <v>3434.2507431382837</v>
      </c>
    </row>
    <row r="118" spans="1:13">
      <c r="A118" s="3133">
        <v>110</v>
      </c>
      <c r="B118" s="3137" t="s">
        <v>2645</v>
      </c>
      <c r="C118" s="3137" t="s">
        <v>2644</v>
      </c>
      <c r="D118" s="3137"/>
      <c r="E118" s="3136">
        <v>1217285</v>
      </c>
      <c r="F118" s="3136">
        <f>U41</f>
        <v>132807.30956380002</v>
      </c>
      <c r="G118" s="3136"/>
      <c r="H118" s="3136"/>
      <c r="I118" s="3136">
        <v>-184454</v>
      </c>
      <c r="J118" s="3127">
        <f t="shared" si="29"/>
        <v>900023.69043620001</v>
      </c>
      <c r="K118" s="3126">
        <f t="shared" si="30"/>
        <v>102922.08127690858</v>
      </c>
      <c r="L118" s="3127">
        <f t="shared" si="30"/>
        <v>144090.91378767203</v>
      </c>
      <c r="M118" s="3126">
        <f t="shared" si="31"/>
        <v>41168.832510763459</v>
      </c>
    </row>
    <row r="119" spans="1:13">
      <c r="A119" s="3133">
        <v>111</v>
      </c>
      <c r="B119" s="3137" t="s">
        <v>2643</v>
      </c>
      <c r="C119" s="3137" t="s">
        <v>251</v>
      </c>
      <c r="D119" s="3137"/>
      <c r="E119" s="3136">
        <v>102766</v>
      </c>
      <c r="F119" s="3136">
        <f>U42</f>
        <v>169.8299566</v>
      </c>
      <c r="G119" s="3136"/>
      <c r="H119" s="3136"/>
      <c r="I119" s="3136"/>
      <c r="J119" s="3127">
        <f t="shared" si="29"/>
        <v>102596.17004339999</v>
      </c>
      <c r="K119" s="3126">
        <f t="shared" si="30"/>
        <v>11732.370452147417</v>
      </c>
      <c r="L119" s="3127">
        <f t="shared" si="30"/>
        <v>16425.318633006387</v>
      </c>
      <c r="M119" s="3126">
        <f t="shared" si="31"/>
        <v>4692.9481808589699</v>
      </c>
    </row>
    <row r="120" spans="1:13">
      <c r="A120" s="3133">
        <v>112</v>
      </c>
      <c r="B120" s="3137" t="s">
        <v>2642</v>
      </c>
      <c r="C120" s="3137" t="s">
        <v>290</v>
      </c>
      <c r="D120" s="3137"/>
      <c r="E120" s="3136">
        <v>3107468</v>
      </c>
      <c r="F120" s="3136">
        <f>U43</f>
        <v>237986.69029660011</v>
      </c>
      <c r="G120" s="3136"/>
      <c r="H120" s="3136"/>
      <c r="I120" s="3136">
        <v>-471</v>
      </c>
      <c r="J120" s="3127">
        <f t="shared" si="29"/>
        <v>2869010.3097033999</v>
      </c>
      <c r="K120" s="3126">
        <f t="shared" si="30"/>
        <v>328085.26644056576</v>
      </c>
      <c r="L120" s="3127">
        <f t="shared" si="30"/>
        <v>459319.37301679212</v>
      </c>
      <c r="M120" s="3126">
        <f t="shared" si="31"/>
        <v>131234.10657622636</v>
      </c>
    </row>
    <row r="121" spans="1:13">
      <c r="A121" s="3133">
        <v>113</v>
      </c>
      <c r="B121" s="3132"/>
      <c r="C121" s="3132" t="s">
        <v>2641</v>
      </c>
      <c r="D121" s="3132"/>
      <c r="E121" s="3140">
        <f t="shared" ref="E121:M121" si="32">SUM(E109:E120)</f>
        <v>24398469</v>
      </c>
      <c r="F121" s="3140">
        <f t="shared" si="32"/>
        <v>6082344.5309703872</v>
      </c>
      <c r="G121" s="3140">
        <f t="shared" si="32"/>
        <v>0</v>
      </c>
      <c r="H121" s="3140">
        <f t="shared" si="32"/>
        <v>13041623.2102242</v>
      </c>
      <c r="I121" s="3140">
        <f t="shared" si="32"/>
        <v>-409214</v>
      </c>
      <c r="J121" s="3139">
        <f t="shared" si="32"/>
        <v>4865287.2588054128</v>
      </c>
      <c r="K121" s="3138">
        <f t="shared" si="32"/>
        <v>556369.23339605669</v>
      </c>
      <c r="L121" s="3139">
        <f t="shared" si="32"/>
        <v>778916.92675447953</v>
      </c>
      <c r="M121" s="3138">
        <f t="shared" si="32"/>
        <v>222547.69335842281</v>
      </c>
    </row>
    <row r="122" spans="1:13" ht="16.5" thickBot="1">
      <c r="A122" s="3133">
        <v>114</v>
      </c>
      <c r="B122" s="3137"/>
      <c r="C122" s="3137"/>
      <c r="D122" s="3137"/>
      <c r="E122" s="3136"/>
      <c r="F122" s="3136"/>
      <c r="G122" s="3136"/>
      <c r="H122" s="3136"/>
      <c r="I122" s="3136"/>
      <c r="J122" s="3135"/>
      <c r="K122" s="3134"/>
      <c r="L122" s="3135"/>
      <c r="M122" s="3134"/>
    </row>
    <row r="123" spans="1:13" ht="17.25" thickTop="1" thickBot="1">
      <c r="A123" s="3133">
        <v>115</v>
      </c>
      <c r="B123" s="3132"/>
      <c r="C123" s="3132" t="s">
        <v>2640</v>
      </c>
      <c r="D123" s="3132"/>
      <c r="E123" s="3131">
        <f t="shared" ref="E123:M123" si="33">E121+E107</f>
        <v>206914957</v>
      </c>
      <c r="F123" s="3131">
        <f t="shared" si="33"/>
        <v>17127678.749018297</v>
      </c>
      <c r="G123" s="3131">
        <f t="shared" si="33"/>
        <v>148698047</v>
      </c>
      <c r="H123" s="3131">
        <f t="shared" si="33"/>
        <v>13057335.2102242</v>
      </c>
      <c r="I123" s="3131">
        <f t="shared" si="33"/>
        <v>-13745720</v>
      </c>
      <c r="J123" s="3130">
        <f t="shared" si="33"/>
        <v>14286176.040757501</v>
      </c>
      <c r="K123" s="3128">
        <f t="shared" si="33"/>
        <v>1633693.6318759015</v>
      </c>
      <c r="L123" s="3129">
        <f t="shared" si="33"/>
        <v>2287171.0846262621</v>
      </c>
      <c r="M123" s="3128">
        <f t="shared" si="33"/>
        <v>653477.45275036071</v>
      </c>
    </row>
    <row r="124" spans="1:13" ht="16.5" thickTop="1">
      <c r="B124" s="3125"/>
      <c r="C124" s="3125"/>
      <c r="D124" s="3125"/>
      <c r="E124" s="3123"/>
      <c r="F124" s="1988"/>
      <c r="G124" s="1988"/>
      <c r="H124" s="1988"/>
      <c r="I124" s="1988"/>
      <c r="J124" s="3127"/>
      <c r="K124" s="3126"/>
      <c r="L124" s="3127"/>
      <c r="M124" s="3126"/>
    </row>
    <row r="125" spans="1:13">
      <c r="B125" s="3125"/>
      <c r="C125" s="3125"/>
      <c r="D125" s="3125"/>
      <c r="E125" s="3123"/>
      <c r="F125" s="3123"/>
      <c r="G125" s="3123"/>
      <c r="H125" s="3123"/>
      <c r="I125" s="3123"/>
      <c r="J125" s="3120" t="s">
        <v>2639</v>
      </c>
      <c r="K125" s="3124">
        <f>K123-K126</f>
        <v>980216.17912554077</v>
      </c>
      <c r="L125" s="3123"/>
      <c r="M125" s="3122"/>
    </row>
    <row r="126" spans="1:13">
      <c r="B126" s="3121"/>
      <c r="C126" s="477"/>
      <c r="D126" s="477"/>
      <c r="E126" s="1988"/>
      <c r="F126" s="1988"/>
      <c r="G126" s="1988"/>
      <c r="H126" s="1988"/>
      <c r="I126" s="1988"/>
      <c r="J126" s="3120" t="s">
        <v>2543</v>
      </c>
      <c r="K126" s="3119">
        <f>M123</f>
        <v>653477.45275036071</v>
      </c>
      <c r="L126" s="3120" t="s">
        <v>2638</v>
      </c>
      <c r="M126" s="3119">
        <f>M123</f>
        <v>653477.45275036071</v>
      </c>
    </row>
    <row r="127" spans="1:13">
      <c r="F127" s="1988"/>
      <c r="G127" s="1988"/>
      <c r="H127" s="1988"/>
      <c r="I127" s="1988"/>
      <c r="K127" s="3118">
        <f>SUM(K125:K126)</f>
        <v>1633693.6318759015</v>
      </c>
    </row>
    <row r="128" spans="1:13">
      <c r="F128" s="1988"/>
      <c r="G128" s="1988"/>
    </row>
    <row r="129" spans="6:13">
      <c r="F129" s="1988"/>
      <c r="G129" s="1988"/>
      <c r="H129" s="1988"/>
      <c r="I129" s="3117" t="s">
        <v>2637</v>
      </c>
      <c r="J129" s="3116">
        <f>J123/E123</f>
        <v>6.9043708815875987E-2</v>
      </c>
      <c r="K129" s="3115"/>
      <c r="L129" s="477"/>
      <c r="M129" s="3115"/>
    </row>
    <row r="130" spans="6:13">
      <c r="F130" s="1988"/>
      <c r="G130" s="1988"/>
      <c r="H130" s="1988"/>
      <c r="I130" s="1988"/>
      <c r="J130" s="477"/>
      <c r="K130" s="3115"/>
      <c r="L130" s="477"/>
      <c r="M130" s="3115"/>
    </row>
    <row r="131" spans="6:13">
      <c r="F131" s="1988"/>
      <c r="G131" s="1988"/>
      <c r="H131" s="1988"/>
      <c r="I131" s="1988"/>
      <c r="J131" s="477"/>
      <c r="K131" s="3115"/>
      <c r="L131" s="477"/>
      <c r="M131" s="3115"/>
    </row>
    <row r="132" spans="6:13">
      <c r="F132" s="1988"/>
      <c r="G132" s="1988"/>
      <c r="H132" s="1988"/>
      <c r="I132" s="1988"/>
      <c r="J132" s="477"/>
      <c r="K132" s="3115"/>
      <c r="L132" s="477"/>
      <c r="M132" s="3115"/>
    </row>
    <row r="133" spans="6:13">
      <c r="F133" s="1988"/>
      <c r="G133" s="1988"/>
      <c r="H133" s="1988"/>
      <c r="I133" s="1988"/>
      <c r="J133" s="477"/>
      <c r="K133" s="3115"/>
      <c r="L133" s="477"/>
      <c r="M133" s="3115"/>
    </row>
    <row r="134" spans="6:13">
      <c r="F134" s="1988"/>
      <c r="G134" s="1988"/>
      <c r="H134" s="1988"/>
      <c r="I134" s="1988"/>
      <c r="J134" s="477"/>
      <c r="K134" s="3115"/>
      <c r="L134" s="477"/>
      <c r="M134" s="3115"/>
    </row>
    <row r="135" spans="6:13">
      <c r="F135" s="1988"/>
      <c r="G135" s="1988"/>
      <c r="H135" s="1988"/>
      <c r="I135" s="1988"/>
      <c r="J135" s="477"/>
      <c r="K135" s="3115"/>
      <c r="L135" s="477"/>
      <c r="M135" s="3115"/>
    </row>
    <row r="136" spans="6:13">
      <c r="F136" s="1988"/>
      <c r="G136" s="1988"/>
      <c r="H136" s="1988"/>
      <c r="I136" s="1988"/>
      <c r="J136" s="477"/>
      <c r="K136" s="3115"/>
      <c r="L136" s="477"/>
      <c r="M136" s="3115"/>
    </row>
    <row r="137" spans="6:13">
      <c r="F137" s="1988"/>
      <c r="G137" s="1988"/>
      <c r="H137" s="1988"/>
      <c r="I137" s="1988"/>
      <c r="J137" s="477"/>
      <c r="K137" s="3115"/>
      <c r="L137" s="477"/>
      <c r="M137" s="3115"/>
    </row>
    <row r="138" spans="6:13">
      <c r="F138" s="1988"/>
      <c r="G138" s="1988"/>
      <c r="H138" s="1988"/>
      <c r="I138" s="1988"/>
      <c r="J138" s="477"/>
      <c r="K138" s="3115"/>
      <c r="L138" s="477"/>
      <c r="M138" s="3115"/>
    </row>
    <row r="139" spans="6:13">
      <c r="F139" s="1988"/>
      <c r="G139" s="1988"/>
      <c r="H139" s="1988"/>
      <c r="I139" s="1988"/>
      <c r="J139" s="477"/>
      <c r="K139" s="3115"/>
      <c r="L139" s="477"/>
      <c r="M139" s="3115"/>
    </row>
    <row r="140" spans="6:13">
      <c r="F140" s="1988"/>
      <c r="G140" s="1988"/>
      <c r="H140" s="1988"/>
      <c r="I140" s="1988"/>
      <c r="J140" s="477"/>
      <c r="K140" s="3115"/>
      <c r="L140" s="477"/>
      <c r="M140" s="3115"/>
    </row>
    <row r="141" spans="6:13">
      <c r="F141" s="1988"/>
      <c r="G141" s="1988"/>
      <c r="H141" s="1988"/>
      <c r="I141" s="1988"/>
      <c r="J141" s="477"/>
      <c r="K141" s="3115"/>
      <c r="L141" s="477"/>
      <c r="M141" s="3115"/>
    </row>
    <row r="142" spans="6:13">
      <c r="F142" s="1988"/>
      <c r="G142" s="1988"/>
      <c r="H142" s="1988"/>
      <c r="I142" s="1988"/>
      <c r="J142" s="477"/>
      <c r="K142" s="3115"/>
      <c r="L142" s="477"/>
      <c r="M142" s="3115"/>
    </row>
    <row r="143" spans="6:13">
      <c r="F143" s="1988"/>
      <c r="G143" s="1988"/>
      <c r="H143" s="1988"/>
      <c r="I143" s="1988"/>
      <c r="J143" s="477"/>
      <c r="K143" s="3115"/>
      <c r="L143" s="477"/>
      <c r="M143" s="3115"/>
    </row>
    <row r="144" spans="6:13">
      <c r="F144" s="1988"/>
      <c r="G144" s="1988"/>
      <c r="H144" s="1988"/>
      <c r="I144" s="1988"/>
      <c r="J144" s="477"/>
      <c r="K144" s="3115"/>
      <c r="L144" s="477"/>
      <c r="M144" s="3115"/>
    </row>
    <row r="145" spans="6:14">
      <c r="F145" s="1988"/>
      <c r="G145" s="1988"/>
      <c r="H145" s="1988"/>
      <c r="I145" s="1988"/>
      <c r="J145" s="477"/>
      <c r="K145" s="3115"/>
      <c r="L145" s="477"/>
      <c r="M145" s="3115"/>
    </row>
    <row r="146" spans="6:14">
      <c r="J146" s="477"/>
      <c r="K146" s="3115"/>
      <c r="L146" s="477"/>
      <c r="M146" s="3115"/>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75"/>
  <cols>
    <col min="1" max="1" width="3" style="477" bestFit="1" customWidth="1"/>
    <col min="2" max="2" width="50.85546875" style="477" customWidth="1"/>
    <col min="3" max="3" width="13.85546875" style="954" bestFit="1" customWidth="1"/>
    <col min="4" max="4" width="13.5703125" style="954" bestFit="1" customWidth="1"/>
    <col min="5" max="5" width="18.42578125" style="954" customWidth="1"/>
    <col min="6" max="6" width="19" style="477" bestFit="1" customWidth="1"/>
    <col min="7" max="7" width="2.28515625" style="477" customWidth="1"/>
    <col min="8" max="8" width="17.28515625" style="477" bestFit="1" customWidth="1"/>
    <col min="9" max="9" width="3.140625" style="477" customWidth="1"/>
    <col min="10" max="10" width="17.28515625" style="477" bestFit="1" customWidth="1"/>
    <col min="11" max="11" width="3.28515625" style="477" bestFit="1" customWidth="1"/>
    <col min="12" max="12" width="3.7109375" style="477" customWidth="1"/>
    <col min="13" max="13" width="3.28515625" style="477" customWidth="1"/>
    <col min="14" max="14" width="31.5703125" style="477" bestFit="1" customWidth="1"/>
    <col min="16" max="16" width="1.7109375" style="1008" customWidth="1"/>
    <col min="18" max="18" width="26.5703125" style="477" customWidth="1"/>
    <col min="19" max="19" width="16.42578125" style="987" bestFit="1" customWidth="1"/>
    <col min="20" max="20" width="8.85546875" style="477"/>
    <col min="21" max="21" width="1.7109375" style="1008" customWidth="1"/>
    <col min="23" max="23" width="11.7109375" style="477" customWidth="1"/>
    <col min="24" max="24" width="16.28515625" style="477" customWidth="1"/>
    <col min="25" max="25" width="16" style="477" customWidth="1"/>
    <col min="26" max="26" width="16.5703125" style="477" customWidth="1"/>
    <col min="27" max="27" width="16.28515625" style="477" customWidth="1"/>
    <col min="28" max="28" width="14.85546875" style="477" bestFit="1" customWidth="1"/>
    <col min="29" max="29" width="14.85546875" style="477" customWidth="1"/>
    <col min="30" max="30" width="15.85546875" style="477" customWidth="1"/>
    <col min="31" max="31" width="16.42578125" style="477" customWidth="1"/>
    <col min="32" max="32" width="16.5703125" style="477" customWidth="1"/>
    <col min="33" max="33" width="13.140625" style="477" customWidth="1"/>
    <col min="34" max="34" width="14.85546875" style="477" bestFit="1" customWidth="1"/>
    <col min="35" max="35" width="8.85546875" style="477"/>
    <col min="36" max="36" width="1.7109375" style="1008" customWidth="1"/>
    <col min="38" max="38" width="11.7109375" style="477" customWidth="1"/>
    <col min="39" max="39" width="16.28515625" style="477" customWidth="1"/>
    <col min="40" max="40" width="16" style="477" customWidth="1"/>
    <col min="41" max="41" width="16.5703125" style="477" customWidth="1"/>
    <col min="42" max="42" width="16.28515625" style="477" customWidth="1"/>
    <col min="43" max="43" width="14.85546875" style="477" bestFit="1" customWidth="1"/>
    <col min="44" max="44" width="14.85546875" style="477" customWidth="1"/>
    <col min="45" max="45" width="15.85546875" style="477" customWidth="1"/>
    <col min="46" max="46" width="16.42578125" style="477" customWidth="1"/>
    <col min="47" max="47" width="16.5703125" style="477" customWidth="1"/>
    <col min="48" max="48" width="13.140625" style="477" customWidth="1"/>
    <col min="49" max="49" width="14.85546875" style="477" bestFit="1" customWidth="1"/>
    <col min="51" max="51" width="1.7109375" style="1008" customWidth="1"/>
    <col min="53" max="54" width="8.85546875" style="477"/>
    <col min="55" max="55" width="42.28515625" style="477" bestFit="1" customWidth="1"/>
    <col min="56" max="56" width="4.42578125" style="477" bestFit="1" customWidth="1"/>
    <col min="57" max="57" width="4" style="477" bestFit="1" customWidth="1"/>
    <col min="58" max="58" width="14.7109375" style="477" bestFit="1" customWidth="1"/>
    <col min="59" max="59" width="2.7109375" style="477" customWidth="1"/>
    <col min="60" max="60" width="11.28515625" style="477" bestFit="1" customWidth="1"/>
    <col min="61" max="61" width="9.42578125" style="477" bestFit="1" customWidth="1"/>
    <col min="62" max="62" width="11.28515625" style="477" bestFit="1" customWidth="1"/>
    <col min="63" max="63" width="1.7109375" style="1008" customWidth="1"/>
    <col min="65" max="65" width="30" style="2692" customWidth="1"/>
    <col min="66" max="66" width="9.140625" style="2692"/>
    <col min="67" max="67" width="15.7109375" style="2692" customWidth="1"/>
    <col min="68" max="68" width="14.7109375" style="2692" bestFit="1" customWidth="1"/>
    <col min="69" max="69" width="14" style="2692" bestFit="1" customWidth="1"/>
    <col min="70" max="70" width="15.5703125" style="2692" customWidth="1"/>
    <col min="71" max="72" width="11.140625" style="2692" customWidth="1"/>
    <col min="73" max="73" width="14" style="2692" bestFit="1" customWidth="1"/>
    <col min="74" max="74" width="13.7109375" style="2692" customWidth="1"/>
    <col min="76" max="76" width="1.7109375" style="1008" customWidth="1"/>
    <col min="78" max="78" width="30" style="2692" customWidth="1"/>
    <col min="79" max="79" width="9.140625" style="2692"/>
    <col min="80" max="80" width="15.7109375" style="2692" customWidth="1"/>
    <col min="81" max="81" width="14.7109375" style="2692" bestFit="1" customWidth="1"/>
    <col min="82" max="82" width="14" style="2692" bestFit="1" customWidth="1"/>
    <col min="83" max="83" width="15.5703125" style="2692" customWidth="1"/>
    <col min="84" max="85" width="16.7109375" style="2692" customWidth="1"/>
    <col min="86" max="86" width="14" style="2692" bestFit="1" customWidth="1"/>
    <col min="87" max="87" width="12.85546875" style="2692" customWidth="1"/>
  </cols>
  <sheetData>
    <row r="1" spans="1:82" ht="15">
      <c r="B1" s="3186" t="s">
        <v>1204</v>
      </c>
      <c r="R1" s="182" t="s">
        <v>1204</v>
      </c>
      <c r="W1" s="182" t="s">
        <v>1204</v>
      </c>
      <c r="AL1" s="182" t="s">
        <v>1204</v>
      </c>
      <c r="BM1" s="2692" t="s">
        <v>2943</v>
      </c>
      <c r="BZ1" s="2692" t="s">
        <v>2943</v>
      </c>
    </row>
    <row r="2" spans="1:82" ht="15">
      <c r="B2" s="3186" t="s">
        <v>1577</v>
      </c>
      <c r="R2" s="182" t="s">
        <v>2883</v>
      </c>
      <c r="W2" s="182" t="s">
        <v>2883</v>
      </c>
      <c r="AL2" s="182" t="s">
        <v>2883</v>
      </c>
      <c r="BB2" s="477" t="s">
        <v>2926</v>
      </c>
    </row>
    <row r="3" spans="1:82" ht="15">
      <c r="B3" s="3186" t="s">
        <v>2877</v>
      </c>
      <c r="R3" s="182" t="s">
        <v>2882</v>
      </c>
      <c r="W3" s="182" t="s">
        <v>2882</v>
      </c>
      <c r="AL3" s="182" t="s">
        <v>2882</v>
      </c>
    </row>
    <row r="4" spans="1:82" ht="15">
      <c r="B4" s="3186" t="s">
        <v>2876</v>
      </c>
      <c r="R4" s="182" t="s">
        <v>2881</v>
      </c>
      <c r="W4" s="182" t="s">
        <v>2881</v>
      </c>
      <c r="AL4" s="182" t="s">
        <v>2881</v>
      </c>
      <c r="BM4" s="2692" t="s">
        <v>2942</v>
      </c>
      <c r="BZ4" s="2692" t="s">
        <v>2942</v>
      </c>
    </row>
    <row r="5" spans="1:82">
      <c r="R5" s="182" t="s">
        <v>2880</v>
      </c>
      <c r="W5" s="182" t="s">
        <v>2880</v>
      </c>
      <c r="AL5" s="182" t="s">
        <v>2880</v>
      </c>
    </row>
    <row r="6" spans="1:82" ht="15.75" thickBot="1">
      <c r="B6" s="3186" t="s">
        <v>2875</v>
      </c>
      <c r="W6" s="3232"/>
      <c r="AL6" s="3232"/>
      <c r="BM6" s="2692" t="s">
        <v>2941</v>
      </c>
      <c r="BO6" s="3261"/>
      <c r="BP6" s="3261"/>
      <c r="BQ6" s="3255"/>
      <c r="BZ6" s="2692" t="s">
        <v>2946</v>
      </c>
      <c r="CB6" s="3261"/>
      <c r="CC6" s="3261"/>
      <c r="CD6" s="3255"/>
    </row>
    <row r="7" spans="1:82" ht="30.75" thickBot="1">
      <c r="H7" s="2083" t="s">
        <v>525</v>
      </c>
      <c r="I7" s="1230"/>
      <c r="J7" s="2083" t="s">
        <v>526</v>
      </c>
      <c r="S7" s="1200" t="s">
        <v>1577</v>
      </c>
      <c r="W7" s="3232"/>
      <c r="AL7" s="3232"/>
      <c r="BO7" s="3260" t="s">
        <v>968</v>
      </c>
      <c r="BP7" s="3260" t="s">
        <v>971</v>
      </c>
      <c r="BQ7" s="3259"/>
      <c r="CB7" s="3260" t="s">
        <v>968</v>
      </c>
      <c r="CC7" s="3260" t="s">
        <v>971</v>
      </c>
      <c r="CD7" s="3259"/>
    </row>
    <row r="8" spans="1:82" ht="45.75" thickBot="1">
      <c r="B8" s="3185" t="s">
        <v>70</v>
      </c>
      <c r="C8" s="3184" t="s">
        <v>2874</v>
      </c>
      <c r="D8" s="3184" t="s">
        <v>2873</v>
      </c>
      <c r="E8" s="2101" t="s">
        <v>2872</v>
      </c>
      <c r="F8" s="3184" t="s">
        <v>2871</v>
      </c>
      <c r="G8" s="2083"/>
      <c r="H8" s="2101" t="s">
        <v>2870</v>
      </c>
      <c r="I8" s="2083"/>
      <c r="J8" s="2101" t="s">
        <v>2869</v>
      </c>
      <c r="M8" s="2101" t="s">
        <v>2868</v>
      </c>
      <c r="N8" s="2101" t="s">
        <v>2867</v>
      </c>
      <c r="R8" s="890" t="s">
        <v>2879</v>
      </c>
      <c r="S8" s="987">
        <v>24</v>
      </c>
      <c r="W8" s="3232" t="str">
        <f>'G-3.18 New Reg Amort'!B10</f>
        <v>WA Regulatory Fee Deferral (2023 &amp; 2024)</v>
      </c>
      <c r="AL8" s="3232" t="str">
        <f>'G-3.18 New Reg Amort'!B11</f>
        <v>WA Deferred Depreciation Expense (2024)</v>
      </c>
      <c r="BM8" s="2692" t="s">
        <v>2940</v>
      </c>
      <c r="BO8" s="3254">
        <v>594282604.46121311</v>
      </c>
      <c r="BP8" s="3254">
        <v>221901777.34</v>
      </c>
      <c r="BQ8" s="3253">
        <v>0</v>
      </c>
      <c r="BZ8" s="2692" t="s">
        <v>2940</v>
      </c>
      <c r="CB8" s="3254">
        <v>625001172.96291137</v>
      </c>
      <c r="CC8" s="3254">
        <v>272653168.19515389</v>
      </c>
      <c r="CD8" s="3253">
        <v>0</v>
      </c>
    </row>
    <row r="9" spans="1:82" ht="15.75" thickBot="1">
      <c r="A9" s="477">
        <v>1</v>
      </c>
      <c r="B9" s="477" t="s">
        <v>2866</v>
      </c>
      <c r="C9" s="954" t="s">
        <v>2865</v>
      </c>
      <c r="D9" s="954" t="s">
        <v>2864</v>
      </c>
      <c r="E9" s="954" t="s">
        <v>2863</v>
      </c>
      <c r="F9" s="3183">
        <f>'G-3.18 New Reg Amort'!BI21</f>
        <v>-89867.200000000186</v>
      </c>
      <c r="G9" s="1690"/>
      <c r="H9" s="1082">
        <f>'G-3.18 New Reg Amort'!S42</f>
        <v>-44933.640000000007</v>
      </c>
      <c r="J9" s="1082">
        <f>'G-3.18 New Reg Amort'!S43</f>
        <v>-44933.560000000005</v>
      </c>
      <c r="K9" s="477" t="s">
        <v>2862</v>
      </c>
      <c r="M9" s="477" t="s">
        <v>2861</v>
      </c>
      <c r="N9" s="477" t="s">
        <v>2854</v>
      </c>
      <c r="R9" s="890" t="s">
        <v>23</v>
      </c>
      <c r="S9" s="3194">
        <v>0</v>
      </c>
      <c r="W9" s="3937" t="s">
        <v>2905</v>
      </c>
      <c r="X9" s="3938"/>
      <c r="Y9" s="3938"/>
      <c r="Z9" s="3938"/>
      <c r="AA9" s="3938"/>
      <c r="AB9" s="3938"/>
      <c r="AC9" s="3938"/>
      <c r="AD9" s="3938"/>
      <c r="AE9" s="3938"/>
      <c r="AF9" s="3938"/>
      <c r="AG9" s="3938"/>
      <c r="AH9" s="3939"/>
      <c r="AL9" s="3937" t="s">
        <v>2912</v>
      </c>
      <c r="AM9" s="3938"/>
      <c r="AN9" s="3938"/>
      <c r="AO9" s="3938"/>
      <c r="AP9" s="3938"/>
      <c r="AQ9" s="3938"/>
      <c r="AR9" s="3938"/>
      <c r="AS9" s="3938"/>
      <c r="AT9" s="3938"/>
      <c r="AU9" s="3938"/>
      <c r="AV9" s="3938"/>
      <c r="AW9" s="3939"/>
      <c r="BQ9" s="3255"/>
      <c r="CD9" s="3255"/>
    </row>
    <row r="10" spans="1:82" ht="15" thickBot="1">
      <c r="A10" s="477">
        <v>2</v>
      </c>
      <c r="B10" s="477" t="s">
        <v>2860</v>
      </c>
      <c r="C10" s="954">
        <v>182343</v>
      </c>
      <c r="D10" s="954">
        <v>407343</v>
      </c>
      <c r="E10" s="954" t="s">
        <v>2856</v>
      </c>
      <c r="F10" s="3182">
        <f>'G-3.18 New Reg Amort'!Y39</f>
        <v>1449877.9400000002</v>
      </c>
      <c r="G10" s="1690"/>
      <c r="H10" s="1082">
        <f>'G-3.18 New Reg Amort'!Y41</f>
        <v>724938.96</v>
      </c>
      <c r="J10" s="1082">
        <f>'G-3.18 New Reg Amort'!Y42</f>
        <v>724938.98</v>
      </c>
      <c r="M10" s="477" t="s">
        <v>2859</v>
      </c>
      <c r="N10" s="477" t="s">
        <v>2858</v>
      </c>
      <c r="W10" s="3231"/>
      <c r="X10" s="3230"/>
      <c r="Z10" s="3229">
        <v>24</v>
      </c>
      <c r="AA10" s="3228" t="s">
        <v>2879</v>
      </c>
      <c r="AB10" s="3227"/>
      <c r="AC10" s="3226"/>
      <c r="AD10" s="3225"/>
      <c r="AE10" s="3225"/>
      <c r="AF10" s="3219"/>
      <c r="AG10" s="3219"/>
      <c r="AH10" s="3218"/>
      <c r="AL10" s="3231"/>
      <c r="AM10" s="3230"/>
      <c r="AO10" s="3229">
        <v>24</v>
      </c>
      <c r="AP10" s="3228" t="s">
        <v>2879</v>
      </c>
      <c r="AQ10" s="3227"/>
      <c r="AR10" s="3226"/>
      <c r="AS10" s="3225"/>
      <c r="AT10" s="3225"/>
      <c r="AU10" s="3219"/>
      <c r="AV10" s="3219"/>
      <c r="AW10" s="3218"/>
      <c r="BM10" s="2692" t="s">
        <v>2939</v>
      </c>
      <c r="BO10" s="3258">
        <v>4.0000000000000001E-3</v>
      </c>
      <c r="BP10" s="3258">
        <v>4.0000000000000001E-3</v>
      </c>
      <c r="BQ10" s="3253"/>
      <c r="BZ10" s="2692" t="s">
        <v>2939</v>
      </c>
      <c r="CB10" s="3258">
        <v>2E-3</v>
      </c>
      <c r="CC10" s="3258">
        <v>2E-3</v>
      </c>
      <c r="CD10" s="3253"/>
    </row>
    <row r="11" spans="1:82" ht="15" thickBot="1">
      <c r="A11" s="477">
        <v>3</v>
      </c>
      <c r="B11" s="477" t="s">
        <v>2857</v>
      </c>
      <c r="C11" s="954">
        <v>254227</v>
      </c>
      <c r="D11" s="954">
        <v>407437</v>
      </c>
      <c r="E11" s="954" t="s">
        <v>2856</v>
      </c>
      <c r="F11" s="2820">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224"/>
      <c r="X11" s="3220" t="s">
        <v>24</v>
      </c>
      <c r="Z11" s="3223"/>
      <c r="AA11" s="3222" t="s">
        <v>2904</v>
      </c>
      <c r="AB11" s="3221">
        <v>5.0799999999999998E-2</v>
      </c>
      <c r="AC11" s="3220"/>
      <c r="AD11" s="3219"/>
      <c r="AE11" s="3219"/>
      <c r="AF11" s="3219"/>
      <c r="AG11" s="3219"/>
      <c r="AH11" s="3218"/>
      <c r="AL11" s="3224"/>
      <c r="AM11" s="3220" t="s">
        <v>24</v>
      </c>
      <c r="AO11" s="3223"/>
      <c r="AP11" s="3222" t="s">
        <v>2904</v>
      </c>
      <c r="AQ11" s="3221">
        <v>5.0799999999999998E-2</v>
      </c>
      <c r="AR11" s="3220"/>
      <c r="AS11" s="3219"/>
      <c r="AT11" s="3219"/>
      <c r="AU11" s="3219"/>
      <c r="AV11" s="3219"/>
      <c r="AW11" s="3218"/>
      <c r="BQ11" s="3255"/>
      <c r="CD11" s="3255"/>
    </row>
    <row r="12" spans="1:82" ht="57.75" thickBot="1">
      <c r="F12" s="3181"/>
      <c r="G12" s="3181"/>
      <c r="H12" s="3181"/>
      <c r="I12" s="3181"/>
      <c r="J12" s="3181"/>
      <c r="S12" s="987" t="s">
        <v>952</v>
      </c>
      <c r="W12" s="3217" t="s">
        <v>890</v>
      </c>
      <c r="X12" s="3216" t="s">
        <v>2903</v>
      </c>
      <c r="Y12" s="3216" t="s">
        <v>2902</v>
      </c>
      <c r="Z12" s="3215" t="s">
        <v>2901</v>
      </c>
      <c r="AA12" s="3215" t="s">
        <v>2900</v>
      </c>
      <c r="AB12" s="3215" t="s">
        <v>2899</v>
      </c>
      <c r="AC12" s="3215" t="s">
        <v>2898</v>
      </c>
      <c r="AD12" s="3215" t="s">
        <v>2897</v>
      </c>
      <c r="AE12" s="3214" t="s">
        <v>2896</v>
      </c>
      <c r="AF12" s="3214" t="s">
        <v>2895</v>
      </c>
      <c r="AG12" s="3214" t="s">
        <v>2894</v>
      </c>
      <c r="AH12" s="3213" t="s">
        <v>2893</v>
      </c>
      <c r="AL12" s="3217" t="s">
        <v>890</v>
      </c>
      <c r="AM12" s="3216" t="s">
        <v>2903</v>
      </c>
      <c r="AN12" s="3216" t="s">
        <v>2902</v>
      </c>
      <c r="AO12" s="3215" t="s">
        <v>2901</v>
      </c>
      <c r="AP12" s="3215" t="s">
        <v>2900</v>
      </c>
      <c r="AQ12" s="3215" t="s">
        <v>2899</v>
      </c>
      <c r="AR12" s="3215" t="s">
        <v>2898</v>
      </c>
      <c r="AS12" s="3215" t="s">
        <v>2897</v>
      </c>
      <c r="AT12" s="3214" t="s">
        <v>2896</v>
      </c>
      <c r="AU12" s="3214" t="s">
        <v>2895</v>
      </c>
      <c r="AV12" s="3214" t="s">
        <v>2894</v>
      </c>
      <c r="AW12" s="3213" t="s">
        <v>2893</v>
      </c>
      <c r="BM12" s="2692" t="s">
        <v>2938</v>
      </c>
      <c r="BO12" s="3254">
        <v>1143388.07</v>
      </c>
      <c r="BP12" s="3254">
        <v>330162.7</v>
      </c>
      <c r="BQ12" s="3257"/>
      <c r="BZ12" s="2692" t="s">
        <v>2945</v>
      </c>
      <c r="CB12" s="3254">
        <v>1143388.07</v>
      </c>
      <c r="CC12" s="3254">
        <v>330162.7</v>
      </c>
      <c r="CD12" s="3257"/>
    </row>
    <row r="13" spans="1:82" ht="30" thickTop="1" thickBot="1">
      <c r="B13" s="1230" t="s">
        <v>2853</v>
      </c>
      <c r="F13" s="3180">
        <f>SUM(F9:F11)</f>
        <v>599388.37000000034</v>
      </c>
      <c r="G13" s="1690"/>
      <c r="H13" s="3179">
        <f>SUM(H9:H11)</f>
        <v>299694.12</v>
      </c>
      <c r="I13" s="1690"/>
      <c r="J13" s="3178">
        <f>SUM(J9:J11)</f>
        <v>299694.24999999994</v>
      </c>
      <c r="R13" s="954" t="s">
        <v>890</v>
      </c>
      <c r="S13" s="987" t="str">
        <f>'G-3.18 New Reg Amort'!B9</f>
        <v>COVID 19 Deferral (Net)  (2020-2023)</v>
      </c>
      <c r="W13" s="3212" t="s">
        <v>2892</v>
      </c>
      <c r="X13" s="3211"/>
      <c r="Y13" s="3209" t="s">
        <v>2891</v>
      </c>
      <c r="Z13" s="3209" t="s">
        <v>2890</v>
      </c>
      <c r="AA13" s="3210"/>
      <c r="AB13" s="3209" t="s">
        <v>2889</v>
      </c>
      <c r="AC13" s="3209"/>
      <c r="AD13" s="3208" t="str">
        <f>AB13</f>
        <v>182343
GD WA</v>
      </c>
      <c r="AE13" s="3207" t="s">
        <v>2888</v>
      </c>
      <c r="AF13" s="3207" t="s">
        <v>2887</v>
      </c>
      <c r="AG13" s="3207" t="s">
        <v>2886</v>
      </c>
      <c r="AH13" s="3206" t="str">
        <f>AG13</f>
        <v>283xxx
GD WA</v>
      </c>
      <c r="AL13" s="3212" t="s">
        <v>2892</v>
      </c>
      <c r="AM13" s="3211"/>
      <c r="AN13" s="3209" t="s">
        <v>2911</v>
      </c>
      <c r="AO13" s="3209" t="s">
        <v>2910</v>
      </c>
      <c r="AP13" s="3210"/>
      <c r="AQ13" s="3209" t="s">
        <v>2909</v>
      </c>
      <c r="AR13" s="3209"/>
      <c r="AS13" s="3208" t="str">
        <f>AQ13</f>
        <v>254227
GD WA</v>
      </c>
      <c r="AT13" s="3207" t="s">
        <v>2908</v>
      </c>
      <c r="AU13" s="3207" t="s">
        <v>2907</v>
      </c>
      <c r="AV13" s="3207" t="s">
        <v>2906</v>
      </c>
      <c r="AW13" s="3206" t="str">
        <f>AV13</f>
        <v>190xxx
GD WA</v>
      </c>
      <c r="BO13" s="3256"/>
      <c r="BP13" s="3256"/>
      <c r="BQ13" s="3255"/>
      <c r="CB13" s="3254"/>
      <c r="CC13" s="3254"/>
      <c r="CD13" s="3257"/>
    </row>
    <row r="14" spans="1:82" ht="16.5" thickTop="1" thickBot="1">
      <c r="R14" s="1230" t="s">
        <v>2878</v>
      </c>
      <c r="S14" s="3193">
        <f>'G-3.18 New Reg Amort'!F9</f>
        <v>-89867.200000000186</v>
      </c>
      <c r="W14" s="3205" t="s">
        <v>2451</v>
      </c>
      <c r="X14" s="3199">
        <f>'G-3.18 New Reg Amort'!BV48+'G-3.18 New Reg Amort'!CI33</f>
        <v>1378803.831140961</v>
      </c>
      <c r="Y14" s="3199"/>
      <c r="Z14" s="3199"/>
      <c r="AA14" s="3199"/>
      <c r="AB14" s="3199"/>
      <c r="AC14" s="3199"/>
      <c r="AD14" s="3204">
        <f>X14</f>
        <v>1378803.831140961</v>
      </c>
      <c r="AE14" s="3199"/>
      <c r="AF14" s="3199"/>
      <c r="AG14" s="3199"/>
      <c r="AH14" s="3203">
        <f>AD14*21%</f>
        <v>289548.80453960178</v>
      </c>
      <c r="AL14" s="3205" t="s">
        <v>2451</v>
      </c>
      <c r="AM14" s="3199"/>
      <c r="AN14" s="3199"/>
      <c r="AO14" s="3199"/>
      <c r="AP14" s="3199"/>
      <c r="AQ14" s="3199"/>
      <c r="AR14" s="3199"/>
      <c r="AS14" s="3199">
        <v>0</v>
      </c>
      <c r="AT14" s="3199"/>
      <c r="AU14" s="3199"/>
      <c r="AV14" s="3199"/>
      <c r="AW14" s="3203">
        <f>AS14*21%</f>
        <v>0</v>
      </c>
      <c r="BM14" s="2692" t="s">
        <v>2937</v>
      </c>
      <c r="BO14" s="3254">
        <v>2377130.4178448524</v>
      </c>
      <c r="BP14" s="3254">
        <v>887607.10936</v>
      </c>
      <c r="BQ14" s="3253">
        <v>0</v>
      </c>
      <c r="BZ14" s="2692" t="s">
        <v>2944</v>
      </c>
      <c r="CB14" s="3254">
        <v>2500004.6918516457</v>
      </c>
      <c r="CC14" s="3254">
        <v>1090612.6727806155</v>
      </c>
      <c r="CD14" s="3253">
        <v>0</v>
      </c>
    </row>
    <row r="15" spans="1:82" ht="15">
      <c r="H15" s="1082"/>
      <c r="R15" s="3191">
        <v>45688</v>
      </c>
      <c r="S15" s="3187">
        <f t="shared" ref="S15:S37" si="0">ROUND($S$14/S$8,2)</f>
        <v>-3744.47</v>
      </c>
      <c r="W15" s="3202">
        <v>45688</v>
      </c>
      <c r="X15" s="3201"/>
      <c r="Y15" s="3201">
        <f t="shared" ref="Y15:Y37" si="1">ROUND((AA14+$Z$40)/$Z$10,2)</f>
        <v>60411.58</v>
      </c>
      <c r="Z15" s="3201">
        <f t="shared" ref="Z15:Z38" si="2">ROUND(-(AD14+AD14-X15-Y15)/2*$AB$11/12,2)</f>
        <v>-5709.07</v>
      </c>
      <c r="AA15" s="3199">
        <f t="shared" ref="AA15:AA38" si="3">AA14-X15</f>
        <v>0</v>
      </c>
      <c r="AB15" s="3199">
        <f t="shared" ref="AB15:AB38" si="4">-X15+-Z15-Y15</f>
        <v>-54702.51</v>
      </c>
      <c r="AC15" s="3199"/>
      <c r="AD15" s="3201">
        <f t="shared" ref="AD15:AD38" si="5">AD14-X15-Y15-Z15</f>
        <v>1324101.321140961</v>
      </c>
      <c r="AE15" s="3201">
        <f t="shared" ref="AE15:AE38" si="6">(-X15-Y15)*0.21</f>
        <v>-12686.4318</v>
      </c>
      <c r="AF15" s="3201">
        <f t="shared" ref="AF15:AF38" si="7">(-Z15)*0.21</f>
        <v>1198.9046999999998</v>
      </c>
      <c r="AG15" s="3201">
        <f t="shared" ref="AG15:AG38" si="8">-AE15-AF15</f>
        <v>11487.527100000001</v>
      </c>
      <c r="AH15" s="3201">
        <f t="shared" ref="AH15:AH38" si="9">AH14+AG15</f>
        <v>301036.33163960179</v>
      </c>
      <c r="AL15" s="3202">
        <v>45322</v>
      </c>
      <c r="AM15" s="3203">
        <v>58763</v>
      </c>
      <c r="AN15" s="3203"/>
      <c r="AO15" s="3201">
        <f t="shared" ref="AO15:AO50" si="10">ROUND(-(AS14+AS14-AM15-AN15)/2*$AQ$11/12,2)</f>
        <v>124.38</v>
      </c>
      <c r="AP15" s="3199">
        <f t="shared" ref="AP15:AP50" si="11">AP14-AM15</f>
        <v>-58763</v>
      </c>
      <c r="AQ15" s="3199">
        <f t="shared" ref="AQ15:AQ50" si="12">-AM15+-AO15-AN15</f>
        <v>-58887.38</v>
      </c>
      <c r="AR15" s="3199"/>
      <c r="AS15" s="3201">
        <f t="shared" ref="AS15:AS50" si="13">AS14-AM15-AN15-AO15</f>
        <v>-58887.38</v>
      </c>
      <c r="AT15" s="3201">
        <f t="shared" ref="AT15:AT50" si="14">(-AM15-AN15)*0.21</f>
        <v>-12340.23</v>
      </c>
      <c r="AU15" s="3201">
        <f t="shared" ref="AU15:AU50" si="15">(-AO15)*0.21</f>
        <v>-26.119799999999998</v>
      </c>
      <c r="AV15" s="3201">
        <f t="shared" ref="AV15:AV50" si="16">-AT15-AU15</f>
        <v>12366.3498</v>
      </c>
      <c r="AW15" s="3201">
        <f t="shared" ref="AW15:AW50" si="17">AW14+AV15</f>
        <v>12366.3498</v>
      </c>
      <c r="BO15" s="3252"/>
      <c r="BP15" s="3252"/>
      <c r="BQ15" s="3255"/>
      <c r="CB15" s="3252"/>
      <c r="CC15" s="3252"/>
      <c r="CD15" s="3255"/>
    </row>
    <row r="16" spans="1:82" ht="15">
      <c r="F16" s="477" t="s">
        <v>2852</v>
      </c>
      <c r="H16" s="1082">
        <f>+H9+H10+H11</f>
        <v>299694.12</v>
      </c>
      <c r="R16" s="3192">
        <v>45716</v>
      </c>
      <c r="S16" s="3187">
        <f t="shared" si="0"/>
        <v>-3744.47</v>
      </c>
      <c r="W16" s="3202">
        <v>45716</v>
      </c>
      <c r="X16" s="3201"/>
      <c r="Y16" s="3201">
        <f t="shared" si="1"/>
        <v>60411.58</v>
      </c>
      <c r="Z16" s="3201">
        <f t="shared" si="2"/>
        <v>-5477.49</v>
      </c>
      <c r="AA16" s="3199">
        <f t="shared" si="3"/>
        <v>0</v>
      </c>
      <c r="AB16" s="3199">
        <f t="shared" si="4"/>
        <v>-54934.090000000004</v>
      </c>
      <c r="AC16" s="3199"/>
      <c r="AD16" s="3201">
        <f t="shared" si="5"/>
        <v>1269167.2311409609</v>
      </c>
      <c r="AE16" s="3201">
        <f t="shared" si="6"/>
        <v>-12686.4318</v>
      </c>
      <c r="AF16" s="3201">
        <f t="shared" si="7"/>
        <v>1150.2728999999999</v>
      </c>
      <c r="AG16" s="3201">
        <f t="shared" si="8"/>
        <v>11536.1589</v>
      </c>
      <c r="AH16" s="3201">
        <f t="shared" si="9"/>
        <v>312572.49053960177</v>
      </c>
      <c r="AL16" s="3202">
        <v>45351</v>
      </c>
      <c r="AM16" s="3203">
        <v>58763</v>
      </c>
      <c r="AN16" s="3203"/>
      <c r="AO16" s="3201">
        <f t="shared" si="10"/>
        <v>373.67</v>
      </c>
      <c r="AP16" s="3199">
        <f t="shared" si="11"/>
        <v>-117526</v>
      </c>
      <c r="AQ16" s="3199">
        <f t="shared" si="12"/>
        <v>-59136.67</v>
      </c>
      <c r="AR16" s="3199"/>
      <c r="AS16" s="3201">
        <f t="shared" si="13"/>
        <v>-118024.05</v>
      </c>
      <c r="AT16" s="3201">
        <f t="shared" si="14"/>
        <v>-12340.23</v>
      </c>
      <c r="AU16" s="3201">
        <f t="shared" si="15"/>
        <v>-78.470699999999994</v>
      </c>
      <c r="AV16" s="3201">
        <f t="shared" si="16"/>
        <v>12418.700699999999</v>
      </c>
      <c r="AW16" s="3201">
        <f t="shared" si="17"/>
        <v>24785.050499999998</v>
      </c>
      <c r="BM16" s="2692" t="s">
        <v>2936</v>
      </c>
      <c r="BO16" s="3254">
        <v>-1233742.3478448524</v>
      </c>
      <c r="BP16" s="3254">
        <v>-557444.40935999993</v>
      </c>
      <c r="BQ16" s="3253">
        <v>0</v>
      </c>
      <c r="BZ16" s="2692" t="s">
        <v>2936</v>
      </c>
      <c r="CB16" s="3254">
        <v>-1356616.6218516456</v>
      </c>
      <c r="CC16" s="3254">
        <v>-760449.97278061556</v>
      </c>
      <c r="CD16" s="3253">
        <v>0</v>
      </c>
    </row>
    <row r="17" spans="2:87" ht="15">
      <c r="B17" s="477" t="s">
        <v>2851</v>
      </c>
      <c r="R17" s="3191">
        <v>45747</v>
      </c>
      <c r="S17" s="3187">
        <f t="shared" si="0"/>
        <v>-3744.47</v>
      </c>
      <c r="W17" s="3202">
        <v>45747</v>
      </c>
      <c r="X17" s="3201"/>
      <c r="Y17" s="3201">
        <f t="shared" si="1"/>
        <v>60411.58</v>
      </c>
      <c r="Z17" s="3201">
        <f t="shared" si="2"/>
        <v>-5244.94</v>
      </c>
      <c r="AA17" s="3199">
        <f t="shared" si="3"/>
        <v>0</v>
      </c>
      <c r="AB17" s="3199">
        <f t="shared" si="4"/>
        <v>-55166.64</v>
      </c>
      <c r="AC17" s="3199"/>
      <c r="AD17" s="3201">
        <f t="shared" si="5"/>
        <v>1214000.5911409608</v>
      </c>
      <c r="AE17" s="3201">
        <f t="shared" si="6"/>
        <v>-12686.4318</v>
      </c>
      <c r="AF17" s="3201">
        <f t="shared" si="7"/>
        <v>1101.4373999999998</v>
      </c>
      <c r="AG17" s="3201">
        <f t="shared" si="8"/>
        <v>11584.9944</v>
      </c>
      <c r="AH17" s="3201">
        <f t="shared" si="9"/>
        <v>324157.4849396018</v>
      </c>
      <c r="AL17" s="3202">
        <v>45382</v>
      </c>
      <c r="AM17" s="3203">
        <v>58763</v>
      </c>
      <c r="AN17" s="3203"/>
      <c r="AO17" s="3201">
        <f t="shared" si="10"/>
        <v>624.02</v>
      </c>
      <c r="AP17" s="3199">
        <f t="shared" si="11"/>
        <v>-176289</v>
      </c>
      <c r="AQ17" s="3199">
        <f t="shared" si="12"/>
        <v>-59387.02</v>
      </c>
      <c r="AR17" s="3199"/>
      <c r="AS17" s="3201">
        <f t="shared" si="13"/>
        <v>-177411.06999999998</v>
      </c>
      <c r="AT17" s="3201">
        <f t="shared" si="14"/>
        <v>-12340.23</v>
      </c>
      <c r="AU17" s="3201">
        <f t="shared" si="15"/>
        <v>-131.04419999999999</v>
      </c>
      <c r="AV17" s="3201">
        <f t="shared" si="16"/>
        <v>12471.2742</v>
      </c>
      <c r="AW17" s="3201">
        <f t="shared" si="17"/>
        <v>37256.324699999997</v>
      </c>
      <c r="BO17" s="3252"/>
      <c r="BP17" s="3252"/>
      <c r="BQ17" s="3255"/>
      <c r="CB17" s="3252"/>
      <c r="CC17" s="3252"/>
      <c r="CD17" s="3255"/>
    </row>
    <row r="18" spans="2:87" ht="15">
      <c r="B18" s="477" t="s">
        <v>2850</v>
      </c>
      <c r="R18" s="3191">
        <v>45777</v>
      </c>
      <c r="S18" s="3187">
        <f t="shared" si="0"/>
        <v>-3744.47</v>
      </c>
      <c r="W18" s="3202">
        <v>45777</v>
      </c>
      <c r="X18" s="3201"/>
      <c r="Y18" s="3201">
        <f t="shared" si="1"/>
        <v>60411.58</v>
      </c>
      <c r="Z18" s="3201">
        <f t="shared" si="2"/>
        <v>-5011.3999999999996</v>
      </c>
      <c r="AA18" s="3199">
        <f t="shared" si="3"/>
        <v>0</v>
      </c>
      <c r="AB18" s="3199">
        <f t="shared" si="4"/>
        <v>-55400.18</v>
      </c>
      <c r="AC18" s="3199"/>
      <c r="AD18" s="3201">
        <f t="shared" si="5"/>
        <v>1158600.4111409606</v>
      </c>
      <c r="AE18" s="3201">
        <f t="shared" si="6"/>
        <v>-12686.4318</v>
      </c>
      <c r="AF18" s="3201">
        <f t="shared" si="7"/>
        <v>1052.3939999999998</v>
      </c>
      <c r="AG18" s="3201">
        <f t="shared" si="8"/>
        <v>11634.0378</v>
      </c>
      <c r="AH18" s="3201">
        <f t="shared" si="9"/>
        <v>335791.52273960179</v>
      </c>
      <c r="AL18" s="3202">
        <v>45412</v>
      </c>
      <c r="AM18" s="3203">
        <v>58763</v>
      </c>
      <c r="AN18" s="3203"/>
      <c r="AO18" s="3201">
        <f t="shared" si="10"/>
        <v>875.42</v>
      </c>
      <c r="AP18" s="3199">
        <f t="shared" si="11"/>
        <v>-235052</v>
      </c>
      <c r="AQ18" s="3199">
        <f t="shared" si="12"/>
        <v>-59638.42</v>
      </c>
      <c r="AR18" s="3199"/>
      <c r="AS18" s="3201">
        <f t="shared" si="13"/>
        <v>-237049.49</v>
      </c>
      <c r="AT18" s="3201">
        <f t="shared" si="14"/>
        <v>-12340.23</v>
      </c>
      <c r="AU18" s="3201">
        <f t="shared" si="15"/>
        <v>-183.83819999999997</v>
      </c>
      <c r="AV18" s="3201">
        <f t="shared" si="16"/>
        <v>12524.0682</v>
      </c>
      <c r="AW18" s="3201">
        <f t="shared" si="17"/>
        <v>49780.392899999999</v>
      </c>
      <c r="BM18" s="2692" t="s">
        <v>764</v>
      </c>
      <c r="BO18" s="3254">
        <f>ROUND(BO16/12,2)</f>
        <v>-102811.86</v>
      </c>
      <c r="BP18" s="3254">
        <f>ROUND(BP16/12,2)</f>
        <v>-46453.7</v>
      </c>
      <c r="BQ18" s="3253"/>
      <c r="BR18" s="3252"/>
      <c r="BS18" s="3251" t="s">
        <v>2935</v>
      </c>
      <c r="BT18" s="3251"/>
      <c r="BU18" s="3250"/>
      <c r="BZ18" s="2692" t="s">
        <v>764</v>
      </c>
      <c r="CB18" s="3254">
        <f>ROUND(CB16/12,2)</f>
        <v>-113051.39</v>
      </c>
      <c r="CC18" s="3254">
        <f>ROUND(CC16/12,2)</f>
        <v>-63370.83</v>
      </c>
      <c r="CD18" s="3253"/>
      <c r="CE18" s="3252"/>
      <c r="CF18" s="3251" t="s">
        <v>2935</v>
      </c>
      <c r="CG18" s="3251"/>
      <c r="CH18" s="3250"/>
    </row>
    <row r="19" spans="2:87" ht="27" thickBot="1">
      <c r="B19" s="477" t="s">
        <v>2849</v>
      </c>
      <c r="R19" s="3192">
        <v>45808</v>
      </c>
      <c r="S19" s="3187">
        <f t="shared" si="0"/>
        <v>-3744.47</v>
      </c>
      <c r="W19" s="3202">
        <v>45808</v>
      </c>
      <c r="X19" s="3201"/>
      <c r="Y19" s="3201">
        <f t="shared" si="1"/>
        <v>60411.58</v>
      </c>
      <c r="Z19" s="3201">
        <f t="shared" si="2"/>
        <v>-4776.87</v>
      </c>
      <c r="AA19" s="3199">
        <f t="shared" si="3"/>
        <v>0</v>
      </c>
      <c r="AB19" s="3199">
        <f t="shared" si="4"/>
        <v>-55634.71</v>
      </c>
      <c r="AC19" s="3199"/>
      <c r="AD19" s="3201">
        <f t="shared" si="5"/>
        <v>1102965.7011409607</v>
      </c>
      <c r="AE19" s="3201">
        <f t="shared" si="6"/>
        <v>-12686.4318</v>
      </c>
      <c r="AF19" s="3201">
        <f t="shared" si="7"/>
        <v>1003.1427</v>
      </c>
      <c r="AG19" s="3201">
        <f t="shared" si="8"/>
        <v>11683.2891</v>
      </c>
      <c r="AH19" s="3201">
        <f t="shared" si="9"/>
        <v>347474.81183960178</v>
      </c>
      <c r="AL19" s="3202">
        <v>45443</v>
      </c>
      <c r="AM19" s="3203">
        <v>58763</v>
      </c>
      <c r="AN19" s="3203"/>
      <c r="AO19" s="3201">
        <f t="shared" si="10"/>
        <v>1127.8900000000001</v>
      </c>
      <c r="AP19" s="3199">
        <f t="shared" si="11"/>
        <v>-293815</v>
      </c>
      <c r="AQ19" s="3199">
        <f t="shared" si="12"/>
        <v>-59890.89</v>
      </c>
      <c r="AR19" s="3199"/>
      <c r="AS19" s="3201">
        <f t="shared" si="13"/>
        <v>-296940.38</v>
      </c>
      <c r="AT19" s="3201">
        <f t="shared" si="14"/>
        <v>-12340.23</v>
      </c>
      <c r="AU19" s="3201">
        <f t="shared" si="15"/>
        <v>-236.85690000000002</v>
      </c>
      <c r="AV19" s="3201">
        <f t="shared" si="16"/>
        <v>12577.0869</v>
      </c>
      <c r="AW19" s="3201">
        <f t="shared" si="17"/>
        <v>62357.479800000001</v>
      </c>
      <c r="BO19" s="3245"/>
      <c r="BP19" s="3245"/>
      <c r="BQ19" s="3245"/>
      <c r="BS19" s="3249" t="s">
        <v>2934</v>
      </c>
      <c r="BT19" s="3249" t="s">
        <v>2933</v>
      </c>
      <c r="BU19" s="3249" t="s">
        <v>2932</v>
      </c>
      <c r="BV19" s="3249" t="s">
        <v>2931</v>
      </c>
      <c r="CB19" s="3245"/>
      <c r="CC19" s="3245"/>
      <c r="CD19" s="3245"/>
      <c r="CF19" s="3249" t="s">
        <v>2934</v>
      </c>
      <c r="CG19" s="3249" t="s">
        <v>2933</v>
      </c>
      <c r="CH19" s="3249" t="s">
        <v>2932</v>
      </c>
      <c r="CI19" s="3249" t="s">
        <v>2931</v>
      </c>
    </row>
    <row r="20" spans="2:87" ht="15.75" thickBot="1">
      <c r="R20" s="3191">
        <v>45838</v>
      </c>
      <c r="S20" s="3187">
        <f t="shared" si="0"/>
        <v>-3744.47</v>
      </c>
      <c r="W20" s="3202">
        <v>45838</v>
      </c>
      <c r="X20" s="3201"/>
      <c r="Y20" s="3201">
        <f t="shared" si="1"/>
        <v>60411.58</v>
      </c>
      <c r="Z20" s="3201">
        <f t="shared" si="2"/>
        <v>-4541.3500000000004</v>
      </c>
      <c r="AA20" s="3199">
        <f t="shared" si="3"/>
        <v>0</v>
      </c>
      <c r="AB20" s="3199">
        <f t="shared" si="4"/>
        <v>-55870.23</v>
      </c>
      <c r="AC20" s="3199"/>
      <c r="AD20" s="3201">
        <f t="shared" si="5"/>
        <v>1047095.4711409607</v>
      </c>
      <c r="AE20" s="3201">
        <f t="shared" si="6"/>
        <v>-12686.4318</v>
      </c>
      <c r="AF20" s="3201">
        <f t="shared" si="7"/>
        <v>953.68350000000009</v>
      </c>
      <c r="AG20" s="3201">
        <f t="shared" si="8"/>
        <v>11732.748299999999</v>
      </c>
      <c r="AH20" s="3201">
        <f t="shared" si="9"/>
        <v>359207.56013960176</v>
      </c>
      <c r="AL20" s="3202">
        <v>45473</v>
      </c>
      <c r="AM20" s="3203">
        <v>58763</v>
      </c>
      <c r="AN20" s="3203"/>
      <c r="AO20" s="3201">
        <f t="shared" si="10"/>
        <v>1381.43</v>
      </c>
      <c r="AP20" s="3199">
        <f t="shared" si="11"/>
        <v>-352578</v>
      </c>
      <c r="AQ20" s="3199">
        <f t="shared" si="12"/>
        <v>-60144.43</v>
      </c>
      <c r="AR20" s="3199"/>
      <c r="AS20" s="3201">
        <f t="shared" si="13"/>
        <v>-357084.81</v>
      </c>
      <c r="AT20" s="3201">
        <f t="shared" si="14"/>
        <v>-12340.23</v>
      </c>
      <c r="AU20" s="3201">
        <f t="shared" si="15"/>
        <v>-290.1003</v>
      </c>
      <c r="AV20" s="3201">
        <f t="shared" si="16"/>
        <v>12630.3303</v>
      </c>
      <c r="AW20" s="3201">
        <f t="shared" si="17"/>
        <v>74987.810100000002</v>
      </c>
      <c r="BB20" s="3236" t="s">
        <v>2925</v>
      </c>
      <c r="BC20" s="3235" t="s">
        <v>2924</v>
      </c>
      <c r="BD20" s="3235" t="s">
        <v>2923</v>
      </c>
      <c r="BE20" s="3235" t="s">
        <v>2922</v>
      </c>
      <c r="BF20" s="3235" t="s">
        <v>2921</v>
      </c>
      <c r="BH20" s="954" t="s">
        <v>2920</v>
      </c>
      <c r="BI20" s="954" t="s">
        <v>2919</v>
      </c>
      <c r="BJ20" s="954" t="s">
        <v>24</v>
      </c>
      <c r="BM20" s="2692" t="s">
        <v>2930</v>
      </c>
      <c r="BO20" s="3935">
        <v>407443</v>
      </c>
      <c r="BP20" s="3936"/>
      <c r="BQ20" s="3935">
        <v>182343</v>
      </c>
      <c r="BR20" s="3936"/>
      <c r="BS20" s="3249" t="s">
        <v>2451</v>
      </c>
      <c r="BT20" s="3249" t="s">
        <v>2451</v>
      </c>
      <c r="BU20" s="3248" t="s">
        <v>2151</v>
      </c>
      <c r="BV20" s="3248" t="s">
        <v>2151</v>
      </c>
      <c r="BZ20" s="2692" t="s">
        <v>2930</v>
      </c>
      <c r="CB20" s="3935">
        <v>407443</v>
      </c>
      <c r="CC20" s="3936"/>
      <c r="CD20" s="3935">
        <v>182343</v>
      </c>
      <c r="CE20" s="3936"/>
      <c r="CF20" s="3249" t="s">
        <v>2451</v>
      </c>
      <c r="CG20" s="3249" t="s">
        <v>2451</v>
      </c>
      <c r="CH20" s="3248" t="s">
        <v>2151</v>
      </c>
      <c r="CI20" s="3248" t="s">
        <v>2151</v>
      </c>
    </row>
    <row r="21" spans="2:87" ht="15">
      <c r="R21" s="3191">
        <v>45869</v>
      </c>
      <c r="S21" s="3187">
        <f t="shared" si="0"/>
        <v>-3744.47</v>
      </c>
      <c r="W21" s="3202">
        <v>45869</v>
      </c>
      <c r="X21" s="3201"/>
      <c r="Y21" s="3201">
        <f t="shared" si="1"/>
        <v>60411.58</v>
      </c>
      <c r="Z21" s="3201">
        <f t="shared" si="2"/>
        <v>-4304.83</v>
      </c>
      <c r="AA21" s="3199">
        <f t="shared" si="3"/>
        <v>0</v>
      </c>
      <c r="AB21" s="3199">
        <f t="shared" si="4"/>
        <v>-56106.75</v>
      </c>
      <c r="AC21" s="3199"/>
      <c r="AD21" s="3201">
        <f t="shared" si="5"/>
        <v>990988.7211409607</v>
      </c>
      <c r="AE21" s="3201">
        <f t="shared" si="6"/>
        <v>-12686.4318</v>
      </c>
      <c r="AF21" s="3201">
        <f t="shared" si="7"/>
        <v>904.01429999999993</v>
      </c>
      <c r="AG21" s="3201">
        <f t="shared" si="8"/>
        <v>11782.4175</v>
      </c>
      <c r="AH21" s="3201">
        <f t="shared" si="9"/>
        <v>370989.97763960174</v>
      </c>
      <c r="AL21" s="3202">
        <v>45504</v>
      </c>
      <c r="AM21" s="3203">
        <v>58763</v>
      </c>
      <c r="AN21" s="3203"/>
      <c r="AO21" s="3201">
        <f t="shared" si="10"/>
        <v>1636.04</v>
      </c>
      <c r="AP21" s="3199">
        <f t="shared" si="11"/>
        <v>-411341</v>
      </c>
      <c r="AQ21" s="3199">
        <f t="shared" si="12"/>
        <v>-60399.040000000001</v>
      </c>
      <c r="AR21" s="3199"/>
      <c r="AS21" s="3201">
        <f t="shared" si="13"/>
        <v>-417483.85</v>
      </c>
      <c r="AT21" s="3201">
        <f t="shared" si="14"/>
        <v>-12340.23</v>
      </c>
      <c r="AU21" s="3201">
        <f t="shared" si="15"/>
        <v>-343.5684</v>
      </c>
      <c r="AV21" s="3201">
        <f t="shared" si="16"/>
        <v>12683.7984</v>
      </c>
      <c r="AW21" s="3201">
        <f t="shared" si="17"/>
        <v>87671.608500000002</v>
      </c>
      <c r="BB21" s="182" t="s">
        <v>2918</v>
      </c>
      <c r="BC21" s="1008" t="s">
        <v>2917</v>
      </c>
      <c r="BD21" s="477" t="s">
        <v>681</v>
      </c>
      <c r="BE21" s="477" t="s">
        <v>763</v>
      </c>
      <c r="BF21" s="2821">
        <v>2297868.02</v>
      </c>
      <c r="BH21" s="1082">
        <f>SUM(BF21:BF23)</f>
        <v>2109589.7599999998</v>
      </c>
      <c r="BI21" s="1082">
        <f>SUM(BF24:BF26)</f>
        <v>-89867.200000000186</v>
      </c>
      <c r="BJ21" s="1082">
        <f>SUM(BH21:BI21)</f>
        <v>2019722.5599999996</v>
      </c>
      <c r="BM21" s="2692" t="s">
        <v>2929</v>
      </c>
      <c r="BO21" s="3247" t="s">
        <v>968</v>
      </c>
      <c r="BP21" s="3247" t="s">
        <v>971</v>
      </c>
      <c r="BQ21" s="3247" t="s">
        <v>968</v>
      </c>
      <c r="BR21" s="3247" t="s">
        <v>971</v>
      </c>
      <c r="BS21" s="3246">
        <v>4.879E-2</v>
      </c>
      <c r="BT21" s="3246">
        <v>4.879E-2</v>
      </c>
      <c r="BU21" s="3245">
        <v>0</v>
      </c>
      <c r="BV21" s="3245">
        <v>0</v>
      </c>
      <c r="CB21" s="3247" t="s">
        <v>968</v>
      </c>
      <c r="CC21" s="3247" t="s">
        <v>971</v>
      </c>
      <c r="CD21" s="3247" t="s">
        <v>968</v>
      </c>
      <c r="CE21" s="3247" t="s">
        <v>971</v>
      </c>
      <c r="CF21" s="3263">
        <v>4.9000000000000002E-2</v>
      </c>
      <c r="CG21" s="3246">
        <v>4.879E-2</v>
      </c>
      <c r="CH21" s="3245">
        <v>0</v>
      </c>
      <c r="CI21" s="3245">
        <v>0</v>
      </c>
    </row>
    <row r="22" spans="2:87" ht="15">
      <c r="R22" s="3192">
        <v>45900</v>
      </c>
      <c r="S22" s="3187">
        <f t="shared" si="0"/>
        <v>-3744.47</v>
      </c>
      <c r="W22" s="3202">
        <v>45900</v>
      </c>
      <c r="X22" s="3201"/>
      <c r="Y22" s="3201">
        <f t="shared" si="1"/>
        <v>60411.58</v>
      </c>
      <c r="Z22" s="3201">
        <f t="shared" si="2"/>
        <v>-4067.31</v>
      </c>
      <c r="AA22" s="3199">
        <f t="shared" si="3"/>
        <v>0</v>
      </c>
      <c r="AB22" s="3199">
        <f t="shared" si="4"/>
        <v>-56344.270000000004</v>
      </c>
      <c r="AC22" s="3199"/>
      <c r="AD22" s="3201">
        <f t="shared" si="5"/>
        <v>934644.45114096079</v>
      </c>
      <c r="AE22" s="3201">
        <f t="shared" si="6"/>
        <v>-12686.4318</v>
      </c>
      <c r="AF22" s="3201">
        <f t="shared" si="7"/>
        <v>854.13509999999997</v>
      </c>
      <c r="AG22" s="3201">
        <f t="shared" si="8"/>
        <v>11832.296700000001</v>
      </c>
      <c r="AH22" s="3201">
        <f t="shared" si="9"/>
        <v>382822.27433960175</v>
      </c>
      <c r="AL22" s="3202">
        <v>45535</v>
      </c>
      <c r="AM22" s="3203">
        <v>58763</v>
      </c>
      <c r="AN22" s="3203"/>
      <c r="AO22" s="3201">
        <f t="shared" si="10"/>
        <v>1891.73</v>
      </c>
      <c r="AP22" s="3199">
        <f t="shared" si="11"/>
        <v>-470104</v>
      </c>
      <c r="AQ22" s="3199">
        <f t="shared" si="12"/>
        <v>-60654.73</v>
      </c>
      <c r="AR22" s="3199"/>
      <c r="AS22" s="3201">
        <f t="shared" si="13"/>
        <v>-478138.57999999996</v>
      </c>
      <c r="AT22" s="3201">
        <f t="shared" si="14"/>
        <v>-12340.23</v>
      </c>
      <c r="AU22" s="3201">
        <f t="shared" si="15"/>
        <v>-397.26330000000002</v>
      </c>
      <c r="AV22" s="3201">
        <f t="shared" si="16"/>
        <v>12737.4933</v>
      </c>
      <c r="AW22" s="3201">
        <f t="shared" si="17"/>
        <v>100409.1018</v>
      </c>
      <c r="BB22" s="182" t="s">
        <v>2916</v>
      </c>
      <c r="BC22" s="1008" t="s">
        <v>2915</v>
      </c>
      <c r="BD22" s="477" t="s">
        <v>681</v>
      </c>
      <c r="BE22" s="477" t="s">
        <v>763</v>
      </c>
      <c r="BF22" s="2821">
        <v>5338074.74</v>
      </c>
      <c r="BM22" s="2692" t="s">
        <v>852</v>
      </c>
      <c r="BO22" s="3243">
        <v>0</v>
      </c>
      <c r="BP22" s="3243">
        <v>0</v>
      </c>
      <c r="BQ22" s="3243">
        <f t="shared" ref="BQ22:BQ33" si="18">-BO22</f>
        <v>0</v>
      </c>
      <c r="BR22" s="3243">
        <f t="shared" ref="BR22:BR33" si="19">-BP22</f>
        <v>0</v>
      </c>
      <c r="BS22" s="3245">
        <f t="shared" ref="BS22:BS33" si="20">(BU21+BQ22/2)*BS$21/12</f>
        <v>0</v>
      </c>
      <c r="BT22" s="3245">
        <f t="shared" ref="BT22:BT33" si="21">(BV21+BR22/2)*BT$21/12</f>
        <v>0</v>
      </c>
      <c r="BU22" s="3245">
        <f t="shared" ref="BU22:BU33" si="22">BU21+BQ22+BS22</f>
        <v>0</v>
      </c>
      <c r="BV22" s="3245">
        <f>BV21+BR22+BU22</f>
        <v>0</v>
      </c>
      <c r="BZ22" s="2692" t="s">
        <v>852</v>
      </c>
      <c r="CB22" s="3243">
        <f t="shared" ref="CB22:CB33" si="23">+$CB$18</f>
        <v>-113051.39</v>
      </c>
      <c r="CC22" s="3243">
        <f t="shared" ref="CC22:CC33" si="24">+$CC$18</f>
        <v>-63370.83</v>
      </c>
      <c r="CD22" s="3243">
        <f t="shared" ref="CD22:CD33" si="25">-CB22</f>
        <v>113051.39</v>
      </c>
      <c r="CE22" s="3243">
        <f t="shared" ref="CE22:CE33" si="26">-CC22</f>
        <v>63370.83</v>
      </c>
      <c r="CF22" s="3245">
        <f t="shared" ref="CF22:CF33" si="27">(CH21+CD22/2)*CF$21/12</f>
        <v>230.81325458333333</v>
      </c>
      <c r="CG22" s="3239">
        <f t="shared" ref="CG22:CG33" si="28">(CI21+CE22/2)*CG$21/12</f>
        <v>128.82761648749999</v>
      </c>
      <c r="CH22" s="3245">
        <f t="shared" ref="CH22:CH33" si="29">CH21+CD22+CF22</f>
        <v>113282.20325458334</v>
      </c>
      <c r="CI22" s="3239">
        <f t="shared" ref="CI22:CI33" si="30">CI21+CE22+CG22</f>
        <v>63499.6576164875</v>
      </c>
    </row>
    <row r="23" spans="2:87" ht="15">
      <c r="R23" s="3192">
        <v>45930</v>
      </c>
      <c r="S23" s="3187">
        <f t="shared" si="0"/>
        <v>-3744.47</v>
      </c>
      <c r="W23" s="3202">
        <v>45930</v>
      </c>
      <c r="X23" s="3201"/>
      <c r="Y23" s="3201">
        <f t="shared" si="1"/>
        <v>60411.58</v>
      </c>
      <c r="Z23" s="3201">
        <f t="shared" si="2"/>
        <v>-3828.79</v>
      </c>
      <c r="AA23" s="3199">
        <f t="shared" si="3"/>
        <v>0</v>
      </c>
      <c r="AB23" s="3199">
        <f t="shared" si="4"/>
        <v>-56582.79</v>
      </c>
      <c r="AC23" s="3199"/>
      <c r="AD23" s="3201">
        <f t="shared" si="5"/>
        <v>878061.66114096087</v>
      </c>
      <c r="AE23" s="3201">
        <f t="shared" si="6"/>
        <v>-12686.4318</v>
      </c>
      <c r="AF23" s="3201">
        <f t="shared" si="7"/>
        <v>804.04589999999996</v>
      </c>
      <c r="AG23" s="3201">
        <f t="shared" si="8"/>
        <v>11882.385900000001</v>
      </c>
      <c r="AH23" s="3201">
        <f t="shared" si="9"/>
        <v>394704.66023960174</v>
      </c>
      <c r="AL23" s="3202">
        <v>45565</v>
      </c>
      <c r="AM23" s="3203">
        <v>58763</v>
      </c>
      <c r="AN23" s="3203"/>
      <c r="AO23" s="3201">
        <f t="shared" si="10"/>
        <v>2148.5</v>
      </c>
      <c r="AP23" s="3199">
        <f t="shared" si="11"/>
        <v>-528867</v>
      </c>
      <c r="AQ23" s="3199">
        <f t="shared" si="12"/>
        <v>-60911.5</v>
      </c>
      <c r="AR23" s="3199"/>
      <c r="AS23" s="3201">
        <f t="shared" si="13"/>
        <v>-539050.07999999996</v>
      </c>
      <c r="AT23" s="3201">
        <f t="shared" si="14"/>
        <v>-12340.23</v>
      </c>
      <c r="AU23" s="3201">
        <f t="shared" si="15"/>
        <v>-451.185</v>
      </c>
      <c r="AV23" s="3201">
        <f t="shared" si="16"/>
        <v>12791.414999999999</v>
      </c>
      <c r="AW23" s="3201">
        <f t="shared" si="17"/>
        <v>113200.5168</v>
      </c>
      <c r="BB23" s="182" t="s">
        <v>2914</v>
      </c>
      <c r="BC23" s="1008" t="s">
        <v>2913</v>
      </c>
      <c r="BD23" s="477" t="s">
        <v>681</v>
      </c>
      <c r="BE23" s="477" t="s">
        <v>763</v>
      </c>
      <c r="BF23" s="2821">
        <v>-5526353</v>
      </c>
      <c r="BM23" s="2692" t="s">
        <v>851</v>
      </c>
      <c r="BO23" s="3243">
        <f>+BO18*2</f>
        <v>-205623.72</v>
      </c>
      <c r="BP23" s="3243">
        <f>+BP18*2</f>
        <v>-92907.4</v>
      </c>
      <c r="BQ23" s="3243">
        <f t="shared" si="18"/>
        <v>205623.72</v>
      </c>
      <c r="BR23" s="3243">
        <f t="shared" si="19"/>
        <v>92907.4</v>
      </c>
      <c r="BS23" s="3239">
        <f t="shared" si="20"/>
        <v>418.01588745000004</v>
      </c>
      <c r="BT23" s="3239">
        <f t="shared" si="21"/>
        <v>188.87300191666665</v>
      </c>
      <c r="BU23" s="3239">
        <f t="shared" si="22"/>
        <v>206041.73588744999</v>
      </c>
      <c r="BV23" s="3239">
        <f t="shared" ref="BV23:BV33" si="31">BV22+BR23+BT23</f>
        <v>93096.273001916663</v>
      </c>
      <c r="BZ23" s="2692" t="s">
        <v>851</v>
      </c>
      <c r="CB23" s="3243">
        <f t="shared" si="23"/>
        <v>-113051.39</v>
      </c>
      <c r="CC23" s="3243">
        <f t="shared" si="24"/>
        <v>-63370.83</v>
      </c>
      <c r="CD23" s="3243">
        <f t="shared" si="25"/>
        <v>113051.39</v>
      </c>
      <c r="CE23" s="3243">
        <f t="shared" si="26"/>
        <v>63370.83</v>
      </c>
      <c r="CF23" s="3245">
        <f t="shared" si="27"/>
        <v>693.3822512062153</v>
      </c>
      <c r="CG23" s="3239">
        <f t="shared" si="28"/>
        <v>387.00664107986881</v>
      </c>
      <c r="CH23" s="3245">
        <f t="shared" si="29"/>
        <v>227026.97550578954</v>
      </c>
      <c r="CI23" s="3239">
        <f t="shared" si="30"/>
        <v>127257.49425756738</v>
      </c>
    </row>
    <row r="24" spans="2:87" ht="15">
      <c r="R24" s="3191">
        <v>45961</v>
      </c>
      <c r="S24" s="3187">
        <f t="shared" si="0"/>
        <v>-3744.47</v>
      </c>
      <c r="W24" s="3202">
        <v>45961</v>
      </c>
      <c r="X24" s="3201"/>
      <c r="Y24" s="3201">
        <f t="shared" si="1"/>
        <v>60411.58</v>
      </c>
      <c r="Z24" s="3201">
        <f t="shared" si="2"/>
        <v>-3589.26</v>
      </c>
      <c r="AA24" s="3199">
        <f t="shared" si="3"/>
        <v>0</v>
      </c>
      <c r="AB24" s="3199">
        <f t="shared" si="4"/>
        <v>-56822.32</v>
      </c>
      <c r="AC24" s="3199"/>
      <c r="AD24" s="3201">
        <f t="shared" si="5"/>
        <v>821239.34114096093</v>
      </c>
      <c r="AE24" s="3201">
        <f t="shared" si="6"/>
        <v>-12686.4318</v>
      </c>
      <c r="AF24" s="3201">
        <f t="shared" si="7"/>
        <v>753.74459999999999</v>
      </c>
      <c r="AG24" s="3201">
        <f t="shared" si="8"/>
        <v>11932.6872</v>
      </c>
      <c r="AH24" s="3201">
        <f t="shared" si="9"/>
        <v>406637.34743960173</v>
      </c>
      <c r="AL24" s="3202">
        <v>45596</v>
      </c>
      <c r="AM24" s="3203">
        <v>58763</v>
      </c>
      <c r="AN24" s="3203"/>
      <c r="AO24" s="3201">
        <f t="shared" si="10"/>
        <v>2406.36</v>
      </c>
      <c r="AP24" s="3199">
        <f t="shared" si="11"/>
        <v>-587630</v>
      </c>
      <c r="AQ24" s="3199">
        <f t="shared" si="12"/>
        <v>-61169.36</v>
      </c>
      <c r="AR24" s="3199"/>
      <c r="AS24" s="3201">
        <f t="shared" si="13"/>
        <v>-600219.43999999994</v>
      </c>
      <c r="AT24" s="3201">
        <f t="shared" si="14"/>
        <v>-12340.23</v>
      </c>
      <c r="AU24" s="3201">
        <f t="shared" si="15"/>
        <v>-505.3356</v>
      </c>
      <c r="AV24" s="3201">
        <f t="shared" si="16"/>
        <v>12845.5656</v>
      </c>
      <c r="AW24" s="3201">
        <f t="shared" si="17"/>
        <v>126046.0824</v>
      </c>
      <c r="BB24" s="182" t="s">
        <v>2918</v>
      </c>
      <c r="BC24" s="1008" t="s">
        <v>2917</v>
      </c>
      <c r="BD24" s="477" t="s">
        <v>680</v>
      </c>
      <c r="BE24" s="477" t="s">
        <v>763</v>
      </c>
      <c r="BF24" s="2821">
        <v>953914.54</v>
      </c>
      <c r="BM24" s="2692" t="s">
        <v>850</v>
      </c>
      <c r="BO24" s="3243">
        <f t="shared" ref="BO24:BO33" si="32">+$BO$18</f>
        <v>-102811.86</v>
      </c>
      <c r="BP24" s="3243">
        <f t="shared" ref="BP24:BP33" si="33">+$BP$18</f>
        <v>-46453.7</v>
      </c>
      <c r="BQ24" s="3243">
        <f t="shared" si="18"/>
        <v>102811.86</v>
      </c>
      <c r="BR24" s="3243">
        <f t="shared" si="19"/>
        <v>46453.7</v>
      </c>
      <c r="BS24" s="3239">
        <f t="shared" si="20"/>
        <v>1046.7393015540572</v>
      </c>
      <c r="BT24" s="3239">
        <f t="shared" si="21"/>
        <v>472.95043093862614</v>
      </c>
      <c r="BU24" s="3239">
        <f t="shared" si="22"/>
        <v>309900.33518900402</v>
      </c>
      <c r="BV24" s="3239">
        <f t="shared" si="31"/>
        <v>140022.92343285528</v>
      </c>
      <c r="BZ24" s="2692" t="s">
        <v>850</v>
      </c>
      <c r="CB24" s="3243">
        <f t="shared" si="23"/>
        <v>-113051.39</v>
      </c>
      <c r="CC24" s="3243">
        <f t="shared" si="24"/>
        <v>-63370.83</v>
      </c>
      <c r="CD24" s="3243">
        <f t="shared" si="25"/>
        <v>113051.39</v>
      </c>
      <c r="CE24" s="3243">
        <f t="shared" si="26"/>
        <v>63370.83</v>
      </c>
      <c r="CF24" s="3245">
        <f t="shared" si="27"/>
        <v>1157.8400712319738</v>
      </c>
      <c r="CG24" s="3239">
        <f t="shared" si="28"/>
        <v>646.23537855639267</v>
      </c>
      <c r="CH24" s="3245">
        <f t="shared" si="29"/>
        <v>341236.20557702152</v>
      </c>
      <c r="CI24" s="3239">
        <f t="shared" si="30"/>
        <v>191274.55963612377</v>
      </c>
    </row>
    <row r="25" spans="2:87" ht="15">
      <c r="R25" s="3191">
        <v>45991</v>
      </c>
      <c r="S25" s="3187">
        <f t="shared" si="0"/>
        <v>-3744.47</v>
      </c>
      <c r="W25" s="3202">
        <v>45991</v>
      </c>
      <c r="X25" s="3201"/>
      <c r="Y25" s="3201">
        <f t="shared" si="1"/>
        <v>60411.58</v>
      </c>
      <c r="Z25" s="3201">
        <f t="shared" si="2"/>
        <v>-3348.71</v>
      </c>
      <c r="AA25" s="3199">
        <f t="shared" si="3"/>
        <v>0</v>
      </c>
      <c r="AB25" s="3199">
        <f t="shared" si="4"/>
        <v>-57062.87</v>
      </c>
      <c r="AC25" s="3199"/>
      <c r="AD25" s="3201">
        <f t="shared" si="5"/>
        <v>764176.47114096093</v>
      </c>
      <c r="AE25" s="3201">
        <f t="shared" si="6"/>
        <v>-12686.4318</v>
      </c>
      <c r="AF25" s="3201">
        <f t="shared" si="7"/>
        <v>703.22910000000002</v>
      </c>
      <c r="AG25" s="3201">
        <f t="shared" si="8"/>
        <v>11983.2027</v>
      </c>
      <c r="AH25" s="3201">
        <f t="shared" si="9"/>
        <v>418620.55013960175</v>
      </c>
      <c r="AL25" s="3202">
        <v>45626</v>
      </c>
      <c r="AM25" s="3203">
        <v>58763</v>
      </c>
      <c r="AN25" s="3203"/>
      <c r="AO25" s="3201">
        <f t="shared" si="10"/>
        <v>2665.31</v>
      </c>
      <c r="AP25" s="3199">
        <f t="shared" si="11"/>
        <v>-646393</v>
      </c>
      <c r="AQ25" s="3199">
        <f t="shared" si="12"/>
        <v>-61428.31</v>
      </c>
      <c r="AR25" s="3199"/>
      <c r="AS25" s="3201">
        <f t="shared" si="13"/>
        <v>-661647.75</v>
      </c>
      <c r="AT25" s="3201">
        <f t="shared" si="14"/>
        <v>-12340.23</v>
      </c>
      <c r="AU25" s="3201">
        <f t="shared" si="15"/>
        <v>-559.71510000000001</v>
      </c>
      <c r="AV25" s="3201">
        <f t="shared" si="16"/>
        <v>12899.945099999999</v>
      </c>
      <c r="AW25" s="3201">
        <f t="shared" si="17"/>
        <v>138946.0275</v>
      </c>
      <c r="BB25" s="182" t="s">
        <v>2916</v>
      </c>
      <c r="BC25" s="1008" t="s">
        <v>2915</v>
      </c>
      <c r="BD25" s="477" t="s">
        <v>680</v>
      </c>
      <c r="BE25" s="477" t="s">
        <v>763</v>
      </c>
      <c r="BF25" s="2821">
        <v>1178965.26</v>
      </c>
      <c r="BM25" s="2692" t="s">
        <v>848</v>
      </c>
      <c r="BO25" s="3243">
        <f t="shared" si="32"/>
        <v>-102811.86</v>
      </c>
      <c r="BP25" s="3243">
        <f t="shared" si="33"/>
        <v>-46453.7</v>
      </c>
      <c r="BQ25" s="3243">
        <f t="shared" si="18"/>
        <v>102811.86</v>
      </c>
      <c r="BR25" s="3243">
        <f t="shared" si="19"/>
        <v>46453.7</v>
      </c>
      <c r="BS25" s="3239">
        <f t="shared" si="20"/>
        <v>1469.0110565476255</v>
      </c>
      <c r="BT25" s="3239">
        <f t="shared" si="21"/>
        <v>663.74637048241743</v>
      </c>
      <c r="BU25" s="3239">
        <f t="shared" si="22"/>
        <v>414181.20624555164</v>
      </c>
      <c r="BV25" s="3239">
        <f t="shared" si="31"/>
        <v>187140.3698033377</v>
      </c>
      <c r="BZ25" s="2692" t="s">
        <v>848</v>
      </c>
      <c r="CB25" s="3243">
        <f t="shared" si="23"/>
        <v>-113051.39</v>
      </c>
      <c r="CC25" s="3243">
        <f t="shared" si="24"/>
        <v>-63370.83</v>
      </c>
      <c r="CD25" s="3243">
        <f t="shared" si="25"/>
        <v>113051.39</v>
      </c>
      <c r="CE25" s="3243">
        <f t="shared" si="26"/>
        <v>63370.83</v>
      </c>
      <c r="CF25" s="3245">
        <f t="shared" si="27"/>
        <v>1624.1944273561712</v>
      </c>
      <c r="CG25" s="3239">
        <f t="shared" si="28"/>
        <v>906.51809687470666</v>
      </c>
      <c r="CH25" s="3245">
        <f t="shared" si="29"/>
        <v>455911.79000437772</v>
      </c>
      <c r="CI25" s="3239">
        <f t="shared" si="30"/>
        <v>255551.90773299849</v>
      </c>
    </row>
    <row r="26" spans="2:87" ht="15">
      <c r="R26" s="3192">
        <v>46022</v>
      </c>
      <c r="S26" s="3187">
        <f t="shared" si="0"/>
        <v>-3744.47</v>
      </c>
      <c r="W26" s="3202">
        <v>46022</v>
      </c>
      <c r="X26" s="3201"/>
      <c r="Y26" s="3201">
        <f t="shared" si="1"/>
        <v>60411.58</v>
      </c>
      <c r="Z26" s="3201">
        <f t="shared" si="2"/>
        <v>-3107.14</v>
      </c>
      <c r="AA26" s="3199">
        <f t="shared" si="3"/>
        <v>0</v>
      </c>
      <c r="AB26" s="3199">
        <f t="shared" si="4"/>
        <v>-57304.44</v>
      </c>
      <c r="AC26" s="3199"/>
      <c r="AD26" s="3201">
        <f t="shared" si="5"/>
        <v>706872.03114096099</v>
      </c>
      <c r="AE26" s="3201">
        <f t="shared" si="6"/>
        <v>-12686.4318</v>
      </c>
      <c r="AF26" s="3201">
        <f t="shared" si="7"/>
        <v>652.49939999999992</v>
      </c>
      <c r="AG26" s="3201">
        <f t="shared" si="8"/>
        <v>12033.9324</v>
      </c>
      <c r="AH26" s="3201">
        <f t="shared" si="9"/>
        <v>430654.48253960174</v>
      </c>
      <c r="AL26" s="3202">
        <v>45657</v>
      </c>
      <c r="AM26" s="3203">
        <v>58763</v>
      </c>
      <c r="AN26" s="3203"/>
      <c r="AO26" s="3201">
        <f t="shared" si="10"/>
        <v>2925.36</v>
      </c>
      <c r="AP26" s="3199">
        <f t="shared" si="11"/>
        <v>-705156</v>
      </c>
      <c r="AQ26" s="3199">
        <f t="shared" si="12"/>
        <v>-61688.36</v>
      </c>
      <c r="AR26" s="3199"/>
      <c r="AS26" s="3233">
        <f t="shared" si="13"/>
        <v>-723336.11</v>
      </c>
      <c r="AT26" s="3201">
        <f t="shared" si="14"/>
        <v>-12340.23</v>
      </c>
      <c r="AU26" s="3201">
        <f t="shared" si="15"/>
        <v>-614.32560000000001</v>
      </c>
      <c r="AV26" s="3201">
        <f t="shared" si="16"/>
        <v>12954.5556</v>
      </c>
      <c r="AW26" s="3201">
        <f t="shared" si="17"/>
        <v>151900.58309999999</v>
      </c>
      <c r="BB26" s="182" t="s">
        <v>2914</v>
      </c>
      <c r="BC26" s="1008" t="s">
        <v>2913</v>
      </c>
      <c r="BD26" s="477" t="s">
        <v>680</v>
      </c>
      <c r="BE26" s="477" t="s">
        <v>763</v>
      </c>
      <c r="BF26" s="3234">
        <v>-2222747</v>
      </c>
      <c r="BM26" s="2692" t="s">
        <v>846</v>
      </c>
      <c r="BO26" s="3243">
        <f t="shared" si="32"/>
        <v>-102811.86</v>
      </c>
      <c r="BP26" s="3243">
        <f t="shared" si="33"/>
        <v>-46453.7</v>
      </c>
      <c r="BQ26" s="3243">
        <f t="shared" si="18"/>
        <v>102811.86</v>
      </c>
      <c r="BR26" s="3243">
        <f t="shared" si="19"/>
        <v>46453.7</v>
      </c>
      <c r="BS26" s="3239">
        <f t="shared" si="20"/>
        <v>1892.999698118372</v>
      </c>
      <c r="BT26" s="3239">
        <f t="shared" si="21"/>
        <v>855.31805451707066</v>
      </c>
      <c r="BU26" s="3239">
        <f t="shared" si="22"/>
        <v>518886.06594366999</v>
      </c>
      <c r="BV26" s="3239">
        <f t="shared" si="31"/>
        <v>234449.38785785474</v>
      </c>
      <c r="BZ26" s="2692" t="s">
        <v>846</v>
      </c>
      <c r="CB26" s="3243">
        <f t="shared" si="23"/>
        <v>-113051.39</v>
      </c>
      <c r="CC26" s="3243">
        <f t="shared" si="24"/>
        <v>-63370.83</v>
      </c>
      <c r="CD26" s="3243">
        <f t="shared" si="25"/>
        <v>113051.39</v>
      </c>
      <c r="CE26" s="3243">
        <f t="shared" si="26"/>
        <v>63370.83</v>
      </c>
      <c r="CF26" s="3245">
        <f t="shared" si="27"/>
        <v>2092.4530637678758</v>
      </c>
      <c r="CG26" s="3239">
        <f t="shared" si="28"/>
        <v>1167.8590813452495</v>
      </c>
      <c r="CH26" s="3245">
        <f t="shared" si="29"/>
        <v>571055.6330681456</v>
      </c>
      <c r="CI26" s="3239">
        <f t="shared" si="30"/>
        <v>320090.59681434376</v>
      </c>
    </row>
    <row r="27" spans="2:87" ht="15">
      <c r="R27" s="3191">
        <v>46053</v>
      </c>
      <c r="S27" s="3187">
        <f t="shared" si="0"/>
        <v>-3744.47</v>
      </c>
      <c r="W27" s="3202">
        <v>46053</v>
      </c>
      <c r="X27" s="3201"/>
      <c r="Y27" s="3201">
        <f t="shared" si="1"/>
        <v>60411.58</v>
      </c>
      <c r="Z27" s="3201">
        <f t="shared" si="2"/>
        <v>-2864.55</v>
      </c>
      <c r="AA27" s="3199">
        <f t="shared" si="3"/>
        <v>0</v>
      </c>
      <c r="AB27" s="3199">
        <f t="shared" si="4"/>
        <v>-57547.03</v>
      </c>
      <c r="AC27" s="3199"/>
      <c r="AD27" s="3201">
        <f t="shared" si="5"/>
        <v>649325.00114096107</v>
      </c>
      <c r="AE27" s="3201">
        <f t="shared" si="6"/>
        <v>-12686.4318</v>
      </c>
      <c r="AF27" s="3201">
        <f t="shared" si="7"/>
        <v>601.55550000000005</v>
      </c>
      <c r="AG27" s="3201">
        <f t="shared" si="8"/>
        <v>12084.8763</v>
      </c>
      <c r="AH27" s="3201">
        <f t="shared" si="9"/>
        <v>442739.35883960174</v>
      </c>
      <c r="AL27" s="3202">
        <v>45688</v>
      </c>
      <c r="AM27" s="3201"/>
      <c r="AN27" s="3201">
        <f t="shared" ref="AN27:AN49" si="34">ROUND((AP26+$AO$52)/$AO$10,2)</f>
        <v>-31692.6</v>
      </c>
      <c r="AO27" s="3201">
        <f t="shared" si="10"/>
        <v>2995.04</v>
      </c>
      <c r="AP27" s="3199">
        <f t="shared" si="11"/>
        <v>-705156</v>
      </c>
      <c r="AQ27" s="3199">
        <f t="shared" si="12"/>
        <v>28697.559999999998</v>
      </c>
      <c r="AR27" s="3199"/>
      <c r="AS27" s="3201">
        <f t="shared" si="13"/>
        <v>-694638.55</v>
      </c>
      <c r="AT27" s="3201">
        <f t="shared" si="14"/>
        <v>6655.445999999999</v>
      </c>
      <c r="AU27" s="3201">
        <f t="shared" si="15"/>
        <v>-628.95839999999998</v>
      </c>
      <c r="AV27" s="3201">
        <f t="shared" si="16"/>
        <v>-6026.4875999999986</v>
      </c>
      <c r="AW27" s="3201">
        <f t="shared" si="17"/>
        <v>145874.0955</v>
      </c>
      <c r="BF27" s="1082">
        <f>SUM(BF21:BF26)</f>
        <v>2019722.5599999996</v>
      </c>
      <c r="BM27" s="2692" t="s">
        <v>844</v>
      </c>
      <c r="BO27" s="3243">
        <f t="shared" si="32"/>
        <v>-102811.86</v>
      </c>
      <c r="BP27" s="3243">
        <f t="shared" si="33"/>
        <v>-46453.7</v>
      </c>
      <c r="BQ27" s="3243">
        <f t="shared" si="18"/>
        <v>102811.86</v>
      </c>
      <c r="BR27" s="3243">
        <f t="shared" si="19"/>
        <v>46453.7</v>
      </c>
      <c r="BS27" s="3239">
        <f t="shared" si="20"/>
        <v>2318.7122068409717</v>
      </c>
      <c r="BT27" s="3239">
        <f t="shared" si="21"/>
        <v>1047.6686370903944</v>
      </c>
      <c r="BU27" s="3239">
        <f t="shared" si="22"/>
        <v>624016.63815051096</v>
      </c>
      <c r="BV27" s="3239">
        <f t="shared" si="31"/>
        <v>281950.75649494515</v>
      </c>
      <c r="BZ27" s="2692" t="s">
        <v>844</v>
      </c>
      <c r="CB27" s="3243">
        <f t="shared" si="23"/>
        <v>-113051.39</v>
      </c>
      <c r="CC27" s="3243">
        <f t="shared" si="24"/>
        <v>-63370.83</v>
      </c>
      <c r="CD27" s="3243">
        <f t="shared" si="25"/>
        <v>113051.39</v>
      </c>
      <c r="CE27" s="3243">
        <f t="shared" si="26"/>
        <v>63370.83</v>
      </c>
      <c r="CF27" s="3245">
        <f t="shared" si="27"/>
        <v>2562.6237562782612</v>
      </c>
      <c r="CG27" s="3239">
        <f t="shared" si="28"/>
        <v>1430.2626347018193</v>
      </c>
      <c r="CH27" s="3245">
        <f t="shared" si="29"/>
        <v>686669.64682442392</v>
      </c>
      <c r="CI27" s="3239">
        <f t="shared" si="30"/>
        <v>384891.68944904557</v>
      </c>
    </row>
    <row r="28" spans="2:87" ht="15">
      <c r="R28" s="3191">
        <v>46081</v>
      </c>
      <c r="S28" s="3187">
        <f t="shared" si="0"/>
        <v>-3744.47</v>
      </c>
      <c r="W28" s="3202">
        <v>46081</v>
      </c>
      <c r="X28" s="3201"/>
      <c r="Y28" s="3201">
        <f t="shared" si="1"/>
        <v>60411.58</v>
      </c>
      <c r="Z28" s="3201">
        <f t="shared" si="2"/>
        <v>-2620.94</v>
      </c>
      <c r="AA28" s="3199">
        <f t="shared" si="3"/>
        <v>0</v>
      </c>
      <c r="AB28" s="3199">
        <f t="shared" si="4"/>
        <v>-57790.64</v>
      </c>
      <c r="AC28" s="3199"/>
      <c r="AD28" s="3201">
        <f t="shared" si="5"/>
        <v>591534.36114096106</v>
      </c>
      <c r="AE28" s="3201">
        <f t="shared" si="6"/>
        <v>-12686.4318</v>
      </c>
      <c r="AF28" s="3201">
        <f t="shared" si="7"/>
        <v>550.39739999999995</v>
      </c>
      <c r="AG28" s="3201">
        <f t="shared" si="8"/>
        <v>12136.0344</v>
      </c>
      <c r="AH28" s="3201">
        <f t="shared" si="9"/>
        <v>454875.39323960175</v>
      </c>
      <c r="AL28" s="3202">
        <v>45716</v>
      </c>
      <c r="AM28" s="3201"/>
      <c r="AN28" s="3201">
        <f t="shared" si="34"/>
        <v>-31692.6</v>
      </c>
      <c r="AO28" s="3201">
        <f t="shared" si="10"/>
        <v>2873.55</v>
      </c>
      <c r="AP28" s="3199">
        <f t="shared" si="11"/>
        <v>-705156</v>
      </c>
      <c r="AQ28" s="3199">
        <f t="shared" si="12"/>
        <v>28819.05</v>
      </c>
      <c r="AR28" s="3199"/>
      <c r="AS28" s="3201">
        <f t="shared" si="13"/>
        <v>-665819.50000000012</v>
      </c>
      <c r="AT28" s="3201">
        <f t="shared" si="14"/>
        <v>6655.445999999999</v>
      </c>
      <c r="AU28" s="3201">
        <f t="shared" si="15"/>
        <v>-603.44550000000004</v>
      </c>
      <c r="AV28" s="3201">
        <f t="shared" si="16"/>
        <v>-6052.0004999999992</v>
      </c>
      <c r="AW28" s="3201">
        <f t="shared" si="17"/>
        <v>139822.095</v>
      </c>
      <c r="BM28" s="2692" t="s">
        <v>863</v>
      </c>
      <c r="BO28" s="3243">
        <f t="shared" si="32"/>
        <v>-102811.86</v>
      </c>
      <c r="BP28" s="3243">
        <f t="shared" si="33"/>
        <v>-46453.7</v>
      </c>
      <c r="BQ28" s="3243">
        <f t="shared" si="18"/>
        <v>102811.86</v>
      </c>
      <c r="BR28" s="3243">
        <f t="shared" si="19"/>
        <v>46453.7</v>
      </c>
      <c r="BS28" s="3239">
        <f t="shared" si="20"/>
        <v>2746.1555916719531</v>
      </c>
      <c r="BT28" s="3239">
        <f t="shared" si="21"/>
        <v>1240.8012850740311</v>
      </c>
      <c r="BU28" s="3239">
        <f t="shared" si="22"/>
        <v>729574.65374218288</v>
      </c>
      <c r="BV28" s="3239">
        <f t="shared" si="31"/>
        <v>329645.25778001919</v>
      </c>
      <c r="BZ28" s="2692" t="s">
        <v>863</v>
      </c>
      <c r="CB28" s="3243">
        <f t="shared" si="23"/>
        <v>-113051.39</v>
      </c>
      <c r="CC28" s="3243">
        <f t="shared" si="24"/>
        <v>-63370.83</v>
      </c>
      <c r="CD28" s="3243">
        <f t="shared" si="25"/>
        <v>113051.39</v>
      </c>
      <c r="CE28" s="3243">
        <f t="shared" si="26"/>
        <v>63370.83</v>
      </c>
      <c r="CF28" s="3245">
        <f t="shared" si="27"/>
        <v>3034.7143124497306</v>
      </c>
      <c r="CG28" s="3239">
        <f t="shared" si="28"/>
        <v>1693.733077172411</v>
      </c>
      <c r="CH28" s="3245">
        <f t="shared" si="29"/>
        <v>802755.75113687362</v>
      </c>
      <c r="CI28" s="3239">
        <f t="shared" si="30"/>
        <v>449956.25252621801</v>
      </c>
    </row>
    <row r="29" spans="2:87" ht="15">
      <c r="R29" s="3192">
        <v>46112</v>
      </c>
      <c r="S29" s="3187">
        <f t="shared" si="0"/>
        <v>-3744.47</v>
      </c>
      <c r="W29" s="3202">
        <v>46112</v>
      </c>
      <c r="X29" s="3201"/>
      <c r="Y29" s="3201">
        <f t="shared" si="1"/>
        <v>60411.58</v>
      </c>
      <c r="Z29" s="3201">
        <f t="shared" si="2"/>
        <v>-2376.29</v>
      </c>
      <c r="AA29" s="3199">
        <f t="shared" si="3"/>
        <v>0</v>
      </c>
      <c r="AB29" s="3199">
        <f t="shared" si="4"/>
        <v>-58035.29</v>
      </c>
      <c r="AC29" s="3199"/>
      <c r="AD29" s="3201">
        <f t="shared" si="5"/>
        <v>533499.07114096114</v>
      </c>
      <c r="AE29" s="3201">
        <f t="shared" si="6"/>
        <v>-12686.4318</v>
      </c>
      <c r="AF29" s="3201">
        <f t="shared" si="7"/>
        <v>499.02089999999998</v>
      </c>
      <c r="AG29" s="3201">
        <f t="shared" si="8"/>
        <v>12187.410900000001</v>
      </c>
      <c r="AH29" s="3201">
        <f t="shared" si="9"/>
        <v>467062.80413960177</v>
      </c>
      <c r="AL29" s="3202">
        <v>45747</v>
      </c>
      <c r="AM29" s="3201"/>
      <c r="AN29" s="3201">
        <f t="shared" si="34"/>
        <v>-31692.6</v>
      </c>
      <c r="AO29" s="3201">
        <f t="shared" si="10"/>
        <v>2751.55</v>
      </c>
      <c r="AP29" s="3199">
        <f t="shared" si="11"/>
        <v>-705156</v>
      </c>
      <c r="AQ29" s="3199">
        <f t="shared" si="12"/>
        <v>28941.05</v>
      </c>
      <c r="AR29" s="3199"/>
      <c r="AS29" s="3201">
        <f t="shared" si="13"/>
        <v>-636878.45000000019</v>
      </c>
      <c r="AT29" s="3201">
        <f t="shared" si="14"/>
        <v>6655.445999999999</v>
      </c>
      <c r="AU29" s="3201">
        <f t="shared" si="15"/>
        <v>-577.82550000000003</v>
      </c>
      <c r="AV29" s="3201">
        <f t="shared" si="16"/>
        <v>-6077.6204999999991</v>
      </c>
      <c r="AW29" s="3201">
        <f t="shared" si="17"/>
        <v>133744.47450000001</v>
      </c>
      <c r="BM29" s="2692" t="s">
        <v>861</v>
      </c>
      <c r="BO29" s="3243">
        <f t="shared" si="32"/>
        <v>-102811.86</v>
      </c>
      <c r="BP29" s="3243">
        <f t="shared" si="33"/>
        <v>-46453.7</v>
      </c>
      <c r="BQ29" s="3243">
        <f t="shared" si="18"/>
        <v>102811.86</v>
      </c>
      <c r="BR29" s="3243">
        <f t="shared" si="19"/>
        <v>46453.7</v>
      </c>
      <c r="BS29" s="3239">
        <f t="shared" si="20"/>
        <v>3175.3368900650917</v>
      </c>
      <c r="BT29" s="3239">
        <f t="shared" si="21"/>
        <v>1434.7191782155944</v>
      </c>
      <c r="BU29" s="3239">
        <f t="shared" si="22"/>
        <v>835561.85063224798</v>
      </c>
      <c r="BV29" s="3239">
        <f t="shared" si="31"/>
        <v>377533.67695823481</v>
      </c>
      <c r="BZ29" s="2692" t="s">
        <v>861</v>
      </c>
      <c r="CB29" s="3243">
        <f t="shared" si="23"/>
        <v>-113051.39</v>
      </c>
      <c r="CC29" s="3243">
        <f t="shared" si="24"/>
        <v>-63370.83</v>
      </c>
      <c r="CD29" s="3243">
        <f t="shared" si="25"/>
        <v>113051.39</v>
      </c>
      <c r="CE29" s="3243">
        <f t="shared" si="26"/>
        <v>63370.83</v>
      </c>
      <c r="CF29" s="3245">
        <f t="shared" si="27"/>
        <v>3508.7325717255676</v>
      </c>
      <c r="CG29" s="3239">
        <f t="shared" si="28"/>
        <v>1958.274746550348</v>
      </c>
      <c r="CH29" s="3245">
        <f t="shared" si="29"/>
        <v>919315.87370859925</v>
      </c>
      <c r="CI29" s="3239">
        <f t="shared" si="30"/>
        <v>515285.35727276839</v>
      </c>
    </row>
    <row r="30" spans="2:87" ht="15">
      <c r="R30" s="3192">
        <v>46142</v>
      </c>
      <c r="S30" s="3187">
        <f t="shared" si="0"/>
        <v>-3744.47</v>
      </c>
      <c r="W30" s="3202">
        <v>46142</v>
      </c>
      <c r="X30" s="3201"/>
      <c r="Y30" s="3201">
        <f t="shared" si="1"/>
        <v>60411.58</v>
      </c>
      <c r="Z30" s="3201">
        <f t="shared" si="2"/>
        <v>-2130.61</v>
      </c>
      <c r="AA30" s="3199">
        <f t="shared" si="3"/>
        <v>0</v>
      </c>
      <c r="AB30" s="3199">
        <f t="shared" si="4"/>
        <v>-58280.97</v>
      </c>
      <c r="AC30" s="3199"/>
      <c r="AD30" s="3201">
        <f t="shared" si="5"/>
        <v>475218.10114096111</v>
      </c>
      <c r="AE30" s="3201">
        <f t="shared" si="6"/>
        <v>-12686.4318</v>
      </c>
      <c r="AF30" s="3201">
        <f t="shared" si="7"/>
        <v>447.42810000000003</v>
      </c>
      <c r="AG30" s="3201">
        <f t="shared" si="8"/>
        <v>12239.003700000001</v>
      </c>
      <c r="AH30" s="3201">
        <f t="shared" si="9"/>
        <v>479301.80783960177</v>
      </c>
      <c r="AL30" s="3202">
        <v>45777</v>
      </c>
      <c r="AM30" s="3201"/>
      <c r="AN30" s="3201">
        <f t="shared" si="34"/>
        <v>-31692.6</v>
      </c>
      <c r="AO30" s="3201">
        <f t="shared" si="10"/>
        <v>2629.04</v>
      </c>
      <c r="AP30" s="3199">
        <f t="shared" si="11"/>
        <v>-705156</v>
      </c>
      <c r="AQ30" s="3199">
        <f t="shared" si="12"/>
        <v>29063.559999999998</v>
      </c>
      <c r="AR30" s="3199"/>
      <c r="AS30" s="3201">
        <f t="shared" si="13"/>
        <v>-607814.89000000025</v>
      </c>
      <c r="AT30" s="3201">
        <f t="shared" si="14"/>
        <v>6655.445999999999</v>
      </c>
      <c r="AU30" s="3201">
        <f t="shared" si="15"/>
        <v>-552.09839999999997</v>
      </c>
      <c r="AV30" s="3201">
        <f t="shared" si="16"/>
        <v>-6103.3475999999991</v>
      </c>
      <c r="AW30" s="3201">
        <f t="shared" si="17"/>
        <v>127641.12690000002</v>
      </c>
      <c r="BM30" s="2692" t="s">
        <v>857</v>
      </c>
      <c r="BO30" s="3243">
        <f t="shared" si="32"/>
        <v>-102811.86</v>
      </c>
      <c r="BP30" s="3243">
        <f t="shared" si="33"/>
        <v>-46453.7</v>
      </c>
      <c r="BQ30" s="3243">
        <f t="shared" si="18"/>
        <v>102811.86</v>
      </c>
      <c r="BR30" s="3243">
        <f t="shared" si="19"/>
        <v>46453.7</v>
      </c>
      <c r="BS30" s="3239">
        <f t="shared" si="20"/>
        <v>3606.2631680872819</v>
      </c>
      <c r="BT30" s="3239">
        <f t="shared" si="21"/>
        <v>1629.4255091910229</v>
      </c>
      <c r="BU30" s="3239">
        <f t="shared" si="22"/>
        <v>941979.9738003352</v>
      </c>
      <c r="BV30" s="3239">
        <f t="shared" si="31"/>
        <v>425616.80246742582</v>
      </c>
      <c r="BZ30" s="2692" t="s">
        <v>857</v>
      </c>
      <c r="CB30" s="3243">
        <f t="shared" si="23"/>
        <v>-113051.39</v>
      </c>
      <c r="CC30" s="3243">
        <f t="shared" si="24"/>
        <v>-63370.83</v>
      </c>
      <c r="CD30" s="3243">
        <f t="shared" si="25"/>
        <v>113051.39</v>
      </c>
      <c r="CE30" s="3243">
        <f t="shared" si="26"/>
        <v>63370.83</v>
      </c>
      <c r="CF30" s="3245">
        <f t="shared" si="27"/>
        <v>3984.6864055601131</v>
      </c>
      <c r="CG30" s="3239">
        <f t="shared" si="28"/>
        <v>2223.8919982656976</v>
      </c>
      <c r="CH30" s="3245">
        <f t="shared" si="29"/>
        <v>1036351.9501141594</v>
      </c>
      <c r="CI30" s="3239">
        <f t="shared" si="30"/>
        <v>580880.0792710341</v>
      </c>
    </row>
    <row r="31" spans="2:87" ht="15">
      <c r="R31" s="3191">
        <v>46173</v>
      </c>
      <c r="S31" s="3187">
        <f t="shared" si="0"/>
        <v>-3744.47</v>
      </c>
      <c r="W31" s="3202">
        <v>46173</v>
      </c>
      <c r="X31" s="3201"/>
      <c r="Y31" s="3201">
        <f t="shared" si="1"/>
        <v>60411.58</v>
      </c>
      <c r="Z31" s="3201">
        <f t="shared" si="2"/>
        <v>-1883.89</v>
      </c>
      <c r="AA31" s="3199">
        <f t="shared" si="3"/>
        <v>0</v>
      </c>
      <c r="AB31" s="3199">
        <f t="shared" si="4"/>
        <v>-58527.69</v>
      </c>
      <c r="AC31" s="3199"/>
      <c r="AD31" s="3201">
        <f t="shared" si="5"/>
        <v>416690.41114096111</v>
      </c>
      <c r="AE31" s="3201">
        <f t="shared" si="6"/>
        <v>-12686.4318</v>
      </c>
      <c r="AF31" s="3201">
        <f t="shared" si="7"/>
        <v>395.61689999999999</v>
      </c>
      <c r="AG31" s="3201">
        <f t="shared" si="8"/>
        <v>12290.814900000001</v>
      </c>
      <c r="AH31" s="3201">
        <f t="shared" si="9"/>
        <v>491592.62273960176</v>
      </c>
      <c r="AL31" s="3202">
        <v>45808</v>
      </c>
      <c r="AM31" s="3201"/>
      <c r="AN31" s="3201">
        <f t="shared" si="34"/>
        <v>-31692.6</v>
      </c>
      <c r="AO31" s="3201">
        <f t="shared" si="10"/>
        <v>2506</v>
      </c>
      <c r="AP31" s="3199">
        <f t="shared" si="11"/>
        <v>-705156</v>
      </c>
      <c r="AQ31" s="3199">
        <f t="shared" si="12"/>
        <v>29186.6</v>
      </c>
      <c r="AR31" s="3199"/>
      <c r="AS31" s="3201">
        <f t="shared" si="13"/>
        <v>-578628.29000000027</v>
      </c>
      <c r="AT31" s="3201">
        <f t="shared" si="14"/>
        <v>6655.445999999999</v>
      </c>
      <c r="AU31" s="3201">
        <f t="shared" si="15"/>
        <v>-526.26</v>
      </c>
      <c r="AV31" s="3201">
        <f t="shared" si="16"/>
        <v>-6129.1859999999988</v>
      </c>
      <c r="AW31" s="3201">
        <f t="shared" si="17"/>
        <v>121511.94090000002</v>
      </c>
      <c r="BM31" s="2692" t="s">
        <v>855</v>
      </c>
      <c r="BO31" s="3243">
        <f t="shared" si="32"/>
        <v>-102811.86</v>
      </c>
      <c r="BP31" s="3243">
        <f t="shared" si="33"/>
        <v>-46453.7</v>
      </c>
      <c r="BQ31" s="3243">
        <f t="shared" si="18"/>
        <v>102811.86</v>
      </c>
      <c r="BR31" s="3243">
        <f t="shared" si="19"/>
        <v>46453.7</v>
      </c>
      <c r="BS31" s="3239">
        <f t="shared" si="20"/>
        <v>4038.9415205348632</v>
      </c>
      <c r="BT31" s="3239">
        <f t="shared" si="21"/>
        <v>1824.923483657142</v>
      </c>
      <c r="BU31" s="3239">
        <f t="shared" si="22"/>
        <v>1048830.7753208701</v>
      </c>
      <c r="BV31" s="3239">
        <f t="shared" si="31"/>
        <v>473895.42595108296</v>
      </c>
      <c r="BZ31" s="2692" t="s">
        <v>855</v>
      </c>
      <c r="CB31" s="3243">
        <f t="shared" si="23"/>
        <v>-113051.39</v>
      </c>
      <c r="CC31" s="3243">
        <f t="shared" si="24"/>
        <v>-63370.83</v>
      </c>
      <c r="CD31" s="3243">
        <f t="shared" si="25"/>
        <v>113051.39</v>
      </c>
      <c r="CE31" s="3243">
        <f t="shared" si="26"/>
        <v>63370.83</v>
      </c>
      <c r="CF31" s="3245">
        <f t="shared" si="27"/>
        <v>4462.5837175494844</v>
      </c>
      <c r="CG31" s="3239">
        <f t="shared" si="28"/>
        <v>2490.5892054569799</v>
      </c>
      <c r="CH31" s="3245">
        <f t="shared" si="29"/>
        <v>1153865.9238317087</v>
      </c>
      <c r="CI31" s="3239">
        <f t="shared" si="30"/>
        <v>646741.49847649108</v>
      </c>
    </row>
    <row r="32" spans="2:87" ht="15.75" thickBot="1">
      <c r="R32" s="3191">
        <v>46203</v>
      </c>
      <c r="S32" s="3187">
        <f t="shared" si="0"/>
        <v>-3744.47</v>
      </c>
      <c r="W32" s="3202">
        <v>46203</v>
      </c>
      <c r="X32" s="3201"/>
      <c r="Y32" s="3201">
        <f t="shared" si="1"/>
        <v>60411.58</v>
      </c>
      <c r="Z32" s="3201">
        <f t="shared" si="2"/>
        <v>-1636.12</v>
      </c>
      <c r="AA32" s="3199">
        <f t="shared" si="3"/>
        <v>0</v>
      </c>
      <c r="AB32" s="3199">
        <f t="shared" si="4"/>
        <v>-58775.46</v>
      </c>
      <c r="AC32" s="3199"/>
      <c r="AD32" s="3201">
        <f t="shared" si="5"/>
        <v>357914.95114096109</v>
      </c>
      <c r="AE32" s="3201">
        <f t="shared" si="6"/>
        <v>-12686.4318</v>
      </c>
      <c r="AF32" s="3201">
        <f t="shared" si="7"/>
        <v>343.58519999999999</v>
      </c>
      <c r="AG32" s="3201">
        <f t="shared" si="8"/>
        <v>12342.846600000001</v>
      </c>
      <c r="AH32" s="3201">
        <f t="shared" si="9"/>
        <v>503935.46933960175</v>
      </c>
      <c r="AL32" s="3202">
        <v>45838</v>
      </c>
      <c r="AM32" s="3201"/>
      <c r="AN32" s="3201">
        <f t="shared" si="34"/>
        <v>-31692.6</v>
      </c>
      <c r="AO32" s="3201">
        <f t="shared" si="10"/>
        <v>2382.44</v>
      </c>
      <c r="AP32" s="3199">
        <f t="shared" si="11"/>
        <v>-705156</v>
      </c>
      <c r="AQ32" s="3199">
        <f t="shared" si="12"/>
        <v>29310.16</v>
      </c>
      <c r="AR32" s="3199"/>
      <c r="AS32" s="3201">
        <f t="shared" si="13"/>
        <v>-549318.13000000024</v>
      </c>
      <c r="AT32" s="3201">
        <f t="shared" si="14"/>
        <v>6655.445999999999</v>
      </c>
      <c r="AU32" s="3201">
        <f t="shared" si="15"/>
        <v>-500.31239999999997</v>
      </c>
      <c r="AV32" s="3201">
        <f t="shared" si="16"/>
        <v>-6155.1335999999992</v>
      </c>
      <c r="AW32" s="3201">
        <f t="shared" si="17"/>
        <v>115356.80730000001</v>
      </c>
      <c r="BM32" s="2692" t="s">
        <v>854</v>
      </c>
      <c r="BO32" s="3243">
        <f t="shared" si="32"/>
        <v>-102811.86</v>
      </c>
      <c r="BP32" s="3243">
        <f t="shared" si="33"/>
        <v>-46453.7</v>
      </c>
      <c r="BQ32" s="3243">
        <f t="shared" si="18"/>
        <v>102811.86</v>
      </c>
      <c r="BR32" s="3243">
        <f t="shared" si="19"/>
        <v>46453.7</v>
      </c>
      <c r="BS32" s="3239">
        <f t="shared" si="20"/>
        <v>4473.3790710504372</v>
      </c>
      <c r="BT32" s="3239">
        <f t="shared" si="21"/>
        <v>2021.2163203044447</v>
      </c>
      <c r="BU32" s="3239">
        <f t="shared" si="22"/>
        <v>1156116.0143919205</v>
      </c>
      <c r="BV32" s="3239">
        <f t="shared" si="31"/>
        <v>522370.3422713874</v>
      </c>
      <c r="BZ32" s="2692" t="s">
        <v>854</v>
      </c>
      <c r="CB32" s="3243">
        <f t="shared" si="23"/>
        <v>-113051.39</v>
      </c>
      <c r="CC32" s="3243">
        <f t="shared" si="24"/>
        <v>-63370.83</v>
      </c>
      <c r="CD32" s="3243">
        <f t="shared" si="25"/>
        <v>113051.39</v>
      </c>
      <c r="CE32" s="3243">
        <f t="shared" si="26"/>
        <v>63370.83</v>
      </c>
      <c r="CF32" s="3245">
        <f t="shared" si="27"/>
        <v>4942.4324435628114</v>
      </c>
      <c r="CG32" s="3239">
        <f t="shared" si="28"/>
        <v>2758.3707590431663</v>
      </c>
      <c r="CH32" s="3245">
        <f t="shared" si="29"/>
        <v>1271859.7462752715</v>
      </c>
      <c r="CI32" s="3239">
        <f t="shared" si="30"/>
        <v>712870.69923553418</v>
      </c>
    </row>
    <row r="33" spans="18:87" ht="15.75" thickBot="1">
      <c r="R33" s="3192">
        <v>46234</v>
      </c>
      <c r="S33" s="3187">
        <f t="shared" si="0"/>
        <v>-3744.47</v>
      </c>
      <c r="W33" s="3202">
        <v>46234</v>
      </c>
      <c r="X33" s="3201"/>
      <c r="Y33" s="3201">
        <f t="shared" si="1"/>
        <v>60411.58</v>
      </c>
      <c r="Z33" s="3201">
        <f t="shared" si="2"/>
        <v>-1387.3</v>
      </c>
      <c r="AA33" s="3199">
        <f t="shared" si="3"/>
        <v>0</v>
      </c>
      <c r="AB33" s="3199">
        <f t="shared" si="4"/>
        <v>-59024.28</v>
      </c>
      <c r="AC33" s="3199"/>
      <c r="AD33" s="3201">
        <f t="shared" si="5"/>
        <v>298890.67114096106</v>
      </c>
      <c r="AE33" s="3201">
        <f t="shared" si="6"/>
        <v>-12686.4318</v>
      </c>
      <c r="AF33" s="3201">
        <f t="shared" si="7"/>
        <v>291.33299999999997</v>
      </c>
      <c r="AG33" s="3201">
        <f t="shared" si="8"/>
        <v>12395.0988</v>
      </c>
      <c r="AH33" s="3201">
        <f t="shared" si="9"/>
        <v>516330.56813960173</v>
      </c>
      <c r="AL33" s="3202">
        <v>45869</v>
      </c>
      <c r="AM33" s="3201"/>
      <c r="AN33" s="3201">
        <f t="shared" si="34"/>
        <v>-31692.6</v>
      </c>
      <c r="AO33" s="3201">
        <f t="shared" si="10"/>
        <v>2258.36</v>
      </c>
      <c r="AP33" s="3199">
        <f t="shared" si="11"/>
        <v>-705156</v>
      </c>
      <c r="AQ33" s="3199">
        <f t="shared" si="12"/>
        <v>29434.239999999998</v>
      </c>
      <c r="AR33" s="3199"/>
      <c r="AS33" s="3201">
        <f t="shared" si="13"/>
        <v>-519883.89000000025</v>
      </c>
      <c r="AT33" s="3201">
        <f t="shared" si="14"/>
        <v>6655.445999999999</v>
      </c>
      <c r="AU33" s="3201">
        <f t="shared" si="15"/>
        <v>-474.25560000000002</v>
      </c>
      <c r="AV33" s="3201">
        <f t="shared" si="16"/>
        <v>-6181.1903999999986</v>
      </c>
      <c r="AW33" s="3201">
        <f t="shared" si="17"/>
        <v>109175.61690000002</v>
      </c>
      <c r="BM33" s="2692" t="s">
        <v>853</v>
      </c>
      <c r="BO33" s="3243">
        <f t="shared" si="32"/>
        <v>-102811.86</v>
      </c>
      <c r="BP33" s="3244">
        <f t="shared" si="33"/>
        <v>-46453.7</v>
      </c>
      <c r="BQ33" s="3243">
        <f t="shared" si="18"/>
        <v>102811.86</v>
      </c>
      <c r="BR33" s="3243">
        <f t="shared" si="19"/>
        <v>46453.7</v>
      </c>
      <c r="BS33" s="3239">
        <f t="shared" si="20"/>
        <v>4909.5829722401495</v>
      </c>
      <c r="BT33" s="3239">
        <f t="shared" si="21"/>
        <v>2218.3072509100825</v>
      </c>
      <c r="BU33" s="3242">
        <f t="shared" si="22"/>
        <v>1263837.4573641608</v>
      </c>
      <c r="BV33" s="3242">
        <f t="shared" si="31"/>
        <v>571042.3495222975</v>
      </c>
      <c r="BZ33" s="2692" t="s">
        <v>853</v>
      </c>
      <c r="CB33" s="3243">
        <f t="shared" si="23"/>
        <v>-113051.39</v>
      </c>
      <c r="CC33" s="3244">
        <f t="shared" si="24"/>
        <v>-63370.83</v>
      </c>
      <c r="CD33" s="3243">
        <f t="shared" si="25"/>
        <v>113051.39</v>
      </c>
      <c r="CE33" s="3243">
        <f t="shared" si="26"/>
        <v>63370.83</v>
      </c>
      <c r="CF33" s="3245">
        <f t="shared" si="27"/>
        <v>5424.2405518740261</v>
      </c>
      <c r="CG33" s="3239">
        <f t="shared" si="28"/>
        <v>3027.2410677959761</v>
      </c>
      <c r="CH33" s="3262">
        <f t="shared" si="29"/>
        <v>1390335.3768271455</v>
      </c>
      <c r="CI33" s="3238">
        <f t="shared" si="30"/>
        <v>779268.77030333015</v>
      </c>
    </row>
    <row r="34" spans="18:87" ht="15">
      <c r="R34" s="3191">
        <v>46265</v>
      </c>
      <c r="S34" s="3187">
        <f t="shared" si="0"/>
        <v>-3744.47</v>
      </c>
      <c r="W34" s="3202">
        <v>46265</v>
      </c>
      <c r="X34" s="3201"/>
      <c r="Y34" s="3201">
        <f t="shared" si="1"/>
        <v>60411.58</v>
      </c>
      <c r="Z34" s="3201">
        <f t="shared" si="2"/>
        <v>-1137.43</v>
      </c>
      <c r="AA34" s="3199">
        <f t="shared" si="3"/>
        <v>0</v>
      </c>
      <c r="AB34" s="3199">
        <f t="shared" si="4"/>
        <v>-59274.15</v>
      </c>
      <c r="AC34" s="3199"/>
      <c r="AD34" s="3201">
        <f t="shared" si="5"/>
        <v>239616.52114096103</v>
      </c>
      <c r="AE34" s="3201">
        <f t="shared" si="6"/>
        <v>-12686.4318</v>
      </c>
      <c r="AF34" s="3201">
        <f t="shared" si="7"/>
        <v>238.8603</v>
      </c>
      <c r="AG34" s="3201">
        <f t="shared" si="8"/>
        <v>12447.5715</v>
      </c>
      <c r="AH34" s="3201">
        <f t="shared" si="9"/>
        <v>528778.13963960169</v>
      </c>
      <c r="AL34" s="3202">
        <v>45900</v>
      </c>
      <c r="AM34" s="3201"/>
      <c r="AN34" s="3201">
        <f t="shared" si="34"/>
        <v>-31692.6</v>
      </c>
      <c r="AO34" s="3201">
        <f t="shared" si="10"/>
        <v>2133.7600000000002</v>
      </c>
      <c r="AP34" s="3199">
        <f t="shared" si="11"/>
        <v>-705156</v>
      </c>
      <c r="AQ34" s="3199">
        <f t="shared" si="12"/>
        <v>29558.839999999997</v>
      </c>
      <c r="AR34" s="3199"/>
      <c r="AS34" s="3201">
        <f t="shared" si="13"/>
        <v>-490325.05000000028</v>
      </c>
      <c r="AT34" s="3201">
        <f t="shared" si="14"/>
        <v>6655.445999999999</v>
      </c>
      <c r="AU34" s="3201">
        <f t="shared" si="15"/>
        <v>-448.08960000000002</v>
      </c>
      <c r="AV34" s="3201">
        <f t="shared" si="16"/>
        <v>-6207.3563999999988</v>
      </c>
      <c r="AW34" s="3201">
        <f t="shared" si="17"/>
        <v>102968.26050000002</v>
      </c>
      <c r="BM34" s="2692" t="s">
        <v>1085</v>
      </c>
      <c r="BO34" s="3241">
        <f>SUM(BO22:BO33)</f>
        <v>-1233742.32</v>
      </c>
      <c r="BP34" s="3241">
        <f>SUM(BP22:BP33)</f>
        <v>-557444.4</v>
      </c>
      <c r="BQ34" s="3241">
        <f>SUM(BQ22:BQ33)</f>
        <v>1233742.32</v>
      </c>
      <c r="BR34" s="3241">
        <f>SUM(BR22:BR33)</f>
        <v>557444.4</v>
      </c>
      <c r="BZ34" s="2692" t="s">
        <v>1085</v>
      </c>
      <c r="CB34" s="3241">
        <f>SUM(CB22:CB33)</f>
        <v>-1356616.6799999997</v>
      </c>
      <c r="CC34" s="3241">
        <f>SUM(CC22:CC33)</f>
        <v>-760449.96</v>
      </c>
      <c r="CD34" s="3241">
        <f>SUM(CD22:CD33)</f>
        <v>1356616.6799999997</v>
      </c>
      <c r="CE34" s="3241">
        <f>SUM(CE22:CE33)</f>
        <v>760449.96</v>
      </c>
      <c r="CH34" s="3237">
        <v>2024</v>
      </c>
      <c r="CI34" s="3237">
        <v>2024</v>
      </c>
    </row>
    <row r="35" spans="18:87" ht="15">
      <c r="R35" s="3191">
        <v>46295</v>
      </c>
      <c r="S35" s="3187">
        <f t="shared" si="0"/>
        <v>-3744.47</v>
      </c>
      <c r="W35" s="3202">
        <v>46295</v>
      </c>
      <c r="X35" s="3201"/>
      <c r="Y35" s="3201">
        <f t="shared" si="1"/>
        <v>60411.58</v>
      </c>
      <c r="Z35" s="3201">
        <f t="shared" si="2"/>
        <v>-886.51</v>
      </c>
      <c r="AA35" s="3199">
        <f t="shared" si="3"/>
        <v>0</v>
      </c>
      <c r="AB35" s="3199">
        <f t="shared" si="4"/>
        <v>-59525.07</v>
      </c>
      <c r="AC35" s="3199"/>
      <c r="AD35" s="3201">
        <f t="shared" si="5"/>
        <v>180091.45114096103</v>
      </c>
      <c r="AE35" s="3201">
        <f t="shared" si="6"/>
        <v>-12686.4318</v>
      </c>
      <c r="AF35" s="3201">
        <f t="shared" si="7"/>
        <v>186.1671</v>
      </c>
      <c r="AG35" s="3201">
        <f t="shared" si="8"/>
        <v>12500.2647</v>
      </c>
      <c r="AH35" s="3201">
        <f t="shared" si="9"/>
        <v>541278.40433960175</v>
      </c>
      <c r="AL35" s="3202">
        <v>45930</v>
      </c>
      <c r="AM35" s="3201"/>
      <c r="AN35" s="3201">
        <f t="shared" si="34"/>
        <v>-31692.6</v>
      </c>
      <c r="AO35" s="3201">
        <f t="shared" si="10"/>
        <v>2008.63</v>
      </c>
      <c r="AP35" s="3199">
        <f t="shared" si="11"/>
        <v>-705156</v>
      </c>
      <c r="AQ35" s="3199">
        <f t="shared" si="12"/>
        <v>29683.969999999998</v>
      </c>
      <c r="AR35" s="3199"/>
      <c r="AS35" s="3201">
        <f t="shared" si="13"/>
        <v>-460641.08000000031</v>
      </c>
      <c r="AT35" s="3201">
        <f t="shared" si="14"/>
        <v>6655.445999999999</v>
      </c>
      <c r="AU35" s="3201">
        <f t="shared" si="15"/>
        <v>-421.81229999999999</v>
      </c>
      <c r="AV35" s="3201">
        <f t="shared" si="16"/>
        <v>-6233.6336999999994</v>
      </c>
      <c r="AW35" s="3201">
        <f t="shared" si="17"/>
        <v>96734.626800000013</v>
      </c>
      <c r="BO35" s="3240">
        <f>+BO34-BO16</f>
        <v>2.7844852302223444E-2</v>
      </c>
      <c r="BP35" s="3240">
        <f>+BP34-BP16</f>
        <v>9.3599999090656638E-3</v>
      </c>
      <c r="CB35" s="3240">
        <f>+CB34-CB16</f>
        <v>-5.814835405908525E-2</v>
      </c>
      <c r="CC35" s="3240">
        <f>+CC34-CC16</f>
        <v>1.2780615594238043E-2</v>
      </c>
    </row>
    <row r="36" spans="18:87" ht="15">
      <c r="R36" s="3192">
        <v>46326</v>
      </c>
      <c r="S36" s="3187">
        <f t="shared" si="0"/>
        <v>-3744.47</v>
      </c>
      <c r="W36" s="3202">
        <v>46326</v>
      </c>
      <c r="X36" s="3201"/>
      <c r="Y36" s="3201">
        <f t="shared" si="1"/>
        <v>60411.58</v>
      </c>
      <c r="Z36" s="3201">
        <f t="shared" si="2"/>
        <v>-634.52</v>
      </c>
      <c r="AA36" s="3199">
        <f t="shared" si="3"/>
        <v>0</v>
      </c>
      <c r="AB36" s="3199">
        <f t="shared" si="4"/>
        <v>-59777.060000000005</v>
      </c>
      <c r="AC36" s="3199"/>
      <c r="AD36" s="3201">
        <f t="shared" si="5"/>
        <v>120314.39114096103</v>
      </c>
      <c r="AE36" s="3201">
        <f t="shared" si="6"/>
        <v>-12686.4318</v>
      </c>
      <c r="AF36" s="3201">
        <f t="shared" si="7"/>
        <v>133.2492</v>
      </c>
      <c r="AG36" s="3201">
        <f t="shared" si="8"/>
        <v>12553.1826</v>
      </c>
      <c r="AH36" s="3201">
        <f t="shared" si="9"/>
        <v>553831.58693960169</v>
      </c>
      <c r="AL36" s="3202">
        <v>45961</v>
      </c>
      <c r="AM36" s="3201"/>
      <c r="AN36" s="3201">
        <f t="shared" si="34"/>
        <v>-31692.6</v>
      </c>
      <c r="AO36" s="3201">
        <f t="shared" si="10"/>
        <v>1882.96</v>
      </c>
      <c r="AP36" s="3199">
        <f t="shared" si="11"/>
        <v>-705156</v>
      </c>
      <c r="AQ36" s="3199">
        <f t="shared" si="12"/>
        <v>29809.64</v>
      </c>
      <c r="AR36" s="3199"/>
      <c r="AS36" s="3201">
        <f t="shared" si="13"/>
        <v>-430831.44000000035</v>
      </c>
      <c r="AT36" s="3201">
        <f t="shared" si="14"/>
        <v>6655.445999999999</v>
      </c>
      <c r="AU36" s="3201">
        <f t="shared" si="15"/>
        <v>-395.42160000000001</v>
      </c>
      <c r="AV36" s="3201">
        <f t="shared" si="16"/>
        <v>-6260.0243999999993</v>
      </c>
      <c r="AW36" s="3201">
        <f t="shared" si="17"/>
        <v>90474.602400000018</v>
      </c>
      <c r="BM36" s="2692" t="s">
        <v>2928</v>
      </c>
    </row>
    <row r="37" spans="18:87" ht="15">
      <c r="R37" s="3192">
        <v>46356</v>
      </c>
      <c r="S37" s="3187">
        <f t="shared" si="0"/>
        <v>-3744.47</v>
      </c>
      <c r="W37" s="3202">
        <v>46356</v>
      </c>
      <c r="X37" s="3201"/>
      <c r="Y37" s="3201">
        <f t="shared" si="1"/>
        <v>60411.58</v>
      </c>
      <c r="Z37" s="3201">
        <f t="shared" si="2"/>
        <v>-381.46</v>
      </c>
      <c r="AA37" s="3199">
        <f t="shared" si="3"/>
        <v>0</v>
      </c>
      <c r="AB37" s="3199">
        <f t="shared" si="4"/>
        <v>-60030.12</v>
      </c>
      <c r="AC37" s="3199"/>
      <c r="AD37" s="3201">
        <f t="shared" si="5"/>
        <v>60284.271140961027</v>
      </c>
      <c r="AE37" s="3201">
        <f t="shared" si="6"/>
        <v>-12686.4318</v>
      </c>
      <c r="AF37" s="3201">
        <f t="shared" si="7"/>
        <v>80.106599999999986</v>
      </c>
      <c r="AG37" s="3201">
        <f t="shared" si="8"/>
        <v>12606.325200000001</v>
      </c>
      <c r="AH37" s="3201">
        <f t="shared" si="9"/>
        <v>566437.91213960166</v>
      </c>
      <c r="AL37" s="3202">
        <v>45991</v>
      </c>
      <c r="AM37" s="3201"/>
      <c r="AN37" s="3201">
        <f t="shared" si="34"/>
        <v>-31692.6</v>
      </c>
      <c r="AO37" s="3201">
        <f t="shared" si="10"/>
        <v>1756.77</v>
      </c>
      <c r="AP37" s="3199">
        <f t="shared" si="11"/>
        <v>-705156</v>
      </c>
      <c r="AQ37" s="3199">
        <f t="shared" si="12"/>
        <v>29935.829999999998</v>
      </c>
      <c r="AR37" s="3199"/>
      <c r="AS37" s="3201">
        <f t="shared" si="13"/>
        <v>-400895.61000000039</v>
      </c>
      <c r="AT37" s="3201">
        <f t="shared" si="14"/>
        <v>6655.445999999999</v>
      </c>
      <c r="AU37" s="3201">
        <f t="shared" si="15"/>
        <v>-368.92169999999999</v>
      </c>
      <c r="AV37" s="3201">
        <f t="shared" si="16"/>
        <v>-6286.5242999999991</v>
      </c>
      <c r="AW37" s="3201">
        <f t="shared" si="17"/>
        <v>84188.078100000013</v>
      </c>
      <c r="BM37" s="2692" t="s">
        <v>852</v>
      </c>
      <c r="BQ37" s="3239">
        <f>BU33</f>
        <v>1263837.4573641608</v>
      </c>
      <c r="BR37" s="3239">
        <f>BV33</f>
        <v>571042.3495222975</v>
      </c>
      <c r="BS37" s="3239">
        <f t="shared" ref="BS37:BS48" si="35">BQ37*$BS$21/12</f>
        <v>5138.5524620664501</v>
      </c>
      <c r="BT37" s="3239">
        <f t="shared" ref="BT37:BT48" si="36">BR37*$BS$21/12</f>
        <v>2321.7630194327412</v>
      </c>
      <c r="BU37" s="3239">
        <f t="shared" ref="BU37:BU48" si="37">BQ37+BS37</f>
        <v>1268976.0098262273</v>
      </c>
      <c r="BV37" s="3239">
        <f t="shared" ref="BV37:BV48" si="38">BR37+BT37</f>
        <v>573364.11254173028</v>
      </c>
    </row>
    <row r="38" spans="18:87" ht="15">
      <c r="R38" s="3191">
        <v>46387</v>
      </c>
      <c r="S38" s="3187">
        <f>ROUND($S$14/S$8,2)+0.08</f>
        <v>-3744.39</v>
      </c>
      <c r="W38" s="3202">
        <v>46387</v>
      </c>
      <c r="X38" s="3201"/>
      <c r="Y38" s="3201">
        <f>ROUND((AA37+$Z$40)/$Z$10,2)+0.02</f>
        <v>60411.6</v>
      </c>
      <c r="Z38" s="3201">
        <f t="shared" si="2"/>
        <v>-127.33</v>
      </c>
      <c r="AA38" s="3199">
        <f t="shared" si="3"/>
        <v>0</v>
      </c>
      <c r="AB38" s="3199">
        <f t="shared" si="4"/>
        <v>-60284.27</v>
      </c>
      <c r="AC38" s="3199"/>
      <c r="AD38" s="3201">
        <f t="shared" si="5"/>
        <v>1.1409610288666272E-3</v>
      </c>
      <c r="AE38" s="3201">
        <f t="shared" si="6"/>
        <v>-12686.436</v>
      </c>
      <c r="AF38" s="3201">
        <f t="shared" si="7"/>
        <v>26.7393</v>
      </c>
      <c r="AG38" s="3201">
        <f t="shared" si="8"/>
        <v>12659.6967</v>
      </c>
      <c r="AH38" s="3201">
        <f t="shared" si="9"/>
        <v>579097.60883960163</v>
      </c>
      <c r="AL38" s="3202">
        <v>46022</v>
      </c>
      <c r="AM38" s="3201"/>
      <c r="AN38" s="3201">
        <f t="shared" si="34"/>
        <v>-31692.6</v>
      </c>
      <c r="AO38" s="3201">
        <f t="shared" si="10"/>
        <v>1630.04</v>
      </c>
      <c r="AP38" s="3199">
        <f t="shared" si="11"/>
        <v>-705156</v>
      </c>
      <c r="AQ38" s="3199">
        <f t="shared" si="12"/>
        <v>30062.559999999998</v>
      </c>
      <c r="AR38" s="3199"/>
      <c r="AS38" s="3201">
        <f t="shared" si="13"/>
        <v>-370833.0500000004</v>
      </c>
      <c r="AT38" s="3201">
        <f t="shared" si="14"/>
        <v>6655.445999999999</v>
      </c>
      <c r="AU38" s="3201">
        <f t="shared" si="15"/>
        <v>-342.30840000000001</v>
      </c>
      <c r="AV38" s="3201">
        <f t="shared" si="16"/>
        <v>-6313.1375999999991</v>
      </c>
      <c r="AW38" s="3201">
        <f t="shared" si="17"/>
        <v>77874.940500000012</v>
      </c>
      <c r="BM38" s="2692" t="s">
        <v>851</v>
      </c>
      <c r="BQ38" s="3239">
        <f t="shared" ref="BQ38:BQ48" si="39">BU37</f>
        <v>1268976.0098262273</v>
      </c>
      <c r="BR38" s="3239">
        <f t="shared" ref="BR38:BR48" si="40">BV37</f>
        <v>573364.11254173028</v>
      </c>
      <c r="BS38" s="3239">
        <f t="shared" si="35"/>
        <v>5159.444959951802</v>
      </c>
      <c r="BT38" s="3239">
        <f t="shared" si="36"/>
        <v>2331.2029209092516</v>
      </c>
      <c r="BU38" s="3239">
        <f t="shared" si="37"/>
        <v>1274135.4547861791</v>
      </c>
      <c r="BV38" s="3239">
        <f t="shared" si="38"/>
        <v>575695.31546263956</v>
      </c>
    </row>
    <row r="39" spans="18:87" ht="15" thickBot="1">
      <c r="S39" s="3187">
        <f>SUM(S15:S38)</f>
        <v>-89867.200000000012</v>
      </c>
      <c r="X39" s="3200">
        <f>SUM(X15:X37)</f>
        <v>0</v>
      </c>
      <c r="Y39" s="3200">
        <f>SUM(Y15:Y38)</f>
        <v>1449877.9400000002</v>
      </c>
      <c r="Z39" s="3200">
        <f>SUM(Z15:Z38)</f>
        <v>-71074.110000000015</v>
      </c>
      <c r="AA39" s="3200"/>
      <c r="AB39" s="3200">
        <f>SUM(AB15:AB38)</f>
        <v>-1378803.8300000003</v>
      </c>
      <c r="AC39" s="3200"/>
      <c r="AD39" s="3200"/>
      <c r="AE39" s="3200">
        <f>SUM(AE15:AE38)</f>
        <v>-304474.36739999999</v>
      </c>
      <c r="AF39" s="3200">
        <f>SUM(AF15:AF38)</f>
        <v>14925.563099999998</v>
      </c>
      <c r="AG39" s="3200">
        <f>SUM(AG15:AG38)</f>
        <v>289548.80430000008</v>
      </c>
      <c r="AH39" s="3200"/>
      <c r="AL39" s="3202">
        <v>46053</v>
      </c>
      <c r="AM39" s="3201"/>
      <c r="AN39" s="3201">
        <f t="shared" si="34"/>
        <v>-31692.6</v>
      </c>
      <c r="AO39" s="3201">
        <f t="shared" si="10"/>
        <v>1502.78</v>
      </c>
      <c r="AP39" s="3199">
        <f t="shared" si="11"/>
        <v>-705156</v>
      </c>
      <c r="AQ39" s="3199">
        <f t="shared" si="12"/>
        <v>30189.82</v>
      </c>
      <c r="AR39" s="3199"/>
      <c r="AS39" s="3201">
        <f t="shared" si="13"/>
        <v>-340643.23000000045</v>
      </c>
      <c r="AT39" s="3201">
        <f t="shared" si="14"/>
        <v>6655.445999999999</v>
      </c>
      <c r="AU39" s="3201">
        <f t="shared" si="15"/>
        <v>-315.5838</v>
      </c>
      <c r="AV39" s="3201">
        <f t="shared" si="16"/>
        <v>-6339.8621999999987</v>
      </c>
      <c r="AW39" s="3201">
        <f t="shared" si="17"/>
        <v>71535.078300000008</v>
      </c>
      <c r="BM39" s="2692" t="s">
        <v>850</v>
      </c>
      <c r="BQ39" s="3239">
        <f t="shared" si="39"/>
        <v>1274135.4547861791</v>
      </c>
      <c r="BR39" s="3239">
        <f t="shared" si="40"/>
        <v>575695.31546263956</v>
      </c>
      <c r="BS39" s="3239">
        <f t="shared" si="35"/>
        <v>5180.422403251473</v>
      </c>
      <c r="BT39" s="3239">
        <f t="shared" si="36"/>
        <v>2340.6812034518484</v>
      </c>
      <c r="BU39" s="3239">
        <f t="shared" si="37"/>
        <v>1279315.8771894306</v>
      </c>
      <c r="BV39" s="3239">
        <f t="shared" si="38"/>
        <v>578035.99666609138</v>
      </c>
    </row>
    <row r="40" spans="18:87" ht="16.5" thickTop="1" thickBot="1">
      <c r="R40" s="3190" t="s">
        <v>1189</v>
      </c>
      <c r="S40" s="3189">
        <f>S14-S39</f>
        <v>-1.7462298274040222E-10</v>
      </c>
      <c r="T40" s="3188"/>
      <c r="X40" s="3199"/>
      <c r="Y40" s="3199"/>
      <c r="Z40" s="3199">
        <f>1449878</f>
        <v>1449878</v>
      </c>
      <c r="AA40" s="3198"/>
      <c r="AB40" s="3198"/>
      <c r="AC40" s="3198"/>
      <c r="AD40" s="3198"/>
      <c r="AE40" s="3198"/>
      <c r="AF40" s="3198"/>
      <c r="AG40" s="3198"/>
      <c r="AH40" s="3197"/>
      <c r="AL40" s="3202">
        <v>46081</v>
      </c>
      <c r="AM40" s="3201"/>
      <c r="AN40" s="3201">
        <f t="shared" si="34"/>
        <v>-31692.6</v>
      </c>
      <c r="AO40" s="3201">
        <f t="shared" si="10"/>
        <v>1374.97</v>
      </c>
      <c r="AP40" s="3199">
        <f t="shared" si="11"/>
        <v>-705156</v>
      </c>
      <c r="AQ40" s="3199">
        <f t="shared" si="12"/>
        <v>30317.629999999997</v>
      </c>
      <c r="AR40" s="3199"/>
      <c r="AS40" s="3201">
        <f t="shared" si="13"/>
        <v>-310325.60000000044</v>
      </c>
      <c r="AT40" s="3201">
        <f t="shared" si="14"/>
        <v>6655.445999999999</v>
      </c>
      <c r="AU40" s="3201">
        <f t="shared" si="15"/>
        <v>-288.74369999999999</v>
      </c>
      <c r="AV40" s="3201">
        <f t="shared" si="16"/>
        <v>-6366.702299999999</v>
      </c>
      <c r="AW40" s="3201">
        <f t="shared" si="17"/>
        <v>65168.376000000011</v>
      </c>
      <c r="BM40" s="2692" t="s">
        <v>848</v>
      </c>
      <c r="BQ40" s="3239">
        <f t="shared" si="39"/>
        <v>1279315.8771894306</v>
      </c>
      <c r="BR40" s="3239">
        <f t="shared" si="40"/>
        <v>578035.99666609138</v>
      </c>
      <c r="BS40" s="3239">
        <f t="shared" si="35"/>
        <v>5201.4851373393603</v>
      </c>
      <c r="BT40" s="3239">
        <f t="shared" si="36"/>
        <v>2350.1980231115499</v>
      </c>
      <c r="BU40" s="3239">
        <f t="shared" si="37"/>
        <v>1284517.3623267701</v>
      </c>
      <c r="BV40" s="3239">
        <f t="shared" si="38"/>
        <v>580386.19468920294</v>
      </c>
    </row>
    <row r="41" spans="18:87" ht="16.5" thickTop="1" thickBot="1">
      <c r="X41" s="3196" t="s">
        <v>2885</v>
      </c>
      <c r="Y41" s="3195">
        <f>SUM(Y15:Y26)</f>
        <v>724938.96</v>
      </c>
      <c r="Z41" s="3199"/>
      <c r="AA41" s="3198"/>
      <c r="AB41" s="3198"/>
      <c r="AC41" s="3198"/>
      <c r="AD41" s="3198"/>
      <c r="AE41" s="3198"/>
      <c r="AF41" s="3198"/>
      <c r="AG41" s="3198"/>
      <c r="AH41" s="3197"/>
      <c r="AL41" s="3202">
        <v>46112</v>
      </c>
      <c r="AM41" s="3201"/>
      <c r="AN41" s="3201">
        <f t="shared" si="34"/>
        <v>-31692.6</v>
      </c>
      <c r="AO41" s="3201">
        <f t="shared" si="10"/>
        <v>1246.6300000000001</v>
      </c>
      <c r="AP41" s="3199">
        <f t="shared" si="11"/>
        <v>-705156</v>
      </c>
      <c r="AQ41" s="3199">
        <f t="shared" si="12"/>
        <v>30445.969999999998</v>
      </c>
      <c r="AR41" s="3199"/>
      <c r="AS41" s="3201">
        <f t="shared" si="13"/>
        <v>-279879.63000000047</v>
      </c>
      <c r="AT41" s="3201">
        <f t="shared" si="14"/>
        <v>6655.445999999999</v>
      </c>
      <c r="AU41" s="3201">
        <f t="shared" si="15"/>
        <v>-261.79230000000001</v>
      </c>
      <c r="AV41" s="3201">
        <f t="shared" si="16"/>
        <v>-6393.6536999999989</v>
      </c>
      <c r="AW41" s="3201">
        <f t="shared" si="17"/>
        <v>58774.722300000009</v>
      </c>
      <c r="BM41" s="2692" t="s">
        <v>846</v>
      </c>
      <c r="BQ41" s="3239">
        <f t="shared" si="39"/>
        <v>1284517.3623267701</v>
      </c>
      <c r="BR41" s="3239">
        <f t="shared" si="40"/>
        <v>580386.19468920294</v>
      </c>
      <c r="BS41" s="3239">
        <f t="shared" si="35"/>
        <v>5222.6335089935928</v>
      </c>
      <c r="BT41" s="3239">
        <f t="shared" si="36"/>
        <v>2359.7535365738509</v>
      </c>
      <c r="BU41" s="3239">
        <f t="shared" si="37"/>
        <v>1289739.9958357636</v>
      </c>
      <c r="BV41" s="3239">
        <f t="shared" si="38"/>
        <v>582745.94822577678</v>
      </c>
    </row>
    <row r="42" spans="18:87" ht="16.5" thickTop="1" thickBot="1">
      <c r="R42" s="477" t="s">
        <v>525</v>
      </c>
      <c r="S42" s="3187">
        <f>SUM(S15:S26)</f>
        <v>-44933.640000000007</v>
      </c>
      <c r="X42" s="3196" t="s">
        <v>2884</v>
      </c>
      <c r="Y42" s="3195">
        <f>SUM(Y27:Y38)</f>
        <v>724938.98</v>
      </c>
      <c r="AA42" s="929"/>
      <c r="AD42" s="929"/>
      <c r="AE42" s="929"/>
      <c r="AL42" s="3202">
        <v>46142</v>
      </c>
      <c r="AM42" s="3201"/>
      <c r="AN42" s="3201">
        <f t="shared" si="34"/>
        <v>-31692.6</v>
      </c>
      <c r="AO42" s="3201">
        <f t="shared" si="10"/>
        <v>1117.74</v>
      </c>
      <c r="AP42" s="3199">
        <f t="shared" si="11"/>
        <v>-705156</v>
      </c>
      <c r="AQ42" s="3199">
        <f t="shared" si="12"/>
        <v>30574.859999999997</v>
      </c>
      <c r="AR42" s="3199"/>
      <c r="AS42" s="3201">
        <f t="shared" si="13"/>
        <v>-249304.77000000046</v>
      </c>
      <c r="AT42" s="3201">
        <f t="shared" si="14"/>
        <v>6655.445999999999</v>
      </c>
      <c r="AU42" s="3201">
        <f t="shared" si="15"/>
        <v>-234.72539999999998</v>
      </c>
      <c r="AV42" s="3201">
        <f t="shared" si="16"/>
        <v>-6420.7205999999987</v>
      </c>
      <c r="AW42" s="3201">
        <f t="shared" si="17"/>
        <v>52354.001700000008</v>
      </c>
      <c r="BM42" s="2692" t="s">
        <v>844</v>
      </c>
      <c r="BQ42" s="3239">
        <f t="shared" si="39"/>
        <v>1289739.9958357636</v>
      </c>
      <c r="BR42" s="3239">
        <f t="shared" si="40"/>
        <v>582745.94822577678</v>
      </c>
      <c r="BS42" s="3239">
        <f t="shared" si="35"/>
        <v>5243.8678664022418</v>
      </c>
      <c r="BT42" s="3239">
        <f t="shared" si="36"/>
        <v>2369.347901161304</v>
      </c>
      <c r="BU42" s="3239">
        <f t="shared" si="37"/>
        <v>1294983.8637021659</v>
      </c>
      <c r="BV42" s="3239">
        <f t="shared" si="38"/>
        <v>585115.29612693808</v>
      </c>
    </row>
    <row r="43" spans="18:87" ht="15" thickTop="1">
      <c r="R43" s="477" t="s">
        <v>526</v>
      </c>
      <c r="S43" s="3187">
        <f>SUM(S27:S38)</f>
        <v>-44933.560000000005</v>
      </c>
      <c r="AL43" s="3202">
        <v>46173</v>
      </c>
      <c r="AM43" s="3201"/>
      <c r="AN43" s="3201">
        <f t="shared" si="34"/>
        <v>-31692.6</v>
      </c>
      <c r="AO43" s="3201">
        <f t="shared" si="10"/>
        <v>988.31</v>
      </c>
      <c r="AP43" s="3199">
        <f t="shared" si="11"/>
        <v>-705156</v>
      </c>
      <c r="AQ43" s="3199">
        <f t="shared" si="12"/>
        <v>30704.289999999997</v>
      </c>
      <c r="AR43" s="3199"/>
      <c r="AS43" s="3201">
        <f t="shared" si="13"/>
        <v>-218600.48000000045</v>
      </c>
      <c r="AT43" s="3201">
        <f t="shared" si="14"/>
        <v>6655.445999999999</v>
      </c>
      <c r="AU43" s="3201">
        <f t="shared" si="15"/>
        <v>-207.54509999999999</v>
      </c>
      <c r="AV43" s="3201">
        <f t="shared" si="16"/>
        <v>-6447.9008999999987</v>
      </c>
      <c r="AW43" s="3201">
        <f t="shared" si="17"/>
        <v>45906.100800000007</v>
      </c>
      <c r="BM43" s="2692" t="s">
        <v>863</v>
      </c>
      <c r="BQ43" s="3239">
        <f t="shared" si="39"/>
        <v>1294983.8637021659</v>
      </c>
      <c r="BR43" s="3239">
        <f t="shared" si="40"/>
        <v>585115.29612693808</v>
      </c>
      <c r="BS43" s="3239">
        <f t="shared" si="35"/>
        <v>5265.1885591690561</v>
      </c>
      <c r="BT43" s="3239">
        <f t="shared" si="36"/>
        <v>2378.9812748361092</v>
      </c>
      <c r="BU43" s="3239">
        <f t="shared" si="37"/>
        <v>1300249.0522613348</v>
      </c>
      <c r="BV43" s="3239">
        <f t="shared" si="38"/>
        <v>587494.27740177419</v>
      </c>
    </row>
    <row r="44" spans="18:87" ht="14.25">
      <c r="AL44" s="3202">
        <v>46203</v>
      </c>
      <c r="AM44" s="3201"/>
      <c r="AN44" s="3201">
        <f t="shared" si="34"/>
        <v>-31692.6</v>
      </c>
      <c r="AO44" s="3201">
        <f t="shared" si="10"/>
        <v>858.33</v>
      </c>
      <c r="AP44" s="3199">
        <f t="shared" si="11"/>
        <v>-705156</v>
      </c>
      <c r="AQ44" s="3199">
        <f t="shared" si="12"/>
        <v>30834.269999999997</v>
      </c>
      <c r="AR44" s="3199"/>
      <c r="AS44" s="3201">
        <f t="shared" si="13"/>
        <v>-187766.21000000043</v>
      </c>
      <c r="AT44" s="3201">
        <f t="shared" si="14"/>
        <v>6655.445999999999</v>
      </c>
      <c r="AU44" s="3201">
        <f t="shared" si="15"/>
        <v>-180.24930000000001</v>
      </c>
      <c r="AV44" s="3201">
        <f t="shared" si="16"/>
        <v>-6475.1966999999986</v>
      </c>
      <c r="AW44" s="3201">
        <f t="shared" si="17"/>
        <v>39430.904100000007</v>
      </c>
      <c r="BM44" s="2692" t="s">
        <v>861</v>
      </c>
      <c r="BQ44" s="3239">
        <f t="shared" si="39"/>
        <v>1300249.0522613348</v>
      </c>
      <c r="BR44" s="3239">
        <f t="shared" si="40"/>
        <v>587494.27740177419</v>
      </c>
      <c r="BS44" s="3239">
        <f t="shared" si="35"/>
        <v>5286.5959383192103</v>
      </c>
      <c r="BT44" s="3239">
        <f t="shared" si="36"/>
        <v>2388.6538162027136</v>
      </c>
      <c r="BU44" s="3239">
        <f t="shared" si="37"/>
        <v>1305535.648199654</v>
      </c>
      <c r="BV44" s="3239">
        <f t="shared" si="38"/>
        <v>589882.93121797685</v>
      </c>
    </row>
    <row r="45" spans="18:87" ht="14.25">
      <c r="AL45" s="3202">
        <v>46234</v>
      </c>
      <c r="AM45" s="3201"/>
      <c r="AN45" s="3201">
        <f t="shared" si="34"/>
        <v>-31692.6</v>
      </c>
      <c r="AO45" s="3201">
        <f t="shared" si="10"/>
        <v>727.79</v>
      </c>
      <c r="AP45" s="3199">
        <f t="shared" si="11"/>
        <v>-705156</v>
      </c>
      <c r="AQ45" s="3199">
        <f t="shared" si="12"/>
        <v>30964.809999999998</v>
      </c>
      <c r="AR45" s="3199"/>
      <c r="AS45" s="3201">
        <f t="shared" si="13"/>
        <v>-156801.40000000043</v>
      </c>
      <c r="AT45" s="3201">
        <f t="shared" si="14"/>
        <v>6655.445999999999</v>
      </c>
      <c r="AU45" s="3201">
        <f t="shared" si="15"/>
        <v>-152.83589999999998</v>
      </c>
      <c r="AV45" s="3201">
        <f t="shared" si="16"/>
        <v>-6502.610099999999</v>
      </c>
      <c r="AW45" s="3201">
        <f t="shared" si="17"/>
        <v>32928.294000000009</v>
      </c>
      <c r="BM45" s="2692" t="s">
        <v>857</v>
      </c>
      <c r="BQ45" s="3239">
        <f t="shared" si="39"/>
        <v>1305535.648199654</v>
      </c>
      <c r="BR45" s="3239">
        <f t="shared" si="40"/>
        <v>589882.93121797685</v>
      </c>
      <c r="BS45" s="3239">
        <f t="shared" si="35"/>
        <v>5308.0903563050933</v>
      </c>
      <c r="BT45" s="3239">
        <f t="shared" si="36"/>
        <v>2398.3656845104242</v>
      </c>
      <c r="BU45" s="3239">
        <f t="shared" si="37"/>
        <v>1310843.738555959</v>
      </c>
      <c r="BV45" s="3239">
        <f t="shared" si="38"/>
        <v>592281.29690248729</v>
      </c>
    </row>
    <row r="46" spans="18:87" ht="14.25">
      <c r="AL46" s="3202">
        <v>46265</v>
      </c>
      <c r="AM46" s="3201"/>
      <c r="AN46" s="3201">
        <f t="shared" si="34"/>
        <v>-31692.6</v>
      </c>
      <c r="AO46" s="3201">
        <f t="shared" si="10"/>
        <v>596.71</v>
      </c>
      <c r="AP46" s="3199">
        <f t="shared" si="11"/>
        <v>-705156</v>
      </c>
      <c r="AQ46" s="3199">
        <f t="shared" si="12"/>
        <v>31095.89</v>
      </c>
      <c r="AR46" s="3199"/>
      <c r="AS46" s="3201">
        <f t="shared" si="13"/>
        <v>-125705.51000000043</v>
      </c>
      <c r="AT46" s="3201">
        <f t="shared" si="14"/>
        <v>6655.445999999999</v>
      </c>
      <c r="AU46" s="3201">
        <f t="shared" si="15"/>
        <v>-125.3091</v>
      </c>
      <c r="AV46" s="3201">
        <f t="shared" si="16"/>
        <v>-6530.1368999999986</v>
      </c>
      <c r="AW46" s="3201">
        <f t="shared" si="17"/>
        <v>26398.157100000011</v>
      </c>
      <c r="BM46" s="2692" t="s">
        <v>855</v>
      </c>
      <c r="BQ46" s="3239">
        <f t="shared" si="39"/>
        <v>1310843.738555959</v>
      </c>
      <c r="BR46" s="3239">
        <f t="shared" si="40"/>
        <v>592281.29690248729</v>
      </c>
      <c r="BS46" s="3239">
        <f t="shared" si="35"/>
        <v>5329.6721670121033</v>
      </c>
      <c r="BT46" s="3239">
        <f t="shared" si="36"/>
        <v>2408.1170396560296</v>
      </c>
      <c r="BU46" s="3239">
        <f t="shared" si="37"/>
        <v>1316173.410722971</v>
      </c>
      <c r="BV46" s="3239">
        <f t="shared" si="38"/>
        <v>594689.41394214332</v>
      </c>
    </row>
    <row r="47" spans="18:87" ht="15" thickBot="1">
      <c r="AL47" s="3202">
        <v>46295</v>
      </c>
      <c r="AM47" s="3201"/>
      <c r="AN47" s="3201">
        <f t="shared" si="34"/>
        <v>-31692.6</v>
      </c>
      <c r="AO47" s="3201">
        <f t="shared" si="10"/>
        <v>465.07</v>
      </c>
      <c r="AP47" s="3199">
        <f t="shared" si="11"/>
        <v>-705156</v>
      </c>
      <c r="AQ47" s="3199">
        <f t="shared" si="12"/>
        <v>31227.53</v>
      </c>
      <c r="AR47" s="3199"/>
      <c r="AS47" s="3201">
        <f t="shared" si="13"/>
        <v>-94477.980000000447</v>
      </c>
      <c r="AT47" s="3201">
        <f t="shared" si="14"/>
        <v>6655.445999999999</v>
      </c>
      <c r="AU47" s="3201">
        <f t="shared" si="15"/>
        <v>-97.664699999999996</v>
      </c>
      <c r="AV47" s="3201">
        <f t="shared" si="16"/>
        <v>-6557.7812999999987</v>
      </c>
      <c r="AW47" s="3201">
        <f t="shared" si="17"/>
        <v>19840.375800000013</v>
      </c>
      <c r="BM47" s="2692" t="s">
        <v>854</v>
      </c>
      <c r="BQ47" s="3239">
        <f t="shared" si="39"/>
        <v>1316173.410722971</v>
      </c>
      <c r="BR47" s="3239">
        <f t="shared" si="40"/>
        <v>594689.41394214332</v>
      </c>
      <c r="BS47" s="3239">
        <f t="shared" si="35"/>
        <v>5351.3417257644796</v>
      </c>
      <c r="BT47" s="3239">
        <f t="shared" si="36"/>
        <v>2417.908042186431</v>
      </c>
      <c r="BU47" s="3239">
        <f t="shared" si="37"/>
        <v>1321524.7524487355</v>
      </c>
      <c r="BV47" s="3239">
        <f t="shared" si="38"/>
        <v>597107.32198432973</v>
      </c>
    </row>
    <row r="48" spans="18:87" ht="15" thickBot="1">
      <c r="AL48" s="3202">
        <v>46326</v>
      </c>
      <c r="AM48" s="3201"/>
      <c r="AN48" s="3201">
        <f t="shared" si="34"/>
        <v>-31692.6</v>
      </c>
      <c r="AO48" s="3201">
        <f t="shared" si="10"/>
        <v>332.87</v>
      </c>
      <c r="AP48" s="3199">
        <f t="shared" si="11"/>
        <v>-705156</v>
      </c>
      <c r="AQ48" s="3199">
        <f t="shared" si="12"/>
        <v>31359.73</v>
      </c>
      <c r="AR48" s="3199"/>
      <c r="AS48" s="3201">
        <f t="shared" si="13"/>
        <v>-63118.250000000451</v>
      </c>
      <c r="AT48" s="3201">
        <f t="shared" si="14"/>
        <v>6655.445999999999</v>
      </c>
      <c r="AU48" s="3201">
        <f t="shared" si="15"/>
        <v>-69.902699999999996</v>
      </c>
      <c r="AV48" s="3201">
        <f t="shared" si="16"/>
        <v>-6585.5432999999994</v>
      </c>
      <c r="AW48" s="3201">
        <f t="shared" si="17"/>
        <v>13254.832500000013</v>
      </c>
      <c r="BM48" s="2692" t="s">
        <v>853</v>
      </c>
      <c r="BQ48" s="3239">
        <f t="shared" si="39"/>
        <v>1321524.7524487355</v>
      </c>
      <c r="BR48" s="3239">
        <f t="shared" si="40"/>
        <v>597107.32198432973</v>
      </c>
      <c r="BS48" s="3239">
        <f t="shared" si="35"/>
        <v>5373.0993893311506</v>
      </c>
      <c r="BT48" s="3239">
        <f t="shared" si="36"/>
        <v>2427.7388533012872</v>
      </c>
      <c r="BU48" s="3238">
        <f t="shared" si="37"/>
        <v>1326897.8518380667</v>
      </c>
      <c r="BV48" s="3238">
        <f t="shared" si="38"/>
        <v>599535.060837631</v>
      </c>
    </row>
    <row r="49" spans="38:74" ht="14.25">
      <c r="AL49" s="3202">
        <v>46356</v>
      </c>
      <c r="AM49" s="3201"/>
      <c r="AN49" s="3201">
        <f t="shared" si="34"/>
        <v>-31692.6</v>
      </c>
      <c r="AO49" s="3201">
        <f t="shared" si="10"/>
        <v>200.12</v>
      </c>
      <c r="AP49" s="3199">
        <f t="shared" si="11"/>
        <v>-705156</v>
      </c>
      <c r="AQ49" s="3199">
        <f t="shared" si="12"/>
        <v>31492.48</v>
      </c>
      <c r="AR49" s="3199"/>
      <c r="AS49" s="3201">
        <f t="shared" si="13"/>
        <v>-31625.770000000452</v>
      </c>
      <c r="AT49" s="3201">
        <f t="shared" si="14"/>
        <v>6655.445999999999</v>
      </c>
      <c r="AU49" s="3201">
        <f t="shared" si="15"/>
        <v>-42.025199999999998</v>
      </c>
      <c r="AV49" s="3201">
        <f t="shared" si="16"/>
        <v>-6613.420799999999</v>
      </c>
      <c r="AW49" s="3201">
        <f t="shared" si="17"/>
        <v>6641.4117000000142</v>
      </c>
      <c r="BU49" s="3237" t="s">
        <v>2927</v>
      </c>
      <c r="BV49" s="3237" t="s">
        <v>2927</v>
      </c>
    </row>
    <row r="50" spans="38:74" ht="14.25">
      <c r="AL50" s="3202">
        <v>46387</v>
      </c>
      <c r="AM50" s="3201"/>
      <c r="AN50" s="3201">
        <f>ROUND((AP49+$AO$52)/$AO$10,2)+0.03</f>
        <v>-31692.57</v>
      </c>
      <c r="AO50" s="3201">
        <f t="shared" si="10"/>
        <v>66.8</v>
      </c>
      <c r="AP50" s="3199">
        <f t="shared" si="11"/>
        <v>-705156</v>
      </c>
      <c r="AQ50" s="3199">
        <f t="shared" si="12"/>
        <v>31625.77</v>
      </c>
      <c r="AR50" s="3199"/>
      <c r="AS50" s="3201">
        <f t="shared" si="13"/>
        <v>-4.5183412566984771E-10</v>
      </c>
      <c r="AT50" s="3201">
        <f t="shared" si="14"/>
        <v>6655.4396999999999</v>
      </c>
      <c r="AU50" s="3201">
        <f t="shared" si="15"/>
        <v>-14.027999999999999</v>
      </c>
      <c r="AV50" s="3201">
        <f t="shared" si="16"/>
        <v>-6641.4116999999997</v>
      </c>
      <c r="AW50" s="3201">
        <f t="shared" si="17"/>
        <v>1.4551915228366852E-11</v>
      </c>
      <c r="BU50" s="3237" t="s">
        <v>1808</v>
      </c>
      <c r="BV50" s="3237" t="s">
        <v>1808</v>
      </c>
    </row>
    <row r="51" spans="38:74" ht="15" thickBot="1">
      <c r="AM51" s="3200">
        <f>SUM(AM15:AM50)</f>
        <v>705156</v>
      </c>
      <c r="AN51" s="3200">
        <f>SUM(AN27:AN50)</f>
        <v>-760622.36999999965</v>
      </c>
      <c r="AO51" s="3200">
        <f>SUM(AO27:AO50)</f>
        <v>37286.260000000009</v>
      </c>
      <c r="AP51" s="3200"/>
      <c r="AQ51" s="3200">
        <f>SUM(AQ27:AQ50)</f>
        <v>723336.11</v>
      </c>
      <c r="AR51" s="3200"/>
      <c r="AS51" s="3200"/>
      <c r="AT51" s="3200">
        <f>SUM(AT27:AT50)</f>
        <v>159730.69769999993</v>
      </c>
      <c r="AU51" s="3200">
        <f>SUM(AU27:AU50)</f>
        <v>-7830.1146000000008</v>
      </c>
      <c r="AV51" s="3200">
        <f>SUM(AV27:AV50)</f>
        <v>-151900.58309999996</v>
      </c>
      <c r="AW51" s="3200"/>
    </row>
    <row r="52" spans="38:74" ht="15.75" thickTop="1" thickBot="1">
      <c r="AM52" s="3199"/>
      <c r="AN52" s="3199"/>
      <c r="AO52" s="3203">
        <v>-55466.3</v>
      </c>
      <c r="AP52" s="3198"/>
      <c r="AQ52" s="3198"/>
      <c r="AR52" s="3198"/>
      <c r="AS52" s="3198"/>
      <c r="AT52" s="3198"/>
      <c r="AU52" s="3198"/>
      <c r="AV52" s="3198"/>
      <c r="AW52" s="3197"/>
    </row>
    <row r="53" spans="38:74" ht="16.5" thickTop="1" thickBot="1">
      <c r="AM53" s="3196" t="s">
        <v>2885</v>
      </c>
      <c r="AN53" s="3195">
        <f>SUM(AN27:AN38)</f>
        <v>-380311.19999999995</v>
      </c>
      <c r="AO53" s="3199"/>
      <c r="AP53" s="3198"/>
      <c r="AQ53" s="3198"/>
      <c r="AR53" s="3198"/>
      <c r="AS53" s="3198"/>
      <c r="AT53" s="3198"/>
      <c r="AU53" s="3198"/>
      <c r="AV53" s="3198"/>
      <c r="AW53" s="3197"/>
    </row>
    <row r="54" spans="38:74" ht="16.5" thickTop="1" thickBot="1">
      <c r="AM54" s="3196" t="s">
        <v>2884</v>
      </c>
      <c r="AN54" s="3195">
        <f>SUM(AN39:AN50)</f>
        <v>-380311.17</v>
      </c>
      <c r="AP54" s="929"/>
      <c r="AS54" s="929"/>
      <c r="AT54" s="929"/>
    </row>
    <row r="55" spans="38:74" ht="13.5"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5546875" defaultRowHeight="12.75"/>
  <cols>
    <col min="1" max="1" width="1.7109375" style="2141" customWidth="1"/>
    <col min="2" max="2" width="4.28515625" style="2141" bestFit="1" customWidth="1"/>
    <col min="3" max="3" width="22.42578125" style="2141" bestFit="1" customWidth="1"/>
    <col min="4" max="4" width="11.85546875" style="2141" bestFit="1" customWidth="1"/>
    <col min="5" max="5" width="9.85546875" style="2141" bestFit="1" customWidth="1"/>
    <col min="6" max="6" width="7.5703125" style="2141" bestFit="1" customWidth="1"/>
    <col min="7" max="7" width="8.42578125" style="2141" bestFit="1" customWidth="1"/>
    <col min="8" max="8" width="8.28515625" style="2141" customWidth="1"/>
    <col min="9" max="9" width="6.5703125" style="2141" customWidth="1"/>
    <col min="10" max="10" width="7.85546875" style="2141" customWidth="1"/>
    <col min="11" max="11" width="8.42578125" style="2141" customWidth="1"/>
    <col min="12" max="12" width="9.85546875" style="2141" customWidth="1"/>
    <col min="13" max="13" width="7.42578125" style="2141" bestFit="1" customWidth="1"/>
    <col min="14" max="14" width="10.5703125" style="2141" customWidth="1"/>
    <col min="15" max="15" width="12.7109375" style="2141" customWidth="1"/>
    <col min="16" max="16" width="10.28515625" style="2141" customWidth="1"/>
    <col min="17" max="16384" width="8.85546875" style="2141"/>
  </cols>
  <sheetData>
    <row r="3" spans="2:16" ht="18.75">
      <c r="C3" s="3941" t="s">
        <v>2947</v>
      </c>
      <c r="D3" s="3941"/>
      <c r="E3" s="3941"/>
      <c r="F3" s="3941"/>
      <c r="G3" s="3941"/>
      <c r="K3" s="3942" t="s">
        <v>2948</v>
      </c>
      <c r="L3" s="3942"/>
      <c r="M3" s="3942"/>
      <c r="N3" s="3942"/>
      <c r="O3" s="3942"/>
      <c r="P3" s="3942"/>
    </row>
    <row r="4" spans="2:16" ht="30.75" thickBot="1">
      <c r="B4" s="3940" t="s">
        <v>2949</v>
      </c>
      <c r="C4" s="3264" t="s">
        <v>2950</v>
      </c>
      <c r="D4" s="3265" t="s">
        <v>2951</v>
      </c>
      <c r="E4" s="3266" t="s">
        <v>2952</v>
      </c>
      <c r="F4" s="3265" t="s">
        <v>2953</v>
      </c>
      <c r="G4" s="3265" t="s">
        <v>24</v>
      </c>
      <c r="H4" s="3265" t="s">
        <v>1291</v>
      </c>
      <c r="J4" s="2688">
        <v>2024</v>
      </c>
      <c r="K4" s="2688">
        <v>2025</v>
      </c>
      <c r="L4" s="2688">
        <v>2026</v>
      </c>
      <c r="M4" s="2688">
        <v>2027</v>
      </c>
      <c r="N4" s="2688">
        <v>2028</v>
      </c>
      <c r="O4" s="3267" t="s">
        <v>2954</v>
      </c>
    </row>
    <row r="5" spans="2:16" ht="15.75" thickBot="1">
      <c r="B5" s="3940"/>
      <c r="C5" s="2141" t="s">
        <v>2955</v>
      </c>
      <c r="D5" s="3268">
        <v>0.26</v>
      </c>
      <c r="E5" s="3268">
        <v>0.62</v>
      </c>
      <c r="F5" s="3268">
        <v>0</v>
      </c>
      <c r="G5" s="3268">
        <f>SUM(D5:F5)</f>
        <v>0.88</v>
      </c>
      <c r="H5" s="2688">
        <v>2025</v>
      </c>
      <c r="J5" s="3269">
        <v>0</v>
      </c>
      <c r="K5" s="3270">
        <f>(D7+E7)*1000</f>
        <v>1200</v>
      </c>
      <c r="L5" s="3271">
        <f>(E9+F9+D17+D9)*1000</f>
        <v>760</v>
      </c>
      <c r="M5" s="2163">
        <f>(E10+F10+D18+D10)*1000</f>
        <v>450</v>
      </c>
      <c r="N5" s="2163">
        <f>D19*1000</f>
        <v>320</v>
      </c>
      <c r="O5" s="3182">
        <f>SUM(J5:N5)</f>
        <v>2730</v>
      </c>
    </row>
    <row r="6" spans="2:16" ht="15.75" thickBot="1">
      <c r="B6" s="3940"/>
      <c r="C6" s="2141" t="s">
        <v>2956</v>
      </c>
      <c r="D6" s="3272">
        <v>0.11</v>
      </c>
      <c r="E6" s="3272">
        <v>0.21</v>
      </c>
      <c r="F6" s="3272">
        <v>0</v>
      </c>
      <c r="G6" s="3272">
        <f>SUM(D6:F6)</f>
        <v>0.32</v>
      </c>
      <c r="H6" s="3273">
        <v>2025</v>
      </c>
      <c r="O6" s="2163">
        <f>O5-G22</f>
        <v>460</v>
      </c>
    </row>
    <row r="7" spans="2:16" ht="15.75" thickBot="1">
      <c r="B7" s="3940"/>
      <c r="C7" s="3274" t="s">
        <v>24</v>
      </c>
      <c r="D7" s="3275">
        <f>SUM(D5:D6)</f>
        <v>0.37</v>
      </c>
      <c r="E7" s="3276">
        <f>SUM(E5:E6)</f>
        <v>0.83</v>
      </c>
      <c r="F7" s="3277">
        <f>SUM(F5:F6)</f>
        <v>0</v>
      </c>
      <c r="G7" s="3277">
        <f>SUM(D7:F7)</f>
        <v>1.2</v>
      </c>
      <c r="H7" s="3278">
        <v>2025</v>
      </c>
    </row>
    <row r="8" spans="2:16" ht="13.5" thickBot="1">
      <c r="B8" s="3940"/>
      <c r="K8" s="2141" t="s">
        <v>2957</v>
      </c>
    </row>
    <row r="9" spans="2:16" ht="15.75" thickBot="1">
      <c r="B9" s="3940"/>
      <c r="C9" s="2141" t="s">
        <v>2958</v>
      </c>
      <c r="D9" s="3279">
        <v>0.14000000000000001</v>
      </c>
      <c r="E9" s="3280">
        <v>0.18</v>
      </c>
      <c r="F9" s="3281">
        <v>0.14000000000000001</v>
      </c>
      <c r="G9" s="3268">
        <f>SUM(D9:F9)</f>
        <v>0.46</v>
      </c>
      <c r="H9" s="3282">
        <v>2026</v>
      </c>
      <c r="K9" s="2141" t="s">
        <v>2959</v>
      </c>
    </row>
    <row r="10" spans="2:16">
      <c r="B10" s="3940"/>
      <c r="C10" s="2141" t="s">
        <v>2960</v>
      </c>
      <c r="D10" s="3268">
        <v>0.04</v>
      </c>
      <c r="E10" s="3268">
        <v>0.06</v>
      </c>
      <c r="F10" s="3268">
        <v>0.04</v>
      </c>
      <c r="G10" s="3268">
        <f>SUM(D10:F10)</f>
        <v>0.14000000000000001</v>
      </c>
      <c r="H10" s="2141">
        <v>2027</v>
      </c>
    </row>
    <row r="11" spans="2:16" ht="15">
      <c r="B11" s="3940"/>
      <c r="C11" s="3274" t="s">
        <v>24</v>
      </c>
      <c r="D11" s="3277">
        <f>SUM(D10:D10)</f>
        <v>0.04</v>
      </c>
      <c r="E11" s="3277">
        <f>SUM(E10:E10)</f>
        <v>0.06</v>
      </c>
      <c r="F11" s="3277">
        <f>SUM(F10:F10)</f>
        <v>0.04</v>
      </c>
      <c r="G11" s="3277">
        <f>SUM(G10:G10)</f>
        <v>0.14000000000000001</v>
      </c>
    </row>
    <row r="12" spans="2:16" ht="15">
      <c r="B12" s="3940"/>
      <c r="H12" s="3268"/>
      <c r="J12" s="2141" t="s">
        <v>839</v>
      </c>
      <c r="K12" s="3943">
        <v>2025</v>
      </c>
      <c r="L12" s="3944"/>
      <c r="M12" s="3943">
        <v>2026</v>
      </c>
      <c r="N12" s="3944"/>
    </row>
    <row r="13" spans="2:16" ht="15">
      <c r="B13" s="3940"/>
      <c r="C13" s="3283" t="s">
        <v>978</v>
      </c>
      <c r="D13" s="3284">
        <f>SUM(D7+D11)</f>
        <v>0.41</v>
      </c>
      <c r="E13" s="3284">
        <f>SUM(E7+E11)</f>
        <v>0.8899999999999999</v>
      </c>
      <c r="F13" s="3284">
        <f>SUM(F7+F11)</f>
        <v>0.04</v>
      </c>
      <c r="G13" s="3284">
        <f>SUM(G7+G11)</f>
        <v>1.3399999999999999</v>
      </c>
      <c r="K13" s="3285" t="s">
        <v>2961</v>
      </c>
      <c r="L13" s="3286" t="s">
        <v>517</v>
      </c>
      <c r="M13" s="3285" t="s">
        <v>2961</v>
      </c>
      <c r="N13" s="3286" t="s">
        <v>519</v>
      </c>
    </row>
    <row r="14" spans="2:16" ht="15.75" thickBot="1">
      <c r="C14" s="3274"/>
      <c r="D14" s="3287"/>
      <c r="E14" s="3287"/>
      <c r="F14" s="3287"/>
      <c r="G14" s="3287"/>
      <c r="J14" s="2141" t="s">
        <v>540</v>
      </c>
      <c r="K14" s="3288">
        <f>K5</f>
        <v>1200</v>
      </c>
      <c r="L14" s="3289">
        <f>K14</f>
        <v>1200</v>
      </c>
      <c r="M14" s="3288">
        <f>N14-L14</f>
        <v>-440</v>
      </c>
      <c r="N14" s="3289">
        <f>L5</f>
        <v>760</v>
      </c>
    </row>
    <row r="15" spans="2:16" ht="16.5" thickTop="1" thickBot="1">
      <c r="B15" s="3940" t="s">
        <v>2962</v>
      </c>
      <c r="C15" s="2688" t="s">
        <v>2963</v>
      </c>
      <c r="H15" s="2688" t="s">
        <v>2964</v>
      </c>
      <c r="K15" s="3290">
        <f>K14*$H$16*$H$17</f>
        <v>563.22091391999993</v>
      </c>
      <c r="L15" s="3291">
        <f>L14*$H$16*$H$17</f>
        <v>563.22091391999993</v>
      </c>
      <c r="M15" s="3292">
        <f>M14*$H$16*$H$17</f>
        <v>-206.51433510399997</v>
      </c>
      <c r="N15" s="3291">
        <f>N14*$H$16*$H$17</f>
        <v>356.70657881599993</v>
      </c>
      <c r="O15" s="2163"/>
    </row>
    <row r="16" spans="2:16" ht="15.75" thickBot="1">
      <c r="B16" s="3940"/>
      <c r="C16" s="2688" t="s">
        <v>2965</v>
      </c>
      <c r="D16" s="3293">
        <v>0.09</v>
      </c>
      <c r="H16" s="2141">
        <v>0.70111999999999997</v>
      </c>
      <c r="I16" s="2141" t="s">
        <v>2398</v>
      </c>
      <c r="K16" s="3294"/>
      <c r="L16" s="3295"/>
      <c r="M16" s="3294"/>
      <c r="N16" s="3295"/>
    </row>
    <row r="17" spans="2:15" ht="15.75" thickBot="1">
      <c r="B17" s="3940"/>
      <c r="C17" s="3282" t="s">
        <v>2966</v>
      </c>
      <c r="D17" s="3296">
        <v>0.3</v>
      </c>
      <c r="H17" s="2141">
        <v>0.66942999999999997</v>
      </c>
      <c r="I17" s="2141" t="s">
        <v>2399</v>
      </c>
      <c r="K17" s="3297"/>
      <c r="L17" s="3298"/>
      <c r="M17" s="3294"/>
      <c r="N17" s="3298"/>
    </row>
    <row r="18" spans="2:15" ht="15.75" thickBot="1">
      <c r="B18" s="3940"/>
      <c r="C18" s="2141" t="s">
        <v>2967</v>
      </c>
      <c r="D18" s="3268">
        <v>0.31</v>
      </c>
      <c r="H18" s="2688" t="s">
        <v>2968</v>
      </c>
      <c r="K18" s="3290">
        <f>K14*$H$19*$H$20</f>
        <v>178.28594016</v>
      </c>
      <c r="L18" s="3291">
        <f>L14*$H$19*$H$20</f>
        <v>178.28594016</v>
      </c>
      <c r="M18" s="3292">
        <f>M14*$H$19*$H$20</f>
        <v>-65.371511391999988</v>
      </c>
      <c r="N18" s="3291">
        <f>N14*$H$19*$H$20</f>
        <v>112.91442876799999</v>
      </c>
      <c r="O18" s="2163"/>
    </row>
    <row r="19" spans="2:15">
      <c r="B19" s="3940"/>
      <c r="C19" s="2141" t="s">
        <v>2969</v>
      </c>
      <c r="D19" s="3268">
        <v>0.32</v>
      </c>
      <c r="H19" s="2141">
        <v>0.20707999999999999</v>
      </c>
      <c r="I19" s="2141" t="s">
        <v>2398</v>
      </c>
      <c r="K19" s="3294"/>
      <c r="L19" s="3295"/>
      <c r="M19" s="3294"/>
      <c r="N19" s="3295"/>
    </row>
    <row r="20" spans="2:15" ht="15">
      <c r="C20" s="3274" t="s">
        <v>2970</v>
      </c>
      <c r="D20" s="3287" cm="1">
        <f t="array" ref="D20">SUM(D16:D19+D7)</f>
        <v>2.5</v>
      </c>
      <c r="H20" s="2141">
        <v>0.71745999999999999</v>
      </c>
      <c r="I20" s="2141" t="s">
        <v>2399</v>
      </c>
      <c r="K20" s="3294"/>
      <c r="L20" s="3295"/>
      <c r="M20" s="3294"/>
      <c r="N20" s="3295"/>
    </row>
    <row r="21" spans="2:15">
      <c r="H21" s="2141" t="s">
        <v>2971</v>
      </c>
      <c r="K21" s="3297">
        <f>K14*$H$22*$H$23</f>
        <v>278.12308607999995</v>
      </c>
      <c r="L21" s="3298">
        <f>L14*$H$22*$H$23</f>
        <v>278.12308607999995</v>
      </c>
      <c r="M21" s="3297">
        <f>M14*$H$22*$H$23</f>
        <v>-101.97846489599999</v>
      </c>
      <c r="N21" s="3298">
        <f>N14*$H$22*$H$23</f>
        <v>176.14462118399996</v>
      </c>
      <c r="O21" s="2163"/>
    </row>
    <row r="22" spans="2:15" ht="15">
      <c r="C22" s="3299" t="s">
        <v>2972</v>
      </c>
      <c r="D22" s="3300">
        <f>(D7+D11+D17+D18+D19)*1000</f>
        <v>1340</v>
      </c>
      <c r="E22" s="3300">
        <f>E13*1000</f>
        <v>889.99999999999989</v>
      </c>
      <c r="F22" s="3300">
        <f>F13*1000</f>
        <v>40</v>
      </c>
      <c r="G22" s="3300">
        <f>SUM(D22:F22)</f>
        <v>2270</v>
      </c>
      <c r="H22" s="2141">
        <v>0.70111999999999997</v>
      </c>
      <c r="I22" s="2141" t="s">
        <v>2398</v>
      </c>
      <c r="K22" s="3294"/>
      <c r="L22" s="3295"/>
      <c r="M22" s="3294"/>
      <c r="N22" s="3295"/>
    </row>
    <row r="23" spans="2:15">
      <c r="D23" s="3269"/>
      <c r="H23" s="2141">
        <v>0.33056999999999997</v>
      </c>
      <c r="I23" s="2141" t="s">
        <v>2399</v>
      </c>
      <c r="K23" s="3294"/>
      <c r="L23" s="3295"/>
      <c r="M23" s="3294"/>
      <c r="N23" s="3295"/>
    </row>
    <row r="24" spans="2:15">
      <c r="H24" s="2141" t="s">
        <v>2973</v>
      </c>
      <c r="K24" s="3297">
        <f>K14*$H$25*$H$26</f>
        <v>70.21005984</v>
      </c>
      <c r="L24" s="3298">
        <f>L14*$H$25*$H$26</f>
        <v>70.21005984</v>
      </c>
      <c r="M24" s="3297">
        <f>M14*$H$25*$H$26</f>
        <v>-25.743688607999999</v>
      </c>
      <c r="N24" s="3298">
        <f>N14*$H$25*$H$26</f>
        <v>44.466371232</v>
      </c>
      <c r="O24" s="2163"/>
    </row>
    <row r="25" spans="2:15">
      <c r="H25" s="2141">
        <v>0.20707999999999999</v>
      </c>
      <c r="I25" s="2141" t="s">
        <v>2398</v>
      </c>
      <c r="K25" s="3294"/>
      <c r="L25" s="3295"/>
      <c r="M25" s="3294"/>
      <c r="N25" s="3295"/>
    </row>
    <row r="26" spans="2:15">
      <c r="H26" s="2141">
        <v>0.28254000000000001</v>
      </c>
      <c r="I26" s="2141" t="s">
        <v>2399</v>
      </c>
      <c r="K26" s="3294"/>
      <c r="L26" s="3295"/>
      <c r="M26" s="3294"/>
      <c r="N26" s="3295"/>
    </row>
    <row r="27" spans="2:15">
      <c r="H27" s="2141" t="s">
        <v>2974</v>
      </c>
      <c r="K27" s="3297">
        <f>K14*$H$28</f>
        <v>110.16000000000001</v>
      </c>
      <c r="L27" s="3298">
        <f>L14*$H$28</f>
        <v>110.16000000000001</v>
      </c>
      <c r="M27" s="3297">
        <f>M14*$H$28</f>
        <v>-40.392000000000003</v>
      </c>
      <c r="N27" s="3298">
        <f>N14*$H$28</f>
        <v>69.768000000000001</v>
      </c>
      <c r="O27" s="2163"/>
    </row>
    <row r="28" spans="2:15">
      <c r="H28" s="2141">
        <v>9.1800000000000007E-2</v>
      </c>
      <c r="I28" s="2141" t="s">
        <v>2398</v>
      </c>
      <c r="K28" s="3294"/>
      <c r="L28" s="3295"/>
      <c r="M28" s="3294"/>
      <c r="N28" s="3295"/>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5546875" defaultRowHeight="14.25"/>
  <cols>
    <col min="1" max="1" width="28.7109375" style="2141" bestFit="1" customWidth="1"/>
    <col min="2" max="2" width="8.28515625" style="2141" bestFit="1" customWidth="1"/>
    <col min="3" max="3" width="9.5703125" style="2141" bestFit="1" customWidth="1"/>
    <col min="4" max="4" width="5.7109375" style="2141" customWidth="1"/>
    <col min="5" max="5" width="13.5703125" style="2141" customWidth="1"/>
    <col min="6" max="6" width="4.140625" style="2141" customWidth="1"/>
    <col min="7" max="7" width="13.5703125" style="2141" customWidth="1"/>
    <col min="8" max="8" width="10.140625" style="2141" bestFit="1" customWidth="1"/>
    <col min="9" max="9" width="8.85546875" style="2141"/>
    <col min="10" max="10" width="1.7109375" style="2142" customWidth="1"/>
    <col min="11" max="11" width="8.85546875" style="2141"/>
    <col min="12" max="12" width="40.7109375" style="2141" customWidth="1"/>
    <col min="13" max="13" width="18.5703125" style="2141" customWidth="1"/>
    <col min="14" max="14" width="31.28515625" style="2141" bestFit="1" customWidth="1"/>
    <col min="15" max="17" width="15.42578125" style="3302" bestFit="1" customWidth="1"/>
    <col min="18" max="18" width="13.140625" style="3302" bestFit="1" customWidth="1"/>
    <col min="19" max="19" width="15.85546875" style="2141" bestFit="1" customWidth="1"/>
    <col min="20" max="20" width="1.7109375" style="2142" customWidth="1"/>
    <col min="21" max="21" width="8.85546875" style="2141"/>
    <col min="22" max="22" width="29.7109375" style="3345" customWidth="1"/>
    <col min="23" max="25" width="14.7109375" style="3442" customWidth="1"/>
    <col min="26" max="26" width="15" style="3442" bestFit="1" customWidth="1"/>
    <col min="27" max="30" width="15" style="3442" customWidth="1"/>
    <col min="31" max="31" width="15.42578125" style="3442" customWidth="1"/>
    <col min="32" max="33" width="14.7109375" style="3390" customWidth="1"/>
    <col min="34" max="34" width="19.28515625" style="3442" customWidth="1"/>
    <col min="35" max="16384" width="8.85546875" style="2141"/>
  </cols>
  <sheetData>
    <row r="1" spans="1:34" ht="15.75" thickBot="1">
      <c r="A1" s="3825" t="s">
        <v>1204</v>
      </c>
      <c r="B1" s="3825"/>
      <c r="C1" s="3825"/>
      <c r="D1" s="3825"/>
      <c r="E1" s="3825"/>
      <c r="F1" s="3825"/>
      <c r="G1" s="3825"/>
      <c r="L1" s="3946" t="s">
        <v>2975</v>
      </c>
      <c r="M1" s="3946"/>
      <c r="N1" s="3946"/>
      <c r="O1" s="3946"/>
      <c r="P1" s="3301"/>
      <c r="Q1" s="3301"/>
      <c r="V1" s="3303"/>
      <c r="W1" s="3304" t="s">
        <v>2976</v>
      </c>
      <c r="X1" s="3304" t="s">
        <v>2977</v>
      </c>
      <c r="Y1" s="3304" t="s">
        <v>2978</v>
      </c>
      <c r="Z1" s="3304" t="s">
        <v>2979</v>
      </c>
      <c r="AA1" s="3304" t="s">
        <v>2980</v>
      </c>
      <c r="AB1" s="3304" t="s">
        <v>2981</v>
      </c>
      <c r="AC1" s="3304" t="s">
        <v>2982</v>
      </c>
      <c r="AD1" s="3304" t="s">
        <v>2983</v>
      </c>
      <c r="AE1" s="3304" t="s">
        <v>2984</v>
      </c>
      <c r="AF1" s="3304" t="s">
        <v>2985</v>
      </c>
      <c r="AG1" s="3305" t="s">
        <v>2986</v>
      </c>
      <c r="AH1" s="3306" t="s">
        <v>2987</v>
      </c>
    </row>
    <row r="2" spans="1:34">
      <c r="A2" s="3825" t="s">
        <v>2988</v>
      </c>
      <c r="B2" s="3825"/>
      <c r="C2" s="3825"/>
      <c r="D2" s="3825"/>
      <c r="E2" s="3825"/>
      <c r="F2" s="3825"/>
      <c r="G2" s="3825"/>
      <c r="L2" s="3946" t="s">
        <v>2989</v>
      </c>
      <c r="M2" s="3946"/>
      <c r="N2" s="3946"/>
      <c r="O2" s="3946"/>
      <c r="P2" s="3301"/>
      <c r="Q2" s="3301"/>
      <c r="V2" s="3307" t="s">
        <v>2990</v>
      </c>
      <c r="W2" s="3308">
        <v>124972.78</v>
      </c>
      <c r="X2" s="3308">
        <v>0</v>
      </c>
      <c r="Y2" s="3308">
        <v>124972.78</v>
      </c>
      <c r="Z2" s="3308">
        <v>124972.78</v>
      </c>
      <c r="AA2" s="3308">
        <v>124972.78</v>
      </c>
      <c r="AB2" s="3308">
        <v>124972.78</v>
      </c>
      <c r="AC2" s="3308">
        <v>124972.78</v>
      </c>
      <c r="AD2" s="3308">
        <v>124972.78</v>
      </c>
      <c r="AE2" s="3308">
        <v>124972.78</v>
      </c>
      <c r="AF2" s="3308">
        <v>124972.78</v>
      </c>
      <c r="AG2" s="3308">
        <v>124972.78</v>
      </c>
      <c r="AH2" s="3309">
        <f>SUM(W2:AG2)</f>
        <v>1249727.8</v>
      </c>
    </row>
    <row r="3" spans="1:34">
      <c r="A3" s="3825" t="s">
        <v>2989</v>
      </c>
      <c r="B3" s="3825"/>
      <c r="C3" s="3825"/>
      <c r="D3" s="3825"/>
      <c r="E3" s="3825"/>
      <c r="F3" s="3825"/>
      <c r="G3" s="3825"/>
      <c r="L3" s="3310"/>
      <c r="M3" s="3310"/>
      <c r="N3" s="3310"/>
      <c r="O3" s="3311"/>
      <c r="P3" s="3311"/>
      <c r="Q3" s="3311"/>
      <c r="V3" s="3312" t="s">
        <v>2991</v>
      </c>
      <c r="W3" s="3313">
        <v>4997.49</v>
      </c>
      <c r="X3" s="3313">
        <v>4997.49</v>
      </c>
      <c r="Y3" s="3313">
        <v>4997.49</v>
      </c>
      <c r="Z3" s="3313">
        <v>4997.49</v>
      </c>
      <c r="AA3" s="3313">
        <v>4997.49</v>
      </c>
      <c r="AB3" s="3313">
        <v>4997.49</v>
      </c>
      <c r="AC3" s="3313">
        <v>4997.49</v>
      </c>
      <c r="AD3" s="3313">
        <v>4997.49</v>
      </c>
      <c r="AE3" s="3313">
        <v>4997.49</v>
      </c>
      <c r="AF3" s="3313">
        <v>4997.49</v>
      </c>
      <c r="AG3" s="3313">
        <v>4997.49</v>
      </c>
      <c r="AH3" s="3309">
        <f>SUM(W3:AG3)</f>
        <v>54972.389999999985</v>
      </c>
    </row>
    <row r="4" spans="1:34" ht="42.75">
      <c r="A4" s="3314"/>
      <c r="B4" s="3314"/>
      <c r="C4" s="3315"/>
      <c r="D4" s="1197"/>
      <c r="E4" s="1197"/>
      <c r="F4" s="1197"/>
      <c r="G4" s="1197"/>
      <c r="L4" s="3945" t="s">
        <v>2992</v>
      </c>
      <c r="M4" s="3945"/>
      <c r="N4" s="3945"/>
      <c r="O4" s="3945"/>
      <c r="P4" s="3316"/>
      <c r="Q4" s="3316"/>
      <c r="V4" s="3317" t="s">
        <v>2993</v>
      </c>
      <c r="W4" s="3318"/>
      <c r="X4" s="3318"/>
      <c r="Y4" s="3318"/>
      <c r="Z4" s="3318"/>
      <c r="AA4" s="3318"/>
      <c r="AB4" s="3318"/>
      <c r="AC4" s="3318"/>
      <c r="AD4" s="3318"/>
      <c r="AE4" s="3318"/>
      <c r="AF4" s="3318"/>
      <c r="AG4" s="3318"/>
      <c r="AH4" s="3309">
        <f>SUM(W4:AG4)</f>
        <v>0</v>
      </c>
    </row>
    <row r="5" spans="1:34" ht="39" thickBot="1">
      <c r="A5" s="3319"/>
      <c r="B5" s="3319"/>
      <c r="C5" s="3320"/>
      <c r="D5" s="2928"/>
      <c r="E5" s="3321" t="s">
        <v>2994</v>
      </c>
      <c r="F5" s="3321"/>
      <c r="G5" s="3321" t="s">
        <v>2995</v>
      </c>
      <c r="O5" s="3322"/>
      <c r="P5" s="3323"/>
      <c r="Q5" s="3322"/>
      <c r="V5" s="3317" t="s">
        <v>2996</v>
      </c>
      <c r="W5" s="3324">
        <f t="shared" ref="W5:AG5" si="0">W53+W65+W26+W43</f>
        <v>95472.51</v>
      </c>
      <c r="X5" s="3324">
        <f t="shared" si="0"/>
        <v>184961.3016666667</v>
      </c>
      <c r="Y5" s="3324">
        <f t="shared" si="0"/>
        <v>120097.51</v>
      </c>
      <c r="Z5" s="3324">
        <f t="shared" si="0"/>
        <v>110247.51</v>
      </c>
      <c r="AA5" s="3324">
        <f t="shared" si="0"/>
        <v>97935.01</v>
      </c>
      <c r="AB5" s="3324">
        <f t="shared" si="0"/>
        <v>110247.51</v>
      </c>
      <c r="AC5" s="3324">
        <f t="shared" si="0"/>
        <v>192495.01</v>
      </c>
      <c r="AD5" s="3324">
        <f t="shared" si="0"/>
        <v>95472.51</v>
      </c>
      <c r="AE5" s="3324">
        <f t="shared" si="0"/>
        <v>95472.51</v>
      </c>
      <c r="AF5" s="3324">
        <f t="shared" si="0"/>
        <v>110247.51</v>
      </c>
      <c r="AG5" s="3324">
        <f t="shared" si="0"/>
        <v>7113.8933333333325</v>
      </c>
      <c r="AH5" s="3309">
        <f>SUM(W5:AG5)</f>
        <v>1219762.7849999999</v>
      </c>
    </row>
    <row r="6" spans="1:34" ht="30.75" thickBot="1">
      <c r="A6" s="3319"/>
      <c r="B6" s="3319"/>
      <c r="C6" s="3320"/>
      <c r="D6" s="2928"/>
      <c r="E6" s="2928"/>
      <c r="F6" s="2928"/>
      <c r="G6" s="2928"/>
      <c r="L6" s="3325" t="s">
        <v>2997</v>
      </c>
      <c r="M6" s="3326" t="s">
        <v>2359</v>
      </c>
      <c r="N6" s="3326" t="s">
        <v>444</v>
      </c>
      <c r="O6" s="3327" t="s">
        <v>2998</v>
      </c>
      <c r="P6" s="3328"/>
      <c r="Q6" s="3328"/>
      <c r="V6" s="3329" t="s">
        <v>2999</v>
      </c>
      <c r="W6" s="3330">
        <f t="shared" ref="W6:AH6" si="1">SUM(W2:W5)</f>
        <v>225442.78</v>
      </c>
      <c r="X6" s="3330">
        <f t="shared" si="1"/>
        <v>189958.79166666669</v>
      </c>
      <c r="Y6" s="3330">
        <f t="shared" si="1"/>
        <v>250067.78</v>
      </c>
      <c r="Z6" s="3330">
        <f t="shared" si="1"/>
        <v>240217.78</v>
      </c>
      <c r="AA6" s="3330">
        <f t="shared" si="1"/>
        <v>227905.28</v>
      </c>
      <c r="AB6" s="3330">
        <f t="shared" si="1"/>
        <v>240217.78</v>
      </c>
      <c r="AC6" s="3330">
        <f t="shared" si="1"/>
        <v>322465.28000000003</v>
      </c>
      <c r="AD6" s="3330">
        <f t="shared" si="1"/>
        <v>225442.78</v>
      </c>
      <c r="AE6" s="3330">
        <f t="shared" si="1"/>
        <v>225442.78</v>
      </c>
      <c r="AF6" s="3330">
        <f t="shared" si="1"/>
        <v>240217.78</v>
      </c>
      <c r="AG6" s="3330">
        <f t="shared" si="1"/>
        <v>137084.16333333333</v>
      </c>
      <c r="AH6" s="3330">
        <f t="shared" si="1"/>
        <v>2524462.9749999996</v>
      </c>
    </row>
    <row r="7" spans="1:34" ht="15.75" thickTop="1">
      <c r="A7" s="3331" t="s">
        <v>2561</v>
      </c>
      <c r="B7" s="3331"/>
      <c r="D7" s="3332" t="s">
        <v>3000</v>
      </c>
      <c r="E7" s="3333">
        <f>'G-3.20 PF BOD'!M24</f>
        <v>-1197152.6125000003</v>
      </c>
      <c r="F7" s="3334"/>
      <c r="G7" s="3333">
        <f>'G-3.20 PF BOD'!M35</f>
        <v>1009785.19</v>
      </c>
      <c r="L7" s="3301" t="s">
        <v>3001</v>
      </c>
      <c r="M7" s="3335">
        <f>M10-M9</f>
        <v>1193824.9157000002</v>
      </c>
      <c r="N7" s="3335">
        <f>O7*N11</f>
        <v>36592.883549999991</v>
      </c>
      <c r="O7" s="3336">
        <f>O10-O9-O8</f>
        <v>1219762.7849999997</v>
      </c>
      <c r="P7" s="3337" t="s">
        <v>3002</v>
      </c>
      <c r="Q7" s="3335"/>
      <c r="V7" s="3338"/>
      <c r="W7" s="3339"/>
      <c r="X7" s="3339"/>
      <c r="Y7" s="3339"/>
      <c r="Z7" s="3339"/>
      <c r="AA7" s="3339"/>
      <c r="AB7" s="3339"/>
      <c r="AC7" s="3339"/>
      <c r="AD7" s="3339"/>
      <c r="AE7" s="3339"/>
      <c r="AF7" s="3340"/>
      <c r="AG7" s="3340"/>
      <c r="AH7" s="3341"/>
    </row>
    <row r="8" spans="1:34" ht="15">
      <c r="F8" s="1009"/>
      <c r="L8" s="3342"/>
      <c r="M8" s="3343"/>
      <c r="N8" s="3343"/>
      <c r="O8" s="3336"/>
      <c r="P8" s="3337"/>
      <c r="Q8" s="3344"/>
      <c r="W8" s="3346"/>
      <c r="X8" s="3346"/>
      <c r="Y8" s="3346"/>
      <c r="Z8" s="3346"/>
      <c r="AA8" s="3346"/>
      <c r="AB8" s="3346"/>
      <c r="AC8" s="3346"/>
      <c r="AD8" s="3347" t="s">
        <v>1208</v>
      </c>
      <c r="AE8" s="3346"/>
      <c r="AF8" s="3348"/>
      <c r="AG8" s="3348"/>
      <c r="AH8" s="3346"/>
    </row>
    <row r="9" spans="1:34" ht="15" thickBot="1">
      <c r="A9" s="3349" t="s">
        <v>2470</v>
      </c>
      <c r="B9" s="3350"/>
      <c r="C9" s="1862"/>
      <c r="F9" s="1009"/>
      <c r="L9" s="3351" t="s">
        <v>3003</v>
      </c>
      <c r="M9" s="3352">
        <f>O9*M11</f>
        <v>1265559.1842999998</v>
      </c>
      <c r="N9" s="3352">
        <f>O9*N11</f>
        <v>39141.005699999994</v>
      </c>
      <c r="O9" s="3353">
        <f>'G-3.20 PF BOD'!AH2+'G-3.20 PF BOD'!AH3</f>
        <v>1304700.19</v>
      </c>
      <c r="P9" s="3337" t="s">
        <v>3002</v>
      </c>
      <c r="Q9" s="3344"/>
      <c r="V9" s="3354"/>
      <c r="W9" s="3355"/>
      <c r="X9" s="3354"/>
      <c r="Y9" s="3354"/>
      <c r="Z9" s="3354"/>
      <c r="AA9" s="3354"/>
      <c r="AB9" s="3354"/>
      <c r="AC9" s="3354"/>
      <c r="AD9" s="3354"/>
      <c r="AE9" s="3354"/>
      <c r="AF9" s="3356"/>
      <c r="AG9" s="3356"/>
      <c r="AH9" s="3346"/>
    </row>
    <row r="10" spans="1:34" ht="36" thickTop="1" thickBot="1">
      <c r="A10" s="3350"/>
      <c r="B10" s="3350">
        <v>6.2023000000000001</v>
      </c>
      <c r="C10" s="1862"/>
      <c r="F10" s="1009"/>
      <c r="L10" s="3351" t="s">
        <v>3004</v>
      </c>
      <c r="M10" s="3357">
        <f>Q140</f>
        <v>2459384.1</v>
      </c>
      <c r="N10" s="3357">
        <f>O141</f>
        <v>76063.47</v>
      </c>
      <c r="O10" s="3357">
        <f>'G-3.20 PF BOD'!AH6</f>
        <v>2524462.9749999996</v>
      </c>
      <c r="P10" s="3358"/>
      <c r="Q10" s="3344"/>
      <c r="S10" s="3269"/>
      <c r="V10" s="3359" t="s">
        <v>3005</v>
      </c>
      <c r="W10" s="3359"/>
      <c r="X10" s="3359"/>
      <c r="Y10" s="3359"/>
      <c r="Z10" s="3359"/>
      <c r="AA10" s="3359"/>
      <c r="AB10" s="3359"/>
      <c r="AC10" s="3359"/>
      <c r="AD10" s="3359"/>
      <c r="AE10" s="3359"/>
      <c r="AF10" s="3359"/>
      <c r="AG10" s="3359"/>
      <c r="AH10" s="3359"/>
    </row>
    <row r="11" spans="1:34" ht="15">
      <c r="A11" s="3360"/>
      <c r="B11" s="3360">
        <v>0.70111999999999997</v>
      </c>
      <c r="C11" s="1851" t="s">
        <v>3006</v>
      </c>
      <c r="D11" s="3361"/>
      <c r="F11" s="1009"/>
      <c r="H11" s="2844" t="s">
        <v>3007</v>
      </c>
      <c r="L11" s="3351"/>
      <c r="M11" s="3362">
        <v>0.97</v>
      </c>
      <c r="N11" s="3362">
        <v>0.03</v>
      </c>
      <c r="O11" s="3363"/>
      <c r="P11" s="3358"/>
      <c r="Q11" s="3344"/>
      <c r="V11" s="3364"/>
      <c r="W11" s="3365" t="s">
        <v>2976</v>
      </c>
      <c r="X11" s="3366" t="s">
        <v>3008</v>
      </c>
      <c r="Y11" s="3366" t="s">
        <v>2978</v>
      </c>
      <c r="Z11" s="3366" t="s">
        <v>2979</v>
      </c>
      <c r="AA11" s="3366" t="s">
        <v>2980</v>
      </c>
      <c r="AB11" s="3366" t="s">
        <v>2981</v>
      </c>
      <c r="AC11" s="3366" t="s">
        <v>2982</v>
      </c>
      <c r="AD11" s="3366" t="s">
        <v>2983</v>
      </c>
      <c r="AE11" s="3367" t="s">
        <v>2984</v>
      </c>
      <c r="AF11" s="3366" t="s">
        <v>2985</v>
      </c>
      <c r="AG11" s="3368" t="s">
        <v>2986</v>
      </c>
      <c r="AH11" s="3369" t="s">
        <v>198</v>
      </c>
    </row>
    <row r="12" spans="1:34">
      <c r="A12" s="3360"/>
      <c r="B12" s="3360">
        <v>0.66942999999999997</v>
      </c>
      <c r="C12" s="1851" t="s">
        <v>3009</v>
      </c>
      <c r="D12" s="3361"/>
      <c r="E12" s="3370">
        <f>ROUND((E7)*$B$11*$B$12,0)</f>
        <v>-561884</v>
      </c>
      <c r="F12" s="3371"/>
      <c r="G12" s="3370">
        <f>ROUND((G7)*$B$11*$B$12,0)</f>
        <v>473943</v>
      </c>
      <c r="H12" s="2844">
        <v>930200</v>
      </c>
      <c r="I12" s="2141" t="s">
        <v>1712</v>
      </c>
      <c r="L12" s="3351" t="s">
        <v>3010</v>
      </c>
      <c r="M12" s="3363">
        <f>M10</f>
        <v>2459384.1</v>
      </c>
      <c r="N12" s="3363">
        <f>N10</f>
        <v>76063.47</v>
      </c>
      <c r="O12" s="3363">
        <f>O10</f>
        <v>2524462.9749999996</v>
      </c>
      <c r="P12" s="3372"/>
      <c r="Q12" s="3344"/>
      <c r="V12" s="3373" t="s">
        <v>3011</v>
      </c>
      <c r="W12" s="3374">
        <f t="shared" ref="W12:AF12" si="2">(80000/12*2)+(95000/12)</f>
        <v>21250</v>
      </c>
      <c r="X12" s="3374">
        <f t="shared" si="2"/>
        <v>21250</v>
      </c>
      <c r="Y12" s="3374">
        <f t="shared" si="2"/>
        <v>21250</v>
      </c>
      <c r="Z12" s="3374">
        <f t="shared" si="2"/>
        <v>21250</v>
      </c>
      <c r="AA12" s="3374">
        <f t="shared" si="2"/>
        <v>21250</v>
      </c>
      <c r="AB12" s="3374">
        <f t="shared" si="2"/>
        <v>21250</v>
      </c>
      <c r="AC12" s="3374">
        <f t="shared" si="2"/>
        <v>21250</v>
      </c>
      <c r="AD12" s="3374">
        <f t="shared" si="2"/>
        <v>21250</v>
      </c>
      <c r="AE12" s="3374">
        <f t="shared" si="2"/>
        <v>21250</v>
      </c>
      <c r="AF12" s="3374">
        <f t="shared" si="2"/>
        <v>21250</v>
      </c>
      <c r="AG12" s="3375"/>
      <c r="AH12" s="3376">
        <f t="shared" ref="AH12:AH26" si="3">SUM(W12:AF12)</f>
        <v>212500</v>
      </c>
    </row>
    <row r="13" spans="1:34">
      <c r="F13" s="1009"/>
      <c r="L13" s="3351"/>
      <c r="M13" s="3358"/>
      <c r="N13" s="3358"/>
      <c r="O13" s="3353"/>
      <c r="P13" s="3372"/>
      <c r="Q13" s="3344"/>
      <c r="V13" s="3377" t="s">
        <v>3012</v>
      </c>
      <c r="W13" s="3374"/>
      <c r="X13" s="3378">
        <v>3750</v>
      </c>
      <c r="Y13" s="3378">
        <v>5000</v>
      </c>
      <c r="Z13" s="3378">
        <v>3750</v>
      </c>
      <c r="AA13" s="3379"/>
      <c r="AB13" s="3379">
        <v>3750</v>
      </c>
      <c r="AC13" s="3379"/>
      <c r="AD13" s="3379"/>
      <c r="AE13" s="3379"/>
      <c r="AF13" s="3380">
        <v>3750</v>
      </c>
      <c r="AG13" s="3381"/>
      <c r="AH13" s="3376">
        <f t="shared" si="3"/>
        <v>20000</v>
      </c>
    </row>
    <row r="14" spans="1:34">
      <c r="A14" s="3382" t="s">
        <v>2476</v>
      </c>
      <c r="D14" s="3350"/>
      <c r="F14" s="1009"/>
      <c r="L14" s="3351" t="s">
        <v>3013</v>
      </c>
      <c r="M14" s="3358"/>
      <c r="N14" s="3358"/>
      <c r="O14" s="3363">
        <f>O12-O13</f>
        <v>2524462.9749999996</v>
      </c>
      <c r="P14" s="3372"/>
      <c r="Q14" s="3344"/>
      <c r="V14" s="3377" t="s">
        <v>3014</v>
      </c>
      <c r="W14" s="3374"/>
      <c r="X14" s="3378">
        <f>(25000/12*2)+(30000/12)</f>
        <v>6666.666666666667</v>
      </c>
      <c r="Y14" s="3378"/>
      <c r="Z14" s="3378"/>
      <c r="AA14" s="3379"/>
      <c r="AB14" s="3379"/>
      <c r="AC14" s="3379"/>
      <c r="AD14" s="3379"/>
      <c r="AE14" s="3379"/>
      <c r="AF14" s="3380"/>
      <c r="AG14" s="3381"/>
      <c r="AH14" s="3376">
        <f t="shared" si="3"/>
        <v>6666.666666666667</v>
      </c>
    </row>
    <row r="15" spans="1:34">
      <c r="A15" s="3350"/>
      <c r="B15" s="3350">
        <f>B10</f>
        <v>6.2023000000000001</v>
      </c>
      <c r="D15" s="3350"/>
      <c r="F15" s="1009"/>
      <c r="L15" s="3351"/>
      <c r="M15" s="3383">
        <v>0.5</v>
      </c>
      <c r="N15" s="3383">
        <v>0.5</v>
      </c>
      <c r="O15" s="3383"/>
      <c r="P15" s="3344"/>
      <c r="Q15" s="3384"/>
      <c r="S15" s="3269"/>
      <c r="V15" s="3377" t="s">
        <v>3015</v>
      </c>
      <c r="W15" s="3374"/>
      <c r="X15" s="3378"/>
      <c r="Y15" s="3378"/>
      <c r="Z15" s="3378"/>
      <c r="AA15" s="3379"/>
      <c r="AB15" s="3379"/>
      <c r="AC15" s="3379">
        <v>25000</v>
      </c>
      <c r="AD15" s="3379"/>
      <c r="AE15" s="3379"/>
      <c r="AF15" s="3380"/>
      <c r="AG15" s="3381"/>
      <c r="AH15" s="3376">
        <f t="shared" si="3"/>
        <v>25000</v>
      </c>
    </row>
    <row r="16" spans="1:34">
      <c r="A16" s="3360"/>
      <c r="B16" s="3360">
        <v>0.20707999999999999</v>
      </c>
      <c r="C16" s="1851" t="s">
        <v>3006</v>
      </c>
      <c r="D16" s="3361"/>
      <c r="F16" s="1009"/>
      <c r="H16" s="2844" t="s">
        <v>3007</v>
      </c>
      <c r="L16" s="3385" t="s">
        <v>3016</v>
      </c>
      <c r="M16" s="3386" t="s">
        <v>2359</v>
      </c>
      <c r="N16" s="3386" t="s">
        <v>444</v>
      </c>
      <c r="O16" s="3386" t="s">
        <v>24</v>
      </c>
      <c r="P16" s="3344"/>
      <c r="V16" s="3377" t="s">
        <v>3017</v>
      </c>
      <c r="W16" s="3387"/>
      <c r="X16" s="3379">
        <v>1500</v>
      </c>
      <c r="Y16" s="3379">
        <v>1500</v>
      </c>
      <c r="Z16" s="3379"/>
      <c r="AA16" s="3379"/>
      <c r="AB16" s="3379"/>
      <c r="AC16" s="3379"/>
      <c r="AD16" s="3379"/>
      <c r="AE16" s="3379">
        <v>1500</v>
      </c>
      <c r="AF16" s="3380"/>
      <c r="AG16" s="3381"/>
      <c r="AH16" s="3376">
        <f t="shared" si="3"/>
        <v>4500</v>
      </c>
    </row>
    <row r="17" spans="1:34">
      <c r="A17" s="3360"/>
      <c r="B17" s="3360">
        <v>0.71745999999999999</v>
      </c>
      <c r="C17" s="1851" t="s">
        <v>3018</v>
      </c>
      <c r="D17" s="3361"/>
      <c r="E17" s="3370">
        <f>ROUND((E7)*$B$16*$B$17,0)</f>
        <v>-177863</v>
      </c>
      <c r="F17" s="3371"/>
      <c r="G17" s="3370">
        <f>ROUND((G7)*$B$16*$B$17,0)</f>
        <v>150025</v>
      </c>
      <c r="H17" s="2844">
        <v>930200</v>
      </c>
      <c r="I17" s="2141" t="s">
        <v>1712</v>
      </c>
      <c r="L17" s="3301" t="s">
        <v>3001</v>
      </c>
      <c r="M17" s="3388">
        <f>O17*M15</f>
        <v>609881.39249999984</v>
      </c>
      <c r="N17" s="3388">
        <f>O17*N15</f>
        <v>609881.39249999984</v>
      </c>
      <c r="O17" s="3336">
        <f>O20-O18-O19</f>
        <v>1219762.7849999997</v>
      </c>
      <c r="P17" s="3389"/>
      <c r="V17" s="3377" t="s">
        <v>3019</v>
      </c>
      <c r="W17" s="3387"/>
      <c r="X17" s="3379">
        <v>1500</v>
      </c>
      <c r="Y17" s="3379">
        <v>1500</v>
      </c>
      <c r="Z17" s="3379"/>
      <c r="AA17" s="3379"/>
      <c r="AB17" s="3379">
        <v>1500</v>
      </c>
      <c r="AC17" s="3379"/>
      <c r="AD17" s="3379"/>
      <c r="AE17" s="3379"/>
      <c r="AF17" s="3379">
        <v>1500</v>
      </c>
      <c r="AG17" s="3387"/>
      <c r="AH17" s="3376">
        <f t="shared" si="3"/>
        <v>6000</v>
      </c>
    </row>
    <row r="18" spans="1:34">
      <c r="F18" s="1009"/>
      <c r="L18" s="3342"/>
      <c r="M18" s="3388"/>
      <c r="N18" s="3388"/>
      <c r="O18" s="3336"/>
      <c r="P18" s="3389"/>
      <c r="V18" s="3377" t="s">
        <v>3020</v>
      </c>
      <c r="W18" s="3387">
        <v>1500</v>
      </c>
      <c r="X18" s="3379"/>
      <c r="Y18" s="3379"/>
      <c r="Z18" s="3378">
        <v>1500</v>
      </c>
      <c r="AA18" s="3378">
        <v>1500</v>
      </c>
      <c r="AB18" s="3379"/>
      <c r="AC18" s="3379"/>
      <c r="AD18" s="3379"/>
      <c r="AE18" s="3378">
        <v>1500</v>
      </c>
      <c r="AH18" s="3376">
        <f t="shared" si="3"/>
        <v>6000</v>
      </c>
    </row>
    <row r="19" spans="1:34">
      <c r="A19" s="3349" t="s">
        <v>2402</v>
      </c>
      <c r="D19" s="3350"/>
      <c r="F19" s="1009"/>
      <c r="L19" s="3351" t="s">
        <v>3003</v>
      </c>
      <c r="M19" s="3388">
        <f>O19*M15</f>
        <v>652350.09499999997</v>
      </c>
      <c r="N19" s="3388">
        <f>O19*N15</f>
        <v>652350.09499999997</v>
      </c>
      <c r="O19" s="3353">
        <f>'G-3.20 PF BOD'!AH2+'G-3.20 PF BOD'!AH3</f>
        <v>1304700.19</v>
      </c>
      <c r="P19" s="3389"/>
      <c r="V19" s="3377" t="s">
        <v>3021</v>
      </c>
      <c r="W19" s="3387"/>
      <c r="X19" s="3379"/>
      <c r="Y19" s="3379"/>
      <c r="Z19" s="3378">
        <v>1500</v>
      </c>
      <c r="AA19" s="3379"/>
      <c r="AB19" s="3379">
        <v>1500</v>
      </c>
      <c r="AC19" s="3379"/>
      <c r="AD19" s="3379">
        <v>1500</v>
      </c>
      <c r="AE19" s="3379"/>
      <c r="AF19" s="3380"/>
      <c r="AG19" s="3381"/>
      <c r="AH19" s="3376">
        <f t="shared" si="3"/>
        <v>4500</v>
      </c>
    </row>
    <row r="20" spans="1:34" ht="15" thickBot="1">
      <c r="A20" s="3350"/>
      <c r="B20" s="3350">
        <f>B15</f>
        <v>6.2023000000000001</v>
      </c>
      <c r="D20" s="3350"/>
      <c r="F20" s="1009"/>
      <c r="L20" s="3391"/>
      <c r="M20" s="3392">
        <f>SUM(M17:M19)</f>
        <v>1262231.4874999998</v>
      </c>
      <c r="N20" s="3392">
        <f>SUM(N17:N19)</f>
        <v>1262231.4874999998</v>
      </c>
      <c r="O20" s="3392">
        <f>O10</f>
        <v>2524462.9749999996</v>
      </c>
      <c r="Q20" s="3389"/>
      <c r="V20" s="3377" t="s">
        <v>3022</v>
      </c>
      <c r="W20" s="3374">
        <v>1500</v>
      </c>
      <c r="X20" s="3378"/>
      <c r="Y20" s="3379"/>
      <c r="Z20" s="3379"/>
      <c r="AA20" s="3379">
        <v>1500</v>
      </c>
      <c r="AB20" s="3379"/>
      <c r="AC20" s="3379">
        <v>1500</v>
      </c>
      <c r="AD20" s="3379">
        <v>1500</v>
      </c>
      <c r="AE20" s="3379"/>
      <c r="AF20" s="3379">
        <v>1500</v>
      </c>
      <c r="AG20" s="3387"/>
      <c r="AH20" s="3376">
        <f t="shared" si="3"/>
        <v>7500</v>
      </c>
    </row>
    <row r="21" spans="1:34" ht="29.25" thickTop="1">
      <c r="A21" s="3360"/>
      <c r="B21" s="3360">
        <v>0.70111999999999997</v>
      </c>
      <c r="C21" s="1851" t="s">
        <v>3006</v>
      </c>
      <c r="D21" s="3361"/>
      <c r="F21" s="1009"/>
      <c r="L21" s="2731"/>
      <c r="O21" s="2141"/>
      <c r="Q21" s="3389"/>
      <c r="V21" s="3377" t="s">
        <v>3023</v>
      </c>
      <c r="W21" s="3387">
        <v>1500</v>
      </c>
      <c r="X21" s="3379">
        <v>1500</v>
      </c>
      <c r="Y21" s="3379">
        <v>1500</v>
      </c>
      <c r="Z21" s="3379">
        <v>1500</v>
      </c>
      <c r="AA21" s="3379">
        <v>1500</v>
      </c>
      <c r="AB21" s="3379">
        <v>1500</v>
      </c>
      <c r="AC21" s="3379">
        <v>1500</v>
      </c>
      <c r="AD21" s="3393">
        <v>1500</v>
      </c>
      <c r="AE21" s="3379">
        <v>1500</v>
      </c>
      <c r="AF21" s="3379">
        <v>1500</v>
      </c>
      <c r="AG21" s="3387"/>
      <c r="AH21" s="3376">
        <f t="shared" si="3"/>
        <v>15000</v>
      </c>
    </row>
    <row r="22" spans="1:34" ht="15" thickBot="1">
      <c r="A22" s="3360"/>
      <c r="B22" s="3360">
        <v>0.33056999999999997</v>
      </c>
      <c r="C22" s="1851" t="s">
        <v>3009</v>
      </c>
      <c r="D22" s="3361"/>
      <c r="E22" s="3394">
        <f>ROUND((E7)*$B$21*$B$22,0)</f>
        <v>-277463</v>
      </c>
      <c r="F22" s="3371"/>
      <c r="G22" s="3394">
        <f>ROUND((G7)*$B$21*$B$22,0)</f>
        <v>234037</v>
      </c>
      <c r="L22" s="3391" t="s">
        <v>3024</v>
      </c>
      <c r="M22" s="3395"/>
      <c r="N22" s="3395"/>
      <c r="O22" s="3395"/>
      <c r="Q22" s="3389"/>
      <c r="V22" s="3377" t="s">
        <v>3025</v>
      </c>
      <c r="W22" s="3374"/>
      <c r="X22" s="3378">
        <f>SUM(2519*0.44)</f>
        <v>1108.3599999999999</v>
      </c>
      <c r="Y22" s="3378"/>
      <c r="Z22" s="3378"/>
      <c r="AA22" s="3378"/>
      <c r="AB22" s="3378"/>
      <c r="AC22" s="3378"/>
      <c r="AD22" s="3378"/>
      <c r="AE22" s="3378"/>
      <c r="AF22" s="3380"/>
      <c r="AG22" s="3381"/>
      <c r="AH22" s="3376">
        <f t="shared" si="3"/>
        <v>1108.3599999999999</v>
      </c>
    </row>
    <row r="23" spans="1:34" ht="29.25" thickTop="1">
      <c r="F23" s="1009"/>
      <c r="L23" s="2731"/>
      <c r="O23" s="2141"/>
      <c r="P23" s="3396"/>
      <c r="Q23" s="3389"/>
      <c r="V23" s="3377" t="s">
        <v>3026</v>
      </c>
      <c r="W23" s="3374">
        <v>2.5099999999999998</v>
      </c>
      <c r="X23" s="3374">
        <v>2.5099999999999998</v>
      </c>
      <c r="Y23" s="3374">
        <v>2.5099999999999998</v>
      </c>
      <c r="Z23" s="3374">
        <v>2.5099999999999998</v>
      </c>
      <c r="AA23" s="3374">
        <v>2.5099999999999998</v>
      </c>
      <c r="AB23" s="3374">
        <v>2.5099999999999998</v>
      </c>
      <c r="AC23" s="3374">
        <v>2.5099999999999998</v>
      </c>
      <c r="AD23" s="3374">
        <v>2.5099999999999998</v>
      </c>
      <c r="AE23" s="3374">
        <v>2.5099999999999998</v>
      </c>
      <c r="AF23" s="3374">
        <v>2.5099999999999998</v>
      </c>
      <c r="AG23" s="3387"/>
      <c r="AH23" s="3376">
        <f t="shared" si="3"/>
        <v>25.099999999999994</v>
      </c>
    </row>
    <row r="24" spans="1:34" ht="15.75" thickBot="1">
      <c r="A24" s="3349" t="s">
        <v>2403</v>
      </c>
      <c r="B24" s="3350"/>
      <c r="D24" s="3350"/>
      <c r="F24" s="1009"/>
      <c r="L24" s="3391" t="s">
        <v>3027</v>
      </c>
      <c r="M24" s="3397">
        <f>M20-M12</f>
        <v>-1197152.6125000003</v>
      </c>
      <c r="N24" s="3398">
        <f>N20-N12</f>
        <v>1186168.0174999998</v>
      </c>
      <c r="O24" s="3398">
        <f>SUM(M24:N24)</f>
        <v>-10984.595000000438</v>
      </c>
      <c r="P24" s="3396"/>
      <c r="Q24" s="3389"/>
      <c r="V24" s="3399" t="s">
        <v>1985</v>
      </c>
      <c r="W24" s="3400">
        <f t="shared" ref="W24:AF24" si="4">SUM(W10:W23)</f>
        <v>25752.51</v>
      </c>
      <c r="X24" s="3400">
        <f t="shared" si="4"/>
        <v>37277.536666666674</v>
      </c>
      <c r="Y24" s="3400">
        <f t="shared" si="4"/>
        <v>30752.51</v>
      </c>
      <c r="Z24" s="3400">
        <f t="shared" si="4"/>
        <v>29502.51</v>
      </c>
      <c r="AA24" s="3400">
        <f t="shared" si="4"/>
        <v>25752.51</v>
      </c>
      <c r="AB24" s="3400">
        <f t="shared" si="4"/>
        <v>29502.51</v>
      </c>
      <c r="AC24" s="3400">
        <f t="shared" si="4"/>
        <v>49252.51</v>
      </c>
      <c r="AD24" s="3400">
        <f t="shared" si="4"/>
        <v>25752.51</v>
      </c>
      <c r="AE24" s="3400">
        <f t="shared" si="4"/>
        <v>25752.51</v>
      </c>
      <c r="AF24" s="3400">
        <f t="shared" si="4"/>
        <v>29502.51</v>
      </c>
      <c r="AG24" s="3401"/>
      <c r="AH24" s="3402">
        <f t="shared" si="3"/>
        <v>308800.12666666671</v>
      </c>
    </row>
    <row r="25" spans="1:34" ht="29.25" thickTop="1">
      <c r="A25" s="3350"/>
      <c r="B25" s="3350">
        <f>B20</f>
        <v>6.2023000000000001</v>
      </c>
      <c r="D25" s="3350"/>
      <c r="F25" s="1009"/>
      <c r="M25" s="3403" t="s">
        <v>1722</v>
      </c>
      <c r="N25" s="3403"/>
      <c r="O25" s="3404"/>
      <c r="P25" s="3405"/>
      <c r="Q25" s="3405"/>
      <c r="V25" s="3377" t="s">
        <v>3028</v>
      </c>
      <c r="W25" s="3374">
        <v>-461.25</v>
      </c>
      <c r="X25" s="3374">
        <v>0</v>
      </c>
      <c r="Y25" s="3374">
        <v>-536.25</v>
      </c>
      <c r="Z25" s="3374">
        <v>-517.5</v>
      </c>
      <c r="AA25" s="3374">
        <v>-461.25</v>
      </c>
      <c r="AB25" s="3374">
        <v>-517.5</v>
      </c>
      <c r="AC25" s="3374">
        <v>-813.75</v>
      </c>
      <c r="AD25" s="3374">
        <v>-461.25</v>
      </c>
      <c r="AE25" s="3374">
        <v>-461.25</v>
      </c>
      <c r="AF25" s="3374">
        <v>-517.5</v>
      </c>
      <c r="AG25" s="3387"/>
      <c r="AH25" s="3376">
        <f t="shared" si="3"/>
        <v>-4747.5</v>
      </c>
    </row>
    <row r="26" spans="1:34" ht="15">
      <c r="A26" s="3360"/>
      <c r="B26" s="3360">
        <v>0.20707999999999999</v>
      </c>
      <c r="C26" s="1851" t="s">
        <v>3006</v>
      </c>
      <c r="D26" s="3361"/>
      <c r="F26" s="1009"/>
      <c r="M26" s="3403"/>
      <c r="N26" s="3403"/>
      <c r="O26" s="3404"/>
      <c r="P26" s="3405"/>
      <c r="Q26" s="3405"/>
      <c r="V26" s="3406" t="s">
        <v>198</v>
      </c>
      <c r="W26" s="3400">
        <f t="shared" ref="W26:AF26" si="5">SUM(W24:W25)</f>
        <v>25291.26</v>
      </c>
      <c r="X26" s="3400">
        <f t="shared" si="5"/>
        <v>37277.536666666674</v>
      </c>
      <c r="Y26" s="3400">
        <f t="shared" si="5"/>
        <v>30216.26</v>
      </c>
      <c r="Z26" s="3400">
        <f t="shared" si="5"/>
        <v>28985.01</v>
      </c>
      <c r="AA26" s="3400">
        <f t="shared" si="5"/>
        <v>25291.26</v>
      </c>
      <c r="AB26" s="3400">
        <f t="shared" si="5"/>
        <v>28985.01</v>
      </c>
      <c r="AC26" s="3400">
        <f t="shared" si="5"/>
        <v>48438.76</v>
      </c>
      <c r="AD26" s="3400">
        <f t="shared" si="5"/>
        <v>25291.26</v>
      </c>
      <c r="AE26" s="3400">
        <f t="shared" si="5"/>
        <v>25291.26</v>
      </c>
      <c r="AF26" s="3400">
        <f t="shared" si="5"/>
        <v>28985.01</v>
      </c>
      <c r="AG26" s="3401"/>
      <c r="AH26" s="3402">
        <f t="shared" si="3"/>
        <v>304052.62666666671</v>
      </c>
    </row>
    <row r="27" spans="1:34" ht="100.5" thickBot="1">
      <c r="A27" s="3360"/>
      <c r="B27" s="3360">
        <v>0.28254000000000001</v>
      </c>
      <c r="C27" s="1851" t="s">
        <v>3018</v>
      </c>
      <c r="D27" s="3361"/>
      <c r="E27" s="3394">
        <f>ROUND((E7)*$B$26*$B$27,0)</f>
        <v>-70043</v>
      </c>
      <c r="F27" s="3371"/>
      <c r="G27" s="3394">
        <f>ROUND((G7)*$B$26*$B$27,0)</f>
        <v>59081</v>
      </c>
      <c r="L27" s="3351" t="s">
        <v>3013</v>
      </c>
      <c r="M27" s="3358"/>
      <c r="N27" s="3358"/>
      <c r="O27" s="3363">
        <f>O12</f>
        <v>2524462.9749999996</v>
      </c>
      <c r="P27" s="3405"/>
      <c r="Q27" s="3405"/>
      <c r="V27" s="3407" t="s">
        <v>3029</v>
      </c>
      <c r="W27" s="3407"/>
      <c r="X27" s="3407"/>
      <c r="Y27" s="3407"/>
      <c r="Z27" s="3407"/>
      <c r="AA27" s="3407"/>
      <c r="AB27" s="3407"/>
      <c r="AC27" s="3407"/>
      <c r="AD27" s="3407"/>
      <c r="AE27" s="3407"/>
      <c r="AF27" s="3407"/>
      <c r="AG27" s="3407"/>
      <c r="AH27" s="3407"/>
    </row>
    <row r="28" spans="1:34" ht="36" thickTop="1" thickBot="1">
      <c r="B28" s="3331"/>
      <c r="D28" s="3331"/>
      <c r="E28" s="3371"/>
      <c r="F28" s="3371"/>
      <c r="G28" s="3371"/>
      <c r="L28" s="3351"/>
      <c r="M28" s="3383">
        <v>0.9</v>
      </c>
      <c r="N28" s="3383">
        <v>0.1</v>
      </c>
      <c r="O28" s="3383"/>
      <c r="P28" s="3405"/>
      <c r="Q28" s="3405"/>
      <c r="V28" s="3408" t="s">
        <v>3030</v>
      </c>
      <c r="W28" s="3408"/>
      <c r="X28" s="3408"/>
      <c r="Y28" s="3408"/>
      <c r="Z28" s="3408"/>
      <c r="AA28" s="3408"/>
      <c r="AB28" s="3408"/>
      <c r="AC28" s="3408"/>
      <c r="AD28" s="3408"/>
      <c r="AE28" s="3408"/>
      <c r="AF28" s="3408"/>
      <c r="AG28" s="3408"/>
      <c r="AH28" s="3408"/>
    </row>
    <row r="29" spans="1:34" ht="15">
      <c r="A29" s="3349" t="s">
        <v>2404</v>
      </c>
      <c r="C29" s="1851"/>
      <c r="D29" s="3350"/>
      <c r="E29" s="3371"/>
      <c r="F29" s="3371"/>
      <c r="G29" s="3371"/>
      <c r="L29" s="3385" t="s">
        <v>3016</v>
      </c>
      <c r="M29" s="3386" t="s">
        <v>2359</v>
      </c>
      <c r="N29" s="3386" t="s">
        <v>444</v>
      </c>
      <c r="O29" s="3386" t="s">
        <v>24</v>
      </c>
      <c r="P29" s="3405"/>
      <c r="Q29" s="3405"/>
      <c r="V29" s="3364"/>
      <c r="W29" s="3365" t="s">
        <v>2976</v>
      </c>
      <c r="X29" s="3366" t="s">
        <v>3008</v>
      </c>
      <c r="Y29" s="3366" t="s">
        <v>2978</v>
      </c>
      <c r="Z29" s="3366" t="s">
        <v>2979</v>
      </c>
      <c r="AA29" s="3366" t="s">
        <v>2980</v>
      </c>
      <c r="AB29" s="3366" t="s">
        <v>2981</v>
      </c>
      <c r="AC29" s="3366" t="s">
        <v>2982</v>
      </c>
      <c r="AD29" s="3366" t="s">
        <v>2983</v>
      </c>
      <c r="AE29" s="3367" t="s">
        <v>2984</v>
      </c>
      <c r="AF29" s="3366" t="s">
        <v>2985</v>
      </c>
      <c r="AG29" s="3368" t="s">
        <v>2986</v>
      </c>
      <c r="AH29" s="3369" t="s">
        <v>198</v>
      </c>
    </row>
    <row r="30" spans="1:34">
      <c r="A30" s="3350"/>
      <c r="B30" s="3350">
        <f>B25</f>
        <v>6.2023000000000001</v>
      </c>
      <c r="C30" s="1851"/>
      <c r="D30" s="3350"/>
      <c r="E30" s="3371"/>
      <c r="F30" s="3371"/>
      <c r="G30" s="3371"/>
      <c r="L30" s="3301" t="s">
        <v>3001</v>
      </c>
      <c r="M30" s="3388">
        <f>O30*M28</f>
        <v>1097786.5064999997</v>
      </c>
      <c r="N30" s="3388">
        <f>O30*N28</f>
        <v>121976.27849999997</v>
      </c>
      <c r="O30" s="3336">
        <f>O33-O31-O32</f>
        <v>1219762.7849999997</v>
      </c>
      <c r="P30" s="3405"/>
      <c r="Q30" s="3405"/>
      <c r="V30" s="3373" t="s">
        <v>3011</v>
      </c>
      <c r="W30" s="3374">
        <f t="shared" ref="W30:AF30" si="6">95000/12*3</f>
        <v>23750</v>
      </c>
      <c r="X30" s="3374">
        <f t="shared" si="6"/>
        <v>23750</v>
      </c>
      <c r="Y30" s="3374">
        <f t="shared" si="6"/>
        <v>23750</v>
      </c>
      <c r="Z30" s="3374">
        <f t="shared" si="6"/>
        <v>23750</v>
      </c>
      <c r="AA30" s="3374">
        <f t="shared" si="6"/>
        <v>23750</v>
      </c>
      <c r="AB30" s="3374">
        <f t="shared" si="6"/>
        <v>23750</v>
      </c>
      <c r="AC30" s="3374">
        <f t="shared" si="6"/>
        <v>23750</v>
      </c>
      <c r="AD30" s="3374">
        <f t="shared" si="6"/>
        <v>23750</v>
      </c>
      <c r="AE30" s="3374">
        <f t="shared" si="6"/>
        <v>23750</v>
      </c>
      <c r="AF30" s="3374">
        <f t="shared" si="6"/>
        <v>23750</v>
      </c>
      <c r="AG30" s="3375"/>
      <c r="AH30" s="3376">
        <f t="shared" ref="AH30:AH43" si="7">SUM(W30:AF30)</f>
        <v>237500</v>
      </c>
    </row>
    <row r="31" spans="1:34" ht="15" thickBot="1">
      <c r="A31" s="3360"/>
      <c r="B31" s="3360">
        <v>9.1800000000000007E-2</v>
      </c>
      <c r="C31" s="1851" t="s">
        <v>3006</v>
      </c>
      <c r="D31" s="3361"/>
      <c r="E31" s="3394">
        <f>ROUND((E7)*$B$31,0)</f>
        <v>-109899</v>
      </c>
      <c r="F31" s="3371"/>
      <c r="G31" s="3394">
        <f>ROUND((G7)*$B$31,0)</f>
        <v>92698</v>
      </c>
      <c r="L31" s="3342"/>
      <c r="M31" s="3388"/>
      <c r="N31" s="3388"/>
      <c r="O31" s="3336"/>
      <c r="P31" s="3405"/>
      <c r="Q31" s="3405"/>
      <c r="V31" s="3377" t="s">
        <v>3012</v>
      </c>
      <c r="W31" s="3374"/>
      <c r="X31" s="3378">
        <v>3750</v>
      </c>
      <c r="Y31" s="3378">
        <v>5000</v>
      </c>
      <c r="Z31" s="3378">
        <v>3750</v>
      </c>
      <c r="AA31" s="3379"/>
      <c r="AB31" s="3379">
        <v>3750</v>
      </c>
      <c r="AC31" s="3379"/>
      <c r="AD31" s="3379"/>
      <c r="AE31" s="3379"/>
      <c r="AF31" s="3380">
        <v>3750</v>
      </c>
      <c r="AG31" s="3381"/>
      <c r="AH31" s="3376">
        <f t="shared" si="7"/>
        <v>20000</v>
      </c>
    </row>
    <row r="32" spans="1:34" ht="15" thickTop="1">
      <c r="A32" s="3331"/>
      <c r="B32" s="3331"/>
      <c r="C32" s="1851"/>
      <c r="D32" s="1009"/>
      <c r="E32" s="1009"/>
      <c r="F32" s="1009"/>
      <c r="G32" s="1009"/>
      <c r="L32" s="3351" t="s">
        <v>3003</v>
      </c>
      <c r="M32" s="3388">
        <f>O32*M28</f>
        <v>1174230.1710000001</v>
      </c>
      <c r="N32" s="3388">
        <f>O32*N28</f>
        <v>130470.019</v>
      </c>
      <c r="O32" s="3353">
        <f>'G-3.20 PF BOD'!AH2+'G-3.20 PF BOD'!AH3</f>
        <v>1304700.19</v>
      </c>
      <c r="P32" s="3405"/>
      <c r="Q32" s="3405"/>
      <c r="V32" s="3377" t="s">
        <v>3014</v>
      </c>
      <c r="W32" s="3374"/>
      <c r="X32" s="3378">
        <f>30000/12*3</f>
        <v>7500</v>
      </c>
      <c r="Y32" s="3378"/>
      <c r="Z32" s="3378"/>
      <c r="AA32" s="3379"/>
      <c r="AB32" s="3379"/>
      <c r="AC32" s="3379"/>
      <c r="AD32" s="3379"/>
      <c r="AE32" s="3379"/>
      <c r="AF32" s="3380"/>
      <c r="AG32" s="3381"/>
      <c r="AH32" s="3376">
        <f t="shared" si="7"/>
        <v>7500</v>
      </c>
    </row>
    <row r="33" spans="1:34" ht="15" thickBot="1">
      <c r="A33" s="3331"/>
      <c r="B33" s="3331"/>
      <c r="C33" s="1851"/>
      <c r="D33" s="1009"/>
      <c r="E33" s="2883">
        <f>E31+E27+E22+E17+E12</f>
        <v>-1197152</v>
      </c>
      <c r="F33" s="2883"/>
      <c r="G33" s="2883">
        <f>G31+G27+G22+G17+G12</f>
        <v>1009784</v>
      </c>
      <c r="L33" s="3391"/>
      <c r="M33" s="3392">
        <f>SUM(M30:M32)</f>
        <v>2272016.6774999998</v>
      </c>
      <c r="N33" s="3392">
        <f>SUM(N30:N32)</f>
        <v>252446.29749999999</v>
      </c>
      <c r="O33" s="3392">
        <f>O10</f>
        <v>2524462.9749999996</v>
      </c>
      <c r="P33" s="3405"/>
      <c r="Q33" s="3405"/>
      <c r="V33" s="3377" t="s">
        <v>3015</v>
      </c>
      <c r="W33" s="3374"/>
      <c r="X33" s="3378"/>
      <c r="Y33" s="3378"/>
      <c r="Z33" s="3378"/>
      <c r="AA33" s="3379"/>
      <c r="AB33" s="3379"/>
      <c r="AC33" s="3379">
        <v>25000</v>
      </c>
      <c r="AD33" s="3379"/>
      <c r="AE33" s="3379"/>
      <c r="AF33" s="3380"/>
      <c r="AG33" s="3381"/>
      <c r="AH33" s="3376">
        <f t="shared" si="7"/>
        <v>25000</v>
      </c>
    </row>
    <row r="34" spans="1:34" ht="15" thickTop="1">
      <c r="A34" s="3331"/>
      <c r="B34" s="3331"/>
      <c r="C34" s="1851"/>
      <c r="D34" s="1009"/>
      <c r="E34" s="1009"/>
      <c r="F34" s="1009"/>
      <c r="G34" s="1009"/>
      <c r="H34" s="3409"/>
      <c r="M34" s="3403"/>
      <c r="N34" s="3403"/>
      <c r="O34" s="3404"/>
      <c r="P34" s="3405"/>
      <c r="Q34" s="3405"/>
      <c r="V34" s="3377" t="s">
        <v>3031</v>
      </c>
      <c r="W34" s="3387"/>
      <c r="X34" s="3379"/>
      <c r="Y34" s="3379"/>
      <c r="Z34" s="3379"/>
      <c r="AA34" s="3379"/>
      <c r="AB34" s="3379"/>
      <c r="AC34" s="3379"/>
      <c r="AD34" s="3379"/>
      <c r="AE34" s="3379"/>
      <c r="AF34" s="3380"/>
      <c r="AG34" s="3381"/>
      <c r="AH34" s="3376">
        <f t="shared" si="7"/>
        <v>0</v>
      </c>
    </row>
    <row r="35" spans="1:34" ht="15" thickBot="1">
      <c r="A35" s="3331"/>
      <c r="B35" s="3331"/>
      <c r="C35" s="1851"/>
      <c r="D35" s="1009"/>
      <c r="E35" s="3410"/>
      <c r="F35" s="3410"/>
      <c r="G35" s="3410"/>
      <c r="L35" s="3391" t="s">
        <v>3032</v>
      </c>
      <c r="M35" s="3397">
        <f>(M33-M12)-M24</f>
        <v>1009785.19</v>
      </c>
      <c r="N35" s="3398">
        <f>(N33-N12)-N24</f>
        <v>-1009785.1899999998</v>
      </c>
      <c r="O35" s="3398">
        <f>(O33-O12)-O24</f>
        <v>10984.595000000438</v>
      </c>
      <c r="P35" s="3396"/>
      <c r="Q35" s="3389"/>
      <c r="V35" s="3377" t="s">
        <v>3033</v>
      </c>
      <c r="W35" s="3387"/>
      <c r="X35" s="3379"/>
      <c r="Y35" s="3379"/>
      <c r="Z35" s="3378"/>
      <c r="AA35" s="3378"/>
      <c r="AB35" s="3379"/>
      <c r="AC35" s="3379"/>
      <c r="AD35" s="3379"/>
      <c r="AE35" s="3379"/>
      <c r="AF35" s="3379"/>
      <c r="AG35" s="3387"/>
      <c r="AH35" s="3376">
        <f t="shared" si="7"/>
        <v>0</v>
      </c>
    </row>
    <row r="36" spans="1:34" ht="15" thickTop="1">
      <c r="M36" s="3403" t="s">
        <v>1722</v>
      </c>
      <c r="O36" s="2141"/>
      <c r="P36" s="2141"/>
      <c r="Q36" s="2141"/>
      <c r="R36" s="2141"/>
      <c r="V36" s="3377" t="s">
        <v>3034</v>
      </c>
      <c r="W36" s="3387"/>
      <c r="X36" s="3379"/>
      <c r="Y36" s="3379"/>
      <c r="Z36" s="3379"/>
      <c r="AA36" s="3379"/>
      <c r="AB36" s="3379"/>
      <c r="AC36" s="3379"/>
      <c r="AD36" s="3379"/>
      <c r="AE36" s="3379"/>
      <c r="AF36" s="3379"/>
      <c r="AG36" s="3387"/>
      <c r="AH36" s="3376">
        <f t="shared" si="7"/>
        <v>0</v>
      </c>
    </row>
    <row r="37" spans="1:34">
      <c r="A37" s="3411">
        <v>1</v>
      </c>
      <c r="B37" s="3411"/>
      <c r="C37" s="1851" t="s">
        <v>3006</v>
      </c>
      <c r="D37" s="3412" t="s">
        <v>3035</v>
      </c>
      <c r="O37" s="2141"/>
      <c r="P37" s="2141"/>
      <c r="Q37" s="2141"/>
      <c r="R37" s="2141"/>
      <c r="V37" s="3377" t="s">
        <v>3036</v>
      </c>
      <c r="W37" s="3387"/>
      <c r="X37" s="3379"/>
      <c r="Y37" s="3379"/>
      <c r="Z37" s="3378"/>
      <c r="AA37" s="3379"/>
      <c r="AB37" s="3379"/>
      <c r="AC37" s="3379"/>
      <c r="AD37" s="3379"/>
      <c r="AE37" s="3379"/>
      <c r="AF37" s="3380"/>
      <c r="AG37" s="3381"/>
      <c r="AH37" s="3376">
        <f t="shared" si="7"/>
        <v>0</v>
      </c>
    </row>
    <row r="38" spans="1:34">
      <c r="A38" s="3411">
        <v>1</v>
      </c>
      <c r="B38" s="3411"/>
      <c r="C38" s="1851" t="s">
        <v>3009</v>
      </c>
      <c r="D38" s="3412" t="s">
        <v>3037</v>
      </c>
      <c r="O38" s="2141"/>
      <c r="P38" s="2141"/>
      <c r="Q38" s="2141"/>
      <c r="R38" s="2141"/>
      <c r="V38" s="3377" t="s">
        <v>3038</v>
      </c>
      <c r="W38" s="3374"/>
      <c r="X38" s="3378"/>
      <c r="Y38" s="3379"/>
      <c r="Z38" s="3379"/>
      <c r="AA38" s="3379"/>
      <c r="AB38" s="3379"/>
      <c r="AC38" s="3379"/>
      <c r="AD38" s="3379"/>
      <c r="AE38" s="3379"/>
      <c r="AF38" s="3379"/>
      <c r="AG38" s="3387"/>
      <c r="AH38" s="3376">
        <f t="shared" si="7"/>
        <v>0</v>
      </c>
    </row>
    <row r="39" spans="1:34">
      <c r="A39" s="3411">
        <v>1</v>
      </c>
      <c r="B39" s="3411"/>
      <c r="C39" s="1851" t="s">
        <v>3018</v>
      </c>
      <c r="D39" s="3412" t="s">
        <v>3039</v>
      </c>
      <c r="L39" s="3413" t="s">
        <v>1251</v>
      </c>
      <c r="M39" s="3413"/>
      <c r="N39" s="3413"/>
      <c r="O39" s="3414" t="s">
        <v>1065</v>
      </c>
      <c r="P39" s="3414"/>
      <c r="Q39" s="3414"/>
      <c r="R39" s="3414"/>
      <c r="V39" s="3377" t="s">
        <v>3040</v>
      </c>
      <c r="W39" s="3387"/>
      <c r="X39" s="3379"/>
      <c r="Y39" s="3379"/>
      <c r="Z39" s="3379"/>
      <c r="AA39" s="3379"/>
      <c r="AB39" s="3379"/>
      <c r="AC39" s="3379"/>
      <c r="AD39" s="3379"/>
      <c r="AE39" s="3379"/>
      <c r="AF39" s="3379"/>
      <c r="AG39" s="3387"/>
      <c r="AH39" s="3376">
        <f t="shared" si="7"/>
        <v>0</v>
      </c>
    </row>
    <row r="40" spans="1:34">
      <c r="L40" s="3415" t="s">
        <v>3041</v>
      </c>
      <c r="M40" s="3415" t="s">
        <v>679</v>
      </c>
      <c r="N40" s="3415" t="s">
        <v>1245</v>
      </c>
      <c r="O40" s="3416" t="s">
        <v>1756</v>
      </c>
      <c r="P40" s="3416" t="s">
        <v>2744</v>
      </c>
      <c r="Q40" s="3416" t="s">
        <v>2751</v>
      </c>
      <c r="R40" s="3415" t="s">
        <v>978</v>
      </c>
      <c r="V40" s="3377" t="s">
        <v>3042</v>
      </c>
      <c r="W40" s="3374"/>
      <c r="X40" s="3378">
        <f>SUM(2519*0.44)</f>
        <v>1108.3599999999999</v>
      </c>
      <c r="Y40" s="3378"/>
      <c r="Z40" s="3378"/>
      <c r="AA40" s="3378"/>
      <c r="AB40" s="3378"/>
      <c r="AC40" s="3378"/>
      <c r="AD40" s="3378"/>
      <c r="AE40" s="3378"/>
      <c r="AF40" s="3380"/>
      <c r="AG40" s="3381"/>
      <c r="AH40" s="3376">
        <f t="shared" si="7"/>
        <v>1108.3599999999999</v>
      </c>
    </row>
    <row r="41" spans="1:34" ht="15">
      <c r="L41" s="3417" t="s">
        <v>3043</v>
      </c>
      <c r="M41" s="3418" t="s">
        <v>1254</v>
      </c>
      <c r="N41" s="3419" t="s">
        <v>3044</v>
      </c>
      <c r="O41" s="3420">
        <v>922.58</v>
      </c>
      <c r="P41" s="3420"/>
      <c r="Q41" s="3420"/>
      <c r="R41" s="3420">
        <v>922.58</v>
      </c>
      <c r="V41" s="3399" t="s">
        <v>1985</v>
      </c>
      <c r="W41" s="3400">
        <f t="shared" ref="W41:AF41" si="8">SUM(W27:W40)</f>
        <v>23750</v>
      </c>
      <c r="X41" s="3400">
        <f t="shared" si="8"/>
        <v>36108.36</v>
      </c>
      <c r="Y41" s="3400">
        <f t="shared" si="8"/>
        <v>28750</v>
      </c>
      <c r="Z41" s="3400">
        <f t="shared" si="8"/>
        <v>27500</v>
      </c>
      <c r="AA41" s="3400">
        <f t="shared" si="8"/>
        <v>23750</v>
      </c>
      <c r="AB41" s="3400">
        <f t="shared" si="8"/>
        <v>27500</v>
      </c>
      <c r="AC41" s="3400">
        <f t="shared" si="8"/>
        <v>48750</v>
      </c>
      <c r="AD41" s="3400">
        <f t="shared" si="8"/>
        <v>23750</v>
      </c>
      <c r="AE41" s="3400">
        <f t="shared" si="8"/>
        <v>23750</v>
      </c>
      <c r="AF41" s="3400">
        <f t="shared" si="8"/>
        <v>27500</v>
      </c>
      <c r="AG41" s="3401"/>
      <c r="AH41" s="3402">
        <f t="shared" si="7"/>
        <v>291108.36</v>
      </c>
    </row>
    <row r="42" spans="1:34" ht="28.5">
      <c r="L42" s="3421"/>
      <c r="M42" s="3422"/>
      <c r="N42" s="3419" t="s">
        <v>3045</v>
      </c>
      <c r="O42" s="3420"/>
      <c r="P42" s="3420">
        <v>29829.93</v>
      </c>
      <c r="Q42" s="3420"/>
      <c r="R42" s="3420">
        <v>29829.93</v>
      </c>
      <c r="V42" s="3377" t="s">
        <v>3046</v>
      </c>
      <c r="W42" s="3380">
        <v>-356.25</v>
      </c>
      <c r="X42" s="3380" t="s">
        <v>1208</v>
      </c>
      <c r="Y42" s="3380">
        <v>-431.25</v>
      </c>
      <c r="Z42" s="3380">
        <v>-412.5</v>
      </c>
      <c r="AA42" s="3380">
        <v>-356.25</v>
      </c>
      <c r="AB42" s="3380">
        <v>-412.5</v>
      </c>
      <c r="AC42" s="3380">
        <v>-731.25</v>
      </c>
      <c r="AD42" s="3380">
        <v>-356.25</v>
      </c>
      <c r="AE42" s="3380">
        <v>-356.25</v>
      </c>
      <c r="AF42" s="3380">
        <v>-412.5</v>
      </c>
      <c r="AG42" s="3381"/>
      <c r="AH42" s="3376">
        <f t="shared" si="7"/>
        <v>-3825</v>
      </c>
    </row>
    <row r="43" spans="1:34" ht="15">
      <c r="L43" s="3421"/>
      <c r="M43" s="3418" t="s">
        <v>1257</v>
      </c>
      <c r="N43" s="3419" t="s">
        <v>3047</v>
      </c>
      <c r="O43" s="3420"/>
      <c r="P43" s="3420">
        <v>27887.5</v>
      </c>
      <c r="Q43" s="3420"/>
      <c r="R43" s="3420">
        <v>27887.5</v>
      </c>
      <c r="V43" s="3423" t="s">
        <v>198</v>
      </c>
      <c r="W43" s="3424">
        <f t="shared" ref="W43:AF43" si="9">SUM(W41:W42)</f>
        <v>23393.75</v>
      </c>
      <c r="X43" s="3424">
        <f t="shared" si="9"/>
        <v>36108.36</v>
      </c>
      <c r="Y43" s="3424">
        <f t="shared" si="9"/>
        <v>28318.75</v>
      </c>
      <c r="Z43" s="3424">
        <f t="shared" si="9"/>
        <v>27087.5</v>
      </c>
      <c r="AA43" s="3424">
        <f t="shared" si="9"/>
        <v>23393.75</v>
      </c>
      <c r="AB43" s="3424">
        <f t="shared" si="9"/>
        <v>27087.5</v>
      </c>
      <c r="AC43" s="3424">
        <f t="shared" si="9"/>
        <v>48018.75</v>
      </c>
      <c r="AD43" s="3424">
        <f t="shared" si="9"/>
        <v>23393.75</v>
      </c>
      <c r="AE43" s="3424">
        <f t="shared" si="9"/>
        <v>23393.75</v>
      </c>
      <c r="AF43" s="3424">
        <f t="shared" si="9"/>
        <v>27087.5</v>
      </c>
      <c r="AG43" s="3425"/>
      <c r="AH43" s="3426">
        <f t="shared" si="7"/>
        <v>287283.36</v>
      </c>
    </row>
    <row r="44" spans="1:34" ht="43.5" thickBot="1">
      <c r="L44" s="3421"/>
      <c r="M44" s="3422"/>
      <c r="N44" s="3419" t="s">
        <v>3048</v>
      </c>
      <c r="O44" s="3420">
        <v>862.5</v>
      </c>
      <c r="P44" s="3420"/>
      <c r="Q44" s="3420"/>
      <c r="R44" s="3420">
        <v>862.5</v>
      </c>
      <c r="V44" s="3427" t="s">
        <v>3049</v>
      </c>
      <c r="W44" s="3427"/>
      <c r="X44" s="3427"/>
      <c r="Y44" s="3427"/>
      <c r="Z44" s="3427"/>
      <c r="AA44" s="3427"/>
      <c r="AB44" s="3427"/>
      <c r="AC44" s="3427"/>
      <c r="AD44" s="3427"/>
      <c r="AE44" s="3427"/>
      <c r="AF44" s="3427"/>
      <c r="AG44" s="3427"/>
      <c r="AH44" s="3427"/>
    </row>
    <row r="45" spans="1:34" ht="36" thickTop="1" thickBot="1">
      <c r="L45" s="3421"/>
      <c r="M45" s="3418" t="s">
        <v>1053</v>
      </c>
      <c r="N45" s="3419" t="s">
        <v>3050</v>
      </c>
      <c r="O45" s="3420">
        <v>862.5</v>
      </c>
      <c r="P45" s="3420"/>
      <c r="Q45" s="3420"/>
      <c r="R45" s="3420">
        <v>862.5</v>
      </c>
      <c r="V45" s="3428" t="s">
        <v>3051</v>
      </c>
      <c r="W45" s="3428"/>
      <c r="X45" s="3428"/>
      <c r="Y45" s="3428"/>
      <c r="Z45" s="3428"/>
      <c r="AA45" s="3428"/>
      <c r="AB45" s="3428"/>
      <c r="AC45" s="3428"/>
      <c r="AD45" s="3428"/>
      <c r="AE45" s="3428"/>
      <c r="AF45" s="3428"/>
      <c r="AG45" s="3428"/>
      <c r="AH45" s="3428"/>
    </row>
    <row r="46" spans="1:34" ht="15">
      <c r="L46" s="3421"/>
      <c r="M46" s="3422"/>
      <c r="N46" s="3419" t="s">
        <v>3052</v>
      </c>
      <c r="O46" s="3420"/>
      <c r="P46" s="3420">
        <v>27887.5</v>
      </c>
      <c r="Q46" s="3420"/>
      <c r="R46" s="3420">
        <v>27887.5</v>
      </c>
      <c r="V46" s="3364"/>
      <c r="W46" s="3365" t="s">
        <v>2976</v>
      </c>
      <c r="X46" s="3366" t="s">
        <v>3008</v>
      </c>
      <c r="Y46" s="3366" t="s">
        <v>2978</v>
      </c>
      <c r="Z46" s="3366" t="s">
        <v>2979</v>
      </c>
      <c r="AA46" s="3366" t="s">
        <v>2980</v>
      </c>
      <c r="AB46" s="3366" t="s">
        <v>2981</v>
      </c>
      <c r="AC46" s="3366" t="s">
        <v>2982</v>
      </c>
      <c r="AD46" s="3366" t="s">
        <v>2983</v>
      </c>
      <c r="AE46" s="3367" t="s">
        <v>2984</v>
      </c>
      <c r="AF46" s="3366" t="s">
        <v>2985</v>
      </c>
      <c r="AG46" s="3368" t="s">
        <v>2986</v>
      </c>
      <c r="AH46" s="3369" t="s">
        <v>198</v>
      </c>
    </row>
    <row r="47" spans="1:34">
      <c r="L47" s="3421"/>
      <c r="M47" s="3418" t="s">
        <v>1260</v>
      </c>
      <c r="N47" s="3419" t="s">
        <v>3053</v>
      </c>
      <c r="O47" s="3420">
        <v>1012.5</v>
      </c>
      <c r="P47" s="3420"/>
      <c r="Q47" s="3420"/>
      <c r="R47" s="3420">
        <v>1012.5</v>
      </c>
      <c r="V47" s="3373" t="s">
        <v>3011</v>
      </c>
      <c r="W47" s="3374">
        <f>95000/4</f>
        <v>23750</v>
      </c>
      <c r="X47" s="3374">
        <f>91666.67/2</f>
        <v>45833.334999999999</v>
      </c>
      <c r="Y47" s="3374">
        <f t="shared" ref="Y47:AF47" si="10">95000/4</f>
        <v>23750</v>
      </c>
      <c r="Z47" s="3374">
        <f t="shared" si="10"/>
        <v>23750</v>
      </c>
      <c r="AA47" s="3374">
        <f t="shared" si="10"/>
        <v>23750</v>
      </c>
      <c r="AB47" s="3374">
        <f t="shared" si="10"/>
        <v>23750</v>
      </c>
      <c r="AC47" s="3374">
        <f t="shared" si="10"/>
        <v>23750</v>
      </c>
      <c r="AD47" s="3374">
        <f t="shared" si="10"/>
        <v>23750</v>
      </c>
      <c r="AE47" s="3374">
        <f t="shared" si="10"/>
        <v>23750</v>
      </c>
      <c r="AF47" s="3374">
        <f t="shared" si="10"/>
        <v>23750</v>
      </c>
      <c r="AG47" s="3375"/>
      <c r="AH47" s="3376">
        <f>SUM(W47:AF47)</f>
        <v>259583.33499999999</v>
      </c>
    </row>
    <row r="48" spans="1:34">
      <c r="L48" s="3429"/>
      <c r="M48" s="3422"/>
      <c r="N48" s="3419" t="s">
        <v>3054</v>
      </c>
      <c r="O48" s="3420"/>
      <c r="P48" s="3420">
        <v>32737.5</v>
      </c>
      <c r="Q48" s="3420"/>
      <c r="R48" s="3420">
        <v>32737.5</v>
      </c>
      <c r="S48" s="3302"/>
      <c r="V48" s="3377" t="s">
        <v>3012</v>
      </c>
      <c r="W48" s="3374"/>
      <c r="X48" s="3378">
        <f>15000/4</f>
        <v>3750</v>
      </c>
      <c r="Y48" s="3378">
        <f>20000/4</f>
        <v>5000</v>
      </c>
      <c r="Z48" s="3378">
        <f>15000/4</f>
        <v>3750</v>
      </c>
      <c r="AA48" s="3379"/>
      <c r="AB48" s="3378">
        <f>15000/4</f>
        <v>3750</v>
      </c>
      <c r="AC48" s="3379"/>
      <c r="AD48" s="3379"/>
      <c r="AE48" s="3379"/>
      <c r="AF48" s="3378">
        <f>15000/4</f>
        <v>3750</v>
      </c>
      <c r="AG48" s="3381"/>
      <c r="AH48" s="3376">
        <f>SUM(W48:AF48)</f>
        <v>20000</v>
      </c>
    </row>
    <row r="49" spans="12:34">
      <c r="L49" s="3430" t="s">
        <v>3055</v>
      </c>
      <c r="M49" s="3430"/>
      <c r="N49" s="3430"/>
      <c r="O49" s="3431">
        <v>3660.08</v>
      </c>
      <c r="P49" s="3431">
        <v>118342.43</v>
      </c>
      <c r="Q49" s="3431"/>
      <c r="R49" s="3431">
        <v>122002.51000000001</v>
      </c>
      <c r="S49" s="3302">
        <v>120097.51</v>
      </c>
      <c r="V49" s="3377" t="s">
        <v>3014</v>
      </c>
      <c r="W49" s="3374"/>
      <c r="X49" s="3378">
        <f>30000/4</f>
        <v>7500</v>
      </c>
      <c r="Y49" s="3378"/>
      <c r="Z49" s="3378"/>
      <c r="AA49" s="3379"/>
      <c r="AB49" s="3379"/>
      <c r="AC49" s="3379"/>
      <c r="AD49" s="3379"/>
      <c r="AE49" s="3379"/>
      <c r="AF49" s="3380"/>
      <c r="AG49" s="3381"/>
      <c r="AH49" s="3376">
        <f>SUM(W49:AF49)</f>
        <v>7500</v>
      </c>
    </row>
    <row r="50" spans="12:34">
      <c r="L50" s="3417" t="s">
        <v>3056</v>
      </c>
      <c r="M50" s="3418" t="s">
        <v>1254</v>
      </c>
      <c r="N50" s="3419" t="s">
        <v>3044</v>
      </c>
      <c r="O50" s="3420">
        <v>772.58</v>
      </c>
      <c r="P50" s="3420"/>
      <c r="Q50" s="3420"/>
      <c r="R50" s="3420">
        <v>772.58</v>
      </c>
      <c r="S50" s="3302"/>
      <c r="V50" s="3377" t="s">
        <v>3015</v>
      </c>
      <c r="W50" s="3387"/>
      <c r="X50" s="3379"/>
      <c r="Y50" s="3379"/>
      <c r="Z50" s="3378"/>
      <c r="AA50" s="3379"/>
      <c r="AB50" s="3379"/>
      <c r="AC50" s="3379">
        <v>25000</v>
      </c>
      <c r="AD50" s="3379"/>
      <c r="AE50" s="3379"/>
      <c r="AF50" s="3380"/>
      <c r="AG50" s="3381"/>
      <c r="AH50" s="3432">
        <f>SUM(W50:AF50)</f>
        <v>25000</v>
      </c>
    </row>
    <row r="51" spans="12:34" ht="15">
      <c r="L51" s="3421"/>
      <c r="M51" s="3422"/>
      <c r="N51" s="3419" t="s">
        <v>3045</v>
      </c>
      <c r="O51" s="3420"/>
      <c r="P51" s="3420">
        <v>24979.93</v>
      </c>
      <c r="Q51" s="3420"/>
      <c r="R51" s="3420">
        <v>24979.93</v>
      </c>
      <c r="S51" s="3302"/>
      <c r="V51" s="3433" t="s">
        <v>1985</v>
      </c>
      <c r="W51" s="3400">
        <f t="shared" ref="W51:AH51" si="11">SUM(W47:W50)</f>
        <v>23750</v>
      </c>
      <c r="X51" s="3400">
        <f t="shared" si="11"/>
        <v>57083.334999999999</v>
      </c>
      <c r="Y51" s="3400">
        <f t="shared" si="11"/>
        <v>28750</v>
      </c>
      <c r="Z51" s="3400">
        <f t="shared" si="11"/>
        <v>27500</v>
      </c>
      <c r="AA51" s="3400">
        <f t="shared" si="11"/>
        <v>23750</v>
      </c>
      <c r="AB51" s="3400">
        <f t="shared" si="11"/>
        <v>27500</v>
      </c>
      <c r="AC51" s="3400">
        <f t="shared" si="11"/>
        <v>48750</v>
      </c>
      <c r="AD51" s="3400">
        <f t="shared" si="11"/>
        <v>23750</v>
      </c>
      <c r="AE51" s="3400">
        <f t="shared" si="11"/>
        <v>23750</v>
      </c>
      <c r="AF51" s="3400">
        <f t="shared" si="11"/>
        <v>27500</v>
      </c>
      <c r="AG51" s="3434">
        <f t="shared" si="11"/>
        <v>0</v>
      </c>
      <c r="AH51" s="3402">
        <f t="shared" si="11"/>
        <v>312083.33499999996</v>
      </c>
    </row>
    <row r="52" spans="12:34" ht="28.5">
      <c r="L52" s="3421"/>
      <c r="M52" s="3418" t="s">
        <v>1257</v>
      </c>
      <c r="N52" s="3419" t="s">
        <v>3047</v>
      </c>
      <c r="O52" s="3420"/>
      <c r="P52" s="3420">
        <v>23037.5</v>
      </c>
      <c r="Q52" s="3420"/>
      <c r="R52" s="3420">
        <v>23037.5</v>
      </c>
      <c r="S52" s="3302"/>
      <c r="V52" s="3377" t="s">
        <v>3057</v>
      </c>
      <c r="W52" s="3435">
        <v>-356.25</v>
      </c>
      <c r="X52" s="3435"/>
      <c r="Y52" s="3435">
        <v>-431.25</v>
      </c>
      <c r="Z52" s="3435">
        <v>-412.5</v>
      </c>
      <c r="AA52" s="3435">
        <v>-356.25</v>
      </c>
      <c r="AB52" s="3435">
        <v>-412.5</v>
      </c>
      <c r="AC52" s="3435">
        <v>-731.25</v>
      </c>
      <c r="AD52" s="3435">
        <v>-356.25</v>
      </c>
      <c r="AE52" s="3435">
        <v>-356.25</v>
      </c>
      <c r="AF52" s="3435">
        <v>-412.5</v>
      </c>
      <c r="AG52" s="3381"/>
      <c r="AH52" s="3436">
        <f>SUM(W52:AF52)</f>
        <v>-3825</v>
      </c>
    </row>
    <row r="53" spans="12:34" ht="15">
      <c r="L53" s="3421"/>
      <c r="M53" s="3422"/>
      <c r="N53" s="3419" t="s">
        <v>3048</v>
      </c>
      <c r="O53" s="3420">
        <v>712.5</v>
      </c>
      <c r="P53" s="3420"/>
      <c r="Q53" s="3420"/>
      <c r="R53" s="3420">
        <v>712.5</v>
      </c>
      <c r="S53" s="3302"/>
      <c r="V53" s="3433" t="s">
        <v>198</v>
      </c>
      <c r="W53" s="3400">
        <f t="shared" ref="W53:AH53" si="12">SUM(W51:W52)</f>
        <v>23393.75</v>
      </c>
      <c r="X53" s="3400">
        <f t="shared" si="12"/>
        <v>57083.334999999999</v>
      </c>
      <c r="Y53" s="3400">
        <f t="shared" si="12"/>
        <v>28318.75</v>
      </c>
      <c r="Z53" s="3400">
        <f t="shared" si="12"/>
        <v>27087.5</v>
      </c>
      <c r="AA53" s="3400">
        <f t="shared" si="12"/>
        <v>23393.75</v>
      </c>
      <c r="AB53" s="3400">
        <f t="shared" si="12"/>
        <v>27087.5</v>
      </c>
      <c r="AC53" s="3400">
        <f t="shared" si="12"/>
        <v>48018.75</v>
      </c>
      <c r="AD53" s="3400">
        <f t="shared" si="12"/>
        <v>23393.75</v>
      </c>
      <c r="AE53" s="3400">
        <f t="shared" si="12"/>
        <v>23393.75</v>
      </c>
      <c r="AF53" s="3400">
        <f t="shared" si="12"/>
        <v>27087.5</v>
      </c>
      <c r="AG53" s="3400">
        <f t="shared" si="12"/>
        <v>0</v>
      </c>
      <c r="AH53" s="3400">
        <f t="shared" si="12"/>
        <v>308258.33499999996</v>
      </c>
    </row>
    <row r="54" spans="12:34" ht="100.5" thickBot="1">
      <c r="L54" s="3421"/>
      <c r="M54" s="3418" t="s">
        <v>1053</v>
      </c>
      <c r="N54" s="3419" t="s">
        <v>3050</v>
      </c>
      <c r="O54" s="3420">
        <v>712.5</v>
      </c>
      <c r="P54" s="3420"/>
      <c r="Q54" s="3420"/>
      <c r="R54" s="3420">
        <v>712.5</v>
      </c>
      <c r="S54" s="3302"/>
      <c r="V54" s="3437" t="s">
        <v>3058</v>
      </c>
      <c r="W54" s="3437"/>
      <c r="X54" s="3437"/>
      <c r="Y54" s="3437"/>
      <c r="Z54" s="3437"/>
      <c r="AA54" s="3437"/>
      <c r="AB54" s="3437"/>
      <c r="AC54" s="3437"/>
      <c r="AD54" s="3437"/>
      <c r="AE54" s="3437"/>
      <c r="AF54" s="3437"/>
      <c r="AG54" s="3437"/>
      <c r="AH54" s="3437"/>
    </row>
    <row r="55" spans="12:34" ht="35.25" thickBot="1">
      <c r="L55" s="3421"/>
      <c r="M55" s="3422"/>
      <c r="N55" s="3419" t="s">
        <v>3052</v>
      </c>
      <c r="O55" s="3420"/>
      <c r="P55" s="3420">
        <v>23037.5</v>
      </c>
      <c r="Q55" s="3420"/>
      <c r="R55" s="3420">
        <v>23037.5</v>
      </c>
      <c r="S55" s="3302"/>
      <c r="V55" s="3438" t="s">
        <v>3059</v>
      </c>
      <c r="W55" s="3438"/>
      <c r="X55" s="3438"/>
      <c r="Y55" s="3438"/>
      <c r="Z55" s="3438"/>
      <c r="AA55" s="3438"/>
      <c r="AB55" s="3438"/>
      <c r="AC55" s="3438"/>
      <c r="AD55" s="3438"/>
      <c r="AE55" s="3438"/>
      <c r="AF55" s="3438"/>
      <c r="AG55" s="3438"/>
      <c r="AH55" s="3438"/>
    </row>
    <row r="56" spans="12:34" ht="15">
      <c r="L56" s="3421"/>
      <c r="M56" s="3418" t="s">
        <v>1260</v>
      </c>
      <c r="N56" s="3419" t="s">
        <v>3053</v>
      </c>
      <c r="O56" s="3420">
        <v>712.5</v>
      </c>
      <c r="P56" s="3420"/>
      <c r="Q56" s="3420"/>
      <c r="R56" s="3420">
        <v>712.5</v>
      </c>
      <c r="S56" s="3302"/>
      <c r="V56" s="3364"/>
      <c r="W56" s="3365" t="s">
        <v>2976</v>
      </c>
      <c r="X56" s="3366" t="s">
        <v>3008</v>
      </c>
      <c r="Y56" s="3366" t="s">
        <v>2978</v>
      </c>
      <c r="Z56" s="3366" t="s">
        <v>2979</v>
      </c>
      <c r="AA56" s="3366" t="s">
        <v>2980</v>
      </c>
      <c r="AB56" s="3366" t="s">
        <v>2981</v>
      </c>
      <c r="AC56" s="3366" t="s">
        <v>2982</v>
      </c>
      <c r="AD56" s="3366" t="s">
        <v>2983</v>
      </c>
      <c r="AE56" s="3367" t="s">
        <v>2984</v>
      </c>
      <c r="AF56" s="3366" t="s">
        <v>2985</v>
      </c>
      <c r="AG56" s="3368" t="s">
        <v>2986</v>
      </c>
      <c r="AH56" s="3369" t="s">
        <v>198</v>
      </c>
    </row>
    <row r="57" spans="12:34">
      <c r="L57" s="3429"/>
      <c r="M57" s="3422"/>
      <c r="N57" s="3419" t="s">
        <v>3054</v>
      </c>
      <c r="O57" s="3420"/>
      <c r="P57" s="3420">
        <v>23037.5</v>
      </c>
      <c r="Q57" s="3420"/>
      <c r="R57" s="3420">
        <v>23037.5</v>
      </c>
      <c r="S57" s="3302"/>
      <c r="V57" s="3373" t="s">
        <v>3011</v>
      </c>
      <c r="W57" s="3374">
        <f>95000/4</f>
        <v>23750</v>
      </c>
      <c r="X57" s="3374">
        <v>45833.33</v>
      </c>
      <c r="Y57" s="3374">
        <f t="shared" ref="Y57:AF57" si="13">95000/4</f>
        <v>23750</v>
      </c>
      <c r="Z57" s="3374">
        <f t="shared" si="13"/>
        <v>23750</v>
      </c>
      <c r="AA57" s="3374">
        <f t="shared" si="13"/>
        <v>23750</v>
      </c>
      <c r="AB57" s="3374">
        <f t="shared" si="13"/>
        <v>23750</v>
      </c>
      <c r="AC57" s="3374">
        <f t="shared" si="13"/>
        <v>23750</v>
      </c>
      <c r="AD57" s="3374">
        <f t="shared" si="13"/>
        <v>23750</v>
      </c>
      <c r="AE57" s="3374">
        <f t="shared" si="13"/>
        <v>23750</v>
      </c>
      <c r="AF57" s="3374">
        <f t="shared" si="13"/>
        <v>23750</v>
      </c>
      <c r="AG57" s="3375">
        <f>21666.67/3</f>
        <v>7222.2233333333324</v>
      </c>
      <c r="AH57" s="3376">
        <f>SUM(W57:AG57)</f>
        <v>266805.55333333334</v>
      </c>
    </row>
    <row r="58" spans="12:34">
      <c r="L58" s="3430" t="s">
        <v>3060</v>
      </c>
      <c r="M58" s="3430"/>
      <c r="N58" s="3430"/>
      <c r="O58" s="3431">
        <v>2910.08</v>
      </c>
      <c r="P58" s="3431">
        <v>94092.43</v>
      </c>
      <c r="Q58" s="3431"/>
      <c r="R58" s="3431">
        <v>97002.510000000009</v>
      </c>
      <c r="S58" s="3302">
        <v>95472.51</v>
      </c>
      <c r="V58" s="3377" t="s">
        <v>3012</v>
      </c>
      <c r="W58" s="3374"/>
      <c r="X58" s="3378">
        <f>15000/12*2</f>
        <v>2500</v>
      </c>
      <c r="Y58" s="3378">
        <f>20000/4</f>
        <v>5000</v>
      </c>
      <c r="Z58" s="3378">
        <f>15000/4</f>
        <v>3750</v>
      </c>
      <c r="AA58" s="3379">
        <f>15000/12*2</f>
        <v>2500</v>
      </c>
      <c r="AB58" s="3378">
        <f>15000/4</f>
        <v>3750</v>
      </c>
      <c r="AC58" s="3379"/>
      <c r="AD58" s="3379"/>
      <c r="AE58" s="3379"/>
      <c r="AF58" s="3378">
        <f>15000/4</f>
        <v>3750</v>
      </c>
      <c r="AG58" s="3381"/>
      <c r="AH58" s="3376">
        <f>SUM(W58:AF58)</f>
        <v>21250</v>
      </c>
    </row>
    <row r="59" spans="12:34" ht="28.5">
      <c r="L59" s="3417" t="s">
        <v>3061</v>
      </c>
      <c r="M59" s="3418" t="s">
        <v>1254</v>
      </c>
      <c r="N59" s="3419" t="s">
        <v>3044</v>
      </c>
      <c r="O59" s="3420">
        <v>885.08</v>
      </c>
      <c r="P59" s="3420"/>
      <c r="Q59" s="3420"/>
      <c r="R59" s="3420">
        <v>885.08</v>
      </c>
      <c r="S59" s="3302"/>
      <c r="V59" s="3377" t="s">
        <v>3062</v>
      </c>
      <c r="W59" s="3374"/>
      <c r="X59" s="3378">
        <f>30000/12*2</f>
        <v>5000</v>
      </c>
      <c r="Y59" s="3378">
        <f>30000/12*2</f>
        <v>5000</v>
      </c>
      <c r="Z59" s="3378"/>
      <c r="AA59" s="3379"/>
      <c r="AB59" s="3379"/>
      <c r="AC59" s="3379"/>
      <c r="AD59" s="3379"/>
      <c r="AE59" s="3379"/>
      <c r="AF59" s="3380"/>
      <c r="AG59" s="3381"/>
      <c r="AH59" s="3376">
        <f>SUM(W59:AF59)</f>
        <v>10000</v>
      </c>
    </row>
    <row r="60" spans="12:34">
      <c r="L60" s="3421"/>
      <c r="M60" s="3422"/>
      <c r="N60" s="3419" t="s">
        <v>3045</v>
      </c>
      <c r="O60" s="3420"/>
      <c r="P60" s="3420">
        <v>28617.43</v>
      </c>
      <c r="Q60" s="3420"/>
      <c r="R60" s="3420">
        <v>28617.43</v>
      </c>
      <c r="S60" s="3302"/>
      <c r="V60" s="3377" t="s">
        <v>3015</v>
      </c>
      <c r="W60" s="3374"/>
      <c r="X60" s="3378"/>
      <c r="Y60" s="3378"/>
      <c r="Z60" s="3378"/>
      <c r="AA60" s="3379"/>
      <c r="AB60" s="3379"/>
      <c r="AC60" s="3379">
        <v>25000</v>
      </c>
      <c r="AD60" s="3379"/>
      <c r="AE60" s="3379"/>
      <c r="AF60" s="3380"/>
      <c r="AG60" s="3381"/>
      <c r="AH60" s="3376">
        <f>SUM(W60:AF60)</f>
        <v>25000</v>
      </c>
    </row>
    <row r="61" spans="12:34">
      <c r="L61" s="3421"/>
      <c r="M61" s="3418" t="s">
        <v>1257</v>
      </c>
      <c r="N61" s="3419" t="s">
        <v>3047</v>
      </c>
      <c r="O61" s="3420"/>
      <c r="P61" s="3420">
        <v>26675</v>
      </c>
      <c r="Q61" s="3420"/>
      <c r="R61" s="3420">
        <v>26675</v>
      </c>
      <c r="S61" s="3302"/>
      <c r="V61" s="3377" t="s">
        <v>3063</v>
      </c>
      <c r="W61" s="3374"/>
      <c r="X61" s="3378">
        <f>SUM(2519*0.46)</f>
        <v>1158.74</v>
      </c>
      <c r="Y61" s="3378"/>
      <c r="Z61" s="3378"/>
      <c r="AA61" s="3378"/>
      <c r="AB61" s="3378"/>
      <c r="AC61" s="3378"/>
      <c r="AD61" s="3379"/>
      <c r="AE61" s="3378"/>
      <c r="AF61" s="3380"/>
      <c r="AG61" s="3381"/>
      <c r="AH61" s="3376">
        <f>SUM(W61:AF61)</f>
        <v>1158.74</v>
      </c>
    </row>
    <row r="62" spans="12:34" ht="28.5">
      <c r="L62" s="3421"/>
      <c r="M62" s="3422"/>
      <c r="N62" s="3419" t="s">
        <v>3048</v>
      </c>
      <c r="O62" s="3420">
        <v>825</v>
      </c>
      <c r="P62" s="3420"/>
      <c r="Q62" s="3420"/>
      <c r="R62" s="3420">
        <v>825</v>
      </c>
      <c r="S62" s="3302"/>
      <c r="V62" s="3377" t="s">
        <v>3026</v>
      </c>
      <c r="W62" s="3374"/>
      <c r="X62" s="3374"/>
      <c r="Y62" s="3374"/>
      <c r="Z62" s="3374"/>
      <c r="AA62" s="3374"/>
      <c r="AB62" s="3374"/>
      <c r="AC62" s="3374"/>
      <c r="AD62" s="3374"/>
      <c r="AE62" s="3374"/>
      <c r="AF62" s="3374"/>
      <c r="AG62" s="3387"/>
      <c r="AH62" s="3376">
        <f>SUM(W62:AF62)</f>
        <v>0</v>
      </c>
    </row>
    <row r="63" spans="12:34" ht="15">
      <c r="L63" s="3421"/>
      <c r="M63" s="3418" t="s">
        <v>1053</v>
      </c>
      <c r="N63" s="3419" t="s">
        <v>3050</v>
      </c>
      <c r="O63" s="3420">
        <v>825</v>
      </c>
      <c r="P63" s="3420"/>
      <c r="Q63" s="3420"/>
      <c r="R63" s="3420">
        <v>825</v>
      </c>
      <c r="S63" s="3302"/>
      <c r="V63" s="3406" t="s">
        <v>1985</v>
      </c>
      <c r="W63" s="3400">
        <f t="shared" ref="W63:AH63" si="14">SUM(W57:W62)</f>
        <v>23750</v>
      </c>
      <c r="X63" s="3400">
        <f t="shared" si="14"/>
        <v>54492.07</v>
      </c>
      <c r="Y63" s="3400">
        <f t="shared" si="14"/>
        <v>33750</v>
      </c>
      <c r="Z63" s="3400">
        <f t="shared" si="14"/>
        <v>27500</v>
      </c>
      <c r="AA63" s="3400">
        <f t="shared" si="14"/>
        <v>26250</v>
      </c>
      <c r="AB63" s="3400">
        <f t="shared" si="14"/>
        <v>27500</v>
      </c>
      <c r="AC63" s="3400">
        <f t="shared" si="14"/>
        <v>48750</v>
      </c>
      <c r="AD63" s="3400">
        <f t="shared" si="14"/>
        <v>23750</v>
      </c>
      <c r="AE63" s="3400">
        <f t="shared" si="14"/>
        <v>23750</v>
      </c>
      <c r="AF63" s="3400">
        <f t="shared" si="14"/>
        <v>27500</v>
      </c>
      <c r="AG63" s="3400">
        <f t="shared" si="14"/>
        <v>7222.2233333333324</v>
      </c>
      <c r="AH63" s="3400">
        <f t="shared" si="14"/>
        <v>324214.29333333333</v>
      </c>
    </row>
    <row r="64" spans="12:34" ht="28.5">
      <c r="L64" s="3421"/>
      <c r="M64" s="3422"/>
      <c r="N64" s="3419" t="s">
        <v>3052</v>
      </c>
      <c r="O64" s="3420"/>
      <c r="P64" s="3420">
        <v>26675</v>
      </c>
      <c r="Q64" s="3420"/>
      <c r="R64" s="3420">
        <v>26675</v>
      </c>
      <c r="S64" s="3302"/>
      <c r="V64" s="3377" t="s">
        <v>3064</v>
      </c>
      <c r="W64" s="3380">
        <v>-356.25</v>
      </c>
      <c r="X64" s="3380"/>
      <c r="Y64" s="3380">
        <v>-506.25</v>
      </c>
      <c r="Z64" s="3380">
        <v>-412.5</v>
      </c>
      <c r="AA64" s="3380">
        <v>-393.75</v>
      </c>
      <c r="AB64" s="3380">
        <v>-412.5</v>
      </c>
      <c r="AC64" s="3380">
        <v>-731.25</v>
      </c>
      <c r="AD64" s="3380">
        <v>-356.25</v>
      </c>
      <c r="AE64" s="3380">
        <v>-356.25</v>
      </c>
      <c r="AF64" s="3380">
        <v>-412.5</v>
      </c>
      <c r="AG64" s="3381">
        <v>-108.33</v>
      </c>
      <c r="AH64" s="3376">
        <f>SUM(W64:AG64)</f>
        <v>-4045.83</v>
      </c>
    </row>
    <row r="65" spans="12:34" ht="15">
      <c r="L65" s="3421"/>
      <c r="M65" s="3418" t="s">
        <v>1260</v>
      </c>
      <c r="N65" s="3419" t="s">
        <v>3053</v>
      </c>
      <c r="O65" s="3420">
        <v>825</v>
      </c>
      <c r="P65" s="3420"/>
      <c r="Q65" s="3420"/>
      <c r="R65" s="3420">
        <v>825</v>
      </c>
      <c r="S65" s="3302"/>
      <c r="V65" s="3406" t="s">
        <v>198</v>
      </c>
      <c r="W65" s="3400">
        <f t="shared" ref="W65:AH65" si="15">SUM(W63:W64)</f>
        <v>23393.75</v>
      </c>
      <c r="X65" s="3400">
        <f t="shared" si="15"/>
        <v>54492.07</v>
      </c>
      <c r="Y65" s="3400">
        <f t="shared" si="15"/>
        <v>33243.75</v>
      </c>
      <c r="Z65" s="3400">
        <f t="shared" si="15"/>
        <v>27087.5</v>
      </c>
      <c r="AA65" s="3400">
        <f t="shared" si="15"/>
        <v>25856.25</v>
      </c>
      <c r="AB65" s="3400">
        <f t="shared" si="15"/>
        <v>27087.5</v>
      </c>
      <c r="AC65" s="3400">
        <f t="shared" si="15"/>
        <v>48018.75</v>
      </c>
      <c r="AD65" s="3400">
        <f t="shared" si="15"/>
        <v>23393.75</v>
      </c>
      <c r="AE65" s="3400">
        <f t="shared" si="15"/>
        <v>23393.75</v>
      </c>
      <c r="AF65" s="3400">
        <f t="shared" si="15"/>
        <v>27087.5</v>
      </c>
      <c r="AG65" s="3400">
        <f t="shared" si="15"/>
        <v>7113.8933333333325</v>
      </c>
      <c r="AH65" s="3400">
        <f t="shared" si="15"/>
        <v>320168.46333333332</v>
      </c>
    </row>
    <row r="66" spans="12:34" ht="86.25" thickBot="1">
      <c r="L66" s="3429"/>
      <c r="M66" s="3422"/>
      <c r="N66" s="3419" t="s">
        <v>3054</v>
      </c>
      <c r="O66" s="3420"/>
      <c r="P66" s="3420">
        <v>26675</v>
      </c>
      <c r="Q66" s="3420"/>
      <c r="R66" s="3420">
        <v>26675</v>
      </c>
      <c r="S66" s="3302"/>
      <c r="V66" s="3439" t="s">
        <v>3065</v>
      </c>
      <c r="W66" s="3439"/>
      <c r="X66" s="3439"/>
      <c r="Y66" s="3439"/>
      <c r="Z66" s="3439"/>
      <c r="AA66" s="3439"/>
      <c r="AB66" s="3439"/>
      <c r="AC66" s="3439"/>
      <c r="AD66" s="3439" t="s">
        <v>1208</v>
      </c>
      <c r="AE66" s="3439"/>
      <c r="AF66" s="3439"/>
      <c r="AG66" s="3439"/>
      <c r="AH66" s="3439"/>
    </row>
    <row r="67" spans="12:34" ht="87" thickTop="1" thickBot="1">
      <c r="L67" s="3430" t="s">
        <v>3066</v>
      </c>
      <c r="M67" s="3430"/>
      <c r="N67" s="3430"/>
      <c r="O67" s="3431">
        <v>3360.08</v>
      </c>
      <c r="P67" s="3431">
        <v>108642.43</v>
      </c>
      <c r="Q67" s="3431"/>
      <c r="R67" s="3431">
        <v>112002.51000000001</v>
      </c>
      <c r="S67" s="3302">
        <v>110247.51</v>
      </c>
      <c r="V67" s="3440" t="s">
        <v>3067</v>
      </c>
      <c r="W67" s="3440"/>
      <c r="X67" s="3440"/>
      <c r="Y67" s="3440"/>
      <c r="Z67" s="3440"/>
      <c r="AA67" s="3440"/>
      <c r="AB67" s="3440"/>
      <c r="AC67" s="3440"/>
      <c r="AD67" s="3440"/>
      <c r="AE67" s="3440"/>
      <c r="AF67" s="3440"/>
      <c r="AG67" s="3440"/>
      <c r="AH67" s="3440"/>
    </row>
    <row r="68" spans="12:34" ht="144" thickTop="1" thickBot="1">
      <c r="L68" s="3417" t="s">
        <v>3068</v>
      </c>
      <c r="M68" s="3418" t="s">
        <v>1254</v>
      </c>
      <c r="N68" s="3419" t="s">
        <v>3044</v>
      </c>
      <c r="O68" s="3420">
        <v>1118.33</v>
      </c>
      <c r="P68" s="3420"/>
      <c r="Q68" s="3420"/>
      <c r="R68" s="3420">
        <v>1118.33</v>
      </c>
      <c r="S68" s="3302"/>
      <c r="V68" s="3441" t="s">
        <v>3069</v>
      </c>
      <c r="W68" s="3441"/>
      <c r="X68" s="3441"/>
      <c r="Y68" s="3441"/>
      <c r="Z68" s="3441"/>
      <c r="AA68" s="3441"/>
      <c r="AB68" s="3441"/>
      <c r="AC68" s="3441"/>
      <c r="AD68" s="3441"/>
      <c r="AE68" s="3441"/>
      <c r="AF68" s="3441"/>
      <c r="AG68" s="3441"/>
      <c r="AH68" s="3441"/>
    </row>
    <row r="69" spans="12:34" ht="15" thickTop="1">
      <c r="L69" s="3421"/>
      <c r="M69" s="3422"/>
      <c r="N69" s="3419" t="s">
        <v>3045</v>
      </c>
      <c r="O69" s="3420"/>
      <c r="P69" s="3420">
        <v>36159.21</v>
      </c>
      <c r="Q69" s="3420"/>
      <c r="R69" s="3420">
        <v>36159.21</v>
      </c>
      <c r="S69" s="3302"/>
    </row>
    <row r="70" spans="12:34">
      <c r="L70" s="3421"/>
      <c r="M70" s="3418" t="s">
        <v>1257</v>
      </c>
      <c r="N70" s="3419" t="s">
        <v>3047</v>
      </c>
      <c r="O70" s="3420"/>
      <c r="P70" s="3420">
        <v>35025.11</v>
      </c>
      <c r="Q70" s="3420"/>
      <c r="R70" s="3420">
        <v>35025.11</v>
      </c>
      <c r="S70" s="3302"/>
    </row>
    <row r="71" spans="12:34">
      <c r="L71" s="3421"/>
      <c r="M71" s="3422"/>
      <c r="N71" s="3419" t="s">
        <v>3048</v>
      </c>
      <c r="O71" s="3420">
        <v>1083.25</v>
      </c>
      <c r="P71" s="3420"/>
      <c r="Q71" s="3420"/>
      <c r="R71" s="3420">
        <v>1083.25</v>
      </c>
      <c r="S71" s="3302"/>
    </row>
    <row r="72" spans="12:34">
      <c r="L72" s="3421"/>
      <c r="M72" s="3418" t="s">
        <v>1053</v>
      </c>
      <c r="N72" s="3419" t="s">
        <v>3050</v>
      </c>
      <c r="O72" s="3420">
        <v>1712.5</v>
      </c>
      <c r="P72" s="3420"/>
      <c r="Q72" s="3420"/>
      <c r="R72" s="3420">
        <v>1712.5</v>
      </c>
      <c r="S72" s="3302"/>
    </row>
    <row r="73" spans="12:34">
      <c r="L73" s="3421"/>
      <c r="M73" s="3422"/>
      <c r="N73" s="3419" t="s">
        <v>3052</v>
      </c>
      <c r="O73" s="3420"/>
      <c r="P73" s="3420">
        <v>55370.84</v>
      </c>
      <c r="Q73" s="3420"/>
      <c r="R73" s="3420">
        <v>55370.84</v>
      </c>
      <c r="S73" s="3302"/>
    </row>
    <row r="74" spans="12:34">
      <c r="L74" s="3421"/>
      <c r="M74" s="3418" t="s">
        <v>1260</v>
      </c>
      <c r="N74" s="3419" t="s">
        <v>3053</v>
      </c>
      <c r="O74" s="3420">
        <v>0</v>
      </c>
      <c r="P74" s="3420"/>
      <c r="Q74" s="3420"/>
      <c r="R74" s="3420">
        <v>0</v>
      </c>
      <c r="S74" s="3302"/>
    </row>
    <row r="75" spans="12:34">
      <c r="L75" s="3421"/>
      <c r="M75" s="3418"/>
      <c r="N75" s="3419" t="s">
        <v>3054</v>
      </c>
      <c r="O75" s="3420"/>
      <c r="P75" s="3420">
        <v>0</v>
      </c>
      <c r="Q75" s="3420"/>
      <c r="R75" s="3420">
        <v>0</v>
      </c>
      <c r="S75" s="3302"/>
    </row>
    <row r="76" spans="12:34">
      <c r="L76" s="3421"/>
      <c r="M76" s="3418"/>
      <c r="N76" s="3419" t="s">
        <v>3070</v>
      </c>
      <c r="O76" s="3420">
        <v>1634.76</v>
      </c>
      <c r="P76" s="3420"/>
      <c r="Q76" s="3420"/>
      <c r="R76" s="3420">
        <v>1634.76</v>
      </c>
      <c r="S76" s="3302"/>
    </row>
    <row r="77" spans="12:34">
      <c r="L77" s="3429"/>
      <c r="M77" s="3422"/>
      <c r="N77" s="3419" t="s">
        <v>3071</v>
      </c>
      <c r="O77" s="3420"/>
      <c r="P77" s="3420">
        <v>52857.31</v>
      </c>
      <c r="Q77" s="3420"/>
      <c r="R77" s="3420">
        <v>52857.31</v>
      </c>
      <c r="S77" s="3302"/>
    </row>
    <row r="78" spans="12:34">
      <c r="L78" s="3430" t="s">
        <v>3072</v>
      </c>
      <c r="M78" s="3430"/>
      <c r="N78" s="3430"/>
      <c r="O78" s="3431">
        <v>5548.84</v>
      </c>
      <c r="P78" s="3431">
        <v>179412.47</v>
      </c>
      <c r="Q78" s="3431"/>
      <c r="R78" s="3431">
        <v>184961.31</v>
      </c>
      <c r="S78" s="3302">
        <v>184961.3016666667</v>
      </c>
    </row>
    <row r="79" spans="12:34">
      <c r="L79" s="3417" t="s">
        <v>3073</v>
      </c>
      <c r="M79" s="3418" t="s">
        <v>1254</v>
      </c>
      <c r="N79" s="3419" t="s">
        <v>3044</v>
      </c>
      <c r="O79" s="3420">
        <v>885.08</v>
      </c>
      <c r="P79" s="3420"/>
      <c r="Q79" s="3420"/>
      <c r="R79" s="3420">
        <v>885.08</v>
      </c>
      <c r="S79" s="3302"/>
    </row>
    <row r="80" spans="12:34">
      <c r="L80" s="3421"/>
      <c r="M80" s="3422"/>
      <c r="N80" s="3419" t="s">
        <v>3045</v>
      </c>
      <c r="O80" s="3420"/>
      <c r="P80" s="3420">
        <v>28617.43</v>
      </c>
      <c r="Q80" s="3420"/>
      <c r="R80" s="3420">
        <v>28617.43</v>
      </c>
      <c r="S80" s="3302"/>
    </row>
    <row r="81" spans="12:19">
      <c r="L81" s="3421"/>
      <c r="M81" s="3418" t="s">
        <v>1257</v>
      </c>
      <c r="N81" s="3419" t="s">
        <v>3047</v>
      </c>
      <c r="O81" s="3420"/>
      <c r="P81" s="3420">
        <v>26675</v>
      </c>
      <c r="Q81" s="3420"/>
      <c r="R81" s="3420">
        <v>26675</v>
      </c>
      <c r="S81" s="3302"/>
    </row>
    <row r="82" spans="12:19">
      <c r="L82" s="3421"/>
      <c r="M82" s="3422"/>
      <c r="N82" s="3419" t="s">
        <v>3048</v>
      </c>
      <c r="O82" s="3420">
        <v>825</v>
      </c>
      <c r="P82" s="3420"/>
      <c r="Q82" s="3420"/>
      <c r="R82" s="3420">
        <v>825</v>
      </c>
      <c r="S82" s="3302"/>
    </row>
    <row r="83" spans="12:19">
      <c r="L83" s="3421"/>
      <c r="M83" s="3418" t="s">
        <v>1053</v>
      </c>
      <c r="N83" s="3419" t="s">
        <v>3050</v>
      </c>
      <c r="O83" s="3420">
        <v>825</v>
      </c>
      <c r="P83" s="3420"/>
      <c r="Q83" s="3420"/>
      <c r="R83" s="3420">
        <v>825</v>
      </c>
      <c r="S83" s="3302"/>
    </row>
    <row r="84" spans="12:19">
      <c r="L84" s="3421"/>
      <c r="M84" s="3422"/>
      <c r="N84" s="3419" t="s">
        <v>3052</v>
      </c>
      <c r="O84" s="3420"/>
      <c r="P84" s="3420">
        <v>26675</v>
      </c>
      <c r="Q84" s="3420"/>
      <c r="R84" s="3420">
        <v>26675</v>
      </c>
      <c r="S84" s="3302"/>
    </row>
    <row r="85" spans="12:19">
      <c r="L85" s="3421"/>
      <c r="M85" s="3418" t="s">
        <v>1260</v>
      </c>
      <c r="N85" s="3419" t="s">
        <v>3053</v>
      </c>
      <c r="O85" s="3420">
        <v>825</v>
      </c>
      <c r="P85" s="3420"/>
      <c r="Q85" s="3420"/>
      <c r="R85" s="3420">
        <v>825</v>
      </c>
      <c r="S85" s="3302"/>
    </row>
    <row r="86" spans="12:19">
      <c r="L86" s="3429"/>
      <c r="M86" s="3422"/>
      <c r="N86" s="3419" t="s">
        <v>3054</v>
      </c>
      <c r="O86" s="3420"/>
      <c r="P86" s="3420">
        <v>26675</v>
      </c>
      <c r="Q86" s="3420"/>
      <c r="R86" s="3420">
        <v>26675</v>
      </c>
      <c r="S86" s="3302"/>
    </row>
    <row r="87" spans="12:19">
      <c r="L87" s="3430" t="s">
        <v>3074</v>
      </c>
      <c r="M87" s="3430"/>
      <c r="N87" s="3430"/>
      <c r="O87" s="3431">
        <v>3360.08</v>
      </c>
      <c r="P87" s="3431">
        <v>108642.43</v>
      </c>
      <c r="Q87" s="3431"/>
      <c r="R87" s="3431">
        <v>112002.51000000001</v>
      </c>
      <c r="S87" s="3302">
        <v>110247.51</v>
      </c>
    </row>
    <row r="88" spans="12:19">
      <c r="L88" s="3417" t="s">
        <v>3075</v>
      </c>
      <c r="M88" s="3418" t="s">
        <v>1254</v>
      </c>
      <c r="N88" s="3419" t="s">
        <v>3044</v>
      </c>
      <c r="O88" s="3420">
        <v>885.08</v>
      </c>
      <c r="P88" s="3420"/>
      <c r="Q88" s="3420"/>
      <c r="R88" s="3420">
        <v>885.08</v>
      </c>
      <c r="S88" s="3302"/>
    </row>
    <row r="89" spans="12:19">
      <c r="L89" s="3421"/>
      <c r="M89" s="3422"/>
      <c r="N89" s="3419" t="s">
        <v>3045</v>
      </c>
      <c r="O89" s="3420"/>
      <c r="P89" s="3420">
        <v>28617.43</v>
      </c>
      <c r="Q89" s="3420"/>
      <c r="R89" s="3420">
        <v>28617.43</v>
      </c>
      <c r="S89" s="3302"/>
    </row>
    <row r="90" spans="12:19">
      <c r="L90" s="3421"/>
      <c r="M90" s="3418" t="s">
        <v>1257</v>
      </c>
      <c r="N90" s="3419" t="s">
        <v>3047</v>
      </c>
      <c r="O90" s="3420"/>
      <c r="P90" s="3420">
        <v>26675</v>
      </c>
      <c r="Q90" s="3420"/>
      <c r="R90" s="3420">
        <v>26675</v>
      </c>
      <c r="S90" s="3302"/>
    </row>
    <row r="91" spans="12:19">
      <c r="L91" s="3421"/>
      <c r="M91" s="3422"/>
      <c r="N91" s="3419" t="s">
        <v>3048</v>
      </c>
      <c r="O91" s="3420">
        <v>825</v>
      </c>
      <c r="P91" s="3420"/>
      <c r="Q91" s="3420"/>
      <c r="R91" s="3420">
        <v>825</v>
      </c>
      <c r="S91" s="3302"/>
    </row>
    <row r="92" spans="12:19">
      <c r="L92" s="3421"/>
      <c r="M92" s="3418" t="s">
        <v>1053</v>
      </c>
      <c r="N92" s="3419" t="s">
        <v>3050</v>
      </c>
      <c r="O92" s="3420">
        <v>825</v>
      </c>
      <c r="P92" s="3420"/>
      <c r="Q92" s="3420"/>
      <c r="R92" s="3420">
        <v>825</v>
      </c>
      <c r="S92" s="3302"/>
    </row>
    <row r="93" spans="12:19">
      <c r="L93" s="3421"/>
      <c r="M93" s="3422"/>
      <c r="N93" s="3419" t="s">
        <v>3052</v>
      </c>
      <c r="O93" s="3420"/>
      <c r="P93" s="3420">
        <v>26675</v>
      </c>
      <c r="Q93" s="3420"/>
      <c r="R93" s="3420">
        <v>26675</v>
      </c>
      <c r="S93" s="3302"/>
    </row>
    <row r="94" spans="12:19">
      <c r="L94" s="3421"/>
      <c r="M94" s="3418" t="s">
        <v>1260</v>
      </c>
      <c r="N94" s="3419" t="s">
        <v>3053</v>
      </c>
      <c r="O94" s="3420">
        <v>825</v>
      </c>
      <c r="P94" s="3420"/>
      <c r="Q94" s="3420"/>
      <c r="R94" s="3420">
        <v>825</v>
      </c>
      <c r="S94" s="3302"/>
    </row>
    <row r="95" spans="12:19">
      <c r="L95" s="3429"/>
      <c r="M95" s="3422"/>
      <c r="N95" s="3419" t="s">
        <v>3054</v>
      </c>
      <c r="O95" s="3420"/>
      <c r="P95" s="3420">
        <v>26675</v>
      </c>
      <c r="Q95" s="3420"/>
      <c r="R95" s="3420">
        <v>26675</v>
      </c>
      <c r="S95" s="3302"/>
    </row>
    <row r="96" spans="12:19">
      <c r="L96" s="3430" t="s">
        <v>3076</v>
      </c>
      <c r="M96" s="3430"/>
      <c r="N96" s="3430"/>
      <c r="O96" s="3431">
        <v>3360.08</v>
      </c>
      <c r="P96" s="3431">
        <v>108642.43</v>
      </c>
      <c r="Q96" s="3431"/>
      <c r="R96" s="3431">
        <v>112002.51000000001</v>
      </c>
      <c r="S96" s="3302">
        <v>110247.51</v>
      </c>
    </row>
    <row r="97" spans="12:19">
      <c r="L97" s="3417" t="s">
        <v>3077</v>
      </c>
      <c r="M97" s="3422" t="s">
        <v>1254</v>
      </c>
      <c r="N97" s="3419" t="s">
        <v>3078</v>
      </c>
      <c r="O97" s="3420">
        <v>1499.25</v>
      </c>
      <c r="P97" s="3420">
        <v>48475.65</v>
      </c>
      <c r="Q97" s="3420"/>
      <c r="R97" s="3420">
        <v>49974.9</v>
      </c>
      <c r="S97" s="3302"/>
    </row>
    <row r="98" spans="12:19">
      <c r="L98" s="3429"/>
      <c r="M98" s="3422" t="s">
        <v>1261</v>
      </c>
      <c r="N98" s="3419" t="s">
        <v>3079</v>
      </c>
      <c r="O98" s="3420">
        <v>37491.83</v>
      </c>
      <c r="P98" s="3420"/>
      <c r="Q98" s="3420">
        <v>1212235.97</v>
      </c>
      <c r="R98" s="3420">
        <v>1249727.8</v>
      </c>
      <c r="S98" s="3302"/>
    </row>
    <row r="99" spans="12:19">
      <c r="L99" s="3430" t="s">
        <v>3080</v>
      </c>
      <c r="M99" s="3430"/>
      <c r="N99" s="3430"/>
      <c r="O99" s="3431">
        <v>38991.08</v>
      </c>
      <c r="P99" s="3431">
        <v>48475.65</v>
      </c>
      <c r="Q99" s="3431">
        <v>1212235.97</v>
      </c>
      <c r="R99" s="3431">
        <v>1299702.7</v>
      </c>
      <c r="S99" s="3302">
        <v>1304700.19</v>
      </c>
    </row>
    <row r="100" spans="12:19">
      <c r="L100" s="3417" t="s">
        <v>3081</v>
      </c>
      <c r="M100" s="3418" t="s">
        <v>1255</v>
      </c>
      <c r="N100" s="3419" t="s">
        <v>3082</v>
      </c>
      <c r="O100" s="3420"/>
      <c r="P100" s="3420">
        <v>24532.52</v>
      </c>
      <c r="Q100" s="3420"/>
      <c r="R100" s="3420">
        <v>24532.52</v>
      </c>
      <c r="S100" s="3302"/>
    </row>
    <row r="101" spans="12:19">
      <c r="L101" s="3421"/>
      <c r="M101" s="3422"/>
      <c r="N101" s="3419" t="s">
        <v>3083</v>
      </c>
      <c r="O101" s="3420">
        <v>758.74</v>
      </c>
      <c r="P101" s="3420"/>
      <c r="Q101" s="3420"/>
      <c r="R101" s="3420">
        <v>758.74</v>
      </c>
      <c r="S101" s="3302"/>
    </row>
    <row r="102" spans="12:19">
      <c r="L102" s="3421"/>
      <c r="M102" s="3418" t="s">
        <v>1257</v>
      </c>
      <c r="N102" s="3419" t="s">
        <v>3047</v>
      </c>
      <c r="O102" s="3420"/>
      <c r="P102" s="3420">
        <v>23037.5</v>
      </c>
      <c r="Q102" s="3420"/>
      <c r="R102" s="3420">
        <v>23037.5</v>
      </c>
      <c r="S102" s="3302"/>
    </row>
    <row r="103" spans="12:19">
      <c r="L103" s="3421"/>
      <c r="M103" s="3422"/>
      <c r="N103" s="3419" t="s">
        <v>3048</v>
      </c>
      <c r="O103" s="3420">
        <v>712.5</v>
      </c>
      <c r="P103" s="3420"/>
      <c r="Q103" s="3420"/>
      <c r="R103" s="3420">
        <v>712.5</v>
      </c>
      <c r="S103" s="3302"/>
    </row>
    <row r="104" spans="12:19">
      <c r="L104" s="3421"/>
      <c r="M104" s="3418" t="s">
        <v>1053</v>
      </c>
      <c r="N104" s="3419" t="s">
        <v>3050</v>
      </c>
      <c r="O104" s="3420">
        <v>712.5</v>
      </c>
      <c r="P104" s="3420"/>
      <c r="Q104" s="3420"/>
      <c r="R104" s="3420">
        <v>712.5</v>
      </c>
      <c r="S104" s="3302"/>
    </row>
    <row r="105" spans="12:19">
      <c r="L105" s="3421"/>
      <c r="M105" s="3422"/>
      <c r="N105" s="3419" t="s">
        <v>3052</v>
      </c>
      <c r="O105" s="3420"/>
      <c r="P105" s="3420">
        <v>23037.5</v>
      </c>
      <c r="Q105" s="3420"/>
      <c r="R105" s="3420">
        <v>23037.5</v>
      </c>
      <c r="S105" s="3302"/>
    </row>
    <row r="106" spans="12:19">
      <c r="L106" s="3421"/>
      <c r="M106" s="3418" t="s">
        <v>1260</v>
      </c>
      <c r="N106" s="3419" t="s">
        <v>3053</v>
      </c>
      <c r="O106" s="3420">
        <v>712.5</v>
      </c>
      <c r="P106" s="3420"/>
      <c r="Q106" s="3420"/>
      <c r="R106" s="3420">
        <v>712.5</v>
      </c>
      <c r="S106" s="3302"/>
    </row>
    <row r="107" spans="12:19">
      <c r="L107" s="3429"/>
      <c r="M107" s="3422"/>
      <c r="N107" s="3419" t="s">
        <v>3054</v>
      </c>
      <c r="O107" s="3420"/>
      <c r="P107" s="3420">
        <v>23037.5</v>
      </c>
      <c r="Q107" s="3420"/>
      <c r="R107" s="3420">
        <v>23037.5</v>
      </c>
      <c r="S107" s="3302"/>
    </row>
    <row r="108" spans="12:19">
      <c r="L108" s="3430" t="s">
        <v>3084</v>
      </c>
      <c r="M108" s="3430"/>
      <c r="N108" s="3430"/>
      <c r="O108" s="3431">
        <v>2896.24</v>
      </c>
      <c r="P108" s="3431">
        <v>93645.02</v>
      </c>
      <c r="Q108" s="3431"/>
      <c r="R108" s="3431">
        <v>96541.260000000009</v>
      </c>
      <c r="S108" s="3302">
        <v>95472.51</v>
      </c>
    </row>
    <row r="109" spans="12:19">
      <c r="L109" s="3417" t="s">
        <v>3085</v>
      </c>
      <c r="M109" s="3418" t="s">
        <v>1254</v>
      </c>
      <c r="N109" s="3419" t="s">
        <v>3044</v>
      </c>
      <c r="O109" s="3420">
        <v>1477.58</v>
      </c>
      <c r="P109" s="3420"/>
      <c r="Q109" s="3420"/>
      <c r="R109" s="3420">
        <v>1477.58</v>
      </c>
      <c r="S109" s="3302"/>
    </row>
    <row r="110" spans="12:19">
      <c r="L110" s="3421"/>
      <c r="M110" s="3422"/>
      <c r="N110" s="3419" t="s">
        <v>3045</v>
      </c>
      <c r="O110" s="3420"/>
      <c r="P110" s="3420">
        <v>47774.93</v>
      </c>
      <c r="Q110" s="3420"/>
      <c r="R110" s="3420">
        <v>47774.93</v>
      </c>
      <c r="S110" s="3302"/>
    </row>
    <row r="111" spans="12:19">
      <c r="L111" s="3421"/>
      <c r="M111" s="3418" t="s">
        <v>1257</v>
      </c>
      <c r="N111" s="3419" t="s">
        <v>3047</v>
      </c>
      <c r="O111" s="3420"/>
      <c r="P111" s="3420">
        <v>47287.5</v>
      </c>
      <c r="Q111" s="3420"/>
      <c r="R111" s="3420">
        <v>47287.5</v>
      </c>
      <c r="S111" s="3302"/>
    </row>
    <row r="112" spans="12:19">
      <c r="L112" s="3421"/>
      <c r="M112" s="3422"/>
      <c r="N112" s="3419" t="s">
        <v>3048</v>
      </c>
      <c r="O112" s="3420">
        <v>1462.5</v>
      </c>
      <c r="P112" s="3420"/>
      <c r="Q112" s="3420"/>
      <c r="R112" s="3420">
        <v>1462.5</v>
      </c>
      <c r="S112" s="3302"/>
    </row>
    <row r="113" spans="12:19">
      <c r="L113" s="3421"/>
      <c r="M113" s="3418" t="s">
        <v>1053</v>
      </c>
      <c r="N113" s="3419" t="s">
        <v>3050</v>
      </c>
      <c r="O113" s="3420">
        <v>1462.5</v>
      </c>
      <c r="P113" s="3420"/>
      <c r="Q113" s="3420"/>
      <c r="R113" s="3420">
        <v>1462.5</v>
      </c>
      <c r="S113" s="3302"/>
    </row>
    <row r="114" spans="12:19">
      <c r="L114" s="3421"/>
      <c r="M114" s="3422"/>
      <c r="N114" s="3419" t="s">
        <v>3052</v>
      </c>
      <c r="O114" s="3420"/>
      <c r="P114" s="3420">
        <v>47287.5</v>
      </c>
      <c r="Q114" s="3420"/>
      <c r="R114" s="3420">
        <v>47287.5</v>
      </c>
      <c r="S114" s="3302"/>
    </row>
    <row r="115" spans="12:19">
      <c r="L115" s="3421"/>
      <c r="M115" s="3418" t="s">
        <v>1260</v>
      </c>
      <c r="N115" s="3419" t="s">
        <v>3053</v>
      </c>
      <c r="O115" s="3420">
        <v>1462.5</v>
      </c>
      <c r="P115" s="3420"/>
      <c r="Q115" s="3420"/>
      <c r="R115" s="3420">
        <v>1462.5</v>
      </c>
      <c r="S115" s="3302"/>
    </row>
    <row r="116" spans="12:19">
      <c r="L116" s="3429"/>
      <c r="M116" s="3422"/>
      <c r="N116" s="3419" t="s">
        <v>3054</v>
      </c>
      <c r="O116" s="3420"/>
      <c r="P116" s="3420">
        <v>47287.5</v>
      </c>
      <c r="Q116" s="3420"/>
      <c r="R116" s="3420">
        <v>47287.5</v>
      </c>
      <c r="S116" s="3302"/>
    </row>
    <row r="117" spans="12:19">
      <c r="L117" s="3430" t="s">
        <v>3086</v>
      </c>
      <c r="M117" s="3430"/>
      <c r="N117" s="3430"/>
      <c r="O117" s="3431">
        <v>5865.08</v>
      </c>
      <c r="P117" s="3431">
        <v>189637.43</v>
      </c>
      <c r="Q117" s="3431"/>
      <c r="R117" s="3431">
        <v>195502.51</v>
      </c>
      <c r="S117" s="3302">
        <v>192495.01</v>
      </c>
    </row>
    <row r="118" spans="12:19">
      <c r="L118" s="3417" t="s">
        <v>3087</v>
      </c>
      <c r="M118" s="3418" t="s">
        <v>1254</v>
      </c>
      <c r="N118" s="3419" t="s">
        <v>3044</v>
      </c>
      <c r="O118" s="3420">
        <v>772.58</v>
      </c>
      <c r="P118" s="3420"/>
      <c r="Q118" s="3420"/>
      <c r="R118" s="3420">
        <v>772.58</v>
      </c>
      <c r="S118" s="3302"/>
    </row>
    <row r="119" spans="12:19">
      <c r="L119" s="3421"/>
      <c r="M119" s="3422"/>
      <c r="N119" s="3419" t="s">
        <v>3045</v>
      </c>
      <c r="O119" s="3420"/>
      <c r="P119" s="3420">
        <v>24979.93</v>
      </c>
      <c r="Q119" s="3420"/>
      <c r="R119" s="3420">
        <v>24979.93</v>
      </c>
      <c r="S119" s="3302"/>
    </row>
    <row r="120" spans="12:19">
      <c r="L120" s="3421"/>
      <c r="M120" s="3418" t="s">
        <v>1257</v>
      </c>
      <c r="N120" s="3419" t="s">
        <v>3047</v>
      </c>
      <c r="O120" s="3420"/>
      <c r="P120" s="3420">
        <v>23037.5</v>
      </c>
      <c r="Q120" s="3420"/>
      <c r="R120" s="3420">
        <v>23037.5</v>
      </c>
      <c r="S120" s="3302"/>
    </row>
    <row r="121" spans="12:19">
      <c r="L121" s="3421"/>
      <c r="M121" s="3422"/>
      <c r="N121" s="3419" t="s">
        <v>3048</v>
      </c>
      <c r="O121" s="3420">
        <v>712.5</v>
      </c>
      <c r="P121" s="3420"/>
      <c r="Q121" s="3420"/>
      <c r="R121" s="3420">
        <v>712.5</v>
      </c>
      <c r="S121" s="3302"/>
    </row>
    <row r="122" spans="12:19">
      <c r="L122" s="3421"/>
      <c r="M122" s="3418" t="s">
        <v>1053</v>
      </c>
      <c r="N122" s="3419" t="s">
        <v>3050</v>
      </c>
      <c r="O122" s="3420">
        <v>712.5</v>
      </c>
      <c r="P122" s="3420"/>
      <c r="Q122" s="3420"/>
      <c r="R122" s="3420">
        <v>712.5</v>
      </c>
      <c r="S122" s="3302"/>
    </row>
    <row r="123" spans="12:19">
      <c r="L123" s="3421"/>
      <c r="M123" s="3422"/>
      <c r="N123" s="3419" t="s">
        <v>3052</v>
      </c>
      <c r="O123" s="3420"/>
      <c r="P123" s="3420">
        <v>23037.5</v>
      </c>
      <c r="Q123" s="3420"/>
      <c r="R123" s="3420">
        <v>23037.5</v>
      </c>
      <c r="S123" s="3302"/>
    </row>
    <row r="124" spans="12:19">
      <c r="L124" s="3421"/>
      <c r="M124" s="3418" t="s">
        <v>1260</v>
      </c>
      <c r="N124" s="3419" t="s">
        <v>3053</v>
      </c>
      <c r="O124" s="3420">
        <v>787.5</v>
      </c>
      <c r="P124" s="3420"/>
      <c r="Q124" s="3420"/>
      <c r="R124" s="3420">
        <v>787.5</v>
      </c>
      <c r="S124" s="3302"/>
    </row>
    <row r="125" spans="12:19">
      <c r="L125" s="3429"/>
      <c r="M125" s="3422"/>
      <c r="N125" s="3419" t="s">
        <v>3054</v>
      </c>
      <c r="O125" s="3420"/>
      <c r="P125" s="3420">
        <v>25462.5</v>
      </c>
      <c r="Q125" s="3420"/>
      <c r="R125" s="3420">
        <v>25462.5</v>
      </c>
      <c r="S125" s="3302"/>
    </row>
    <row r="126" spans="12:19">
      <c r="L126" s="3430" t="s">
        <v>3088</v>
      </c>
      <c r="M126" s="3430"/>
      <c r="N126" s="3430"/>
      <c r="O126" s="3431">
        <v>2985.08</v>
      </c>
      <c r="P126" s="3431">
        <v>96517.43</v>
      </c>
      <c r="Q126" s="3431"/>
      <c r="R126" s="3431">
        <v>99502.510000000009</v>
      </c>
      <c r="S126" s="3302">
        <v>97935.01</v>
      </c>
    </row>
    <row r="127" spans="12:19">
      <c r="L127" s="3417" t="s">
        <v>3089</v>
      </c>
      <c r="M127" s="3418" t="s">
        <v>1254</v>
      </c>
      <c r="N127" s="3419" t="s">
        <v>3044</v>
      </c>
      <c r="O127" s="3420">
        <v>772.58</v>
      </c>
      <c r="P127" s="3420"/>
      <c r="Q127" s="3420"/>
      <c r="R127" s="3420">
        <v>772.58</v>
      </c>
      <c r="S127" s="3302"/>
    </row>
    <row r="128" spans="12:19">
      <c r="L128" s="3421"/>
      <c r="M128" s="3422"/>
      <c r="N128" s="3419" t="s">
        <v>3045</v>
      </c>
      <c r="O128" s="3420"/>
      <c r="P128" s="3420">
        <v>24979.93</v>
      </c>
      <c r="Q128" s="3420"/>
      <c r="R128" s="3420">
        <v>24979.93</v>
      </c>
      <c r="S128" s="3302"/>
    </row>
    <row r="129" spans="12:19">
      <c r="L129" s="3421"/>
      <c r="M129" s="3418" t="s">
        <v>1257</v>
      </c>
      <c r="N129" s="3419" t="s">
        <v>3047</v>
      </c>
      <c r="O129" s="3420"/>
      <c r="P129" s="3420">
        <v>23037.5</v>
      </c>
      <c r="Q129" s="3420"/>
      <c r="R129" s="3420">
        <v>23037.5</v>
      </c>
      <c r="S129" s="3302"/>
    </row>
    <row r="130" spans="12:19">
      <c r="L130" s="3421"/>
      <c r="M130" s="3422"/>
      <c r="N130" s="3419" t="s">
        <v>3048</v>
      </c>
      <c r="O130" s="3420">
        <v>712.5</v>
      </c>
      <c r="P130" s="3420"/>
      <c r="Q130" s="3420"/>
      <c r="R130" s="3420">
        <v>712.5</v>
      </c>
      <c r="S130" s="3302"/>
    </row>
    <row r="131" spans="12:19">
      <c r="L131" s="3421"/>
      <c r="M131" s="3418" t="s">
        <v>1053</v>
      </c>
      <c r="N131" s="3419" t="s">
        <v>3050</v>
      </c>
      <c r="O131" s="3420">
        <v>712.5</v>
      </c>
      <c r="P131" s="3420"/>
      <c r="Q131" s="3420"/>
      <c r="R131" s="3420">
        <v>712.5</v>
      </c>
      <c r="S131" s="3302"/>
    </row>
    <row r="132" spans="12:19">
      <c r="L132" s="3421"/>
      <c r="M132" s="3422"/>
      <c r="N132" s="3419" t="s">
        <v>3052</v>
      </c>
      <c r="O132" s="3420"/>
      <c r="P132" s="3420">
        <v>23037.5</v>
      </c>
      <c r="Q132" s="3420"/>
      <c r="R132" s="3420">
        <v>23037.5</v>
      </c>
      <c r="S132" s="3302"/>
    </row>
    <row r="133" spans="12:19">
      <c r="L133" s="3421"/>
      <c r="M133" s="3418" t="s">
        <v>1260</v>
      </c>
      <c r="N133" s="3419" t="s">
        <v>3053</v>
      </c>
      <c r="O133" s="3420">
        <v>712.5</v>
      </c>
      <c r="P133" s="3420"/>
      <c r="Q133" s="3420"/>
      <c r="R133" s="3420">
        <v>712.5</v>
      </c>
      <c r="S133" s="3302"/>
    </row>
    <row r="134" spans="12:19">
      <c r="L134" s="3429"/>
      <c r="M134" s="3422"/>
      <c r="N134" s="3419" t="s">
        <v>3054</v>
      </c>
      <c r="O134" s="3420"/>
      <c r="P134" s="3420">
        <v>23037.5</v>
      </c>
      <c r="Q134" s="3420"/>
      <c r="R134" s="3420">
        <v>23037.5</v>
      </c>
      <c r="S134" s="3302"/>
    </row>
    <row r="135" spans="12:19">
      <c r="L135" s="3430" t="s">
        <v>3090</v>
      </c>
      <c r="M135" s="3430"/>
      <c r="N135" s="3430"/>
      <c r="O135" s="3431">
        <v>2910.08</v>
      </c>
      <c r="P135" s="3431">
        <v>94092.43</v>
      </c>
      <c r="Q135" s="3431"/>
      <c r="R135" s="3431">
        <v>97002.510000000009</v>
      </c>
      <c r="S135" s="3302">
        <v>95472.51</v>
      </c>
    </row>
    <row r="136" spans="12:19">
      <c r="L136" s="3417" t="s">
        <v>3091</v>
      </c>
      <c r="M136" s="3418" t="s">
        <v>1261</v>
      </c>
      <c r="N136" s="3419" t="s">
        <v>3092</v>
      </c>
      <c r="O136" s="3420"/>
      <c r="P136" s="3420">
        <v>7005.55</v>
      </c>
      <c r="Q136" s="3420"/>
      <c r="R136" s="3420">
        <v>7005.55</v>
      </c>
      <c r="S136" s="3302"/>
    </row>
    <row r="137" spans="12:19">
      <c r="L137" s="3429"/>
      <c r="M137" s="3422"/>
      <c r="N137" s="3419" t="s">
        <v>3093</v>
      </c>
      <c r="O137" s="3420">
        <v>216.67</v>
      </c>
      <c r="P137" s="3420"/>
      <c r="Q137" s="3420"/>
      <c r="R137" s="3420">
        <v>216.67</v>
      </c>
      <c r="S137" s="3302"/>
    </row>
    <row r="138" spans="12:19" ht="15" thickBot="1">
      <c r="L138" s="3430" t="s">
        <v>3094</v>
      </c>
      <c r="M138" s="3430"/>
      <c r="N138" s="3430"/>
      <c r="O138" s="3431">
        <v>216.67</v>
      </c>
      <c r="P138" s="3431">
        <v>7005.55</v>
      </c>
      <c r="Q138" s="3431"/>
      <c r="R138" s="3431">
        <v>7222.22</v>
      </c>
      <c r="S138" s="3302">
        <v>7113.8933333333325</v>
      </c>
    </row>
    <row r="139" spans="12:19" ht="15" thickTop="1">
      <c r="L139" s="3443" t="s">
        <v>978</v>
      </c>
      <c r="M139" s="3443"/>
      <c r="N139" s="3443"/>
      <c r="O139" s="3444">
        <v>76063.47</v>
      </c>
      <c r="P139" s="3445">
        <v>1247148.1300000001</v>
      </c>
      <c r="Q139" s="3444">
        <v>1212235.97</v>
      </c>
      <c r="R139" s="3444">
        <v>2535447.5700000008</v>
      </c>
    </row>
    <row r="140" spans="12:19">
      <c r="O140" s="3446">
        <f>-T139</f>
        <v>0</v>
      </c>
      <c r="P140" s="2141"/>
      <c r="Q140" s="3447">
        <f>SUM(P139:Q139)</f>
        <v>2459384.1</v>
      </c>
      <c r="R140" s="3446">
        <f>-T139</f>
        <v>0</v>
      </c>
    </row>
    <row r="141" spans="12:19">
      <c r="N141" s="3448" t="s">
        <v>444</v>
      </c>
      <c r="O141" s="3449">
        <f>SUM(O139:O140)</f>
        <v>76063.47</v>
      </c>
      <c r="P141" s="3450"/>
      <c r="Q141" s="3450"/>
      <c r="R141" s="3449">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ColWidth="8.85546875" defaultRowHeight="15"/>
  <cols>
    <col min="1" max="1" width="14.85546875" style="3452" customWidth="1"/>
    <col min="2" max="2" width="17.85546875" style="3452" customWidth="1"/>
    <col min="3" max="3" width="18.140625" style="3452" bestFit="1" customWidth="1"/>
    <col min="4" max="4" width="12.85546875" style="3452" customWidth="1"/>
    <col min="5" max="5" width="13.140625" style="3452" customWidth="1"/>
    <col min="6" max="6" width="13.28515625" style="3452" customWidth="1"/>
    <col min="7" max="7" width="14.85546875" style="3452" customWidth="1"/>
    <col min="8" max="8" width="13.28515625" style="3452" customWidth="1"/>
    <col min="9" max="9" width="14.7109375" style="3452" customWidth="1"/>
    <col min="10" max="10" width="13.42578125" style="3453" customWidth="1"/>
    <col min="11" max="11" width="13.7109375" style="3453" customWidth="1"/>
    <col min="12" max="12" width="12.28515625" style="3453" customWidth="1"/>
    <col min="13" max="13" width="11" style="3453" customWidth="1"/>
    <col min="14" max="14" width="12" style="3453" customWidth="1"/>
    <col min="15" max="15" width="11.7109375" style="3453" customWidth="1"/>
    <col min="16" max="16" width="1.7109375" style="2142" customWidth="1"/>
    <col min="17" max="17" width="1.7109375" style="2141" customWidth="1"/>
    <col min="18" max="18" width="4" style="2141" bestFit="1" customWidth="1"/>
    <col min="19" max="19" width="13.42578125" style="2831" customWidth="1"/>
    <col min="20" max="20" width="33.7109375" style="2831" customWidth="1"/>
    <col min="21" max="21" width="14" style="3452" customWidth="1"/>
    <col min="22" max="22" width="13.85546875" style="3452" customWidth="1"/>
    <col min="23" max="23" width="13" style="3452" customWidth="1"/>
    <col min="24" max="25" width="10.5703125" style="3452" customWidth="1"/>
    <col min="26" max="26" width="10.7109375" style="3452" customWidth="1"/>
    <col min="27" max="27" width="12.7109375" style="3452" customWidth="1"/>
    <col min="28" max="28" width="13.140625" style="3452" customWidth="1"/>
    <col min="29" max="29" width="14.28515625" style="3452" customWidth="1"/>
    <col min="30" max="30" width="13.42578125" style="3452" customWidth="1"/>
    <col min="31" max="31" width="12.85546875" style="3452" customWidth="1"/>
    <col min="32" max="32" width="12" style="3452" customWidth="1"/>
    <col min="33" max="33" width="10.85546875" style="3452" customWidth="1"/>
    <col min="34" max="34" width="10.5703125" style="3452" customWidth="1"/>
    <col min="35" max="35" width="11.42578125" style="3452" customWidth="1"/>
    <col min="36" max="36" width="15" style="2831" customWidth="1"/>
    <col min="37" max="37" width="24.140625" style="3452" hidden="1" customWidth="1"/>
    <col min="38" max="39" width="11.5703125" style="3452" bestFit="1" customWidth="1"/>
    <col min="40" max="41" width="11.85546875" style="3452" customWidth="1"/>
    <col min="42" max="42" width="12.140625" style="3452" customWidth="1"/>
    <col min="43" max="44" width="11.85546875" style="3452" customWidth="1"/>
    <col min="45" max="45" width="12.42578125" style="3452" customWidth="1"/>
    <col min="46" max="46" width="14.85546875" style="3452" bestFit="1" customWidth="1"/>
    <col min="47" max="47" width="11.85546875" style="3452" customWidth="1"/>
    <col min="48" max="48" width="13.42578125" style="3452" customWidth="1"/>
    <col min="49" max="49" width="11.85546875" style="3452" customWidth="1"/>
    <col min="50" max="50" width="136.140625" style="2831" customWidth="1"/>
    <col min="51" max="51" width="4.140625" style="3456" bestFit="1" customWidth="1"/>
    <col min="52" max="52" width="4.140625" style="3456" customWidth="1"/>
    <col min="53" max="53" width="1.7109375" style="2142" customWidth="1"/>
    <col min="54" max="54" width="8.85546875" style="2141"/>
    <col min="55" max="55" width="8.85546875" style="3668"/>
    <col min="56" max="56" width="13.7109375" style="3668" customWidth="1"/>
    <col min="57" max="57" width="14.28515625" style="3668" bestFit="1" customWidth="1"/>
    <col min="58" max="58" width="18.42578125" style="3668" customWidth="1"/>
    <col min="59" max="59" width="16.5703125" style="3668" customWidth="1"/>
    <col min="60" max="62" width="14.28515625" style="3668" bestFit="1" customWidth="1"/>
    <col min="63" max="63" width="13.28515625" style="3668" bestFit="1" customWidth="1"/>
    <col min="64" max="65" width="17.85546875" style="3668" bestFit="1" customWidth="1"/>
    <col min="66" max="66" width="13.28515625" style="3668" bestFit="1" customWidth="1"/>
    <col min="67" max="75" width="14.28515625" style="3668" bestFit="1" customWidth="1"/>
    <col min="76" max="80" width="13.28515625" style="3668" bestFit="1" customWidth="1"/>
    <col min="81" max="16384" width="8.85546875" style="2141"/>
  </cols>
  <sheetData>
    <row r="1" spans="1:80" ht="18.75">
      <c r="A1" s="3451" t="s">
        <v>3095</v>
      </c>
      <c r="O1" s="3454"/>
      <c r="S1" s="3947" t="s">
        <v>3095</v>
      </c>
      <c r="T1" s="3947"/>
      <c r="U1" s="3455"/>
      <c r="X1" s="3452" t="s">
        <v>3096</v>
      </c>
      <c r="BC1" s="3721"/>
      <c r="BD1" s="3699"/>
      <c r="BE1" s="3699"/>
      <c r="BF1" s="3699"/>
      <c r="BG1" s="3699"/>
      <c r="BH1" s="3699"/>
      <c r="BI1" s="3699"/>
      <c r="BJ1" s="3699"/>
      <c r="BK1" s="3699"/>
      <c r="BL1" s="3699"/>
      <c r="BM1" s="3699"/>
      <c r="BN1" s="3699"/>
      <c r="BO1" s="3699"/>
      <c r="BP1" s="3699"/>
      <c r="BQ1" s="3699"/>
      <c r="BR1" s="3699"/>
      <c r="BS1" s="3699"/>
      <c r="BT1" s="3699"/>
      <c r="BU1" s="3699"/>
      <c r="BV1" s="3699"/>
      <c r="BW1" s="3699"/>
      <c r="BX1" s="3699"/>
      <c r="BY1" s="3699"/>
      <c r="BZ1" s="3699"/>
      <c r="CA1" s="3699"/>
      <c r="CB1" s="3706"/>
    </row>
    <row r="2" spans="1:80" ht="19.5" thickBot="1">
      <c r="A2" s="3948" t="s">
        <v>3097</v>
      </c>
      <c r="S2" s="3457"/>
      <c r="T2" s="3457"/>
      <c r="AN2" s="3458"/>
      <c r="BC2" s="3673"/>
      <c r="CB2" s="3672"/>
    </row>
    <row r="3" spans="1:80" ht="15.75" thickBot="1">
      <c r="A3" s="3948"/>
      <c r="B3" s="3459" t="s">
        <v>3098</v>
      </c>
      <c r="R3" s="2142"/>
      <c r="S3" s="3460" t="s">
        <v>3097</v>
      </c>
      <c r="T3" s="3461">
        <v>0.02</v>
      </c>
      <c r="U3" s="3949" t="s">
        <v>3099</v>
      </c>
      <c r="V3" s="3950"/>
      <c r="W3" s="3951"/>
      <c r="X3" s="3952" t="s">
        <v>3097</v>
      </c>
      <c r="Y3" s="3953"/>
      <c r="Z3" s="3954"/>
      <c r="AA3" s="3955" t="s">
        <v>3100</v>
      </c>
      <c r="AB3" s="3956"/>
      <c r="AC3" s="3957"/>
      <c r="AD3" s="3966" t="s">
        <v>3101</v>
      </c>
      <c r="AE3" s="3967"/>
      <c r="AF3" s="3966" t="s">
        <v>3102</v>
      </c>
      <c r="AG3" s="3967"/>
      <c r="AH3" s="3966" t="s">
        <v>3103</v>
      </c>
      <c r="AI3" s="3967"/>
      <c r="AJ3" s="3462"/>
      <c r="AK3" s="3463"/>
      <c r="AL3" s="3463"/>
      <c r="AM3" s="3464"/>
      <c r="AN3" s="3958" t="s">
        <v>2424</v>
      </c>
      <c r="AO3" s="3959"/>
      <c r="AP3" s="3959"/>
      <c r="AQ3" s="3959"/>
      <c r="AR3" s="3959"/>
      <c r="AS3" s="3960"/>
      <c r="AT3" s="3958" t="s">
        <v>2424</v>
      </c>
      <c r="AU3" s="3959"/>
      <c r="AV3" s="3959"/>
      <c r="AW3" s="3960"/>
      <c r="AX3" s="3465"/>
      <c r="BC3" s="3673"/>
      <c r="CB3" s="3672"/>
    </row>
    <row r="4" spans="1:80" ht="15.75" thickBot="1">
      <c r="A4" s="3466">
        <v>0.02</v>
      </c>
      <c r="B4" s="3459">
        <f>7.61%/0.75248</f>
        <v>0.10113225600680416</v>
      </c>
      <c r="C4" s="3467"/>
      <c r="D4" s="3961" t="s">
        <v>3097</v>
      </c>
      <c r="E4" s="3961" t="s">
        <v>3097</v>
      </c>
      <c r="F4" s="3961" t="s">
        <v>3097</v>
      </c>
      <c r="G4" s="3963" t="s">
        <v>3100</v>
      </c>
      <c r="H4" s="3964"/>
      <c r="I4" s="3964"/>
      <c r="J4" s="3963" t="s">
        <v>3101</v>
      </c>
      <c r="K4" s="3965"/>
      <c r="L4" s="3963" t="s">
        <v>3102</v>
      </c>
      <c r="M4" s="3965"/>
      <c r="N4" s="3963" t="s">
        <v>3103</v>
      </c>
      <c r="O4" s="3965"/>
      <c r="R4" s="2142"/>
      <c r="S4" s="3468" t="s">
        <v>3098</v>
      </c>
      <c r="T4" s="3469">
        <f>7.61%/0.75248</f>
        <v>0.10113225600680416</v>
      </c>
      <c r="U4" s="3470"/>
      <c r="V4" s="3471"/>
      <c r="W4" s="3472"/>
      <c r="X4" s="3473"/>
      <c r="Y4" s="3474"/>
      <c r="Z4" s="3475"/>
      <c r="AA4" s="3476" t="s">
        <v>2424</v>
      </c>
      <c r="AB4" s="3477" t="s">
        <v>2424</v>
      </c>
      <c r="AC4" s="3478" t="s">
        <v>2424</v>
      </c>
      <c r="AD4" s="3479" t="s">
        <v>2424</v>
      </c>
      <c r="AE4" s="3480" t="s">
        <v>2424</v>
      </c>
      <c r="AF4" s="3479" t="s">
        <v>128</v>
      </c>
      <c r="AG4" s="3480" t="s">
        <v>128</v>
      </c>
      <c r="AH4" s="3479" t="s">
        <v>128</v>
      </c>
      <c r="AI4" s="3480" t="s">
        <v>128</v>
      </c>
      <c r="AJ4" s="3481"/>
      <c r="AK4" s="3482"/>
      <c r="AL4" s="3482"/>
      <c r="AM4" s="3483"/>
      <c r="AN4" s="3970" t="s">
        <v>686</v>
      </c>
      <c r="AO4" s="3971"/>
      <c r="AP4" s="3971"/>
      <c r="AQ4" s="3971"/>
      <c r="AR4" s="3971"/>
      <c r="AS4" s="3972"/>
      <c r="AT4" s="3970" t="s">
        <v>3104</v>
      </c>
      <c r="AU4" s="3971"/>
      <c r="AV4" s="3971"/>
      <c r="AW4" s="3972"/>
      <c r="AX4" s="3484"/>
      <c r="BC4" s="3673"/>
      <c r="CB4" s="3672"/>
    </row>
    <row r="5" spans="1:80" ht="39" thickBot="1">
      <c r="A5" s="3973" t="s">
        <v>3105</v>
      </c>
      <c r="B5" s="3973"/>
      <c r="C5" s="3467"/>
      <c r="D5" s="3962"/>
      <c r="E5" s="3962"/>
      <c r="F5" s="3962"/>
      <c r="G5" s="3485" t="s">
        <v>2424</v>
      </c>
      <c r="H5" s="3485" t="s">
        <v>2424</v>
      </c>
      <c r="I5" s="3485" t="s">
        <v>2424</v>
      </c>
      <c r="J5" s="3486" t="s">
        <v>2424</v>
      </c>
      <c r="K5" s="3487" t="s">
        <v>2424</v>
      </c>
      <c r="L5" s="3486" t="s">
        <v>3106</v>
      </c>
      <c r="M5" s="3487" t="s">
        <v>3106</v>
      </c>
      <c r="N5" s="3486" t="s">
        <v>3106</v>
      </c>
      <c r="O5" s="3488" t="s">
        <v>3106</v>
      </c>
      <c r="R5" s="3489" t="s">
        <v>3107</v>
      </c>
      <c r="S5" s="3490" t="s">
        <v>3108</v>
      </c>
      <c r="T5" s="3491" t="s">
        <v>3109</v>
      </c>
      <c r="U5" s="3492">
        <v>2024</v>
      </c>
      <c r="V5" s="3493">
        <v>2025</v>
      </c>
      <c r="W5" s="3494">
        <v>2026</v>
      </c>
      <c r="X5" s="3495" t="s">
        <v>3110</v>
      </c>
      <c r="Y5" s="3496" t="s">
        <v>3111</v>
      </c>
      <c r="Z5" s="3497" t="s">
        <v>3112</v>
      </c>
      <c r="AA5" s="3498" t="s">
        <v>3113</v>
      </c>
      <c r="AB5" s="3499" t="s">
        <v>3114</v>
      </c>
      <c r="AC5" s="3500" t="s">
        <v>3115</v>
      </c>
      <c r="AD5" s="3501" t="s">
        <v>3116</v>
      </c>
      <c r="AE5" s="3502" t="s">
        <v>3117</v>
      </c>
      <c r="AF5" s="3501" t="s">
        <v>3113</v>
      </c>
      <c r="AG5" s="3502" t="s">
        <v>3114</v>
      </c>
      <c r="AH5" s="3503" t="s">
        <v>3116</v>
      </c>
      <c r="AI5" s="3504" t="s">
        <v>3117</v>
      </c>
      <c r="AJ5" s="3505" t="s">
        <v>3118</v>
      </c>
      <c r="AK5" s="3506" t="s">
        <v>3119</v>
      </c>
      <c r="AL5" s="3507" t="s">
        <v>937</v>
      </c>
      <c r="AM5" s="3508" t="s">
        <v>1121</v>
      </c>
      <c r="AN5" s="3509" t="s">
        <v>3120</v>
      </c>
      <c r="AO5" s="3510" t="s">
        <v>3121</v>
      </c>
      <c r="AP5" s="3510" t="s">
        <v>3122</v>
      </c>
      <c r="AQ5" s="3510" t="s">
        <v>3123</v>
      </c>
      <c r="AR5" s="3510" t="s">
        <v>3124</v>
      </c>
      <c r="AS5" s="3511" t="s">
        <v>3125</v>
      </c>
      <c r="AT5" s="3512" t="s">
        <v>3120</v>
      </c>
      <c r="AU5" s="3510" t="s">
        <v>3121</v>
      </c>
      <c r="AV5" s="3510" t="s">
        <v>3122</v>
      </c>
      <c r="AW5" s="3511" t="s">
        <v>3123</v>
      </c>
      <c r="AX5" s="3513" t="s">
        <v>3126</v>
      </c>
      <c r="AY5" s="3456" t="s">
        <v>3107</v>
      </c>
      <c r="BC5" s="3673"/>
      <c r="CB5" s="3672"/>
    </row>
    <row r="6" spans="1:80" ht="51">
      <c r="A6" s="3514">
        <v>2024</v>
      </c>
      <c r="B6" s="3514">
        <v>2025</v>
      </c>
      <c r="C6" s="3514">
        <v>2026</v>
      </c>
      <c r="D6" s="3515" t="s">
        <v>3127</v>
      </c>
      <c r="E6" s="3515" t="s">
        <v>3128</v>
      </c>
      <c r="F6" s="3515" t="s">
        <v>3129</v>
      </c>
      <c r="G6" s="3516" t="s">
        <v>3113</v>
      </c>
      <c r="H6" s="3516" t="s">
        <v>3114</v>
      </c>
      <c r="I6" s="3516" t="s">
        <v>3115</v>
      </c>
      <c r="J6" s="3517" t="s">
        <v>3116</v>
      </c>
      <c r="K6" s="3518" t="s">
        <v>3117</v>
      </c>
      <c r="L6" s="3517" t="s">
        <v>3113</v>
      </c>
      <c r="M6" s="3518" t="s">
        <v>3114</v>
      </c>
      <c r="N6" s="3519" t="s">
        <v>3116</v>
      </c>
      <c r="O6" s="3520" t="s">
        <v>3117</v>
      </c>
      <c r="R6" s="3521">
        <v>1</v>
      </c>
      <c r="S6" s="3522" t="s">
        <v>3130</v>
      </c>
      <c r="T6" s="3523" t="s">
        <v>3131</v>
      </c>
      <c r="U6" s="3524">
        <v>588220</v>
      </c>
      <c r="V6" s="3524">
        <v>0</v>
      </c>
      <c r="W6" s="3524">
        <v>0</v>
      </c>
      <c r="X6" s="3525">
        <f t="shared" ref="X6:Z9" si="0">U6*$T$4*$T$3</f>
        <v>1189.7603125664468</v>
      </c>
      <c r="Y6" s="3525">
        <f t="shared" si="0"/>
        <v>0</v>
      </c>
      <c r="Z6" s="3525">
        <f t="shared" si="0"/>
        <v>0</v>
      </c>
      <c r="AA6" s="3526"/>
      <c r="AB6" s="3526"/>
      <c r="AC6" s="3526"/>
      <c r="AD6" s="3527"/>
      <c r="AE6" s="3527"/>
      <c r="AF6" s="3527"/>
      <c r="AG6" s="3527"/>
      <c r="AH6" s="3527"/>
      <c r="AI6" s="3527"/>
      <c r="AJ6" s="3528"/>
      <c r="AK6" s="3528"/>
      <c r="AL6" s="3529" t="s">
        <v>3132</v>
      </c>
      <c r="AM6" s="3528" t="s">
        <v>3133</v>
      </c>
      <c r="AN6" s="3530">
        <f t="shared" ref="AN6:AN43" si="1">IF(AA6&gt;0,AA6*(VLOOKUP($AM6,$AG$129:$AI$137,2,FALSE)),IF($AM6=$AG$137,$AH$137,X6*(VLOOKUP($AM6,$AG$129:$AI$137,2,FALSE))))</f>
        <v>766.20564129279182</v>
      </c>
      <c r="AO6" s="3530">
        <f t="shared" ref="AO6:AO43" si="2">IF(AA6&gt;0,AA6*(VLOOKUP($AM6,$AG$129:$AI$137,3,FALSE)),IF($AM6=$AG$137,$AH$137,X6*(VLOOKUP($AM6,$AG$129:$AI$137,3,FALSE))))</f>
        <v>0</v>
      </c>
      <c r="AP6" s="3530">
        <f t="shared" ref="AP6:AP43" si="3">IF(AB6&gt;0,AB6*(VLOOKUP($AM6,$AG$129:$AI$137,2,FALSE)),IF($AM6=$AG$137,$AH$137,Y6*(VLOOKUP($AM6,$AG$129:$AI$137,2,FALSE))))</f>
        <v>0</v>
      </c>
      <c r="AQ6" s="3530">
        <f t="shared" ref="AQ6:AQ43" si="4">IF(AB6&gt;0,AB6*(VLOOKUP($AM6,$AG$129:$AI$137,3,FALSE)),IF($AM6=$AG$137,$AH$137,Y6*(VLOOKUP($AM6,$AG$129:$AI$137,3,FALSE))))</f>
        <v>0</v>
      </c>
      <c r="AR6" s="3530">
        <f t="shared" ref="AR6:AR43" si="5">IF(AC6&gt;0,AC6*(VLOOKUP($AM6,$AG$129:$AI$137,2,FALSE)),IF($AM6=$AG$137,$AH$137,Z6*(VLOOKUP($AM6,$AG$129:$AI$137,2,FALSE))))</f>
        <v>0</v>
      </c>
      <c r="AS6" s="3530">
        <f t="shared" ref="AS6:AS43" si="6">IF(AC6&gt;0,AC6*(VLOOKUP($AM6,$AG$129:$AI$137,3,FALSE)),IF($AM6=$AG$137,$AH$137,Z6*(VLOOKUP($AM6,$AG$129:$AI$137,3,FALSE))))</f>
        <v>0</v>
      </c>
      <c r="AT6" s="3530">
        <f t="shared" ref="AT6:AT29" si="7">IF($AM6=$AG$129,(AD6)*$AH$129,IF($AM6=$AG$130,(AD6)*$AH$130,IF($AM6=$AG$131,(AD6)*$AH$131,IF($AM6=$AG$134,(AD6)*$AH$134,IF($AM6=$AG$135,(AD6)*$AH$135,IF($AM6=$AG$136,(AD6)*$AH$136,IF(AM6=$AM$10,0,0)))))))</f>
        <v>0</v>
      </c>
      <c r="AU6" s="3530">
        <f t="shared" ref="AU6:AU29" si="8">IF($AM6=$AG$129,(AD6)*$AI$129,IF($AM6=$AG$130,(AD6)*$AI$130,IF($AM6=$AG$131,(AD6)*$AI$131,IF($AM6=$AG$134,(AD6)*$AI$134,IF($AM6=$AG$135,(AD6)*$AI$135,IF($AM6=$AG$136,(AD6)*$AI$136,IF(AM6=$AM$10,0,0)))))))</f>
        <v>0</v>
      </c>
      <c r="AV6" s="3530">
        <f t="shared" ref="AV6:AV29" si="9">IF($AM6=$AG$129,(AE6)*$AH$129,IF($AM6=$AG$130,(AE6)*$AH$130,IF($AM6=$AG$131,(AE6)*$AH$131,IF($AM6=$AG$134,(AE6)*$AH$134,IF($AM6=$AG$135,(AE6)*$AH$135,IF($AM6=$AG$136,(AE6)*$AH$136,IF(AM6=$AM$10,0,0)))))))</f>
        <v>0</v>
      </c>
      <c r="AW6" s="3530">
        <f t="shared" ref="AW6:AW29" si="10">IF($AM6=$AG$129,(AE6)*$AI$129,IF($AM6=$AG$130,(AE6)*$AI$130,IF($AM6=$AG$131,(AE6)*$AI$131,IF($AM6=$AG$134,(AE6)*$AI$134,IF($AM6=$AG$135,(AE6)*$AI$135,IF($AM6=$AG$136,(AE6)*$AI$136,IF(AM6=$AM$10,0,0)))))))</f>
        <v>0</v>
      </c>
      <c r="AX6" s="3531" t="s">
        <v>3134</v>
      </c>
      <c r="AY6" s="3532">
        <v>1</v>
      </c>
      <c r="AZ6" s="3532"/>
      <c r="BC6" s="3673"/>
      <c r="CB6" s="3672"/>
    </row>
    <row r="7" spans="1:80" ht="30.75" thickBot="1">
      <c r="A7" s="3533">
        <v>409247187.57142854</v>
      </c>
      <c r="B7" s="3533">
        <v>457512047</v>
      </c>
      <c r="C7" s="3533">
        <v>551511322</v>
      </c>
      <c r="D7" s="3974" t="s">
        <v>79</v>
      </c>
      <c r="E7" s="3974"/>
      <c r="F7" s="3974"/>
      <c r="G7" s="3974"/>
      <c r="H7" s="3974"/>
      <c r="I7" s="3974"/>
      <c r="J7" s="3534"/>
      <c r="K7" s="3535"/>
      <c r="L7" s="3534"/>
      <c r="M7" s="3535"/>
      <c r="N7" s="3534"/>
      <c r="R7" s="3521">
        <f t="shared" ref="R7:R70" si="11">R6+1</f>
        <v>2</v>
      </c>
      <c r="S7" s="3522" t="s">
        <v>3130</v>
      </c>
      <c r="T7" s="3523" t="s">
        <v>3135</v>
      </c>
      <c r="U7" s="3524">
        <v>461474</v>
      </c>
      <c r="V7" s="3524">
        <v>0</v>
      </c>
      <c r="W7" s="3524">
        <v>0</v>
      </c>
      <c r="X7" s="3525">
        <f t="shared" si="0"/>
        <v>933.39813416967888</v>
      </c>
      <c r="Y7" s="3525">
        <f t="shared" si="0"/>
        <v>0</v>
      </c>
      <c r="Z7" s="3525">
        <f t="shared" si="0"/>
        <v>0</v>
      </c>
      <c r="AA7" s="3526"/>
      <c r="AB7" s="3526"/>
      <c r="AC7" s="3526"/>
      <c r="AD7" s="3527"/>
      <c r="AE7" s="3527"/>
      <c r="AF7" s="3527"/>
      <c r="AG7" s="3527"/>
      <c r="AH7" s="3527"/>
      <c r="AI7" s="3527"/>
      <c r="AJ7" s="3528"/>
      <c r="AK7" s="3528"/>
      <c r="AL7" s="3529" t="s">
        <v>3132</v>
      </c>
      <c r="AM7" s="3528" t="s">
        <v>3133</v>
      </c>
      <c r="AN7" s="3530">
        <f t="shared" si="1"/>
        <v>601.10839840527319</v>
      </c>
      <c r="AO7" s="3530">
        <f t="shared" si="2"/>
        <v>0</v>
      </c>
      <c r="AP7" s="3530">
        <f t="shared" si="3"/>
        <v>0</v>
      </c>
      <c r="AQ7" s="3530">
        <f t="shared" si="4"/>
        <v>0</v>
      </c>
      <c r="AR7" s="3530">
        <f t="shared" si="5"/>
        <v>0</v>
      </c>
      <c r="AS7" s="3530">
        <f t="shared" si="6"/>
        <v>0</v>
      </c>
      <c r="AT7" s="3530">
        <f t="shared" si="7"/>
        <v>0</v>
      </c>
      <c r="AU7" s="3530">
        <f t="shared" si="8"/>
        <v>0</v>
      </c>
      <c r="AV7" s="3530">
        <f t="shared" si="9"/>
        <v>0</v>
      </c>
      <c r="AW7" s="3530">
        <f t="shared" si="10"/>
        <v>0</v>
      </c>
      <c r="AX7" s="3531" t="s">
        <v>3136</v>
      </c>
      <c r="AY7" s="3532">
        <f t="shared" ref="AY7:AY70" si="12">AY6+1</f>
        <v>2</v>
      </c>
      <c r="AZ7" s="3532"/>
      <c r="BC7" s="3673"/>
      <c r="CB7" s="3672"/>
    </row>
    <row r="8" spans="1:80" ht="15.75" thickTop="1">
      <c r="D8" s="3968" t="s">
        <v>3137</v>
      </c>
      <c r="E8" s="3968" t="s">
        <v>3138</v>
      </c>
      <c r="F8" s="3968" t="s">
        <v>3139</v>
      </c>
      <c r="G8" s="3536" t="s">
        <v>3140</v>
      </c>
      <c r="H8" s="3536" t="s">
        <v>3141</v>
      </c>
      <c r="I8" s="3537" t="s">
        <v>3142</v>
      </c>
      <c r="J8" s="3534"/>
      <c r="K8" s="3535"/>
      <c r="L8" s="3534"/>
      <c r="M8" s="3535"/>
      <c r="N8" s="3534"/>
      <c r="R8" s="3521">
        <f t="shared" si="11"/>
        <v>3</v>
      </c>
      <c r="S8" s="3522" t="s">
        <v>3130</v>
      </c>
      <c r="T8" s="3523" t="s">
        <v>3143</v>
      </c>
      <c r="U8" s="3524">
        <v>0</v>
      </c>
      <c r="V8" s="3524">
        <v>482311</v>
      </c>
      <c r="W8" s="3524">
        <v>0</v>
      </c>
      <c r="X8" s="3525">
        <f t="shared" si="0"/>
        <v>0</v>
      </c>
      <c r="Y8" s="3525">
        <f t="shared" si="0"/>
        <v>975.54399053795441</v>
      </c>
      <c r="Z8" s="3525">
        <f t="shared" si="0"/>
        <v>0</v>
      </c>
      <c r="AA8" s="3526"/>
      <c r="AB8" s="3526"/>
      <c r="AC8" s="3526"/>
      <c r="AD8" s="3527"/>
      <c r="AE8" s="3527"/>
      <c r="AF8" s="3527"/>
      <c r="AG8" s="3527"/>
      <c r="AH8" s="3527"/>
      <c r="AI8" s="3527"/>
      <c r="AJ8" s="3528"/>
      <c r="AK8" s="3528"/>
      <c r="AL8" s="3529" t="s">
        <v>3132</v>
      </c>
      <c r="AM8" s="3528" t="s">
        <v>3133</v>
      </c>
      <c r="AN8" s="3530">
        <f t="shared" si="1"/>
        <v>0</v>
      </c>
      <c r="AO8" s="3530">
        <f t="shared" si="2"/>
        <v>0</v>
      </c>
      <c r="AP8" s="3530">
        <f t="shared" si="3"/>
        <v>628.25032990644263</v>
      </c>
      <c r="AQ8" s="3530">
        <f t="shared" si="4"/>
        <v>0</v>
      </c>
      <c r="AR8" s="3530">
        <f t="shared" si="5"/>
        <v>0</v>
      </c>
      <c r="AS8" s="3530">
        <f t="shared" si="6"/>
        <v>0</v>
      </c>
      <c r="AT8" s="3530">
        <f t="shared" si="7"/>
        <v>0</v>
      </c>
      <c r="AU8" s="3530">
        <f t="shared" si="8"/>
        <v>0</v>
      </c>
      <c r="AV8" s="3530">
        <f t="shared" si="9"/>
        <v>0</v>
      </c>
      <c r="AW8" s="3530">
        <f t="shared" si="10"/>
        <v>0</v>
      </c>
      <c r="AX8" s="3531" t="s">
        <v>3134</v>
      </c>
      <c r="AY8" s="3532">
        <f t="shared" si="12"/>
        <v>3</v>
      </c>
      <c r="AZ8" s="3532"/>
      <c r="BC8" s="3673"/>
      <c r="CB8" s="3672"/>
    </row>
    <row r="9" spans="1:80" ht="75">
      <c r="D9" s="3969"/>
      <c r="E9" s="3969"/>
      <c r="F9" s="3969"/>
      <c r="G9" s="3516"/>
      <c r="H9" s="3516"/>
      <c r="I9" s="3516"/>
      <c r="J9" s="3534"/>
      <c r="K9" s="3535"/>
      <c r="L9" s="3534"/>
      <c r="M9" s="3535"/>
      <c r="N9" s="3534"/>
      <c r="R9" s="3521">
        <f t="shared" si="11"/>
        <v>4</v>
      </c>
      <c r="S9" s="3522" t="s">
        <v>3144</v>
      </c>
      <c r="T9" s="3523" t="s">
        <v>3145</v>
      </c>
      <c r="U9" s="3524">
        <v>799996</v>
      </c>
      <c r="V9" s="3524">
        <v>799998</v>
      </c>
      <c r="W9" s="3524">
        <v>800002</v>
      </c>
      <c r="X9" s="3525">
        <f t="shared" si="0"/>
        <v>1618.108005528386</v>
      </c>
      <c r="Y9" s="3525">
        <f t="shared" si="0"/>
        <v>1618.1120508186264</v>
      </c>
      <c r="Z9" s="3525">
        <f t="shared" si="0"/>
        <v>1618.1201413991071</v>
      </c>
      <c r="AA9" s="3538">
        <v>0</v>
      </c>
      <c r="AB9" s="3538">
        <v>0</v>
      </c>
      <c r="AC9" s="3538">
        <v>0</v>
      </c>
      <c r="AD9" s="3539">
        <v>1000000</v>
      </c>
      <c r="AE9" s="3539">
        <v>1000000</v>
      </c>
      <c r="AF9" s="3539">
        <v>0</v>
      </c>
      <c r="AG9" s="3539">
        <v>0</v>
      </c>
      <c r="AH9" s="3539">
        <v>0</v>
      </c>
      <c r="AI9" s="3539">
        <v>0</v>
      </c>
      <c r="AJ9" s="3540"/>
      <c r="AK9" s="3529"/>
      <c r="AL9" s="3529" t="s">
        <v>839</v>
      </c>
      <c r="AM9" s="3529" t="s">
        <v>839</v>
      </c>
      <c r="AN9" s="3530">
        <f t="shared" si="1"/>
        <v>759.46022474580491</v>
      </c>
      <c r="AO9" s="3530">
        <f t="shared" si="2"/>
        <v>240.40492253837564</v>
      </c>
      <c r="AP9" s="3530">
        <f t="shared" si="3"/>
        <v>759.4621234058601</v>
      </c>
      <c r="AQ9" s="3530">
        <f t="shared" si="4"/>
        <v>240.40552355368709</v>
      </c>
      <c r="AR9" s="3530">
        <f t="shared" si="5"/>
        <v>759.46592072597048</v>
      </c>
      <c r="AS9" s="3530">
        <f t="shared" si="6"/>
        <v>240.40672558430995</v>
      </c>
      <c r="AT9" s="3530">
        <f t="shared" si="7"/>
        <v>469350.76159999997</v>
      </c>
      <c r="AU9" s="3530">
        <f t="shared" si="8"/>
        <v>148571.61679999999</v>
      </c>
      <c r="AV9" s="3530">
        <f t="shared" si="9"/>
        <v>469350.76159999997</v>
      </c>
      <c r="AW9" s="3530">
        <f t="shared" si="10"/>
        <v>148571.61679999999</v>
      </c>
      <c r="AX9" s="3531" t="s">
        <v>3146</v>
      </c>
      <c r="AY9" s="3532">
        <f t="shared" si="12"/>
        <v>4</v>
      </c>
      <c r="AZ9" s="3532"/>
      <c r="BC9" s="3673"/>
      <c r="CB9" s="3672"/>
    </row>
    <row r="10" spans="1:80" ht="25.5">
      <c r="A10" s="3541"/>
      <c r="B10" s="3452" t="s">
        <v>3147</v>
      </c>
      <c r="C10" s="3542" t="s">
        <v>3148</v>
      </c>
      <c r="D10" s="3543">
        <v>541247.17354576103</v>
      </c>
      <c r="E10" s="3543">
        <v>650248.29056453321</v>
      </c>
      <c r="F10" s="3543">
        <v>811419.68647405924</v>
      </c>
      <c r="G10" s="3543">
        <v>609174</v>
      </c>
      <c r="H10" s="3543">
        <v>696605</v>
      </c>
      <c r="I10" s="3543">
        <v>1067991</v>
      </c>
      <c r="J10" s="3544">
        <v>158279926.33333334</v>
      </c>
      <c r="K10" s="3545">
        <v>160781859.33333334</v>
      </c>
      <c r="L10" s="3544">
        <v>3602994</v>
      </c>
      <c r="M10" s="3545">
        <v>979594</v>
      </c>
      <c r="N10" s="3544">
        <v>8881101</v>
      </c>
      <c r="O10" s="3546">
        <v>9246942</v>
      </c>
      <c r="R10" s="3521">
        <f t="shared" si="11"/>
        <v>5</v>
      </c>
      <c r="S10" s="3522" t="s">
        <v>3130</v>
      </c>
      <c r="T10" s="3523" t="s">
        <v>3149</v>
      </c>
      <c r="U10" s="3524">
        <v>600000</v>
      </c>
      <c r="V10" s="3524">
        <v>399879</v>
      </c>
      <c r="W10" s="3524">
        <v>72902</v>
      </c>
      <c r="X10" s="3547" t="s">
        <v>3150</v>
      </c>
      <c r="Y10" s="3547" t="s">
        <v>3150</v>
      </c>
      <c r="Z10" s="3547" t="s">
        <v>3150</v>
      </c>
      <c r="AA10" s="3538">
        <v>0</v>
      </c>
      <c r="AB10" s="3538">
        <v>0</v>
      </c>
      <c r="AC10" s="3538">
        <v>0</v>
      </c>
      <c r="AD10" s="3539">
        <v>0</v>
      </c>
      <c r="AE10" s="3539">
        <v>0</v>
      </c>
      <c r="AF10" s="3539">
        <v>0</v>
      </c>
      <c r="AG10" s="3539">
        <v>0</v>
      </c>
      <c r="AH10" s="3539">
        <v>0</v>
      </c>
      <c r="AI10" s="3539">
        <v>0</v>
      </c>
      <c r="AJ10" s="3540" t="s">
        <v>3151</v>
      </c>
      <c r="AK10" s="3529"/>
      <c r="AL10" s="3529" t="s">
        <v>3132</v>
      </c>
      <c r="AM10" s="3529" t="s">
        <v>3152</v>
      </c>
      <c r="AN10" s="3530">
        <f t="shared" si="1"/>
        <v>0</v>
      </c>
      <c r="AO10" s="3530">
        <f t="shared" si="2"/>
        <v>0</v>
      </c>
      <c r="AP10" s="3530">
        <f t="shared" si="3"/>
        <v>0</v>
      </c>
      <c r="AQ10" s="3530">
        <f t="shared" si="4"/>
        <v>0</v>
      </c>
      <c r="AR10" s="3530">
        <f t="shared" si="5"/>
        <v>0</v>
      </c>
      <c r="AS10" s="3530">
        <f t="shared" si="6"/>
        <v>0</v>
      </c>
      <c r="AT10" s="3530">
        <f t="shared" si="7"/>
        <v>0</v>
      </c>
      <c r="AU10" s="3530">
        <f t="shared" si="8"/>
        <v>0</v>
      </c>
      <c r="AV10" s="3530">
        <f t="shared" si="9"/>
        <v>0</v>
      </c>
      <c r="AW10" s="3530">
        <f t="shared" si="10"/>
        <v>0</v>
      </c>
      <c r="AX10" s="3531" t="s">
        <v>3134</v>
      </c>
      <c r="AY10" s="3532">
        <f t="shared" si="12"/>
        <v>5</v>
      </c>
      <c r="AZ10" s="3532"/>
      <c r="BC10" s="3673"/>
      <c r="CB10" s="3672"/>
    </row>
    <row r="11" spans="1:80">
      <c r="G11" s="3541"/>
      <c r="H11" s="3541"/>
      <c r="I11" s="3541"/>
      <c r="R11" s="3521">
        <f t="shared" si="11"/>
        <v>6</v>
      </c>
      <c r="S11" s="3522" t="s">
        <v>3130</v>
      </c>
      <c r="T11" s="3523" t="s">
        <v>3153</v>
      </c>
      <c r="U11" s="3524">
        <v>0</v>
      </c>
      <c r="V11" s="3524">
        <v>11259147</v>
      </c>
      <c r="W11" s="3524">
        <v>0</v>
      </c>
      <c r="X11" s="3525">
        <f t="shared" ref="X11:Z12" si="13">U11*$T$4*$T$3</f>
        <v>0</v>
      </c>
      <c r="Y11" s="3525">
        <f t="shared" si="13"/>
        <v>22773.258736444819</v>
      </c>
      <c r="Z11" s="3525">
        <f t="shared" si="13"/>
        <v>0</v>
      </c>
      <c r="AA11" s="3538">
        <v>0</v>
      </c>
      <c r="AB11" s="3538">
        <v>0</v>
      </c>
      <c r="AC11" s="3538">
        <v>0</v>
      </c>
      <c r="AD11" s="3539">
        <v>0</v>
      </c>
      <c r="AE11" s="3539">
        <v>0</v>
      </c>
      <c r="AF11" s="3539">
        <v>0</v>
      </c>
      <c r="AG11" s="3539">
        <v>0</v>
      </c>
      <c r="AH11" s="3539">
        <v>0</v>
      </c>
      <c r="AI11" s="3539">
        <v>0</v>
      </c>
      <c r="AJ11" s="3540"/>
      <c r="AK11" s="3529" t="s">
        <v>2863</v>
      </c>
      <c r="AL11" s="3529" t="s">
        <v>3132</v>
      </c>
      <c r="AM11" s="3529" t="s">
        <v>3133</v>
      </c>
      <c r="AN11" s="3530">
        <f t="shared" si="1"/>
        <v>0</v>
      </c>
      <c r="AO11" s="3530">
        <f t="shared" si="2"/>
        <v>0</v>
      </c>
      <c r="AP11" s="3530">
        <f t="shared" si="3"/>
        <v>14665.978626270464</v>
      </c>
      <c r="AQ11" s="3530">
        <f t="shared" si="4"/>
        <v>0</v>
      </c>
      <c r="AR11" s="3530">
        <f t="shared" si="5"/>
        <v>0</v>
      </c>
      <c r="AS11" s="3530">
        <f t="shared" si="6"/>
        <v>0</v>
      </c>
      <c r="AT11" s="3530">
        <f t="shared" si="7"/>
        <v>0</v>
      </c>
      <c r="AU11" s="3530">
        <f t="shared" si="8"/>
        <v>0</v>
      </c>
      <c r="AV11" s="3530">
        <f t="shared" si="9"/>
        <v>0</v>
      </c>
      <c r="AW11" s="3530">
        <f t="shared" si="10"/>
        <v>0</v>
      </c>
      <c r="AX11" s="3531" t="s">
        <v>3134</v>
      </c>
      <c r="AY11" s="3532">
        <f t="shared" si="12"/>
        <v>6</v>
      </c>
      <c r="AZ11" s="3532"/>
      <c r="BC11" s="3673"/>
      <c r="CB11" s="3672"/>
    </row>
    <row r="12" spans="1:80" ht="120.75" thickBot="1">
      <c r="A12" s="3975" t="s">
        <v>3154</v>
      </c>
      <c r="B12" s="3976"/>
      <c r="C12" s="3976"/>
      <c r="D12" s="3976"/>
      <c r="E12" s="3976"/>
      <c r="F12" s="3976"/>
      <c r="G12" s="3976"/>
      <c r="H12" s="3976"/>
      <c r="I12" s="3976"/>
      <c r="J12" s="3977"/>
      <c r="O12" s="3548"/>
      <c r="R12" s="3521">
        <f t="shared" si="11"/>
        <v>7</v>
      </c>
      <c r="S12" s="3522" t="s">
        <v>3155</v>
      </c>
      <c r="T12" s="3523" t="s">
        <v>3156</v>
      </c>
      <c r="U12" s="3524">
        <v>0</v>
      </c>
      <c r="V12" s="3549">
        <v>0</v>
      </c>
      <c r="W12" s="3524">
        <v>3499757</v>
      </c>
      <c r="X12" s="3525">
        <f t="shared" si="13"/>
        <v>0</v>
      </c>
      <c r="Y12" s="3525">
        <f t="shared" si="13"/>
        <v>0</v>
      </c>
      <c r="Z12" s="3525">
        <f t="shared" si="13"/>
        <v>7078.7664177120978</v>
      </c>
      <c r="AA12" s="3538">
        <v>0</v>
      </c>
      <c r="AB12" s="3538">
        <v>0</v>
      </c>
      <c r="AC12" s="3538">
        <v>0</v>
      </c>
      <c r="AD12" s="3539">
        <v>0</v>
      </c>
      <c r="AE12" s="3539">
        <v>0</v>
      </c>
      <c r="AF12" s="3539">
        <v>0</v>
      </c>
      <c r="AG12" s="3539">
        <v>0</v>
      </c>
      <c r="AH12" s="3539">
        <v>0</v>
      </c>
      <c r="AI12" s="3539">
        <v>0</v>
      </c>
      <c r="AJ12" s="3540"/>
      <c r="AK12" s="3529"/>
      <c r="AL12" s="3529" t="s">
        <v>839</v>
      </c>
      <c r="AM12" s="3529" t="s">
        <v>3152</v>
      </c>
      <c r="AN12" s="3530">
        <f t="shared" si="1"/>
        <v>0</v>
      </c>
      <c r="AO12" s="3530">
        <f t="shared" si="2"/>
        <v>0</v>
      </c>
      <c r="AP12" s="3530">
        <f t="shared" si="3"/>
        <v>0</v>
      </c>
      <c r="AQ12" s="3530">
        <f t="shared" si="4"/>
        <v>0</v>
      </c>
      <c r="AR12" s="3530">
        <f t="shared" si="5"/>
        <v>0</v>
      </c>
      <c r="AS12" s="3530">
        <f t="shared" si="6"/>
        <v>0</v>
      </c>
      <c r="AT12" s="3530">
        <f t="shared" si="7"/>
        <v>0</v>
      </c>
      <c r="AU12" s="3530">
        <f t="shared" si="8"/>
        <v>0</v>
      </c>
      <c r="AV12" s="3530">
        <f t="shared" si="9"/>
        <v>0</v>
      </c>
      <c r="AW12" s="3530">
        <f t="shared" si="10"/>
        <v>0</v>
      </c>
      <c r="AX12" s="3531" t="s">
        <v>3157</v>
      </c>
      <c r="AY12" s="3532">
        <f t="shared" si="12"/>
        <v>7</v>
      </c>
      <c r="AZ12" s="3532"/>
      <c r="BC12" s="3673"/>
      <c r="CB12" s="3672"/>
    </row>
    <row r="13" spans="1:80" ht="30">
      <c r="A13" s="3978" t="s">
        <v>686</v>
      </c>
      <c r="B13" s="3979"/>
      <c r="C13" s="3979"/>
      <c r="D13" s="3979"/>
      <c r="E13" s="3979"/>
      <c r="F13" s="3980"/>
      <c r="G13" s="3981" t="s">
        <v>3104</v>
      </c>
      <c r="H13" s="3982"/>
      <c r="I13" s="3982"/>
      <c r="J13" s="3983"/>
      <c r="O13" s="3548"/>
      <c r="R13" s="3521">
        <f t="shared" si="11"/>
        <v>8</v>
      </c>
      <c r="S13" s="3522" t="s">
        <v>3130</v>
      </c>
      <c r="T13" s="3523" t="s">
        <v>3158</v>
      </c>
      <c r="U13" s="3524">
        <v>3027380</v>
      </c>
      <c r="V13" s="3524">
        <v>2663700</v>
      </c>
      <c r="W13" s="3524">
        <v>3291708</v>
      </c>
      <c r="X13" s="3547" t="s">
        <v>3150</v>
      </c>
      <c r="Y13" s="3547" t="s">
        <v>3150</v>
      </c>
      <c r="Z13" s="3547" t="s">
        <v>3150</v>
      </c>
      <c r="AA13" s="3538">
        <v>0</v>
      </c>
      <c r="AB13" s="3538">
        <v>0</v>
      </c>
      <c r="AC13" s="3538">
        <v>0</v>
      </c>
      <c r="AD13" s="3539">
        <v>0</v>
      </c>
      <c r="AE13" s="3539">
        <v>0</v>
      </c>
      <c r="AF13" s="3539">
        <v>0</v>
      </c>
      <c r="AG13" s="3539">
        <v>0</v>
      </c>
      <c r="AH13" s="3539">
        <v>0</v>
      </c>
      <c r="AI13" s="3539">
        <v>0</v>
      </c>
      <c r="AJ13" s="3540" t="s">
        <v>3151</v>
      </c>
      <c r="AK13" s="3529"/>
      <c r="AL13" s="3529" t="s">
        <v>3132</v>
      </c>
      <c r="AM13" s="3529" t="s">
        <v>3152</v>
      </c>
      <c r="AN13" s="3530">
        <f t="shared" si="1"/>
        <v>0</v>
      </c>
      <c r="AO13" s="3530">
        <f t="shared" si="2"/>
        <v>0</v>
      </c>
      <c r="AP13" s="3530">
        <f t="shared" si="3"/>
        <v>0</v>
      </c>
      <c r="AQ13" s="3530">
        <f t="shared" si="4"/>
        <v>0</v>
      </c>
      <c r="AR13" s="3530">
        <f t="shared" si="5"/>
        <v>0</v>
      </c>
      <c r="AS13" s="3530">
        <f t="shared" si="6"/>
        <v>0</v>
      </c>
      <c r="AT13" s="3530">
        <f t="shared" si="7"/>
        <v>0</v>
      </c>
      <c r="AU13" s="3530">
        <f t="shared" si="8"/>
        <v>0</v>
      </c>
      <c r="AV13" s="3530">
        <f t="shared" si="9"/>
        <v>0</v>
      </c>
      <c r="AW13" s="3530">
        <f t="shared" si="10"/>
        <v>0</v>
      </c>
      <c r="AX13" s="3550" t="s">
        <v>3159</v>
      </c>
      <c r="AY13" s="3532">
        <f t="shared" si="12"/>
        <v>8</v>
      </c>
      <c r="AZ13" s="3532"/>
      <c r="BC13" s="3673"/>
      <c r="CB13" s="3672"/>
    </row>
    <row r="14" spans="1:80" ht="30.75" thickBot="1">
      <c r="A14" s="3551" t="s">
        <v>3120</v>
      </c>
      <c r="B14" s="3552" t="s">
        <v>3121</v>
      </c>
      <c r="C14" s="3553" t="s">
        <v>3122</v>
      </c>
      <c r="D14" s="3552" t="s">
        <v>3123</v>
      </c>
      <c r="E14" s="3553" t="s">
        <v>3124</v>
      </c>
      <c r="F14" s="3554" t="s">
        <v>3125</v>
      </c>
      <c r="G14" s="3555" t="s">
        <v>3122</v>
      </c>
      <c r="H14" s="3556" t="s">
        <v>3123</v>
      </c>
      <c r="I14" s="3553" t="s">
        <v>3124</v>
      </c>
      <c r="J14" s="3557" t="s">
        <v>3125</v>
      </c>
      <c r="K14" s="3558"/>
      <c r="O14" s="3548"/>
      <c r="R14" s="3521">
        <f t="shared" si="11"/>
        <v>9</v>
      </c>
      <c r="S14" s="3522" t="s">
        <v>3155</v>
      </c>
      <c r="T14" s="3523" t="s">
        <v>3160</v>
      </c>
      <c r="U14" s="3559">
        <v>650119</v>
      </c>
      <c r="V14" s="3559">
        <v>569999</v>
      </c>
      <c r="W14" s="3559">
        <v>99997</v>
      </c>
      <c r="X14" s="3547" t="s">
        <v>3150</v>
      </c>
      <c r="Y14" s="3547" t="s">
        <v>3150</v>
      </c>
      <c r="Z14" s="3547" t="s">
        <v>3150</v>
      </c>
      <c r="AA14" s="3538">
        <v>0</v>
      </c>
      <c r="AB14" s="3538">
        <v>0</v>
      </c>
      <c r="AC14" s="3538">
        <v>0</v>
      </c>
      <c r="AD14" s="3539">
        <v>0</v>
      </c>
      <c r="AE14" s="3539">
        <v>0</v>
      </c>
      <c r="AF14" s="3539">
        <v>0</v>
      </c>
      <c r="AG14" s="3539">
        <v>0</v>
      </c>
      <c r="AH14" s="3539">
        <v>0</v>
      </c>
      <c r="AI14" s="3539">
        <v>0</v>
      </c>
      <c r="AJ14" s="3560" t="s">
        <v>3161</v>
      </c>
      <c r="AK14" s="3561"/>
      <c r="AL14" s="3561" t="s">
        <v>3132</v>
      </c>
      <c r="AM14" s="3561" t="s">
        <v>3152</v>
      </c>
      <c r="AN14" s="3530">
        <f t="shared" si="1"/>
        <v>0</v>
      </c>
      <c r="AO14" s="3530">
        <f t="shared" si="2"/>
        <v>0</v>
      </c>
      <c r="AP14" s="3530">
        <f t="shared" si="3"/>
        <v>0</v>
      </c>
      <c r="AQ14" s="3530">
        <f t="shared" si="4"/>
        <v>0</v>
      </c>
      <c r="AR14" s="3530">
        <f t="shared" si="5"/>
        <v>0</v>
      </c>
      <c r="AS14" s="3530">
        <f t="shared" si="6"/>
        <v>0</v>
      </c>
      <c r="AT14" s="3562">
        <f t="shared" si="7"/>
        <v>0</v>
      </c>
      <c r="AU14" s="3562">
        <f t="shared" si="8"/>
        <v>0</v>
      </c>
      <c r="AV14" s="3562">
        <f t="shared" si="9"/>
        <v>0</v>
      </c>
      <c r="AW14" s="3562">
        <f t="shared" si="10"/>
        <v>0</v>
      </c>
      <c r="AX14" s="3531" t="s">
        <v>3162</v>
      </c>
      <c r="AY14" s="3532">
        <f t="shared" si="12"/>
        <v>9</v>
      </c>
      <c r="AZ14" s="3532"/>
      <c r="BC14" s="3673"/>
      <c r="CB14" s="3672"/>
    </row>
    <row r="15" spans="1:80" ht="25.5">
      <c r="A15" s="3563"/>
      <c r="C15" s="3564"/>
      <c r="E15" s="3564"/>
      <c r="F15" s="3565"/>
      <c r="G15" s="3563"/>
      <c r="I15" s="3564"/>
      <c r="J15" s="3566"/>
      <c r="N15" s="3567"/>
      <c r="O15" s="3548"/>
      <c r="R15" s="3521">
        <f t="shared" si="11"/>
        <v>10</v>
      </c>
      <c r="S15" s="3522" t="s">
        <v>3144</v>
      </c>
      <c r="T15" s="3523" t="s">
        <v>3163</v>
      </c>
      <c r="U15" s="3524">
        <v>1516187</v>
      </c>
      <c r="V15" s="3524">
        <v>941295</v>
      </c>
      <c r="W15" s="3524">
        <v>2647447</v>
      </c>
      <c r="X15" s="3525">
        <f t="shared" ref="X15:Z25" si="14">U15*$T$4*$T$3</f>
        <v>3066.7082367637677</v>
      </c>
      <c r="Y15" s="3525">
        <f t="shared" si="14"/>
        <v>1903.9057383584945</v>
      </c>
      <c r="Z15" s="3525">
        <f t="shared" si="14"/>
        <v>5354.8457553689141</v>
      </c>
      <c r="AA15" s="3538">
        <v>0</v>
      </c>
      <c r="AB15" s="3538">
        <v>0</v>
      </c>
      <c r="AC15" s="3538">
        <v>0</v>
      </c>
      <c r="AD15" s="3539">
        <v>0</v>
      </c>
      <c r="AE15" s="3539">
        <v>0</v>
      </c>
      <c r="AF15" s="3539">
        <v>0</v>
      </c>
      <c r="AG15" s="3539">
        <v>0</v>
      </c>
      <c r="AH15" s="3539">
        <v>0</v>
      </c>
      <c r="AI15" s="3539">
        <v>0</v>
      </c>
      <c r="AJ15" s="3540" t="s">
        <v>3164</v>
      </c>
      <c r="AK15" s="3529"/>
      <c r="AL15" s="3529" t="s">
        <v>839</v>
      </c>
      <c r="AM15" s="3529" t="s">
        <v>839</v>
      </c>
      <c r="AN15" s="3530">
        <f t="shared" si="1"/>
        <v>1439.3618465300674</v>
      </c>
      <c r="AO15" s="3530">
        <f t="shared" si="2"/>
        <v>455.62580098987019</v>
      </c>
      <c r="AP15" s="3530">
        <f t="shared" si="3"/>
        <v>893.5996083131696</v>
      </c>
      <c r="AQ15" s="3530">
        <f t="shared" si="4"/>
        <v>282.86635378271933</v>
      </c>
      <c r="AR15" s="3530">
        <f t="shared" si="5"/>
        <v>2513.3009335329266</v>
      </c>
      <c r="AS15" s="3530">
        <f t="shared" si="6"/>
        <v>795.57809158977682</v>
      </c>
      <c r="AT15" s="3530">
        <f t="shared" si="7"/>
        <v>0</v>
      </c>
      <c r="AU15" s="3530">
        <f t="shared" si="8"/>
        <v>0</v>
      </c>
      <c r="AV15" s="3530">
        <f t="shared" si="9"/>
        <v>0</v>
      </c>
      <c r="AW15" s="3530">
        <f t="shared" si="10"/>
        <v>0</v>
      </c>
      <c r="AX15" s="3531" t="s">
        <v>3134</v>
      </c>
      <c r="AY15" s="3532">
        <f t="shared" si="12"/>
        <v>10</v>
      </c>
      <c r="AZ15" s="3532"/>
      <c r="BC15" s="3701">
        <v>1</v>
      </c>
      <c r="BD15" s="3700" t="s">
        <v>3185</v>
      </c>
      <c r="BE15" s="3720"/>
      <c r="BF15" s="3699"/>
      <c r="BG15" s="3699"/>
      <c r="BH15" s="3699"/>
      <c r="BI15" s="3699"/>
      <c r="BJ15" s="3699"/>
      <c r="BK15" s="3699"/>
      <c r="BL15" s="3699"/>
      <c r="BM15" s="3699"/>
      <c r="BN15" s="3699"/>
      <c r="BO15" s="3699"/>
      <c r="BP15" s="3699"/>
      <c r="BQ15" s="3699"/>
      <c r="BR15" s="3699"/>
      <c r="BS15" s="3699"/>
      <c r="BT15" s="3699"/>
      <c r="BU15" s="3699"/>
      <c r="BV15" s="3699"/>
      <c r="BW15" s="3699"/>
      <c r="BX15" s="3699"/>
      <c r="BY15" s="3699"/>
      <c r="BZ15" s="3699"/>
      <c r="CA15" s="3699"/>
      <c r="CB15" s="3706"/>
    </row>
    <row r="16" spans="1:80" ht="60">
      <c r="A16" s="3563"/>
      <c r="C16" s="3564"/>
      <c r="E16" s="3564"/>
      <c r="F16" s="3565"/>
      <c r="G16" s="3563"/>
      <c r="I16" s="3564"/>
      <c r="J16" s="3566"/>
      <c r="R16" s="3521">
        <f t="shared" si="11"/>
        <v>11</v>
      </c>
      <c r="S16" s="3522" t="s">
        <v>3165</v>
      </c>
      <c r="T16" s="3523" t="s">
        <v>3166</v>
      </c>
      <c r="U16" s="3524">
        <v>5013000</v>
      </c>
      <c r="V16" s="3524">
        <v>4775000</v>
      </c>
      <c r="W16" s="3524">
        <v>4375000</v>
      </c>
      <c r="X16" s="3525">
        <f t="shared" si="14"/>
        <v>10139.519987242185</v>
      </c>
      <c r="Y16" s="3525">
        <f t="shared" si="14"/>
        <v>9658.1304486497975</v>
      </c>
      <c r="Z16" s="3525">
        <f t="shared" si="14"/>
        <v>8849.0724005953653</v>
      </c>
      <c r="AA16" s="3538">
        <v>0</v>
      </c>
      <c r="AB16" s="3538">
        <v>0</v>
      </c>
      <c r="AC16" s="3538">
        <v>0</v>
      </c>
      <c r="AD16" s="3539">
        <v>1007949</v>
      </c>
      <c r="AE16" s="3539">
        <v>1007949</v>
      </c>
      <c r="AF16" s="3539">
        <v>0</v>
      </c>
      <c r="AG16" s="3539">
        <v>0</v>
      </c>
      <c r="AH16" s="3539">
        <v>0</v>
      </c>
      <c r="AI16" s="3539">
        <v>0</v>
      </c>
      <c r="AJ16" s="3540"/>
      <c r="AK16" s="3529" t="s">
        <v>3167</v>
      </c>
      <c r="AL16" s="3529" t="s">
        <v>839</v>
      </c>
      <c r="AM16" s="3529" t="s">
        <v>839</v>
      </c>
      <c r="AN16" s="3530">
        <f t="shared" si="1"/>
        <v>4758.9914282705413</v>
      </c>
      <c r="AO16" s="3530">
        <f t="shared" si="2"/>
        <v>1506.4448780804869</v>
      </c>
      <c r="AP16" s="3530">
        <f t="shared" si="3"/>
        <v>4533.0508817059317</v>
      </c>
      <c r="AQ16" s="3530">
        <f t="shared" si="4"/>
        <v>1434.9240560212097</v>
      </c>
      <c r="AR16" s="3530">
        <f t="shared" si="5"/>
        <v>4153.3188706729743</v>
      </c>
      <c r="AS16" s="3530">
        <f t="shared" si="6"/>
        <v>1314.7209937367106</v>
      </c>
      <c r="AT16" s="3530">
        <f t="shared" si="7"/>
        <v>473081.63080395834</v>
      </c>
      <c r="AU16" s="3530">
        <f t="shared" si="8"/>
        <v>149752.61258194319</v>
      </c>
      <c r="AV16" s="3530">
        <f t="shared" si="9"/>
        <v>473081.63080395834</v>
      </c>
      <c r="AW16" s="3530">
        <f t="shared" si="10"/>
        <v>149752.61258194319</v>
      </c>
      <c r="AX16" s="3531" t="s">
        <v>3168</v>
      </c>
      <c r="AY16" s="3532">
        <f t="shared" si="12"/>
        <v>11</v>
      </c>
      <c r="AZ16" s="3532"/>
      <c r="BC16" s="3719"/>
      <c r="BD16" s="3718" t="s">
        <v>3192</v>
      </c>
      <c r="BE16" s="3718" t="s">
        <v>3193</v>
      </c>
      <c r="BG16" s="3679"/>
      <c r="CB16" s="3690"/>
    </row>
    <row r="17" spans="1:80" ht="60.75" thickBot="1">
      <c r="A17" s="3568">
        <v>559337.92574495065</v>
      </c>
      <c r="B17" s="3569">
        <v>186710.32165398271</v>
      </c>
      <c r="C17" s="3570">
        <v>714945.78031786077</v>
      </c>
      <c r="D17" s="3569">
        <v>183992.89129313678</v>
      </c>
      <c r="E17" s="3570">
        <v>945719.19548597082</v>
      </c>
      <c r="F17" s="3571">
        <v>217764.76932557541</v>
      </c>
      <c r="G17" s="3572">
        <v>88574486.149120972</v>
      </c>
      <c r="H17" s="3573">
        <v>14949847.837270435</v>
      </c>
      <c r="I17" s="3574">
        <v>88550559.012291655</v>
      </c>
      <c r="J17" s="3575">
        <v>14604625.363600751</v>
      </c>
      <c r="R17" s="3521">
        <f t="shared" si="11"/>
        <v>12</v>
      </c>
      <c r="S17" s="3522" t="s">
        <v>3165</v>
      </c>
      <c r="T17" s="3523" t="s">
        <v>3169</v>
      </c>
      <c r="U17" s="3524">
        <v>4596642</v>
      </c>
      <c r="V17" s="3524">
        <v>4175000</v>
      </c>
      <c r="W17" s="3524">
        <v>4375000</v>
      </c>
      <c r="X17" s="3525">
        <f t="shared" si="14"/>
        <v>9297.3755103125659</v>
      </c>
      <c r="Y17" s="3525">
        <f t="shared" si="14"/>
        <v>8444.5433765681482</v>
      </c>
      <c r="Z17" s="3525">
        <f t="shared" si="14"/>
        <v>8849.0724005953653</v>
      </c>
      <c r="AA17" s="3538">
        <v>0</v>
      </c>
      <c r="AB17" s="3538">
        <v>0</v>
      </c>
      <c r="AC17" s="3538">
        <v>0</v>
      </c>
      <c r="AD17" s="3539">
        <v>7700000</v>
      </c>
      <c r="AE17" s="3539">
        <v>7800000</v>
      </c>
      <c r="AF17" s="3539">
        <v>0</v>
      </c>
      <c r="AG17" s="3539">
        <v>0</v>
      </c>
      <c r="AH17" s="3539">
        <v>0</v>
      </c>
      <c r="AI17" s="3539">
        <v>0</v>
      </c>
      <c r="AJ17" s="3540"/>
      <c r="AK17" s="3529" t="s">
        <v>3167</v>
      </c>
      <c r="AL17" s="3529" t="s">
        <v>839</v>
      </c>
      <c r="AM17" s="3529" t="s">
        <v>839</v>
      </c>
      <c r="AN17" s="3530">
        <f t="shared" si="1"/>
        <v>4363.7302766463908</v>
      </c>
      <c r="AO17" s="3530">
        <f t="shared" si="2"/>
        <v>1381.3261115638629</v>
      </c>
      <c r="AP17" s="3530">
        <f t="shared" si="3"/>
        <v>3963.4528651564956</v>
      </c>
      <c r="AQ17" s="3530">
        <f t="shared" si="4"/>
        <v>1254.6194625944611</v>
      </c>
      <c r="AR17" s="3530">
        <f t="shared" si="5"/>
        <v>4153.3188706729743</v>
      </c>
      <c r="AS17" s="3530">
        <f t="shared" si="6"/>
        <v>1314.7209937367106</v>
      </c>
      <c r="AT17" s="3530">
        <f t="shared" si="7"/>
        <v>3614000.8643199997</v>
      </c>
      <c r="AU17" s="3530">
        <f t="shared" si="8"/>
        <v>1144001.44936</v>
      </c>
      <c r="AV17" s="3530">
        <f t="shared" si="9"/>
        <v>3660935.9404799994</v>
      </c>
      <c r="AW17" s="3530">
        <f t="shared" si="10"/>
        <v>1158858.6110400001</v>
      </c>
      <c r="AX17" s="3531" t="s">
        <v>3170</v>
      </c>
      <c r="AY17" s="3532">
        <f t="shared" si="12"/>
        <v>12</v>
      </c>
      <c r="AZ17" s="3532"/>
      <c r="BC17" s="3673"/>
      <c r="BD17" s="3668">
        <v>101</v>
      </c>
      <c r="BE17" s="3712">
        <v>172723</v>
      </c>
      <c r="CB17" s="3690"/>
    </row>
    <row r="18" spans="1:80" ht="25.5">
      <c r="A18" s="3576" t="s">
        <v>3171</v>
      </c>
      <c r="B18" s="3577" t="s">
        <v>3172</v>
      </c>
      <c r="C18" s="3576" t="s">
        <v>3173</v>
      </c>
      <c r="D18" s="3577" t="s">
        <v>3174</v>
      </c>
      <c r="E18" s="3576" t="s">
        <v>3175</v>
      </c>
      <c r="F18" s="3577" t="s">
        <v>3176</v>
      </c>
      <c r="G18" s="3578" t="s">
        <v>3177</v>
      </c>
      <c r="H18" s="3578" t="s">
        <v>3178</v>
      </c>
      <c r="I18" s="3578" t="s">
        <v>3179</v>
      </c>
      <c r="J18" s="3578" t="s">
        <v>3180</v>
      </c>
      <c r="R18" s="3521">
        <f t="shared" si="11"/>
        <v>13</v>
      </c>
      <c r="S18" s="3522" t="s">
        <v>3165</v>
      </c>
      <c r="T18" s="3523" t="s">
        <v>3181</v>
      </c>
      <c r="U18" s="3524">
        <v>4492738</v>
      </c>
      <c r="V18" s="3524">
        <v>3550000</v>
      </c>
      <c r="W18" s="3524">
        <v>3750000</v>
      </c>
      <c r="X18" s="3525">
        <f t="shared" si="14"/>
        <v>9087.2145917499456</v>
      </c>
      <c r="Y18" s="3525">
        <f t="shared" si="14"/>
        <v>7180.3901764830953</v>
      </c>
      <c r="Z18" s="3525">
        <f t="shared" si="14"/>
        <v>7584.9192005103114</v>
      </c>
      <c r="AA18" s="3538">
        <v>0</v>
      </c>
      <c r="AB18" s="3538">
        <v>0</v>
      </c>
      <c r="AC18" s="3538">
        <v>0</v>
      </c>
      <c r="AD18" s="3539">
        <v>0</v>
      </c>
      <c r="AE18" s="3539">
        <v>0</v>
      </c>
      <c r="AF18" s="3539">
        <v>0</v>
      </c>
      <c r="AG18" s="3539">
        <v>0</v>
      </c>
      <c r="AH18" s="3539">
        <v>0</v>
      </c>
      <c r="AI18" s="3539">
        <v>0</v>
      </c>
      <c r="AJ18" s="3540" t="s">
        <v>3161</v>
      </c>
      <c r="AK18" s="3529"/>
      <c r="AL18" s="3529" t="s">
        <v>839</v>
      </c>
      <c r="AM18" s="3529" t="s">
        <v>839</v>
      </c>
      <c r="AN18" s="3530">
        <f t="shared" si="1"/>
        <v>4265.0910894604694</v>
      </c>
      <c r="AO18" s="3530">
        <f t="shared" si="2"/>
        <v>1350.1021641048414</v>
      </c>
      <c r="AP18" s="3530">
        <f t="shared" si="3"/>
        <v>3370.1215979174985</v>
      </c>
      <c r="AQ18" s="3530">
        <f t="shared" si="4"/>
        <v>1066.8021777749309</v>
      </c>
      <c r="AR18" s="3530">
        <f t="shared" si="5"/>
        <v>3559.9876034339773</v>
      </c>
      <c r="AS18" s="3530">
        <f t="shared" si="6"/>
        <v>1126.9037089171804</v>
      </c>
      <c r="AT18" s="3530">
        <f t="shared" si="7"/>
        <v>0</v>
      </c>
      <c r="AU18" s="3530">
        <f t="shared" si="8"/>
        <v>0</v>
      </c>
      <c r="AV18" s="3530">
        <f t="shared" si="9"/>
        <v>0</v>
      </c>
      <c r="AW18" s="3530">
        <f t="shared" si="10"/>
        <v>0</v>
      </c>
      <c r="AX18" s="3531" t="s">
        <v>3182</v>
      </c>
      <c r="AY18" s="3532">
        <f t="shared" si="12"/>
        <v>13</v>
      </c>
      <c r="AZ18" s="3532"/>
      <c r="BC18" s="3673"/>
      <c r="BD18" s="3668">
        <v>102</v>
      </c>
      <c r="BE18" s="3712">
        <v>597</v>
      </c>
      <c r="CB18" s="3690"/>
    </row>
    <row r="19" spans="1:80" ht="120.75" thickBot="1">
      <c r="A19" s="3579"/>
      <c r="B19" s="3579"/>
      <c r="C19" s="3579"/>
      <c r="D19" s="3579"/>
      <c r="E19" s="3579"/>
      <c r="F19" s="3579"/>
      <c r="G19" s="3580"/>
      <c r="I19" s="3580"/>
      <c r="J19" s="3581"/>
      <c r="R19" s="3521">
        <f t="shared" si="11"/>
        <v>14</v>
      </c>
      <c r="S19" s="3522" t="s">
        <v>3144</v>
      </c>
      <c r="T19" s="3523" t="s">
        <v>3183</v>
      </c>
      <c r="U19" s="3524">
        <v>4159903</v>
      </c>
      <c r="V19" s="3524">
        <v>2299701</v>
      </c>
      <c r="W19" s="3524">
        <v>3853902</v>
      </c>
      <c r="X19" s="3525">
        <f t="shared" si="14"/>
        <v>8414.0075031894521</v>
      </c>
      <c r="Y19" s="3525">
        <f t="shared" si="14"/>
        <v>4651.4790054220712</v>
      </c>
      <c r="Z19" s="3525">
        <f t="shared" si="14"/>
        <v>7795.0760737826913</v>
      </c>
      <c r="AA19" s="3538">
        <v>152000</v>
      </c>
      <c r="AB19" s="3538">
        <v>152000</v>
      </c>
      <c r="AC19" s="3538">
        <v>350000</v>
      </c>
      <c r="AD19" s="3539">
        <v>50000</v>
      </c>
      <c r="AE19" s="3539">
        <v>50000</v>
      </c>
      <c r="AF19" s="3539">
        <v>2674000</v>
      </c>
      <c r="AG19" s="3539">
        <v>0</v>
      </c>
      <c r="AH19" s="3539">
        <v>0</v>
      </c>
      <c r="AI19" s="3539">
        <v>0</v>
      </c>
      <c r="AJ19" s="3540"/>
      <c r="AK19" s="3529"/>
      <c r="AL19" s="3529" t="s">
        <v>839</v>
      </c>
      <c r="AM19" s="3529" t="s">
        <v>839</v>
      </c>
      <c r="AN19" s="3530">
        <f t="shared" si="1"/>
        <v>71341.315763199993</v>
      </c>
      <c r="AO19" s="3530">
        <f t="shared" si="2"/>
        <v>22582.8857536</v>
      </c>
      <c r="AP19" s="3530">
        <f t="shared" si="3"/>
        <v>71341.315763199993</v>
      </c>
      <c r="AQ19" s="3530">
        <f t="shared" si="4"/>
        <v>22582.8857536</v>
      </c>
      <c r="AR19" s="3530">
        <f t="shared" si="5"/>
        <v>164272.76655999999</v>
      </c>
      <c r="AS19" s="3530">
        <f t="shared" si="6"/>
        <v>52000.065880000002</v>
      </c>
      <c r="AT19" s="3530">
        <f t="shared" si="7"/>
        <v>23467.538079999998</v>
      </c>
      <c r="AU19" s="3530">
        <f t="shared" si="8"/>
        <v>7428.5808399999996</v>
      </c>
      <c r="AV19" s="3530">
        <f t="shared" si="9"/>
        <v>23467.538079999998</v>
      </c>
      <c r="AW19" s="3530">
        <f t="shared" si="10"/>
        <v>7428.5808399999996</v>
      </c>
      <c r="AX19" s="3531" t="s">
        <v>3184</v>
      </c>
      <c r="AY19" s="3532">
        <f t="shared" si="12"/>
        <v>14</v>
      </c>
      <c r="AZ19" s="3532"/>
      <c r="BC19" s="3673"/>
      <c r="BD19" s="3668">
        <v>111</v>
      </c>
      <c r="BE19" s="3712">
        <v>3551</v>
      </c>
      <c r="CB19" s="3690"/>
    </row>
    <row r="20" spans="1:80" ht="105">
      <c r="B20" s="3582" t="s">
        <v>3186</v>
      </c>
      <c r="C20" s="3583" t="s">
        <v>3187</v>
      </c>
      <c r="E20" s="3582" t="s">
        <v>3188</v>
      </c>
      <c r="F20" s="3583" t="s">
        <v>3189</v>
      </c>
      <c r="R20" s="3521">
        <f t="shared" si="11"/>
        <v>15</v>
      </c>
      <c r="S20" s="3522" t="s">
        <v>3144</v>
      </c>
      <c r="T20" s="3523" t="s">
        <v>3190</v>
      </c>
      <c r="U20" s="3524">
        <v>2064528</v>
      </c>
      <c r="V20" s="3524">
        <v>2606425</v>
      </c>
      <c r="W20" s="3524">
        <v>4284116</v>
      </c>
      <c r="X20" s="3525">
        <f t="shared" si="14"/>
        <v>4175.8074845843075</v>
      </c>
      <c r="Y20" s="3525">
        <f t="shared" si="14"/>
        <v>5271.872807250691</v>
      </c>
      <c r="Z20" s="3525">
        <f t="shared" si="14"/>
        <v>8665.2463214969157</v>
      </c>
      <c r="AA20" s="3538">
        <v>0</v>
      </c>
      <c r="AB20" s="3538">
        <v>0</v>
      </c>
      <c r="AC20" s="3538">
        <v>0</v>
      </c>
      <c r="AD20" s="3539">
        <f>10000000*0.4/3</f>
        <v>1333333.3333333333</v>
      </c>
      <c r="AE20" s="3539">
        <f>10000000*0.4/3</f>
        <v>1333333.3333333333</v>
      </c>
      <c r="AF20" s="3539">
        <v>0</v>
      </c>
      <c r="AG20" s="3539">
        <v>0</v>
      </c>
      <c r="AH20" s="3539">
        <v>0</v>
      </c>
      <c r="AI20" s="3539">
        <v>0</v>
      </c>
      <c r="AJ20" s="3540" t="s">
        <v>3164</v>
      </c>
      <c r="AK20" s="3529"/>
      <c r="AL20" s="3529" t="s">
        <v>839</v>
      </c>
      <c r="AM20" s="3529" t="s">
        <v>839</v>
      </c>
      <c r="AN20" s="3530">
        <f t="shared" si="1"/>
        <v>1959.9184231846248</v>
      </c>
      <c r="AO20" s="3530">
        <f t="shared" si="2"/>
        <v>620.4064694302316</v>
      </c>
      <c r="AP20" s="3530">
        <f t="shared" si="3"/>
        <v>2474.3575171414413</v>
      </c>
      <c r="AQ20" s="3530">
        <f t="shared" si="4"/>
        <v>783.25066653718989</v>
      </c>
      <c r="AR20" s="3530">
        <f t="shared" si="5"/>
        <v>4067.0399604461754</v>
      </c>
      <c r="AS20" s="3530">
        <f t="shared" si="6"/>
        <v>1287.4096559550494</v>
      </c>
      <c r="AT20" s="3530">
        <f t="shared" si="7"/>
        <v>625801.01546666655</v>
      </c>
      <c r="AU20" s="3530">
        <f t="shared" si="8"/>
        <v>198095.48906666666</v>
      </c>
      <c r="AV20" s="3530">
        <f t="shared" si="9"/>
        <v>625801.01546666655</v>
      </c>
      <c r="AW20" s="3530">
        <f t="shared" si="10"/>
        <v>198095.48906666666</v>
      </c>
      <c r="AX20" s="3531" t="s">
        <v>3191</v>
      </c>
      <c r="AY20" s="3532">
        <f t="shared" si="12"/>
        <v>15</v>
      </c>
      <c r="AZ20" s="3532"/>
      <c r="BC20" s="3673"/>
      <c r="BD20" s="3668">
        <v>112</v>
      </c>
      <c r="BE20" s="3712">
        <v>4</v>
      </c>
      <c r="CB20" s="3690"/>
    </row>
    <row r="21" spans="1:80" ht="105.75" thickBot="1">
      <c r="B21" s="3584">
        <f>A17+(C17/2)</f>
        <v>916810.8159038811</v>
      </c>
      <c r="C21" s="3585">
        <f>B17+(D17/2)</f>
        <v>278706.76730055112</v>
      </c>
      <c r="E21" s="3584">
        <f>(C17/2)+(E17/2)</f>
        <v>830332.4879019158</v>
      </c>
      <c r="F21" s="3585">
        <f>(D17/2)+(F17/2)</f>
        <v>200878.8303093561</v>
      </c>
      <c r="R21" s="3521">
        <f t="shared" si="11"/>
        <v>16</v>
      </c>
      <c r="S21" s="3522" t="s">
        <v>3155</v>
      </c>
      <c r="T21" s="3523" t="s">
        <v>3194</v>
      </c>
      <c r="U21" s="3524">
        <v>987476</v>
      </c>
      <c r="V21" s="3524">
        <v>979842</v>
      </c>
      <c r="W21" s="3524">
        <v>911763</v>
      </c>
      <c r="X21" s="3525">
        <f t="shared" si="14"/>
        <v>1997.313512651499</v>
      </c>
      <c r="Y21" s="3525">
        <f t="shared" si="14"/>
        <v>1981.87263980438</v>
      </c>
      <c r="Z21" s="3525">
        <f t="shared" si="14"/>
        <v>1844.1729826706357</v>
      </c>
      <c r="AA21" s="3538">
        <v>0</v>
      </c>
      <c r="AB21" s="3538">
        <v>165900</v>
      </c>
      <c r="AC21" s="3538">
        <v>267700</v>
      </c>
      <c r="AD21" s="3539">
        <v>0</v>
      </c>
      <c r="AE21" s="3539">
        <v>0</v>
      </c>
      <c r="AF21" s="3539">
        <v>0</v>
      </c>
      <c r="AG21" s="3539">
        <v>0</v>
      </c>
      <c r="AH21" s="3539">
        <v>483800</v>
      </c>
      <c r="AI21" s="3539">
        <v>209800</v>
      </c>
      <c r="AJ21" s="3540"/>
      <c r="AK21" s="3529" t="s">
        <v>3167</v>
      </c>
      <c r="AL21" s="3529" t="s">
        <v>3132</v>
      </c>
      <c r="AM21" s="3529" t="s">
        <v>3195</v>
      </c>
      <c r="AN21" s="3530">
        <f t="shared" si="1"/>
        <v>1337.0615847742929</v>
      </c>
      <c r="AO21" s="3530">
        <f t="shared" si="2"/>
        <v>0</v>
      </c>
      <c r="AP21" s="3530">
        <f t="shared" si="3"/>
        <v>111058.43699999999</v>
      </c>
      <c r="AQ21" s="3530">
        <f t="shared" si="4"/>
        <v>0</v>
      </c>
      <c r="AR21" s="3530">
        <f t="shared" si="5"/>
        <v>179206.41099999999</v>
      </c>
      <c r="AS21" s="3530">
        <f t="shared" si="6"/>
        <v>0</v>
      </c>
      <c r="AT21" s="3530">
        <f t="shared" si="7"/>
        <v>0</v>
      </c>
      <c r="AU21" s="3530">
        <f t="shared" si="8"/>
        <v>0</v>
      </c>
      <c r="AV21" s="3530">
        <f t="shared" si="9"/>
        <v>0</v>
      </c>
      <c r="AW21" s="3530">
        <f t="shared" si="10"/>
        <v>0</v>
      </c>
      <c r="AX21" s="3531" t="s">
        <v>3196</v>
      </c>
      <c r="AY21" s="3532">
        <f t="shared" si="12"/>
        <v>16</v>
      </c>
      <c r="AZ21" s="3532"/>
      <c r="BC21" s="3673"/>
      <c r="BD21" s="3668">
        <v>116</v>
      </c>
      <c r="BE21" s="3712">
        <v>0</v>
      </c>
      <c r="CB21" s="3690"/>
    </row>
    <row r="22" spans="1:80" ht="25.5">
      <c r="C22" s="3586" t="s">
        <v>3197</v>
      </c>
      <c r="E22" s="3587" t="s">
        <v>3198</v>
      </c>
      <c r="F22" s="3586" t="s">
        <v>3199</v>
      </c>
      <c r="R22" s="3521">
        <f t="shared" si="11"/>
        <v>17</v>
      </c>
      <c r="S22" s="3522" t="s">
        <v>3155</v>
      </c>
      <c r="T22" s="3523" t="s">
        <v>3200</v>
      </c>
      <c r="U22" s="3524">
        <v>12999990</v>
      </c>
      <c r="V22" s="3524">
        <v>12999991</v>
      </c>
      <c r="W22" s="3524">
        <v>12204154</v>
      </c>
      <c r="X22" s="3525">
        <f t="shared" si="14"/>
        <v>26294.366335317878</v>
      </c>
      <c r="Y22" s="3525">
        <f t="shared" si="14"/>
        <v>26294.368357962998</v>
      </c>
      <c r="Z22" s="3525">
        <f t="shared" si="14"/>
        <v>24684.672533489262</v>
      </c>
      <c r="AA22" s="3538">
        <v>0</v>
      </c>
      <c r="AB22" s="3538">
        <v>0</v>
      </c>
      <c r="AC22" s="3538">
        <v>0</v>
      </c>
      <c r="AD22" s="3539">
        <v>0</v>
      </c>
      <c r="AE22" s="3539">
        <v>0</v>
      </c>
      <c r="AF22" s="3539">
        <v>0</v>
      </c>
      <c r="AG22" s="3539">
        <v>0</v>
      </c>
      <c r="AH22" s="3539">
        <v>0</v>
      </c>
      <c r="AI22" s="3539">
        <v>0</v>
      </c>
      <c r="AJ22" s="3540" t="s">
        <v>3201</v>
      </c>
      <c r="AK22" s="3529"/>
      <c r="AL22" s="3529" t="s">
        <v>3132</v>
      </c>
      <c r="AM22" s="3529" t="s">
        <v>3195</v>
      </c>
      <c r="AN22" s="3530">
        <f t="shared" si="1"/>
        <v>17602.237655851848</v>
      </c>
      <c r="AO22" s="3530">
        <f t="shared" si="2"/>
        <v>0</v>
      </c>
      <c r="AP22" s="3530">
        <f t="shared" si="3"/>
        <v>17602.239009871169</v>
      </c>
      <c r="AQ22" s="3530">
        <f t="shared" si="4"/>
        <v>0</v>
      </c>
      <c r="AR22" s="3530">
        <f t="shared" si="5"/>
        <v>16524.660334093714</v>
      </c>
      <c r="AS22" s="3530">
        <f t="shared" si="6"/>
        <v>0</v>
      </c>
      <c r="AT22" s="3530">
        <f t="shared" si="7"/>
        <v>0</v>
      </c>
      <c r="AU22" s="3530">
        <f t="shared" si="8"/>
        <v>0</v>
      </c>
      <c r="AV22" s="3530">
        <f t="shared" si="9"/>
        <v>0</v>
      </c>
      <c r="AW22" s="3530">
        <f t="shared" si="10"/>
        <v>0</v>
      </c>
      <c r="AX22" s="3531" t="s">
        <v>3202</v>
      </c>
      <c r="AY22" s="3532">
        <f t="shared" si="12"/>
        <v>17</v>
      </c>
      <c r="AZ22" s="3532"/>
      <c r="BC22" s="3673"/>
      <c r="BD22" s="3668">
        <v>132</v>
      </c>
      <c r="BE22" s="3712">
        <v>4</v>
      </c>
      <c r="CB22" s="3690"/>
    </row>
    <row r="23" spans="1:80" ht="120">
      <c r="C23" s="3588">
        <f>B21+C21</f>
        <v>1195517.5832044322</v>
      </c>
      <c r="E23" s="3588">
        <f>E21+F21</f>
        <v>1031211.3182112719</v>
      </c>
      <c r="F23" s="3588">
        <f>C23+E23</f>
        <v>2226728.9014157038</v>
      </c>
      <c r="R23" s="3521">
        <f t="shared" si="11"/>
        <v>18</v>
      </c>
      <c r="S23" s="3522" t="s">
        <v>3155</v>
      </c>
      <c r="T23" s="3523" t="s">
        <v>3203</v>
      </c>
      <c r="U23" s="3559">
        <v>10162656</v>
      </c>
      <c r="V23" s="3559">
        <v>7499982</v>
      </c>
      <c r="W23" s="3559">
        <v>9999987</v>
      </c>
      <c r="X23" s="3525">
        <f t="shared" si="14"/>
        <v>20555.446566021688</v>
      </c>
      <c r="Y23" s="3525">
        <f t="shared" si="14"/>
        <v>15169.801993408462</v>
      </c>
      <c r="Z23" s="3525">
        <f t="shared" si="14"/>
        <v>20226.424906974269</v>
      </c>
      <c r="AA23" s="3538">
        <v>0</v>
      </c>
      <c r="AB23" s="3538">
        <v>0</v>
      </c>
      <c r="AC23" s="3538">
        <v>0</v>
      </c>
      <c r="AD23" s="3539">
        <v>0</v>
      </c>
      <c r="AE23" s="3539">
        <v>0</v>
      </c>
      <c r="AF23" s="3539">
        <v>504913</v>
      </c>
      <c r="AG23" s="3539">
        <v>504913</v>
      </c>
      <c r="AH23" s="3539">
        <v>28683</v>
      </c>
      <c r="AI23" s="3539">
        <v>28683</v>
      </c>
      <c r="AJ23" s="3560"/>
      <c r="AK23" s="3561" t="s">
        <v>3167</v>
      </c>
      <c r="AL23" s="3561" t="s">
        <v>3132</v>
      </c>
      <c r="AM23" s="3561" t="s">
        <v>3195</v>
      </c>
      <c r="AN23" s="3530">
        <f t="shared" si="1"/>
        <v>13760.432594691898</v>
      </c>
      <c r="AO23" s="3530">
        <f t="shared" si="2"/>
        <v>0</v>
      </c>
      <c r="AP23" s="3530">
        <f t="shared" si="3"/>
        <v>10155.120548447427</v>
      </c>
      <c r="AQ23" s="3530">
        <f t="shared" si="4"/>
        <v>0</v>
      </c>
      <c r="AR23" s="3530">
        <f t="shared" si="5"/>
        <v>13540.175625475784</v>
      </c>
      <c r="AS23" s="3530">
        <f t="shared" si="6"/>
        <v>0</v>
      </c>
      <c r="AT23" s="3562">
        <f t="shared" si="7"/>
        <v>0</v>
      </c>
      <c r="AU23" s="3562">
        <f t="shared" si="8"/>
        <v>0</v>
      </c>
      <c r="AV23" s="3562">
        <f t="shared" si="9"/>
        <v>0</v>
      </c>
      <c r="AW23" s="3562">
        <f t="shared" si="10"/>
        <v>0</v>
      </c>
      <c r="AX23" s="3531" t="s">
        <v>3204</v>
      </c>
      <c r="AY23" s="3532">
        <f t="shared" si="12"/>
        <v>18</v>
      </c>
      <c r="AZ23" s="3532"/>
      <c r="BC23" s="3673"/>
      <c r="BD23" s="3668">
        <v>146</v>
      </c>
      <c r="BE23" s="3712">
        <v>35</v>
      </c>
      <c r="CB23" s="3690"/>
    </row>
    <row r="24" spans="1:80" ht="120.75" thickBot="1">
      <c r="C24" s="3588"/>
      <c r="E24" s="3588"/>
      <c r="F24" s="3588"/>
      <c r="R24" s="3521">
        <f t="shared" si="11"/>
        <v>19</v>
      </c>
      <c r="S24" s="3522" t="s">
        <v>3155</v>
      </c>
      <c r="T24" s="3523" t="s">
        <v>3205</v>
      </c>
      <c r="U24" s="3524">
        <v>2000000</v>
      </c>
      <c r="V24" s="3524">
        <v>2000000</v>
      </c>
      <c r="W24" s="3524">
        <v>2000000</v>
      </c>
      <c r="X24" s="3525">
        <f t="shared" si="14"/>
        <v>4045.2902402721666</v>
      </c>
      <c r="Y24" s="3525">
        <f t="shared" si="14"/>
        <v>4045.2902402721666</v>
      </c>
      <c r="Z24" s="3525">
        <f t="shared" si="14"/>
        <v>4045.2902402721666</v>
      </c>
      <c r="AA24" s="3538">
        <v>75000</v>
      </c>
      <c r="AB24" s="3538">
        <v>75000</v>
      </c>
      <c r="AC24" s="3538">
        <v>75000</v>
      </c>
      <c r="AD24" s="3539">
        <v>33000</v>
      </c>
      <c r="AE24" s="3539">
        <v>33000</v>
      </c>
      <c r="AF24" s="3539">
        <v>250000</v>
      </c>
      <c r="AG24" s="3539">
        <v>250000</v>
      </c>
      <c r="AH24" s="3539">
        <v>0</v>
      </c>
      <c r="AI24" s="3539">
        <v>0</v>
      </c>
      <c r="AJ24" s="3540" t="s">
        <v>3201</v>
      </c>
      <c r="AK24" s="3529" t="s">
        <v>3167</v>
      </c>
      <c r="AL24" s="3529" t="s">
        <v>880</v>
      </c>
      <c r="AM24" s="3529" t="s">
        <v>3206</v>
      </c>
      <c r="AN24" s="3530">
        <f t="shared" si="1"/>
        <v>75000</v>
      </c>
      <c r="AO24" s="3530">
        <f t="shared" si="2"/>
        <v>0</v>
      </c>
      <c r="AP24" s="3530">
        <f t="shared" si="3"/>
        <v>75000</v>
      </c>
      <c r="AQ24" s="3530">
        <f t="shared" si="4"/>
        <v>0</v>
      </c>
      <c r="AR24" s="3530">
        <f t="shared" si="5"/>
        <v>75000</v>
      </c>
      <c r="AS24" s="3530">
        <f t="shared" si="6"/>
        <v>0</v>
      </c>
      <c r="AT24" s="3530">
        <f t="shared" si="7"/>
        <v>33000</v>
      </c>
      <c r="AU24" s="3530">
        <f t="shared" si="8"/>
        <v>0</v>
      </c>
      <c r="AV24" s="3530">
        <f t="shared" si="9"/>
        <v>33000</v>
      </c>
      <c r="AW24" s="3530">
        <f t="shared" si="10"/>
        <v>0</v>
      </c>
      <c r="AX24" s="3531" t="s">
        <v>3207</v>
      </c>
      <c r="AY24" s="3532">
        <f t="shared" si="12"/>
        <v>19</v>
      </c>
      <c r="AZ24" s="3532"/>
      <c r="BC24" s="3673"/>
      <c r="BD24" s="3668">
        <v>147</v>
      </c>
      <c r="BE24" s="3712">
        <v>3</v>
      </c>
      <c r="CB24" s="3690"/>
    </row>
    <row r="25" spans="1:80" ht="60.75" thickBot="1">
      <c r="A25" s="3984" t="s">
        <v>3208</v>
      </c>
      <c r="B25" s="3984"/>
      <c r="C25" s="3985"/>
      <c r="D25" s="3986" t="s">
        <v>537</v>
      </c>
      <c r="E25" s="3987"/>
      <c r="F25" s="3986" t="s">
        <v>537</v>
      </c>
      <c r="G25" s="3987"/>
      <c r="R25" s="3521">
        <f t="shared" si="11"/>
        <v>20</v>
      </c>
      <c r="S25" s="3522" t="s">
        <v>3155</v>
      </c>
      <c r="T25" s="3523" t="s">
        <v>3209</v>
      </c>
      <c r="U25" s="3524">
        <v>1200021</v>
      </c>
      <c r="V25" s="3524">
        <v>1200022</v>
      </c>
      <c r="W25" s="3524">
        <v>1200753</v>
      </c>
      <c r="X25" s="3525">
        <f t="shared" si="14"/>
        <v>2427.2166197108227</v>
      </c>
      <c r="Y25" s="3525">
        <f t="shared" si="14"/>
        <v>2427.2186423559428</v>
      </c>
      <c r="Z25" s="3525">
        <f t="shared" si="14"/>
        <v>2428.6971959387624</v>
      </c>
      <c r="AA25" s="3538">
        <v>40000</v>
      </c>
      <c r="AB25" s="3538">
        <v>40000</v>
      </c>
      <c r="AC25" s="3538">
        <v>40000</v>
      </c>
      <c r="AD25" s="3539">
        <v>60000</v>
      </c>
      <c r="AE25" s="3539">
        <v>60000</v>
      </c>
      <c r="AF25" s="3539">
        <v>40000</v>
      </c>
      <c r="AG25" s="3539">
        <v>40000</v>
      </c>
      <c r="AH25" s="3539">
        <v>20000</v>
      </c>
      <c r="AI25" s="3539">
        <v>20000</v>
      </c>
      <c r="AJ25" s="3540" t="s">
        <v>3210</v>
      </c>
      <c r="AK25" s="3529" t="s">
        <v>3167</v>
      </c>
      <c r="AL25" s="3529" t="s">
        <v>880</v>
      </c>
      <c r="AM25" s="3529" t="s">
        <v>3206</v>
      </c>
      <c r="AN25" s="3530">
        <f t="shared" si="1"/>
        <v>40000</v>
      </c>
      <c r="AO25" s="3530">
        <f t="shared" si="2"/>
        <v>0</v>
      </c>
      <c r="AP25" s="3530">
        <f t="shared" si="3"/>
        <v>40000</v>
      </c>
      <c r="AQ25" s="3530">
        <f t="shared" si="4"/>
        <v>0</v>
      </c>
      <c r="AR25" s="3530">
        <f t="shared" si="5"/>
        <v>40000</v>
      </c>
      <c r="AS25" s="3530">
        <f t="shared" si="6"/>
        <v>0</v>
      </c>
      <c r="AT25" s="3530">
        <f t="shared" si="7"/>
        <v>60000</v>
      </c>
      <c r="AU25" s="3530">
        <f t="shared" si="8"/>
        <v>0</v>
      </c>
      <c r="AV25" s="3530">
        <f t="shared" si="9"/>
        <v>60000</v>
      </c>
      <c r="AW25" s="3530">
        <f t="shared" si="10"/>
        <v>0</v>
      </c>
      <c r="AX25" s="3531" t="s">
        <v>3211</v>
      </c>
      <c r="AY25" s="3532">
        <f t="shared" si="12"/>
        <v>20</v>
      </c>
      <c r="AZ25" s="3532"/>
      <c r="BC25" s="3673"/>
      <c r="BD25" s="3717" t="s">
        <v>3234</v>
      </c>
      <c r="BE25" s="3716">
        <f>SUM(BE17:BE24)</f>
        <v>176917</v>
      </c>
      <c r="CB25" s="3690"/>
    </row>
    <row r="26" spans="1:80" ht="26.25" thickTop="1">
      <c r="A26" s="3984" t="s">
        <v>3212</v>
      </c>
      <c r="B26" s="3984"/>
      <c r="C26" s="3985"/>
      <c r="D26" s="3988" t="s">
        <v>3213</v>
      </c>
      <c r="E26" s="3989"/>
      <c r="F26" s="3988" t="s">
        <v>434</v>
      </c>
      <c r="G26" s="3989"/>
      <c r="R26" s="3521">
        <f t="shared" si="11"/>
        <v>21</v>
      </c>
      <c r="S26" s="3522" t="s">
        <v>3155</v>
      </c>
      <c r="T26" s="3523" t="s">
        <v>3214</v>
      </c>
      <c r="U26" s="3524">
        <v>7000011</v>
      </c>
      <c r="V26" s="3524">
        <v>7000013</v>
      </c>
      <c r="W26" s="3524">
        <v>7000005</v>
      </c>
      <c r="X26" s="3547" t="s">
        <v>3150</v>
      </c>
      <c r="Y26" s="3547" t="s">
        <v>3150</v>
      </c>
      <c r="Z26" s="3547" t="s">
        <v>3150</v>
      </c>
      <c r="AA26" s="3538">
        <v>0</v>
      </c>
      <c r="AB26" s="3538">
        <v>0</v>
      </c>
      <c r="AC26" s="3538">
        <v>0</v>
      </c>
      <c r="AD26" s="3539">
        <v>0</v>
      </c>
      <c r="AE26" s="3539">
        <v>0</v>
      </c>
      <c r="AF26" s="3539">
        <v>0</v>
      </c>
      <c r="AG26" s="3539">
        <v>0</v>
      </c>
      <c r="AH26" s="3539">
        <v>0</v>
      </c>
      <c r="AI26" s="3539">
        <v>0</v>
      </c>
      <c r="AJ26" s="3540" t="s">
        <v>3151</v>
      </c>
      <c r="AK26" s="3529"/>
      <c r="AL26" s="3529" t="s">
        <v>3132</v>
      </c>
      <c r="AM26" s="3529" t="s">
        <v>3152</v>
      </c>
      <c r="AN26" s="3530">
        <f t="shared" si="1"/>
        <v>0</v>
      </c>
      <c r="AO26" s="3530">
        <f t="shared" si="2"/>
        <v>0</v>
      </c>
      <c r="AP26" s="3530">
        <f t="shared" si="3"/>
        <v>0</v>
      </c>
      <c r="AQ26" s="3530">
        <f t="shared" si="4"/>
        <v>0</v>
      </c>
      <c r="AR26" s="3530">
        <f t="shared" si="5"/>
        <v>0</v>
      </c>
      <c r="AS26" s="3530">
        <f t="shared" si="6"/>
        <v>0</v>
      </c>
      <c r="AT26" s="3530">
        <f t="shared" si="7"/>
        <v>0</v>
      </c>
      <c r="AU26" s="3530">
        <f t="shared" si="8"/>
        <v>0</v>
      </c>
      <c r="AV26" s="3530">
        <f t="shared" si="9"/>
        <v>0</v>
      </c>
      <c r="AW26" s="3530">
        <f t="shared" si="10"/>
        <v>0</v>
      </c>
      <c r="AX26" s="3531" t="s">
        <v>3215</v>
      </c>
      <c r="AY26" s="3532">
        <f t="shared" si="12"/>
        <v>21</v>
      </c>
      <c r="AZ26" s="3532"/>
      <c r="BC26" s="3673"/>
      <c r="BD26" s="3668" t="s">
        <v>3437</v>
      </c>
      <c r="CB26" s="3690"/>
    </row>
    <row r="27" spans="1:80" ht="30">
      <c r="B27" s="3589"/>
      <c r="C27" s="3589"/>
      <c r="D27" s="3590" t="s">
        <v>3104</v>
      </c>
      <c r="E27" s="3591" t="s">
        <v>3104</v>
      </c>
      <c r="F27" s="3590" t="s">
        <v>3104</v>
      </c>
      <c r="G27" s="3591" t="s">
        <v>3104</v>
      </c>
      <c r="R27" s="3521">
        <f t="shared" si="11"/>
        <v>22</v>
      </c>
      <c r="S27" s="3522" t="s">
        <v>3155</v>
      </c>
      <c r="T27" s="3523" t="s">
        <v>3216</v>
      </c>
      <c r="U27" s="3559">
        <v>4975634</v>
      </c>
      <c r="V27" s="3559">
        <v>5000005</v>
      </c>
      <c r="W27" s="3559">
        <v>5000008</v>
      </c>
      <c r="X27" s="3547" t="s">
        <v>3150</v>
      </c>
      <c r="Y27" s="3547" t="s">
        <v>3150</v>
      </c>
      <c r="Z27" s="3547" t="s">
        <v>3150</v>
      </c>
      <c r="AA27" s="3538">
        <v>0</v>
      </c>
      <c r="AB27" s="3538">
        <v>0</v>
      </c>
      <c r="AC27" s="3538">
        <v>0</v>
      </c>
      <c r="AD27" s="3539">
        <v>0</v>
      </c>
      <c r="AE27" s="3539">
        <v>0</v>
      </c>
      <c r="AF27" s="3539">
        <v>0</v>
      </c>
      <c r="AG27" s="3539">
        <v>0</v>
      </c>
      <c r="AH27" s="3539">
        <v>0</v>
      </c>
      <c r="AI27" s="3539">
        <v>0</v>
      </c>
      <c r="AJ27" s="3560" t="s">
        <v>3201</v>
      </c>
      <c r="AK27" s="3561"/>
      <c r="AL27" s="3561" t="s">
        <v>3132</v>
      </c>
      <c r="AM27" s="3561" t="s">
        <v>3152</v>
      </c>
      <c r="AN27" s="3530">
        <f t="shared" si="1"/>
        <v>0</v>
      </c>
      <c r="AO27" s="3530">
        <f t="shared" si="2"/>
        <v>0</v>
      </c>
      <c r="AP27" s="3530">
        <f t="shared" si="3"/>
        <v>0</v>
      </c>
      <c r="AQ27" s="3530">
        <f t="shared" si="4"/>
        <v>0</v>
      </c>
      <c r="AR27" s="3530">
        <f t="shared" si="5"/>
        <v>0</v>
      </c>
      <c r="AS27" s="3530">
        <f t="shared" si="6"/>
        <v>0</v>
      </c>
      <c r="AT27" s="3562">
        <f t="shared" si="7"/>
        <v>0</v>
      </c>
      <c r="AU27" s="3562">
        <f t="shared" si="8"/>
        <v>0</v>
      </c>
      <c r="AV27" s="3562">
        <f t="shared" si="9"/>
        <v>0</v>
      </c>
      <c r="AW27" s="3562">
        <f t="shared" si="10"/>
        <v>0</v>
      </c>
      <c r="AX27" s="3531" t="s">
        <v>3217</v>
      </c>
      <c r="AY27" s="3532">
        <f t="shared" si="12"/>
        <v>22</v>
      </c>
      <c r="AZ27" s="3532"/>
      <c r="BC27" s="3673"/>
      <c r="BP27" s="3715"/>
      <c r="CB27" s="3690"/>
    </row>
    <row r="28" spans="1:80" ht="15.75">
      <c r="A28" s="3592"/>
      <c r="B28" s="3588"/>
      <c r="C28" s="3588"/>
      <c r="D28" s="3593">
        <f>G17</f>
        <v>88574486.149120972</v>
      </c>
      <c r="E28" s="3594">
        <f>I17</f>
        <v>88550559.012291655</v>
      </c>
      <c r="F28" s="3593">
        <f>H17</f>
        <v>14949847.837270435</v>
      </c>
      <c r="G28" s="3594">
        <f>J17</f>
        <v>14604625.363600751</v>
      </c>
      <c r="R28" s="3521">
        <f t="shared" si="11"/>
        <v>23</v>
      </c>
      <c r="S28" s="3522" t="s">
        <v>3165</v>
      </c>
      <c r="T28" s="3523" t="s">
        <v>3218</v>
      </c>
      <c r="U28" s="3524">
        <v>2859000</v>
      </c>
      <c r="V28" s="3524">
        <v>2965000</v>
      </c>
      <c r="W28" s="3524">
        <v>3000000</v>
      </c>
      <c r="X28" s="3525">
        <f t="shared" ref="X28:Z42" si="15">U28*$T$4*$T$3</f>
        <v>5782.7423984690613</v>
      </c>
      <c r="Y28" s="3525">
        <f t="shared" si="15"/>
        <v>5997.1427812034872</v>
      </c>
      <c r="Z28" s="3525">
        <f t="shared" si="15"/>
        <v>6067.9353604082498</v>
      </c>
      <c r="AA28" s="3538">
        <v>0</v>
      </c>
      <c r="AB28" s="3538">
        <v>0</v>
      </c>
      <c r="AC28" s="3538">
        <v>0</v>
      </c>
      <c r="AD28" s="3539">
        <v>0</v>
      </c>
      <c r="AE28" s="3539">
        <v>0</v>
      </c>
      <c r="AF28" s="3539">
        <v>0</v>
      </c>
      <c r="AG28" s="3539">
        <v>0</v>
      </c>
      <c r="AH28" s="3539">
        <v>0</v>
      </c>
      <c r="AI28" s="3539">
        <v>0</v>
      </c>
      <c r="AJ28" s="3540"/>
      <c r="AK28" s="3529" t="s">
        <v>3167</v>
      </c>
      <c r="AL28" s="3529" t="s">
        <v>880</v>
      </c>
      <c r="AM28" s="3529" t="s">
        <v>3206</v>
      </c>
      <c r="AN28" s="3530">
        <f t="shared" si="1"/>
        <v>5782.7423984690613</v>
      </c>
      <c r="AO28" s="3530">
        <f t="shared" si="2"/>
        <v>0</v>
      </c>
      <c r="AP28" s="3530">
        <f t="shared" si="3"/>
        <v>5997.1427812034872</v>
      </c>
      <c r="AQ28" s="3530">
        <f t="shared" si="4"/>
        <v>0</v>
      </c>
      <c r="AR28" s="3530">
        <f t="shared" si="5"/>
        <v>6067.9353604082498</v>
      </c>
      <c r="AS28" s="3530">
        <f t="shared" si="6"/>
        <v>0</v>
      </c>
      <c r="AT28" s="3530">
        <f t="shared" si="7"/>
        <v>0</v>
      </c>
      <c r="AU28" s="3530">
        <f t="shared" si="8"/>
        <v>0</v>
      </c>
      <c r="AV28" s="3530">
        <f t="shared" si="9"/>
        <v>0</v>
      </c>
      <c r="AW28" s="3530">
        <f t="shared" si="10"/>
        <v>0</v>
      </c>
      <c r="AX28" s="3531" t="s">
        <v>3182</v>
      </c>
      <c r="AY28" s="3532">
        <f t="shared" si="12"/>
        <v>23</v>
      </c>
      <c r="AZ28" s="3532"/>
      <c r="BC28" s="3673"/>
      <c r="BD28" s="3693" t="s">
        <v>3436</v>
      </c>
      <c r="BE28" s="3715"/>
      <c r="BF28" s="3715"/>
      <c r="BG28" s="3715"/>
      <c r="BH28" s="3715"/>
      <c r="BI28" s="3715"/>
      <c r="BJ28" s="3715"/>
      <c r="BK28" s="3715"/>
      <c r="BL28" s="3715"/>
      <c r="BM28" s="3715"/>
      <c r="BN28" s="3715"/>
      <c r="BO28" s="3715"/>
      <c r="BP28" s="3715"/>
      <c r="BQ28" s="3715"/>
      <c r="BR28" s="3715"/>
      <c r="BS28" s="3715"/>
      <c r="BT28" s="3715"/>
      <c r="BU28" s="3715"/>
      <c r="BV28" s="3715"/>
      <c r="BW28" s="3715"/>
      <c r="BX28" s="3715"/>
      <c r="BY28" s="3715"/>
      <c r="BZ28" s="3715"/>
      <c r="CA28" s="3715"/>
      <c r="CB28" s="3690"/>
    </row>
    <row r="29" spans="1:80" ht="120">
      <c r="A29" s="3592"/>
      <c r="B29" s="3516"/>
      <c r="C29" s="3516"/>
      <c r="D29" s="3595" t="s">
        <v>517</v>
      </c>
      <c r="E29" s="3596" t="s">
        <v>519</v>
      </c>
      <c r="F29" s="3595" t="s">
        <v>517</v>
      </c>
      <c r="G29" s="3596" t="s">
        <v>519</v>
      </c>
      <c r="R29" s="3521">
        <f t="shared" si="11"/>
        <v>24</v>
      </c>
      <c r="S29" s="3522" t="s">
        <v>3144</v>
      </c>
      <c r="T29" s="3523" t="s">
        <v>3219</v>
      </c>
      <c r="U29" s="3524">
        <v>4180369</v>
      </c>
      <c r="V29" s="3524">
        <v>6154490</v>
      </c>
      <c r="W29" s="3524">
        <v>3034582</v>
      </c>
      <c r="X29" s="3525">
        <f t="shared" si="15"/>
        <v>8455.4029582181574</v>
      </c>
      <c r="Y29" s="3525">
        <f t="shared" si="15"/>
        <v>12448.349165426323</v>
      </c>
      <c r="Z29" s="3525">
        <f t="shared" si="15"/>
        <v>6137.8824739527963</v>
      </c>
      <c r="AA29" s="3538">
        <v>0</v>
      </c>
      <c r="AB29" s="3538">
        <v>0</v>
      </c>
      <c r="AC29" s="3538">
        <v>0</v>
      </c>
      <c r="AD29" s="3539">
        <v>1000000</v>
      </c>
      <c r="AE29" s="3539">
        <v>1000000</v>
      </c>
      <c r="AF29" s="3539">
        <v>0</v>
      </c>
      <c r="AG29" s="3539">
        <v>0</v>
      </c>
      <c r="AH29" s="3539">
        <v>0</v>
      </c>
      <c r="AI29" s="3539">
        <v>0</v>
      </c>
      <c r="AJ29" s="3540"/>
      <c r="AK29" s="3529"/>
      <c r="AL29" s="3529" t="s">
        <v>839</v>
      </c>
      <c r="AM29" s="3529" t="s">
        <v>839</v>
      </c>
      <c r="AN29" s="3530">
        <f t="shared" si="1"/>
        <v>3968.5498180745849</v>
      </c>
      <c r="AO29" s="3530">
        <f t="shared" si="2"/>
        <v>1256.2328881979745</v>
      </c>
      <c r="AP29" s="3530">
        <f t="shared" si="3"/>
        <v>5842.6421614555684</v>
      </c>
      <c r="AQ29" s="3530">
        <f t="shared" si="4"/>
        <v>1849.4713619983195</v>
      </c>
      <c r="AR29" s="3530">
        <f t="shared" si="5"/>
        <v>2880.8198137610366</v>
      </c>
      <c r="AS29" s="3530">
        <f t="shared" si="6"/>
        <v>911.91512288355079</v>
      </c>
      <c r="AT29" s="3530">
        <f t="shared" si="7"/>
        <v>469350.76159999997</v>
      </c>
      <c r="AU29" s="3530">
        <f t="shared" si="8"/>
        <v>148571.61679999999</v>
      </c>
      <c r="AV29" s="3530">
        <f t="shared" si="9"/>
        <v>469350.76159999997</v>
      </c>
      <c r="AW29" s="3530">
        <f t="shared" si="10"/>
        <v>148571.61679999999</v>
      </c>
      <c r="AX29" s="3531" t="s">
        <v>3220</v>
      </c>
      <c r="AY29" s="3532">
        <f t="shared" si="12"/>
        <v>24</v>
      </c>
      <c r="AZ29" s="3532"/>
      <c r="BC29" s="3673"/>
      <c r="BE29" s="3691">
        <v>45688</v>
      </c>
      <c r="BF29" s="3691">
        <f t="shared" ref="BF29:CB29" si="16">EOMONTH(BE29,1)</f>
        <v>45716</v>
      </c>
      <c r="BG29" s="3691">
        <f t="shared" si="16"/>
        <v>45747</v>
      </c>
      <c r="BH29" s="3691">
        <f t="shared" si="16"/>
        <v>45777</v>
      </c>
      <c r="BI29" s="3691">
        <f t="shared" si="16"/>
        <v>45808</v>
      </c>
      <c r="BJ29" s="3691">
        <f t="shared" si="16"/>
        <v>45838</v>
      </c>
      <c r="BK29" s="3691">
        <f t="shared" si="16"/>
        <v>45869</v>
      </c>
      <c r="BL29" s="3691">
        <f t="shared" si="16"/>
        <v>45900</v>
      </c>
      <c r="BM29" s="3691">
        <f t="shared" si="16"/>
        <v>45930</v>
      </c>
      <c r="BN29" s="3691">
        <f t="shared" si="16"/>
        <v>45961</v>
      </c>
      <c r="BO29" s="3691">
        <f t="shared" si="16"/>
        <v>45991</v>
      </c>
      <c r="BP29" s="3691">
        <f t="shared" si="16"/>
        <v>46022</v>
      </c>
      <c r="BQ29" s="3691">
        <f t="shared" si="16"/>
        <v>46053</v>
      </c>
      <c r="BR29" s="3691">
        <f t="shared" si="16"/>
        <v>46081</v>
      </c>
      <c r="BS29" s="3691">
        <f t="shared" si="16"/>
        <v>46112</v>
      </c>
      <c r="BT29" s="3691">
        <f t="shared" si="16"/>
        <v>46142</v>
      </c>
      <c r="BU29" s="3691">
        <f t="shared" si="16"/>
        <v>46173</v>
      </c>
      <c r="BV29" s="3691">
        <f t="shared" si="16"/>
        <v>46203</v>
      </c>
      <c r="BW29" s="3691">
        <f t="shared" si="16"/>
        <v>46234</v>
      </c>
      <c r="BX29" s="3691">
        <f t="shared" si="16"/>
        <v>46265</v>
      </c>
      <c r="BY29" s="3691">
        <f t="shared" si="16"/>
        <v>46295</v>
      </c>
      <c r="BZ29" s="3691">
        <f t="shared" si="16"/>
        <v>46326</v>
      </c>
      <c r="CA29" s="3691">
        <f t="shared" si="16"/>
        <v>46356</v>
      </c>
      <c r="CB29" s="3690">
        <f t="shared" si="16"/>
        <v>46387</v>
      </c>
    </row>
    <row r="30" spans="1:80" ht="75.75" thickBot="1">
      <c r="B30" s="3516"/>
      <c r="C30" s="3516"/>
      <c r="D30" s="3597" t="s">
        <v>3221</v>
      </c>
      <c r="E30" s="3598" t="s">
        <v>3222</v>
      </c>
      <c r="F30" s="3597" t="s">
        <v>3221</v>
      </c>
      <c r="G30" s="3598" t="s">
        <v>3222</v>
      </c>
      <c r="R30" s="3521">
        <f t="shared" si="11"/>
        <v>25</v>
      </c>
      <c r="S30" s="3522" t="s">
        <v>3144</v>
      </c>
      <c r="T30" s="3523" t="s">
        <v>3223</v>
      </c>
      <c r="U30" s="3524">
        <v>500001</v>
      </c>
      <c r="V30" s="3524">
        <v>598920</v>
      </c>
      <c r="W30" s="3524">
        <v>500000</v>
      </c>
      <c r="X30" s="3525">
        <f t="shared" si="15"/>
        <v>1011.3245827131617</v>
      </c>
      <c r="Y30" s="3525">
        <f t="shared" si="15"/>
        <v>1211.402615351903</v>
      </c>
      <c r="Z30" s="3525">
        <f t="shared" si="15"/>
        <v>1011.3225600680416</v>
      </c>
      <c r="AA30" s="3538">
        <v>0</v>
      </c>
      <c r="AB30" s="3538">
        <v>0</v>
      </c>
      <c r="AC30" s="3538">
        <v>0</v>
      </c>
      <c r="AD30" s="3539">
        <v>26000000</v>
      </c>
      <c r="AE30" s="3539">
        <v>26000000</v>
      </c>
      <c r="AF30" s="3539">
        <v>0</v>
      </c>
      <c r="AG30" s="3539">
        <v>0</v>
      </c>
      <c r="AH30" s="3539">
        <v>0</v>
      </c>
      <c r="AI30" s="3539">
        <v>0</v>
      </c>
      <c r="AJ30" s="3540"/>
      <c r="AK30" s="3529"/>
      <c r="AL30" s="3529" t="s">
        <v>3132</v>
      </c>
      <c r="AM30" s="3529" t="s">
        <v>3133</v>
      </c>
      <c r="AN30" s="3530">
        <f t="shared" si="1"/>
        <v>651.29303126727621</v>
      </c>
      <c r="AO30" s="3530">
        <f t="shared" si="2"/>
        <v>0</v>
      </c>
      <c r="AP30" s="3530">
        <f t="shared" si="3"/>
        <v>780.14328428662554</v>
      </c>
      <c r="AQ30" s="3530">
        <f t="shared" si="4"/>
        <v>0</v>
      </c>
      <c r="AR30" s="3530">
        <f t="shared" si="5"/>
        <v>651.29172868381886</v>
      </c>
      <c r="AS30" s="3530">
        <f t="shared" si="6"/>
        <v>0</v>
      </c>
      <c r="AT30" s="3530">
        <v>17040400</v>
      </c>
      <c r="AU30" s="3530">
        <v>0</v>
      </c>
      <c r="AV30" s="3530">
        <v>17040400</v>
      </c>
      <c r="AW30" s="3530">
        <v>0</v>
      </c>
      <c r="AX30" s="3531" t="s">
        <v>3224</v>
      </c>
      <c r="AY30" s="3532">
        <f t="shared" si="12"/>
        <v>25</v>
      </c>
      <c r="AZ30" s="3532"/>
      <c r="BC30" s="3673"/>
      <c r="BD30" s="3603" t="s">
        <v>3433</v>
      </c>
      <c r="BE30" s="3600">
        <v>173930.68769033503</v>
      </c>
      <c r="BF30" s="3600">
        <v>173936.71094614899</v>
      </c>
      <c r="BG30" s="3600">
        <v>173942.73420196294</v>
      </c>
      <c r="BH30" s="3600">
        <v>173948.7574577769</v>
      </c>
      <c r="BI30" s="3600">
        <v>173954.78071359085</v>
      </c>
      <c r="BJ30" s="3600">
        <v>173960.80396940478</v>
      </c>
      <c r="BK30" s="3600">
        <v>173966.82722521873</v>
      </c>
      <c r="BL30" s="3600">
        <v>173972.85048103268</v>
      </c>
      <c r="BM30" s="3600">
        <v>173978.87373684664</v>
      </c>
      <c r="BN30" s="3600">
        <v>173984.89699266059</v>
      </c>
      <c r="BO30" s="3600">
        <v>173990.92024847455</v>
      </c>
      <c r="BP30" s="3600">
        <v>173996.9435042885</v>
      </c>
      <c r="BQ30" s="3600">
        <v>174002.96676010246</v>
      </c>
      <c r="BR30" s="3600">
        <v>174008.99001591641</v>
      </c>
      <c r="BS30" s="3600">
        <v>174015.01327173036</v>
      </c>
      <c r="BT30" s="3600">
        <v>174021.03652754432</v>
      </c>
      <c r="BU30" s="3600">
        <v>174027.05978335827</v>
      </c>
      <c r="BV30" s="3600">
        <v>174033.08303917223</v>
      </c>
      <c r="BW30" s="3600">
        <v>174039.10629498618</v>
      </c>
      <c r="BX30" s="3600">
        <v>174045.12955080013</v>
      </c>
      <c r="BY30" s="3600">
        <v>174051.15280661409</v>
      </c>
      <c r="BZ30" s="3600">
        <v>174057.17606242804</v>
      </c>
      <c r="CA30" s="3600">
        <v>174063.199318242</v>
      </c>
      <c r="CB30" s="3601">
        <v>174069.22257405595</v>
      </c>
    </row>
    <row r="31" spans="1:80" ht="120">
      <c r="R31" s="3521">
        <f t="shared" si="11"/>
        <v>26</v>
      </c>
      <c r="S31" s="3522" t="s">
        <v>3144</v>
      </c>
      <c r="T31" s="3523" t="s">
        <v>3225</v>
      </c>
      <c r="U31" s="3524">
        <v>4656442</v>
      </c>
      <c r="V31" s="3524">
        <v>10032632</v>
      </c>
      <c r="W31" s="3524">
        <v>7948051</v>
      </c>
      <c r="X31" s="3525">
        <f t="shared" si="15"/>
        <v>9418.329688496704</v>
      </c>
      <c r="Y31" s="3525">
        <f t="shared" si="15"/>
        <v>20292.454156921114</v>
      </c>
      <c r="Z31" s="3525">
        <f t="shared" si="15"/>
        <v>16076.086569742716</v>
      </c>
      <c r="AA31" s="3538">
        <v>100000</v>
      </c>
      <c r="AB31" s="3538">
        <v>0</v>
      </c>
      <c r="AC31" s="3538">
        <v>0</v>
      </c>
      <c r="AD31" s="3539">
        <f>200000+212500+425000+143000+23000+1000000+239000+425000</f>
        <v>2667500</v>
      </c>
      <c r="AE31" s="3539">
        <f>200000+212500+425000+143000+23000+1000000+239000+425000</f>
        <v>2667500</v>
      </c>
      <c r="AF31" s="3539">
        <v>0</v>
      </c>
      <c r="AG31" s="3539">
        <v>0</v>
      </c>
      <c r="AH31" s="3539">
        <v>0</v>
      </c>
      <c r="AI31" s="3539">
        <v>0</v>
      </c>
      <c r="AJ31" s="3540"/>
      <c r="AK31" s="3529" t="s">
        <v>3167</v>
      </c>
      <c r="AL31" s="3529" t="s">
        <v>839</v>
      </c>
      <c r="AM31" s="3529" t="s">
        <v>839</v>
      </c>
      <c r="AN31" s="3530">
        <f t="shared" si="1"/>
        <v>46935.076159999997</v>
      </c>
      <c r="AO31" s="3530">
        <f t="shared" si="2"/>
        <v>14857.161679999999</v>
      </c>
      <c r="AP31" s="3530">
        <f t="shared" si="3"/>
        <v>9524.2788132840105</v>
      </c>
      <c r="AQ31" s="3530">
        <f t="shared" si="4"/>
        <v>3014.8827229336507</v>
      </c>
      <c r="AR31" s="3530">
        <f t="shared" si="5"/>
        <v>7545.3234750562742</v>
      </c>
      <c r="AS31" s="3530">
        <f t="shared" si="6"/>
        <v>2388.4501734834412</v>
      </c>
      <c r="AT31" s="3530">
        <f t="shared" ref="AT31:AT69" si="17">IF($AM31=$AG$129,(AD31)*$AH$129,IF($AM31=$AG$130,(AD31)*$AH$130,IF($AM31=$AG$131,(AD31)*$AH$131,IF($AM31=$AG$134,(AD31)*$AH$134,IF($AM31=$AG$135,(AD31)*$AH$135,IF($AM31=$AG$136,(AD31)*$AH$136,IF(AM31=$AM$10,0,0)))))))</f>
        <v>1251993.1565679999</v>
      </c>
      <c r="AU31" s="3530">
        <f t="shared" ref="AU31:AU69" si="18">IF($AM31=$AG$129,(AD31)*$AI$129,IF($AM31=$AG$130,(AD31)*$AI$130,IF($AM31=$AG$131,(AD31)*$AI$131,IF($AM31=$AG$134,(AD31)*$AI$134,IF($AM31=$AG$135,(AD31)*$AI$135,IF($AM31=$AG$136,(AD31)*$AI$136,IF(AM31=$AM$10,0,0)))))))</f>
        <v>396314.78781399998</v>
      </c>
      <c r="AV31" s="3530">
        <f t="shared" ref="AV31:AV69" si="19">IF($AM31=$AG$129,(AE31)*$AH$129,IF($AM31=$AG$130,(AE31)*$AH$130,IF($AM31=$AG$131,(AE31)*$AH$131,IF($AM31=$AG$134,(AE31)*$AH$134,IF($AM31=$AG$135,(AE31)*$AH$135,IF($AM31=$AG$136,(AE31)*$AH$136,IF(AM31=$AM$10,0,0)))))))</f>
        <v>1251993.1565679999</v>
      </c>
      <c r="AW31" s="3530">
        <f t="shared" ref="AW31:AW69" si="20">IF($AM31=$AG$129,(AE31)*$AI$129,IF($AM31=$AG$130,(AE31)*$AI$130,IF($AM31=$AG$131,(AE31)*$AI$131,IF($AM31=$AG$134,(AE31)*$AI$134,IF($AM31=$AG$135,(AE31)*$AI$135,IF($AM31=$AG$136,(AE31)*$AI$136,IF(AM31=$AM$10,0,0)))))))</f>
        <v>396314.78781399998</v>
      </c>
      <c r="AX31" s="3531" t="s">
        <v>3226</v>
      </c>
      <c r="AY31" s="3532">
        <f t="shared" si="12"/>
        <v>26</v>
      </c>
      <c r="AZ31" s="3532"/>
      <c r="BC31" s="3673"/>
      <c r="BD31" s="3603" t="s">
        <v>3428</v>
      </c>
      <c r="BE31" s="3600">
        <v>3551</v>
      </c>
      <c r="BF31" s="3600">
        <v>3551</v>
      </c>
      <c r="BG31" s="3600">
        <v>3551</v>
      </c>
      <c r="BH31" s="3600">
        <v>3551</v>
      </c>
      <c r="BI31" s="3600">
        <v>3551</v>
      </c>
      <c r="BJ31" s="3600">
        <v>3551</v>
      </c>
      <c r="BK31" s="3600">
        <v>3551</v>
      </c>
      <c r="BL31" s="3600">
        <v>3551</v>
      </c>
      <c r="BM31" s="3600">
        <v>3551</v>
      </c>
      <c r="BN31" s="3600">
        <v>3551</v>
      </c>
      <c r="BO31" s="3600">
        <v>3551</v>
      </c>
      <c r="BP31" s="3600">
        <v>3551</v>
      </c>
      <c r="BQ31" s="3600">
        <v>3551</v>
      </c>
      <c r="BR31" s="3600">
        <v>3551</v>
      </c>
      <c r="BS31" s="3600">
        <v>3551</v>
      </c>
      <c r="BT31" s="3600">
        <v>3551</v>
      </c>
      <c r="BU31" s="3600">
        <v>3551</v>
      </c>
      <c r="BV31" s="3600">
        <v>3551</v>
      </c>
      <c r="BW31" s="3600">
        <v>3551</v>
      </c>
      <c r="BX31" s="3600">
        <v>3551</v>
      </c>
      <c r="BY31" s="3600">
        <v>3551</v>
      </c>
      <c r="BZ31" s="3600">
        <v>3551</v>
      </c>
      <c r="CA31" s="3600">
        <v>3551</v>
      </c>
      <c r="CB31" s="3601">
        <v>3551</v>
      </c>
    </row>
    <row r="32" spans="1:80" ht="60">
      <c r="B32" s="2141"/>
      <c r="C32" s="2141"/>
      <c r="D32" s="2141"/>
      <c r="E32" s="2141"/>
      <c r="F32" s="2141"/>
      <c r="G32" s="2141"/>
      <c r="R32" s="3521">
        <f t="shared" si="11"/>
        <v>27</v>
      </c>
      <c r="S32" s="3522" t="s">
        <v>3144</v>
      </c>
      <c r="T32" s="3523" t="s">
        <v>3227</v>
      </c>
      <c r="U32" s="3524">
        <v>2798585</v>
      </c>
      <c r="V32" s="3524">
        <v>2429392</v>
      </c>
      <c r="W32" s="3524">
        <v>3357757</v>
      </c>
      <c r="X32" s="3525">
        <f t="shared" si="15"/>
        <v>5660.5442935360397</v>
      </c>
      <c r="Y32" s="3525">
        <f t="shared" si="15"/>
        <v>4913.7978736976393</v>
      </c>
      <c r="Z32" s="3525">
        <f t="shared" si="15"/>
        <v>6791.550810652775</v>
      </c>
      <c r="AA32" s="3538">
        <v>0</v>
      </c>
      <c r="AB32" s="3538">
        <v>0</v>
      </c>
      <c r="AC32" s="3538">
        <v>0</v>
      </c>
      <c r="AD32" s="3539">
        <v>20000000</v>
      </c>
      <c r="AE32" s="3539">
        <v>20000000</v>
      </c>
      <c r="AF32" s="3539">
        <v>0</v>
      </c>
      <c r="AG32" s="3539">
        <v>0</v>
      </c>
      <c r="AH32" s="3539">
        <v>0</v>
      </c>
      <c r="AI32" s="3539">
        <v>0</v>
      </c>
      <c r="AJ32" s="3540"/>
      <c r="AK32" s="3529"/>
      <c r="AL32" s="3529" t="s">
        <v>3132</v>
      </c>
      <c r="AM32" s="3529" t="s">
        <v>3133</v>
      </c>
      <c r="AN32" s="3530">
        <f t="shared" si="1"/>
        <v>3645.3905250372095</v>
      </c>
      <c r="AO32" s="3530">
        <f t="shared" si="2"/>
        <v>0</v>
      </c>
      <c r="AP32" s="3530">
        <f t="shared" si="3"/>
        <v>3164.4858306612796</v>
      </c>
      <c r="AQ32" s="3530">
        <f t="shared" si="4"/>
        <v>0</v>
      </c>
      <c r="AR32" s="3530">
        <f t="shared" si="5"/>
        <v>4373.7587220603873</v>
      </c>
      <c r="AS32" s="3530">
        <f t="shared" si="6"/>
        <v>0</v>
      </c>
      <c r="AT32" s="3530">
        <f t="shared" si="17"/>
        <v>12880000</v>
      </c>
      <c r="AU32" s="3530">
        <f t="shared" si="18"/>
        <v>0</v>
      </c>
      <c r="AV32" s="3530">
        <f t="shared" si="19"/>
        <v>12880000</v>
      </c>
      <c r="AW32" s="3530">
        <f t="shared" si="20"/>
        <v>0</v>
      </c>
      <c r="AX32" s="3599" t="s">
        <v>3228</v>
      </c>
      <c r="AY32" s="3532">
        <f t="shared" si="12"/>
        <v>27</v>
      </c>
      <c r="AZ32" s="3532"/>
      <c r="BC32" s="3673"/>
      <c r="BD32" s="3603" t="s">
        <v>3432</v>
      </c>
      <c r="BE32" s="3600">
        <v>4</v>
      </c>
      <c r="BF32" s="3600">
        <v>4</v>
      </c>
      <c r="BG32" s="3600">
        <v>4</v>
      </c>
      <c r="BH32" s="3600">
        <v>4</v>
      </c>
      <c r="BI32" s="3600">
        <v>4</v>
      </c>
      <c r="BJ32" s="3600">
        <v>4</v>
      </c>
      <c r="BK32" s="3600">
        <v>4</v>
      </c>
      <c r="BL32" s="3600">
        <v>4</v>
      </c>
      <c r="BM32" s="3600">
        <v>4</v>
      </c>
      <c r="BN32" s="3600">
        <v>4</v>
      </c>
      <c r="BO32" s="3600">
        <v>4</v>
      </c>
      <c r="BP32" s="3600">
        <v>4</v>
      </c>
      <c r="BQ32" s="3600">
        <v>4</v>
      </c>
      <c r="BR32" s="3600">
        <v>4</v>
      </c>
      <c r="BS32" s="3600">
        <v>4</v>
      </c>
      <c r="BT32" s="3600">
        <v>4</v>
      </c>
      <c r="BU32" s="3600">
        <v>4</v>
      </c>
      <c r="BV32" s="3600">
        <v>4</v>
      </c>
      <c r="BW32" s="3600">
        <v>4</v>
      </c>
      <c r="BX32" s="3600">
        <v>4</v>
      </c>
      <c r="BY32" s="3600">
        <v>4</v>
      </c>
      <c r="BZ32" s="3600">
        <v>4</v>
      </c>
      <c r="CA32" s="3600">
        <v>4</v>
      </c>
      <c r="CB32" s="3601">
        <v>4</v>
      </c>
    </row>
    <row r="33" spans="2:80" ht="75">
      <c r="B33" s="2141"/>
      <c r="C33" s="2141"/>
      <c r="D33" s="2141"/>
      <c r="E33" s="2141"/>
      <c r="F33" s="2141"/>
      <c r="G33" s="2141"/>
      <c r="R33" s="3521">
        <f t="shared" si="11"/>
        <v>28</v>
      </c>
      <c r="S33" s="3522" t="s">
        <v>3144</v>
      </c>
      <c r="T33" s="3523" t="s">
        <v>3229</v>
      </c>
      <c r="U33" s="3524">
        <v>100081</v>
      </c>
      <c r="V33" s="3524">
        <v>100000</v>
      </c>
      <c r="W33" s="3524">
        <v>100075</v>
      </c>
      <c r="X33" s="3525">
        <f t="shared" si="15"/>
        <v>202.42834626833934</v>
      </c>
      <c r="Y33" s="3525">
        <f t="shared" si="15"/>
        <v>202.26451201360834</v>
      </c>
      <c r="Z33" s="3525">
        <f t="shared" si="15"/>
        <v>202.41621039761853</v>
      </c>
      <c r="AA33" s="3538">
        <v>0</v>
      </c>
      <c r="AB33" s="3538">
        <v>0</v>
      </c>
      <c r="AC33" s="3538">
        <v>0</v>
      </c>
      <c r="AD33" s="3539">
        <v>936000</v>
      </c>
      <c r="AE33" s="3539">
        <v>936000</v>
      </c>
      <c r="AF33" s="3539">
        <v>0</v>
      </c>
      <c r="AG33" s="3539">
        <v>0</v>
      </c>
      <c r="AH33" s="3539">
        <v>104000</v>
      </c>
      <c r="AI33" s="3539">
        <v>104000</v>
      </c>
      <c r="AJ33" s="3540" t="s">
        <v>3230</v>
      </c>
      <c r="AK33" s="3529"/>
      <c r="AL33" s="3529" t="s">
        <v>839</v>
      </c>
      <c r="AM33" s="3529" t="s">
        <v>839</v>
      </c>
      <c r="AN33" s="3530">
        <f t="shared" si="1"/>
        <v>95.009898490473574</v>
      </c>
      <c r="AO33" s="3530">
        <f t="shared" si="2"/>
        <v>30.075106691237423</v>
      </c>
      <c r="AP33" s="3530">
        <f t="shared" si="3"/>
        <v>94.933002758239411</v>
      </c>
      <c r="AQ33" s="3530">
        <f t="shared" si="4"/>
        <v>30.050765571124813</v>
      </c>
      <c r="AR33" s="3530">
        <f t="shared" si="5"/>
        <v>95.00420251030809</v>
      </c>
      <c r="AS33" s="3530">
        <f t="shared" si="6"/>
        <v>30.073303645303156</v>
      </c>
      <c r="AT33" s="3530">
        <f t="shared" si="17"/>
        <v>439312.31285759993</v>
      </c>
      <c r="AU33" s="3530">
        <f t="shared" si="18"/>
        <v>139063.0333248</v>
      </c>
      <c r="AV33" s="3530">
        <f t="shared" si="19"/>
        <v>439312.31285759993</v>
      </c>
      <c r="AW33" s="3530">
        <f t="shared" si="20"/>
        <v>139063.0333248</v>
      </c>
      <c r="AX33" s="3531" t="s">
        <v>3231</v>
      </c>
      <c r="AY33" s="3532">
        <f t="shared" si="12"/>
        <v>28</v>
      </c>
      <c r="AZ33" s="3532"/>
      <c r="BC33" s="3673"/>
      <c r="BD33" s="3603" t="s">
        <v>3434</v>
      </c>
      <c r="BE33" s="3600">
        <v>0</v>
      </c>
      <c r="BF33" s="3600">
        <v>0</v>
      </c>
      <c r="BG33" s="3600">
        <v>0</v>
      </c>
      <c r="BH33" s="3600">
        <v>0</v>
      </c>
      <c r="BI33" s="3600">
        <v>0</v>
      </c>
      <c r="BJ33" s="3600">
        <v>0</v>
      </c>
      <c r="BK33" s="3600">
        <v>0</v>
      </c>
      <c r="BL33" s="3600">
        <v>0</v>
      </c>
      <c r="BM33" s="3600">
        <v>0</v>
      </c>
      <c r="BN33" s="3600">
        <v>0</v>
      </c>
      <c r="BO33" s="3600">
        <v>0</v>
      </c>
      <c r="BP33" s="3600">
        <v>0</v>
      </c>
      <c r="BQ33" s="3600">
        <v>0</v>
      </c>
      <c r="BR33" s="3600">
        <v>0</v>
      </c>
      <c r="BS33" s="3600">
        <v>0</v>
      </c>
      <c r="BT33" s="3600">
        <v>0</v>
      </c>
      <c r="BU33" s="3600">
        <v>0</v>
      </c>
      <c r="BV33" s="3600">
        <v>0</v>
      </c>
      <c r="BW33" s="3600">
        <v>0</v>
      </c>
      <c r="BX33" s="3600">
        <v>0</v>
      </c>
      <c r="BY33" s="3600">
        <v>0</v>
      </c>
      <c r="BZ33" s="3600">
        <v>0</v>
      </c>
      <c r="CA33" s="3600">
        <v>0</v>
      </c>
      <c r="CB33" s="3601">
        <v>0</v>
      </c>
    </row>
    <row r="34" spans="2:80" ht="45">
      <c r="B34" s="2141"/>
      <c r="C34" s="2141"/>
      <c r="D34" s="2141"/>
      <c r="E34" s="2141"/>
      <c r="F34" s="2141"/>
      <c r="G34" s="2141"/>
      <c r="R34" s="3521">
        <f t="shared" si="11"/>
        <v>29</v>
      </c>
      <c r="S34" s="3522" t="s">
        <v>3144</v>
      </c>
      <c r="T34" s="3523" t="s">
        <v>3232</v>
      </c>
      <c r="U34" s="3524">
        <v>1786541</v>
      </c>
      <c r="V34" s="3524">
        <v>1369738</v>
      </c>
      <c r="W34" s="3524">
        <v>2212730</v>
      </c>
      <c r="X34" s="3525">
        <f t="shared" si="15"/>
        <v>3613.5384355730384</v>
      </c>
      <c r="Y34" s="3525">
        <f t="shared" si="15"/>
        <v>2770.493881564958</v>
      </c>
      <c r="Z34" s="3525">
        <f t="shared" si="15"/>
        <v>4475.5675366787154</v>
      </c>
      <c r="AA34" s="3538">
        <v>0</v>
      </c>
      <c r="AB34" s="3538">
        <v>0</v>
      </c>
      <c r="AC34" s="3538">
        <v>0</v>
      </c>
      <c r="AD34" s="3539">
        <v>1000000</v>
      </c>
      <c r="AE34" s="3539">
        <v>1000000</v>
      </c>
      <c r="AF34" s="3539">
        <v>0</v>
      </c>
      <c r="AG34" s="3539">
        <v>0</v>
      </c>
      <c r="AH34" s="3539">
        <v>0</v>
      </c>
      <c r="AI34" s="3539">
        <v>0</v>
      </c>
      <c r="AJ34" s="3540"/>
      <c r="AK34" s="3529"/>
      <c r="AL34" s="3529" t="s">
        <v>839</v>
      </c>
      <c r="AM34" s="3529" t="s">
        <v>839</v>
      </c>
      <c r="AN34" s="3530">
        <f t="shared" si="1"/>
        <v>1696.0170168070779</v>
      </c>
      <c r="AO34" s="3530">
        <f t="shared" si="2"/>
        <v>536.86924774202896</v>
      </c>
      <c r="AP34" s="3530">
        <f t="shared" si="3"/>
        <v>1300.3334133206531</v>
      </c>
      <c r="AQ34" s="3530">
        <f t="shared" si="4"/>
        <v>411.61675531861351</v>
      </c>
      <c r="AR34" s="3530">
        <f t="shared" si="5"/>
        <v>2100.6110319323907</v>
      </c>
      <c r="AS34" s="3530">
        <f t="shared" si="6"/>
        <v>664.94230502195001</v>
      </c>
      <c r="AT34" s="3530">
        <f t="shared" si="17"/>
        <v>469350.76159999997</v>
      </c>
      <c r="AU34" s="3530">
        <f t="shared" si="18"/>
        <v>148571.61679999999</v>
      </c>
      <c r="AV34" s="3530">
        <f t="shared" si="19"/>
        <v>469350.76159999997</v>
      </c>
      <c r="AW34" s="3530">
        <f t="shared" si="20"/>
        <v>148571.61679999999</v>
      </c>
      <c r="AX34" s="3531" t="s">
        <v>3233</v>
      </c>
      <c r="AY34" s="3532">
        <f t="shared" si="12"/>
        <v>29</v>
      </c>
      <c r="AZ34" s="3532"/>
      <c r="BC34" s="3673"/>
      <c r="BD34" s="3603" t="s">
        <v>3431</v>
      </c>
      <c r="BE34" s="3600">
        <v>4</v>
      </c>
      <c r="BF34" s="3600">
        <v>4</v>
      </c>
      <c r="BG34" s="3600">
        <v>4</v>
      </c>
      <c r="BH34" s="3600">
        <v>4</v>
      </c>
      <c r="BI34" s="3600">
        <v>4</v>
      </c>
      <c r="BJ34" s="3600">
        <v>4</v>
      </c>
      <c r="BK34" s="3600">
        <v>4</v>
      </c>
      <c r="BL34" s="3600">
        <v>4</v>
      </c>
      <c r="BM34" s="3600">
        <v>4</v>
      </c>
      <c r="BN34" s="3600">
        <v>4</v>
      </c>
      <c r="BO34" s="3600">
        <v>4</v>
      </c>
      <c r="BP34" s="3600">
        <v>4</v>
      </c>
      <c r="BQ34" s="3600">
        <v>4</v>
      </c>
      <c r="BR34" s="3600">
        <v>4</v>
      </c>
      <c r="BS34" s="3600">
        <v>4</v>
      </c>
      <c r="BT34" s="3600">
        <v>4</v>
      </c>
      <c r="BU34" s="3600">
        <v>4</v>
      </c>
      <c r="BV34" s="3600">
        <v>4</v>
      </c>
      <c r="BW34" s="3600">
        <v>4</v>
      </c>
      <c r="BX34" s="3600">
        <v>4</v>
      </c>
      <c r="BY34" s="3600">
        <v>4</v>
      </c>
      <c r="BZ34" s="3600">
        <v>4</v>
      </c>
      <c r="CA34" s="3600">
        <v>4</v>
      </c>
      <c r="CB34" s="3601">
        <v>4</v>
      </c>
    </row>
    <row r="35" spans="2:80" ht="25.5">
      <c r="B35" s="2141"/>
      <c r="C35" s="2141"/>
      <c r="D35" s="2141"/>
      <c r="E35" s="2141"/>
      <c r="F35" s="2141"/>
      <c r="G35" s="2141"/>
      <c r="R35" s="3521">
        <f t="shared" si="11"/>
        <v>30</v>
      </c>
      <c r="S35" s="3522" t="s">
        <v>3144</v>
      </c>
      <c r="T35" s="3523" t="s">
        <v>3235</v>
      </c>
      <c r="U35" s="3524">
        <v>2221684</v>
      </c>
      <c r="V35" s="3524">
        <v>2000003</v>
      </c>
      <c r="W35" s="3524">
        <v>1051084</v>
      </c>
      <c r="X35" s="3525">
        <f t="shared" si="15"/>
        <v>4493.6783010844138</v>
      </c>
      <c r="Y35" s="3525">
        <f t="shared" si="15"/>
        <v>4045.2963082075266</v>
      </c>
      <c r="Z35" s="3525">
        <f t="shared" si="15"/>
        <v>2125.9699234531149</v>
      </c>
      <c r="AA35" s="3538">
        <v>0</v>
      </c>
      <c r="AB35" s="3538">
        <v>0</v>
      </c>
      <c r="AC35" s="3538">
        <v>0</v>
      </c>
      <c r="AD35" s="3539">
        <v>0</v>
      </c>
      <c r="AE35" s="3539">
        <v>0</v>
      </c>
      <c r="AF35" s="3539">
        <v>0</v>
      </c>
      <c r="AG35" s="3539">
        <v>0</v>
      </c>
      <c r="AH35" s="3539">
        <v>0</v>
      </c>
      <c r="AI35" s="3539">
        <v>0</v>
      </c>
      <c r="AJ35" s="3540" t="s">
        <v>3164</v>
      </c>
      <c r="AK35" s="3529"/>
      <c r="AL35" s="3529" t="s">
        <v>839</v>
      </c>
      <c r="AM35" s="3529" t="s">
        <v>839</v>
      </c>
      <c r="AN35" s="3530">
        <f t="shared" si="1"/>
        <v>2109.1113329993636</v>
      </c>
      <c r="AO35" s="3530">
        <f t="shared" si="2"/>
        <v>667.63305057118851</v>
      </c>
      <c r="AP35" s="3530">
        <f t="shared" si="3"/>
        <v>1898.6629031548707</v>
      </c>
      <c r="AQ35" s="3530">
        <f t="shared" si="4"/>
        <v>601.01621294546339</v>
      </c>
      <c r="AR35" s="3530">
        <f t="shared" si="5"/>
        <v>997.82560271141301</v>
      </c>
      <c r="AS35" s="3530">
        <f t="shared" si="6"/>
        <v>315.85878879560153</v>
      </c>
      <c r="AT35" s="3530">
        <f t="shared" si="17"/>
        <v>0</v>
      </c>
      <c r="AU35" s="3530">
        <f t="shared" si="18"/>
        <v>0</v>
      </c>
      <c r="AV35" s="3530">
        <f t="shared" si="19"/>
        <v>0</v>
      </c>
      <c r="AW35" s="3530">
        <f t="shared" si="20"/>
        <v>0</v>
      </c>
      <c r="AX35" s="3531" t="s">
        <v>3134</v>
      </c>
      <c r="AY35" s="3532">
        <f t="shared" si="12"/>
        <v>30</v>
      </c>
      <c r="AZ35" s="3532"/>
      <c r="BC35" s="3673"/>
      <c r="BD35" s="3603" t="s">
        <v>3430</v>
      </c>
      <c r="BE35" s="3600">
        <v>35</v>
      </c>
      <c r="BF35" s="3600">
        <v>35</v>
      </c>
      <c r="BG35" s="3600">
        <v>35</v>
      </c>
      <c r="BH35" s="3600">
        <v>35</v>
      </c>
      <c r="BI35" s="3600">
        <v>35</v>
      </c>
      <c r="BJ35" s="3600">
        <v>35</v>
      </c>
      <c r="BK35" s="3600">
        <v>35</v>
      </c>
      <c r="BL35" s="3600">
        <v>35</v>
      </c>
      <c r="BM35" s="3600">
        <v>35</v>
      </c>
      <c r="BN35" s="3600">
        <v>35</v>
      </c>
      <c r="BO35" s="3600">
        <v>35</v>
      </c>
      <c r="BP35" s="3600">
        <v>35</v>
      </c>
      <c r="BQ35" s="3600">
        <v>35</v>
      </c>
      <c r="BR35" s="3600">
        <v>35</v>
      </c>
      <c r="BS35" s="3600">
        <v>35</v>
      </c>
      <c r="BT35" s="3600">
        <v>35</v>
      </c>
      <c r="BU35" s="3600">
        <v>35</v>
      </c>
      <c r="BV35" s="3600">
        <v>35</v>
      </c>
      <c r="BW35" s="3600">
        <v>35</v>
      </c>
      <c r="BX35" s="3600">
        <v>35</v>
      </c>
      <c r="BY35" s="3600">
        <v>35</v>
      </c>
      <c r="BZ35" s="3600">
        <v>35</v>
      </c>
      <c r="CA35" s="3600">
        <v>35</v>
      </c>
      <c r="CB35" s="3601">
        <v>35</v>
      </c>
    </row>
    <row r="36" spans="2:80" ht="90">
      <c r="B36" s="2141"/>
      <c r="C36" s="2141"/>
      <c r="D36" s="2141"/>
      <c r="E36" s="2141"/>
      <c r="F36" s="2141"/>
      <c r="G36" s="2141"/>
      <c r="R36" s="3521">
        <f t="shared" si="11"/>
        <v>31</v>
      </c>
      <c r="S36" s="3522" t="s">
        <v>3144</v>
      </c>
      <c r="T36" s="3523" t="s">
        <v>3236</v>
      </c>
      <c r="U36" s="3524">
        <v>1771645</v>
      </c>
      <c r="V36" s="3524">
        <v>2387292</v>
      </c>
      <c r="W36" s="3524">
        <v>2000689</v>
      </c>
      <c r="X36" s="3525">
        <f t="shared" si="15"/>
        <v>3583.4091138634913</v>
      </c>
      <c r="Y36" s="3525">
        <f t="shared" si="15"/>
        <v>4828.6445141399108</v>
      </c>
      <c r="Z36" s="3525">
        <f t="shared" si="15"/>
        <v>4046.6838427599405</v>
      </c>
      <c r="AA36" s="3538">
        <v>0</v>
      </c>
      <c r="AB36" s="3538">
        <v>0</v>
      </c>
      <c r="AC36" s="3538">
        <v>0</v>
      </c>
      <c r="AD36" s="3539">
        <v>936000</v>
      </c>
      <c r="AE36" s="3539">
        <v>936000</v>
      </c>
      <c r="AF36" s="3539">
        <v>0</v>
      </c>
      <c r="AG36" s="3539">
        <v>0</v>
      </c>
      <c r="AH36" s="3539">
        <v>104000</v>
      </c>
      <c r="AI36" s="3539">
        <v>104000</v>
      </c>
      <c r="AJ36" s="3540" t="s">
        <v>3237</v>
      </c>
      <c r="AK36" s="3529"/>
      <c r="AL36" s="3529" t="s">
        <v>839</v>
      </c>
      <c r="AM36" s="3529" t="s">
        <v>839</v>
      </c>
      <c r="AN36" s="3530">
        <f t="shared" si="1"/>
        <v>1681.8757967162105</v>
      </c>
      <c r="AO36" s="3530">
        <f t="shared" si="2"/>
        <v>532.39288570255417</v>
      </c>
      <c r="AP36" s="3530">
        <f t="shared" si="3"/>
        <v>2266.3279802072288</v>
      </c>
      <c r="AQ36" s="3530">
        <f t="shared" si="4"/>
        <v>717.39952241821697</v>
      </c>
      <c r="AR36" s="3530">
        <f t="shared" si="5"/>
        <v>1899.3141435537925</v>
      </c>
      <c r="AS36" s="3530">
        <f t="shared" si="6"/>
        <v>601.22236119728132</v>
      </c>
      <c r="AT36" s="3530">
        <f t="shared" si="17"/>
        <v>439312.31285759993</v>
      </c>
      <c r="AU36" s="3530">
        <f t="shared" si="18"/>
        <v>139063.0333248</v>
      </c>
      <c r="AV36" s="3530">
        <f t="shared" si="19"/>
        <v>439312.31285759993</v>
      </c>
      <c r="AW36" s="3530">
        <f t="shared" si="20"/>
        <v>139063.0333248</v>
      </c>
      <c r="AX36" s="3531" t="s">
        <v>3238</v>
      </c>
      <c r="AY36" s="3532">
        <f t="shared" si="12"/>
        <v>31</v>
      </c>
      <c r="AZ36" s="3532"/>
      <c r="BC36" s="3673"/>
      <c r="CB36" s="3672"/>
    </row>
    <row r="37" spans="2:80" ht="25.5">
      <c r="B37" s="2141"/>
      <c r="C37" s="2141"/>
      <c r="D37" s="2141"/>
      <c r="E37" s="2141"/>
      <c r="F37" s="2141"/>
      <c r="G37" s="2141"/>
      <c r="R37" s="3521">
        <f t="shared" si="11"/>
        <v>32</v>
      </c>
      <c r="S37" s="3522" t="s">
        <v>3144</v>
      </c>
      <c r="T37" s="3523" t="s">
        <v>3239</v>
      </c>
      <c r="U37" s="3524">
        <v>978615</v>
      </c>
      <c r="V37" s="3524">
        <v>909147</v>
      </c>
      <c r="W37" s="3524">
        <v>977102</v>
      </c>
      <c r="X37" s="3525">
        <f t="shared" si="15"/>
        <v>1979.3908542419731</v>
      </c>
      <c r="Y37" s="3525">
        <f t="shared" si="15"/>
        <v>1838.8817430363597</v>
      </c>
      <c r="Z37" s="3525">
        <f t="shared" si="15"/>
        <v>1976.3305921752074</v>
      </c>
      <c r="AA37" s="3538">
        <v>0</v>
      </c>
      <c r="AB37" s="3538">
        <v>0</v>
      </c>
      <c r="AC37" s="3538">
        <v>0</v>
      </c>
      <c r="AD37" s="3539">
        <v>0</v>
      </c>
      <c r="AE37" s="3539">
        <v>0</v>
      </c>
      <c r="AF37" s="3539">
        <v>0</v>
      </c>
      <c r="AG37" s="3539">
        <v>0</v>
      </c>
      <c r="AH37" s="3539">
        <v>0</v>
      </c>
      <c r="AI37" s="3539">
        <v>0</v>
      </c>
      <c r="AJ37" s="3540"/>
      <c r="AK37" s="3529"/>
      <c r="AL37" s="3529" t="s">
        <v>839</v>
      </c>
      <c r="AM37" s="3529" t="s">
        <v>839</v>
      </c>
      <c r="AN37" s="3530">
        <f t="shared" si="1"/>
        <v>929.02860494254458</v>
      </c>
      <c r="AO37" s="3530">
        <f t="shared" si="2"/>
        <v>294.08129949386307</v>
      </c>
      <c r="AP37" s="3530">
        <f t="shared" si="3"/>
        <v>863.08054658645085</v>
      </c>
      <c r="AQ37" s="3530">
        <f t="shared" si="4"/>
        <v>273.20563366691408</v>
      </c>
      <c r="AR37" s="3530">
        <f t="shared" si="5"/>
        <v>927.59226861081243</v>
      </c>
      <c r="AS37" s="3530">
        <f t="shared" si="6"/>
        <v>293.62663141077201</v>
      </c>
      <c r="AT37" s="3530">
        <f t="shared" si="17"/>
        <v>0</v>
      </c>
      <c r="AU37" s="3530">
        <f t="shared" si="18"/>
        <v>0</v>
      </c>
      <c r="AV37" s="3530">
        <f t="shared" si="19"/>
        <v>0</v>
      </c>
      <c r="AW37" s="3530">
        <f t="shared" si="20"/>
        <v>0</v>
      </c>
      <c r="AX37" s="3531" t="s">
        <v>3134</v>
      </c>
      <c r="AY37" s="3532">
        <f t="shared" si="12"/>
        <v>32</v>
      </c>
      <c r="AZ37" s="3532"/>
      <c r="BC37" s="3673"/>
      <c r="BD37" s="3693" t="s">
        <v>3259</v>
      </c>
      <c r="BE37" s="3715"/>
      <c r="BF37" s="3715"/>
      <c r="BG37" s="3715"/>
      <c r="CB37" s="3672"/>
    </row>
    <row r="38" spans="2:80" ht="90">
      <c r="R38" s="3521">
        <f t="shared" si="11"/>
        <v>33</v>
      </c>
      <c r="S38" s="3522" t="s">
        <v>3144</v>
      </c>
      <c r="T38" s="3523" t="s">
        <v>3240</v>
      </c>
      <c r="U38" s="3524">
        <v>2970407</v>
      </c>
      <c r="V38" s="3524">
        <v>2609026</v>
      </c>
      <c r="W38" s="3524">
        <v>2804725</v>
      </c>
      <c r="X38" s="3525">
        <f t="shared" si="15"/>
        <v>6008.0792233680622</v>
      </c>
      <c r="Y38" s="3525">
        <f t="shared" si="15"/>
        <v>5277.1337072081642</v>
      </c>
      <c r="Z38" s="3525">
        <f t="shared" si="15"/>
        <v>5672.9633345736765</v>
      </c>
      <c r="AA38" s="3538">
        <v>0</v>
      </c>
      <c r="AB38" s="3538">
        <v>0</v>
      </c>
      <c r="AC38" s="3538">
        <v>0</v>
      </c>
      <c r="AD38" s="3539">
        <v>382000</v>
      </c>
      <c r="AE38" s="3539">
        <v>632000</v>
      </c>
      <c r="AF38" s="3539">
        <v>0</v>
      </c>
      <c r="AG38" s="3539">
        <v>0</v>
      </c>
      <c r="AH38" s="3539">
        <v>0</v>
      </c>
      <c r="AI38" s="3539">
        <v>0</v>
      </c>
      <c r="AJ38" s="3540"/>
      <c r="AK38" s="3529" t="s">
        <v>3167</v>
      </c>
      <c r="AL38" s="3529" t="s">
        <v>839</v>
      </c>
      <c r="AM38" s="3529" t="s">
        <v>839</v>
      </c>
      <c r="AN38" s="3530">
        <f t="shared" si="1"/>
        <v>2819.8965592409363</v>
      </c>
      <c r="AO38" s="3530">
        <f t="shared" si="2"/>
        <v>892.63004407828134</v>
      </c>
      <c r="AP38" s="3530">
        <f t="shared" si="3"/>
        <v>2476.826724543183</v>
      </c>
      <c r="AQ38" s="3530">
        <f t="shared" si="4"/>
        <v>784.03228694969482</v>
      </c>
      <c r="AR38" s="3530">
        <f t="shared" si="5"/>
        <v>2662.6096616110303</v>
      </c>
      <c r="AS38" s="3530">
        <f t="shared" si="6"/>
        <v>842.84133466473043</v>
      </c>
      <c r="AT38" s="3530">
        <f t="shared" si="17"/>
        <v>179291.99093119998</v>
      </c>
      <c r="AU38" s="3530">
        <f t="shared" si="18"/>
        <v>56754.357617599999</v>
      </c>
      <c r="AV38" s="3530">
        <f t="shared" si="19"/>
        <v>296629.68133119994</v>
      </c>
      <c r="AW38" s="3530">
        <f t="shared" si="20"/>
        <v>93897.261817599996</v>
      </c>
      <c r="AX38" s="3531" t="s">
        <v>3241</v>
      </c>
      <c r="AY38" s="3532">
        <f t="shared" si="12"/>
        <v>33</v>
      </c>
      <c r="AZ38" s="3532"/>
      <c r="BC38" s="3673"/>
      <c r="BE38" s="3691">
        <v>45688</v>
      </c>
      <c r="BF38" s="3691">
        <f t="shared" ref="BF38:CB38" si="21">EOMONTH(BE38,1)</f>
        <v>45716</v>
      </c>
      <c r="BG38" s="3691">
        <f t="shared" si="21"/>
        <v>45747</v>
      </c>
      <c r="BH38" s="3691">
        <f t="shared" si="21"/>
        <v>45777</v>
      </c>
      <c r="BI38" s="3691">
        <f t="shared" si="21"/>
        <v>45808</v>
      </c>
      <c r="BJ38" s="3691">
        <f t="shared" si="21"/>
        <v>45838</v>
      </c>
      <c r="BK38" s="3691">
        <f t="shared" si="21"/>
        <v>45869</v>
      </c>
      <c r="BL38" s="3691">
        <f t="shared" si="21"/>
        <v>45900</v>
      </c>
      <c r="BM38" s="3691">
        <f t="shared" si="21"/>
        <v>45930</v>
      </c>
      <c r="BN38" s="3691">
        <f t="shared" si="21"/>
        <v>45961</v>
      </c>
      <c r="BO38" s="3691">
        <f t="shared" si="21"/>
        <v>45991</v>
      </c>
      <c r="BP38" s="3691">
        <f t="shared" si="21"/>
        <v>46022</v>
      </c>
      <c r="BQ38" s="3691">
        <f t="shared" si="21"/>
        <v>46053</v>
      </c>
      <c r="BR38" s="3691">
        <f t="shared" si="21"/>
        <v>46081</v>
      </c>
      <c r="BS38" s="3691">
        <f t="shared" si="21"/>
        <v>46112</v>
      </c>
      <c r="BT38" s="3691">
        <f t="shared" si="21"/>
        <v>46142</v>
      </c>
      <c r="BU38" s="3691">
        <f t="shared" si="21"/>
        <v>46173</v>
      </c>
      <c r="BV38" s="3691">
        <f t="shared" si="21"/>
        <v>46203</v>
      </c>
      <c r="BW38" s="3691">
        <f t="shared" si="21"/>
        <v>46234</v>
      </c>
      <c r="BX38" s="3691">
        <f t="shared" si="21"/>
        <v>46265</v>
      </c>
      <c r="BY38" s="3691">
        <f t="shared" si="21"/>
        <v>46295</v>
      </c>
      <c r="BZ38" s="3691">
        <f t="shared" si="21"/>
        <v>46326</v>
      </c>
      <c r="CA38" s="3691">
        <f t="shared" si="21"/>
        <v>46356</v>
      </c>
      <c r="CB38" s="3690">
        <f t="shared" si="21"/>
        <v>46387</v>
      </c>
    </row>
    <row r="39" spans="2:80" ht="45">
      <c r="R39" s="3521">
        <f t="shared" si="11"/>
        <v>34</v>
      </c>
      <c r="S39" s="3522" t="s">
        <v>3144</v>
      </c>
      <c r="T39" s="3523" t="s">
        <v>3242</v>
      </c>
      <c r="U39" s="3524">
        <v>380134</v>
      </c>
      <c r="V39" s="3524">
        <v>399999</v>
      </c>
      <c r="W39" s="3524">
        <v>399999</v>
      </c>
      <c r="X39" s="3525">
        <f t="shared" si="15"/>
        <v>768.87618009780988</v>
      </c>
      <c r="Y39" s="3525">
        <f t="shared" si="15"/>
        <v>809.05602540931318</v>
      </c>
      <c r="Z39" s="3525">
        <f t="shared" si="15"/>
        <v>809.05602540931318</v>
      </c>
      <c r="AA39" s="3538">
        <v>0</v>
      </c>
      <c r="AB39" s="3538">
        <v>0</v>
      </c>
      <c r="AC39" s="3538">
        <v>0</v>
      </c>
      <c r="AD39" s="3539">
        <v>6000</v>
      </c>
      <c r="AE39" s="3539">
        <v>6000</v>
      </c>
      <c r="AF39" s="3539">
        <v>0</v>
      </c>
      <c r="AG39" s="3539">
        <v>0</v>
      </c>
      <c r="AH39" s="3539">
        <v>594000</v>
      </c>
      <c r="AI39" s="3539">
        <v>594000</v>
      </c>
      <c r="AJ39" s="3540" t="s">
        <v>3243</v>
      </c>
      <c r="AK39" s="3529"/>
      <c r="AL39" s="3529" t="s">
        <v>839</v>
      </c>
      <c r="AM39" s="3529" t="s">
        <v>839</v>
      </c>
      <c r="AN39" s="3530">
        <f t="shared" si="1"/>
        <v>360.87262070500577</v>
      </c>
      <c r="AO39" s="3530">
        <f t="shared" si="2"/>
        <v>114.23317719613959</v>
      </c>
      <c r="AP39" s="3530">
        <f t="shared" si="3"/>
        <v>379.73106170293005</v>
      </c>
      <c r="AQ39" s="3530">
        <f t="shared" si="4"/>
        <v>120.20276177684354</v>
      </c>
      <c r="AR39" s="3530">
        <f t="shared" si="5"/>
        <v>379.73106170293005</v>
      </c>
      <c r="AS39" s="3530">
        <f t="shared" si="6"/>
        <v>120.20276177684354</v>
      </c>
      <c r="AT39" s="3530">
        <f t="shared" si="17"/>
        <v>2816.1045695999996</v>
      </c>
      <c r="AU39" s="3530">
        <f t="shared" si="18"/>
        <v>891.42970079999998</v>
      </c>
      <c r="AV39" s="3530">
        <f t="shared" si="19"/>
        <v>2816.1045695999996</v>
      </c>
      <c r="AW39" s="3530">
        <f t="shared" si="20"/>
        <v>891.42970079999998</v>
      </c>
      <c r="AX39" s="3531" t="s">
        <v>3244</v>
      </c>
      <c r="AY39" s="3532">
        <f t="shared" si="12"/>
        <v>34</v>
      </c>
      <c r="AZ39" s="3532"/>
      <c r="BC39" s="3673"/>
      <c r="BD39" s="3603" t="s">
        <v>3433</v>
      </c>
      <c r="BE39" s="3604">
        <f t="shared" ref="BE39:CB39" si="22">BE30-$BE$17-$BE$18</f>
        <v>610.68769033503486</v>
      </c>
      <c r="BF39" s="3604">
        <f t="shared" si="22"/>
        <v>616.71094614898902</v>
      </c>
      <c r="BG39" s="3604">
        <f t="shared" si="22"/>
        <v>622.73420196294319</v>
      </c>
      <c r="BH39" s="3604">
        <f t="shared" si="22"/>
        <v>628.75745777689735</v>
      </c>
      <c r="BI39" s="3604">
        <f t="shared" si="22"/>
        <v>634.78071359085152</v>
      </c>
      <c r="BJ39" s="3604">
        <f t="shared" si="22"/>
        <v>640.80396940477658</v>
      </c>
      <c r="BK39" s="3604">
        <f t="shared" si="22"/>
        <v>646.82722521873075</v>
      </c>
      <c r="BL39" s="3604">
        <f t="shared" si="22"/>
        <v>652.85048103268491</v>
      </c>
      <c r="BM39" s="3604">
        <f t="shared" si="22"/>
        <v>658.87373684663908</v>
      </c>
      <c r="BN39" s="3604">
        <f t="shared" si="22"/>
        <v>664.89699266059324</v>
      </c>
      <c r="BO39" s="3604">
        <f t="shared" si="22"/>
        <v>670.92024847454741</v>
      </c>
      <c r="BP39" s="3604">
        <f t="shared" si="22"/>
        <v>676.94350428850157</v>
      </c>
      <c r="BQ39" s="3604">
        <f t="shared" si="22"/>
        <v>682.96676010245574</v>
      </c>
      <c r="BR39" s="3604">
        <f t="shared" si="22"/>
        <v>688.9900159164099</v>
      </c>
      <c r="BS39" s="3604">
        <f t="shared" si="22"/>
        <v>695.01327173036407</v>
      </c>
      <c r="BT39" s="3604">
        <f t="shared" si="22"/>
        <v>701.03652754431823</v>
      </c>
      <c r="BU39" s="3604">
        <f t="shared" si="22"/>
        <v>707.0597833582724</v>
      </c>
      <c r="BV39" s="3604">
        <f t="shared" si="22"/>
        <v>713.08303917222656</v>
      </c>
      <c r="BW39" s="3604">
        <f t="shared" si="22"/>
        <v>719.10629498618073</v>
      </c>
      <c r="BX39" s="3604">
        <f t="shared" si="22"/>
        <v>725.12955080013489</v>
      </c>
      <c r="BY39" s="3604">
        <f t="shared" si="22"/>
        <v>731.15280661408906</v>
      </c>
      <c r="BZ39" s="3604">
        <f t="shared" si="22"/>
        <v>737.17606242804322</v>
      </c>
      <c r="CA39" s="3604">
        <f t="shared" si="22"/>
        <v>743.19931824199739</v>
      </c>
      <c r="CB39" s="3605">
        <f t="shared" si="22"/>
        <v>749.22257405595155</v>
      </c>
    </row>
    <row r="40" spans="2:80" ht="60">
      <c r="R40" s="3521">
        <f t="shared" si="11"/>
        <v>35</v>
      </c>
      <c r="S40" s="3522" t="s">
        <v>3144</v>
      </c>
      <c r="T40" s="3523" t="s">
        <v>3245</v>
      </c>
      <c r="U40" s="3524">
        <v>7316</v>
      </c>
      <c r="V40" s="3524">
        <v>1461811</v>
      </c>
      <c r="W40" s="3524">
        <v>878940</v>
      </c>
      <c r="X40" s="3525">
        <f t="shared" si="15"/>
        <v>14.797671698915586</v>
      </c>
      <c r="Y40" s="3525">
        <f t="shared" si="15"/>
        <v>2956.7248857112481</v>
      </c>
      <c r="Z40" s="3525">
        <f t="shared" si="15"/>
        <v>1777.783701892409</v>
      </c>
      <c r="AA40" s="3538">
        <v>0</v>
      </c>
      <c r="AB40" s="3538">
        <v>0</v>
      </c>
      <c r="AC40" s="3538">
        <v>0</v>
      </c>
      <c r="AD40" s="3539">
        <v>0</v>
      </c>
      <c r="AE40" s="3539">
        <v>0</v>
      </c>
      <c r="AF40" s="3539">
        <v>0</v>
      </c>
      <c r="AG40" s="3539">
        <v>0</v>
      </c>
      <c r="AH40" s="3539">
        <v>0</v>
      </c>
      <c r="AI40" s="3539">
        <v>0</v>
      </c>
      <c r="AJ40" s="3540"/>
      <c r="AK40" s="3529"/>
      <c r="AL40" s="3529" t="s">
        <v>839</v>
      </c>
      <c r="AM40" s="3529" t="s">
        <v>839</v>
      </c>
      <c r="AN40" s="3530">
        <f t="shared" si="1"/>
        <v>6.9452984817927952</v>
      </c>
      <c r="AO40" s="3530">
        <f t="shared" si="2"/>
        <v>2.1985140091834916</v>
      </c>
      <c r="AP40" s="3530">
        <f t="shared" si="3"/>
        <v>1387.7410769502471</v>
      </c>
      <c r="AQ40" s="3530">
        <f t="shared" si="4"/>
        <v>439.28539670291536</v>
      </c>
      <c r="AR40" s="3530">
        <f t="shared" si="5"/>
        <v>834.40413444326941</v>
      </c>
      <c r="AS40" s="3530">
        <f t="shared" si="6"/>
        <v>264.12819891084445</v>
      </c>
      <c r="AT40" s="3530">
        <f t="shared" si="17"/>
        <v>0</v>
      </c>
      <c r="AU40" s="3530">
        <f t="shared" si="18"/>
        <v>0</v>
      </c>
      <c r="AV40" s="3530">
        <f t="shared" si="19"/>
        <v>0</v>
      </c>
      <c r="AW40" s="3530">
        <f t="shared" si="20"/>
        <v>0</v>
      </c>
      <c r="AX40" s="3531" t="s">
        <v>3246</v>
      </c>
      <c r="AY40" s="3532">
        <f t="shared" si="12"/>
        <v>35</v>
      </c>
      <c r="AZ40" s="3532"/>
      <c r="BC40" s="3673"/>
      <c r="BD40" s="3603" t="s">
        <v>3428</v>
      </c>
      <c r="BE40" s="3604">
        <f t="shared" ref="BE40:CB40" si="23">BE31-$BE$19</f>
        <v>0</v>
      </c>
      <c r="BF40" s="3604">
        <f t="shared" si="23"/>
        <v>0</v>
      </c>
      <c r="BG40" s="3604">
        <f t="shared" si="23"/>
        <v>0</v>
      </c>
      <c r="BH40" s="3604">
        <f t="shared" si="23"/>
        <v>0</v>
      </c>
      <c r="BI40" s="3604">
        <f t="shared" si="23"/>
        <v>0</v>
      </c>
      <c r="BJ40" s="3604">
        <f t="shared" si="23"/>
        <v>0</v>
      </c>
      <c r="BK40" s="3604">
        <f t="shared" si="23"/>
        <v>0</v>
      </c>
      <c r="BL40" s="3604">
        <f t="shared" si="23"/>
        <v>0</v>
      </c>
      <c r="BM40" s="3604">
        <f t="shared" si="23"/>
        <v>0</v>
      </c>
      <c r="BN40" s="3604">
        <f t="shared" si="23"/>
        <v>0</v>
      </c>
      <c r="BO40" s="3604">
        <f t="shared" si="23"/>
        <v>0</v>
      </c>
      <c r="BP40" s="3604">
        <f t="shared" si="23"/>
        <v>0</v>
      </c>
      <c r="BQ40" s="3604">
        <f t="shared" si="23"/>
        <v>0</v>
      </c>
      <c r="BR40" s="3604">
        <f t="shared" si="23"/>
        <v>0</v>
      </c>
      <c r="BS40" s="3604">
        <f t="shared" si="23"/>
        <v>0</v>
      </c>
      <c r="BT40" s="3604">
        <f t="shared" si="23"/>
        <v>0</v>
      </c>
      <c r="BU40" s="3604">
        <f t="shared" si="23"/>
        <v>0</v>
      </c>
      <c r="BV40" s="3604">
        <f t="shared" si="23"/>
        <v>0</v>
      </c>
      <c r="BW40" s="3604">
        <f t="shared" si="23"/>
        <v>0</v>
      </c>
      <c r="BX40" s="3604">
        <f t="shared" si="23"/>
        <v>0</v>
      </c>
      <c r="BY40" s="3604">
        <f t="shared" si="23"/>
        <v>0</v>
      </c>
      <c r="BZ40" s="3604">
        <f t="shared" si="23"/>
        <v>0</v>
      </c>
      <c r="CA40" s="3604">
        <f t="shared" si="23"/>
        <v>0</v>
      </c>
      <c r="CB40" s="3605">
        <f t="shared" si="23"/>
        <v>0</v>
      </c>
    </row>
    <row r="41" spans="2:80" ht="45">
      <c r="R41" s="3521">
        <f t="shared" si="11"/>
        <v>36</v>
      </c>
      <c r="S41" s="3522" t="s">
        <v>3144</v>
      </c>
      <c r="T41" s="3523" t="s">
        <v>3247</v>
      </c>
      <c r="U41" s="3524">
        <v>4260001</v>
      </c>
      <c r="V41" s="3524">
        <v>4144998</v>
      </c>
      <c r="W41" s="3524">
        <v>3140001</v>
      </c>
      <c r="X41" s="3525">
        <f t="shared" si="15"/>
        <v>8616.4702344248344</v>
      </c>
      <c r="Y41" s="3525">
        <f t="shared" si="15"/>
        <v>8383.8599776738247</v>
      </c>
      <c r="Z41" s="3525">
        <f t="shared" si="15"/>
        <v>6351.107699872422</v>
      </c>
      <c r="AA41" s="3538">
        <v>0</v>
      </c>
      <c r="AB41" s="3538">
        <v>0</v>
      </c>
      <c r="AC41" s="3538">
        <v>0</v>
      </c>
      <c r="AD41" s="3539">
        <v>230000</v>
      </c>
      <c r="AE41" s="3539">
        <v>173000</v>
      </c>
      <c r="AF41" s="3539">
        <v>0</v>
      </c>
      <c r="AG41" s="3539">
        <v>0</v>
      </c>
      <c r="AH41" s="3539">
        <v>0</v>
      </c>
      <c r="AI41" s="3539">
        <v>0</v>
      </c>
      <c r="AJ41" s="3540"/>
      <c r="AK41" s="3529" t="s">
        <v>3167</v>
      </c>
      <c r="AL41" s="3529" t="s">
        <v>839</v>
      </c>
      <c r="AM41" s="3529" t="s">
        <v>839</v>
      </c>
      <c r="AN41" s="3530">
        <f t="shared" si="1"/>
        <v>4044.1468668310263</v>
      </c>
      <c r="AO41" s="3530">
        <f t="shared" si="2"/>
        <v>1280.1629138375727</v>
      </c>
      <c r="AP41" s="3530">
        <f t="shared" si="3"/>
        <v>3934.9710656689681</v>
      </c>
      <c r="AQ41" s="3530">
        <f t="shared" si="4"/>
        <v>1245.6036319078121</v>
      </c>
      <c r="AR41" s="3530">
        <f t="shared" si="5"/>
        <v>2980.8972359387453</v>
      </c>
      <c r="AS41" s="3530">
        <f t="shared" si="6"/>
        <v>943.59433944097486</v>
      </c>
      <c r="AT41" s="3530">
        <f t="shared" si="17"/>
        <v>107950.67516799999</v>
      </c>
      <c r="AU41" s="3530">
        <f t="shared" si="18"/>
        <v>34171.471863999999</v>
      </c>
      <c r="AV41" s="3530">
        <f t="shared" si="19"/>
        <v>81197.681756799997</v>
      </c>
      <c r="AW41" s="3530">
        <f t="shared" si="20"/>
        <v>25702.889706400001</v>
      </c>
      <c r="AX41" s="3531" t="s">
        <v>3248</v>
      </c>
      <c r="AY41" s="3532">
        <f t="shared" si="12"/>
        <v>36</v>
      </c>
      <c r="AZ41" s="3532"/>
      <c r="BC41" s="3673"/>
      <c r="BD41" s="3603" t="s">
        <v>3432</v>
      </c>
      <c r="BE41" s="3604">
        <f t="shared" ref="BE41:CB41" si="24">BE32-$BE$20</f>
        <v>0</v>
      </c>
      <c r="BF41" s="3604">
        <f t="shared" si="24"/>
        <v>0</v>
      </c>
      <c r="BG41" s="3604">
        <f t="shared" si="24"/>
        <v>0</v>
      </c>
      <c r="BH41" s="3604">
        <f t="shared" si="24"/>
        <v>0</v>
      </c>
      <c r="BI41" s="3604">
        <f t="shared" si="24"/>
        <v>0</v>
      </c>
      <c r="BJ41" s="3604">
        <f t="shared" si="24"/>
        <v>0</v>
      </c>
      <c r="BK41" s="3604">
        <f t="shared" si="24"/>
        <v>0</v>
      </c>
      <c r="BL41" s="3604">
        <f t="shared" si="24"/>
        <v>0</v>
      </c>
      <c r="BM41" s="3604">
        <f t="shared" si="24"/>
        <v>0</v>
      </c>
      <c r="BN41" s="3604">
        <f t="shared" si="24"/>
        <v>0</v>
      </c>
      <c r="BO41" s="3604">
        <f t="shared" si="24"/>
        <v>0</v>
      </c>
      <c r="BP41" s="3604">
        <f t="shared" si="24"/>
        <v>0</v>
      </c>
      <c r="BQ41" s="3604">
        <f t="shared" si="24"/>
        <v>0</v>
      </c>
      <c r="BR41" s="3604">
        <f t="shared" si="24"/>
        <v>0</v>
      </c>
      <c r="BS41" s="3604">
        <f t="shared" si="24"/>
        <v>0</v>
      </c>
      <c r="BT41" s="3604">
        <f t="shared" si="24"/>
        <v>0</v>
      </c>
      <c r="BU41" s="3604">
        <f t="shared" si="24"/>
        <v>0</v>
      </c>
      <c r="BV41" s="3604">
        <f t="shared" si="24"/>
        <v>0</v>
      </c>
      <c r="BW41" s="3604">
        <f t="shared" si="24"/>
        <v>0</v>
      </c>
      <c r="BX41" s="3604">
        <f t="shared" si="24"/>
        <v>0</v>
      </c>
      <c r="BY41" s="3604">
        <f t="shared" si="24"/>
        <v>0</v>
      </c>
      <c r="BZ41" s="3604">
        <f t="shared" si="24"/>
        <v>0</v>
      </c>
      <c r="CA41" s="3604">
        <f t="shared" si="24"/>
        <v>0</v>
      </c>
      <c r="CB41" s="3605">
        <f t="shared" si="24"/>
        <v>0</v>
      </c>
    </row>
    <row r="42" spans="2:80" ht="75">
      <c r="R42" s="3521">
        <f t="shared" si="11"/>
        <v>37</v>
      </c>
      <c r="S42" s="3522" t="s">
        <v>3155</v>
      </c>
      <c r="T42" s="3523" t="s">
        <v>3249</v>
      </c>
      <c r="U42" s="3524">
        <v>6850000</v>
      </c>
      <c r="V42" s="3524">
        <v>5748784</v>
      </c>
      <c r="W42" s="3524">
        <v>7092857</v>
      </c>
      <c r="X42" s="3525">
        <f t="shared" si="15"/>
        <v>13855.11907293217</v>
      </c>
      <c r="Y42" s="3525">
        <f t="shared" si="15"/>
        <v>11627.749904316393</v>
      </c>
      <c r="Z42" s="3525">
        <f t="shared" si="15"/>
        <v>14346.332598873058</v>
      </c>
      <c r="AA42" s="3538">
        <v>0</v>
      </c>
      <c r="AB42" s="3538">
        <v>0</v>
      </c>
      <c r="AC42" s="3538">
        <v>0</v>
      </c>
      <c r="AD42" s="3539">
        <v>0</v>
      </c>
      <c r="AE42" s="3539">
        <v>37945</v>
      </c>
      <c r="AF42" s="3539">
        <v>0</v>
      </c>
      <c r="AG42" s="3539">
        <v>0</v>
      </c>
      <c r="AH42" s="3539">
        <v>0</v>
      </c>
      <c r="AI42" s="3539">
        <v>0</v>
      </c>
      <c r="AJ42" s="3540"/>
      <c r="AK42" s="3529" t="s">
        <v>3167</v>
      </c>
      <c r="AL42" s="3529" t="s">
        <v>839</v>
      </c>
      <c r="AM42" s="3529" t="s">
        <v>839</v>
      </c>
      <c r="AN42" s="3530">
        <f t="shared" si="1"/>
        <v>6502.9106889393988</v>
      </c>
      <c r="AO42" s="3530">
        <f t="shared" si="2"/>
        <v>2058.4774416220494</v>
      </c>
      <c r="AP42" s="3530">
        <f t="shared" si="3"/>
        <v>5457.4932732852258</v>
      </c>
      <c r="AQ42" s="3530">
        <f t="shared" si="4"/>
        <v>1727.5536030303319</v>
      </c>
      <c r="AR42" s="3530">
        <f t="shared" si="5"/>
        <v>6733.4621314479764</v>
      </c>
      <c r="AS42" s="3530">
        <f t="shared" si="6"/>
        <v>2131.4578293651161</v>
      </c>
      <c r="AT42" s="3530">
        <f t="shared" si="17"/>
        <v>0</v>
      </c>
      <c r="AU42" s="3530">
        <f t="shared" si="18"/>
        <v>0</v>
      </c>
      <c r="AV42" s="3530">
        <f t="shared" si="19"/>
        <v>17809.514648911998</v>
      </c>
      <c r="AW42" s="3530">
        <f t="shared" si="20"/>
        <v>5637.5499994760003</v>
      </c>
      <c r="AX42" s="3531" t="s">
        <v>3250</v>
      </c>
      <c r="AY42" s="3532">
        <f t="shared" si="12"/>
        <v>37</v>
      </c>
      <c r="AZ42" s="3532"/>
      <c r="BC42" s="3673"/>
      <c r="BD42" s="3603" t="s">
        <v>3434</v>
      </c>
      <c r="BE42" s="3604">
        <v>0</v>
      </c>
      <c r="BF42" s="3604">
        <v>0</v>
      </c>
      <c r="BG42" s="3604">
        <v>0</v>
      </c>
      <c r="BH42" s="3604">
        <v>0</v>
      </c>
      <c r="BI42" s="3604">
        <v>0</v>
      </c>
      <c r="BJ42" s="3604">
        <v>0</v>
      </c>
      <c r="BK42" s="3604">
        <v>0</v>
      </c>
      <c r="BL42" s="3604">
        <v>0</v>
      </c>
      <c r="BM42" s="3604">
        <v>0</v>
      </c>
      <c r="BN42" s="3604">
        <v>0</v>
      </c>
      <c r="BO42" s="3604">
        <v>0</v>
      </c>
      <c r="BP42" s="3604">
        <v>0</v>
      </c>
      <c r="BQ42" s="3604">
        <v>0</v>
      </c>
      <c r="BR42" s="3604">
        <v>0</v>
      </c>
      <c r="BS42" s="3604">
        <v>0</v>
      </c>
      <c r="BT42" s="3604">
        <v>0</v>
      </c>
      <c r="BU42" s="3604">
        <v>0</v>
      </c>
      <c r="BV42" s="3604">
        <v>0</v>
      </c>
      <c r="BW42" s="3604">
        <v>0</v>
      </c>
      <c r="BX42" s="3604">
        <v>0</v>
      </c>
      <c r="BY42" s="3604">
        <v>0</v>
      </c>
      <c r="BZ42" s="3604">
        <v>0</v>
      </c>
      <c r="CA42" s="3604">
        <v>0</v>
      </c>
      <c r="CB42" s="3605">
        <v>0</v>
      </c>
    </row>
    <row r="43" spans="2:80" ht="120">
      <c r="R43" s="3521">
        <f t="shared" si="11"/>
        <v>38</v>
      </c>
      <c r="S43" s="3522" t="s">
        <v>3155</v>
      </c>
      <c r="T43" s="3523" t="s">
        <v>3251</v>
      </c>
      <c r="U43" s="3524">
        <v>650004</v>
      </c>
      <c r="V43" s="3524">
        <v>650004</v>
      </c>
      <c r="W43" s="3524">
        <v>650004</v>
      </c>
      <c r="X43" s="3547" t="s">
        <v>3150</v>
      </c>
      <c r="Y43" s="3547" t="s">
        <v>3150</v>
      </c>
      <c r="Z43" s="3547" t="s">
        <v>3150</v>
      </c>
      <c r="AA43" s="3538">
        <f>6289+1694</f>
        <v>7983</v>
      </c>
      <c r="AB43" s="3538">
        <f>6289+3388</f>
        <v>9677</v>
      </c>
      <c r="AC43" s="3538">
        <f>6289+5082</f>
        <v>11371</v>
      </c>
      <c r="AD43" s="3539">
        <f>128831+30000+4000</f>
        <v>162831</v>
      </c>
      <c r="AE43" s="3539">
        <f>128831+30000+4000</f>
        <v>162831</v>
      </c>
      <c r="AF43" s="3539">
        <v>0</v>
      </c>
      <c r="AG43" s="3539">
        <v>0</v>
      </c>
      <c r="AH43" s="3539">
        <v>12500</v>
      </c>
      <c r="AI43" s="3539">
        <v>12500</v>
      </c>
      <c r="AJ43" s="3540" t="s">
        <v>3161</v>
      </c>
      <c r="AK43" s="3529" t="s">
        <v>3252</v>
      </c>
      <c r="AL43" s="3529" t="s">
        <v>3253</v>
      </c>
      <c r="AM43" s="3529" t="s">
        <v>3253</v>
      </c>
      <c r="AN43" s="3530">
        <f t="shared" si="1"/>
        <v>0</v>
      </c>
      <c r="AO43" s="3530">
        <f t="shared" si="2"/>
        <v>5511.06405</v>
      </c>
      <c r="AP43" s="3530">
        <f t="shared" si="3"/>
        <v>0</v>
      </c>
      <c r="AQ43" s="3530">
        <f t="shared" si="4"/>
        <v>6680.5169500000002</v>
      </c>
      <c r="AR43" s="3530">
        <f t="shared" si="5"/>
        <v>0</v>
      </c>
      <c r="AS43" s="3530">
        <f t="shared" si="6"/>
        <v>7849.9698500000004</v>
      </c>
      <c r="AT43" s="3530">
        <f t="shared" si="17"/>
        <v>0</v>
      </c>
      <c r="AU43" s="3530">
        <f t="shared" si="18"/>
        <v>112410.38085</v>
      </c>
      <c r="AV43" s="3530">
        <f t="shared" si="19"/>
        <v>0</v>
      </c>
      <c r="AW43" s="3530">
        <f t="shared" si="20"/>
        <v>112410.38085</v>
      </c>
      <c r="AX43" s="3531" t="s">
        <v>3254</v>
      </c>
      <c r="AY43" s="3532">
        <f t="shared" si="12"/>
        <v>38</v>
      </c>
      <c r="AZ43" s="3532"/>
      <c r="BC43" s="3673"/>
      <c r="BD43" s="3603" t="s">
        <v>3431</v>
      </c>
      <c r="BE43" s="3604">
        <f t="shared" ref="BE43:CB43" si="25">BE34-$BE$22</f>
        <v>0</v>
      </c>
      <c r="BF43" s="3604">
        <f t="shared" si="25"/>
        <v>0</v>
      </c>
      <c r="BG43" s="3604">
        <f t="shared" si="25"/>
        <v>0</v>
      </c>
      <c r="BH43" s="3604">
        <f t="shared" si="25"/>
        <v>0</v>
      </c>
      <c r="BI43" s="3604">
        <f t="shared" si="25"/>
        <v>0</v>
      </c>
      <c r="BJ43" s="3604">
        <f t="shared" si="25"/>
        <v>0</v>
      </c>
      <c r="BK43" s="3604">
        <f t="shared" si="25"/>
        <v>0</v>
      </c>
      <c r="BL43" s="3604">
        <f t="shared" si="25"/>
        <v>0</v>
      </c>
      <c r="BM43" s="3604">
        <f t="shared" si="25"/>
        <v>0</v>
      </c>
      <c r="BN43" s="3604">
        <f t="shared" si="25"/>
        <v>0</v>
      </c>
      <c r="BO43" s="3604">
        <f t="shared" si="25"/>
        <v>0</v>
      </c>
      <c r="BP43" s="3604">
        <f t="shared" si="25"/>
        <v>0</v>
      </c>
      <c r="BQ43" s="3604">
        <f t="shared" si="25"/>
        <v>0</v>
      </c>
      <c r="BR43" s="3604">
        <f t="shared" si="25"/>
        <v>0</v>
      </c>
      <c r="BS43" s="3604">
        <f t="shared" si="25"/>
        <v>0</v>
      </c>
      <c r="BT43" s="3604">
        <f t="shared" si="25"/>
        <v>0</v>
      </c>
      <c r="BU43" s="3604">
        <f t="shared" si="25"/>
        <v>0</v>
      </c>
      <c r="BV43" s="3604">
        <f t="shared" si="25"/>
        <v>0</v>
      </c>
      <c r="BW43" s="3604">
        <f t="shared" si="25"/>
        <v>0</v>
      </c>
      <c r="BX43" s="3604">
        <f t="shared" si="25"/>
        <v>0</v>
      </c>
      <c r="BY43" s="3604">
        <f t="shared" si="25"/>
        <v>0</v>
      </c>
      <c r="BZ43" s="3604">
        <f t="shared" si="25"/>
        <v>0</v>
      </c>
      <c r="CA43" s="3604">
        <f t="shared" si="25"/>
        <v>0</v>
      </c>
      <c r="CB43" s="3605">
        <f t="shared" si="25"/>
        <v>0</v>
      </c>
    </row>
    <row r="44" spans="2:80" ht="75">
      <c r="R44" s="3521">
        <f t="shared" si="11"/>
        <v>39</v>
      </c>
      <c r="S44" s="3522" t="s">
        <v>3155</v>
      </c>
      <c r="T44" s="3523" t="s">
        <v>3255</v>
      </c>
      <c r="U44" s="3524">
        <v>665000</v>
      </c>
      <c r="V44" s="3524">
        <v>665000</v>
      </c>
      <c r="W44" s="3524">
        <v>665000</v>
      </c>
      <c r="X44" s="3547" t="s">
        <v>3150</v>
      </c>
      <c r="Y44" s="3547" t="s">
        <v>3150</v>
      </c>
      <c r="Z44" s="3547" t="s">
        <v>3150</v>
      </c>
      <c r="AA44" s="3538">
        <v>0</v>
      </c>
      <c r="AB44" s="3538">
        <v>0</v>
      </c>
      <c r="AC44" s="3538">
        <v>0</v>
      </c>
      <c r="AD44" s="3539">
        <f>10000000+18000</f>
        <v>10018000</v>
      </c>
      <c r="AE44" s="3539">
        <f>10000000+18000</f>
        <v>10018000</v>
      </c>
      <c r="AF44" s="3539">
        <v>0</v>
      </c>
      <c r="AG44" s="3539">
        <v>0</v>
      </c>
      <c r="AH44" s="3539">
        <v>0</v>
      </c>
      <c r="AI44" s="3539">
        <v>0</v>
      </c>
      <c r="AJ44" s="3540"/>
      <c r="AK44" s="3529" t="s">
        <v>3252</v>
      </c>
      <c r="AL44" s="3529" t="s">
        <v>3253</v>
      </c>
      <c r="AM44" s="3602" t="s">
        <v>3253</v>
      </c>
      <c r="AN44" s="3530"/>
      <c r="AO44" s="3530"/>
      <c r="AP44" s="3530"/>
      <c r="AQ44" s="3530"/>
      <c r="AR44" s="3530"/>
      <c r="AS44" s="3530"/>
      <c r="AT44" s="3530">
        <f t="shared" si="17"/>
        <v>0</v>
      </c>
      <c r="AU44" s="3530">
        <f t="shared" si="18"/>
        <v>6915926.2999999998</v>
      </c>
      <c r="AV44" s="3530">
        <f t="shared" si="19"/>
        <v>0</v>
      </c>
      <c r="AW44" s="3530">
        <f t="shared" si="20"/>
        <v>6915926.2999999998</v>
      </c>
      <c r="AX44" s="3531" t="s">
        <v>3256</v>
      </c>
      <c r="AY44" s="3532">
        <f t="shared" si="12"/>
        <v>39</v>
      </c>
      <c r="AZ44" s="3532"/>
      <c r="BC44" s="3673"/>
      <c r="BD44" s="3603" t="s">
        <v>3430</v>
      </c>
      <c r="BE44" s="3604">
        <f t="shared" ref="BE44:CB44" si="26">BE35-$BE$23</f>
        <v>0</v>
      </c>
      <c r="BF44" s="3604">
        <f t="shared" si="26"/>
        <v>0</v>
      </c>
      <c r="BG44" s="3604">
        <f t="shared" si="26"/>
        <v>0</v>
      </c>
      <c r="BH44" s="3604">
        <f t="shared" si="26"/>
        <v>0</v>
      </c>
      <c r="BI44" s="3604">
        <f t="shared" si="26"/>
        <v>0</v>
      </c>
      <c r="BJ44" s="3604">
        <f t="shared" si="26"/>
        <v>0</v>
      </c>
      <c r="BK44" s="3604">
        <f t="shared" si="26"/>
        <v>0</v>
      </c>
      <c r="BL44" s="3604">
        <f t="shared" si="26"/>
        <v>0</v>
      </c>
      <c r="BM44" s="3604">
        <f t="shared" si="26"/>
        <v>0</v>
      </c>
      <c r="BN44" s="3604">
        <f t="shared" si="26"/>
        <v>0</v>
      </c>
      <c r="BO44" s="3604">
        <f t="shared" si="26"/>
        <v>0</v>
      </c>
      <c r="BP44" s="3604">
        <f t="shared" si="26"/>
        <v>0</v>
      </c>
      <c r="BQ44" s="3604">
        <f t="shared" si="26"/>
        <v>0</v>
      </c>
      <c r="BR44" s="3604">
        <f t="shared" si="26"/>
        <v>0</v>
      </c>
      <c r="BS44" s="3604">
        <f t="shared" si="26"/>
        <v>0</v>
      </c>
      <c r="BT44" s="3604">
        <f t="shared" si="26"/>
        <v>0</v>
      </c>
      <c r="BU44" s="3604">
        <f t="shared" si="26"/>
        <v>0</v>
      </c>
      <c r="BV44" s="3604">
        <f t="shared" si="26"/>
        <v>0</v>
      </c>
      <c r="BW44" s="3604">
        <f t="shared" si="26"/>
        <v>0</v>
      </c>
      <c r="BX44" s="3604">
        <f t="shared" si="26"/>
        <v>0</v>
      </c>
      <c r="BY44" s="3604">
        <f t="shared" si="26"/>
        <v>0</v>
      </c>
      <c r="BZ44" s="3604">
        <f t="shared" si="26"/>
        <v>0</v>
      </c>
      <c r="CA44" s="3604">
        <f t="shared" si="26"/>
        <v>0</v>
      </c>
      <c r="CB44" s="3605">
        <f t="shared" si="26"/>
        <v>0</v>
      </c>
    </row>
    <row r="45" spans="2:80" ht="60">
      <c r="R45" s="3521">
        <f t="shared" si="11"/>
        <v>40</v>
      </c>
      <c r="S45" s="3522" t="s">
        <v>3155</v>
      </c>
      <c r="T45" s="3523" t="s">
        <v>3257</v>
      </c>
      <c r="U45" s="3524">
        <v>27187249</v>
      </c>
      <c r="V45" s="3524">
        <v>27999995</v>
      </c>
      <c r="W45" s="3524">
        <v>29999998</v>
      </c>
      <c r="X45" s="3547" t="s">
        <v>3150</v>
      </c>
      <c r="Y45" s="3547" t="s">
        <v>3150</v>
      </c>
      <c r="Z45" s="3547" t="s">
        <v>3150</v>
      </c>
      <c r="AA45" s="3538">
        <v>104630</v>
      </c>
      <c r="AB45" s="3538">
        <v>112037</v>
      </c>
      <c r="AC45" s="3538">
        <v>119389</v>
      </c>
      <c r="AD45" s="3539">
        <v>0</v>
      </c>
      <c r="AE45" s="3539">
        <v>0</v>
      </c>
      <c r="AF45" s="3539">
        <v>0</v>
      </c>
      <c r="AG45" s="3539">
        <v>0</v>
      </c>
      <c r="AH45" s="3539">
        <v>35150</v>
      </c>
      <c r="AI45" s="3539">
        <v>69991</v>
      </c>
      <c r="AJ45" s="3540" t="s">
        <v>3151</v>
      </c>
      <c r="AK45" s="3529"/>
      <c r="AL45" s="3529" t="s">
        <v>3253</v>
      </c>
      <c r="AM45" s="3529" t="s">
        <v>3253</v>
      </c>
      <c r="AN45" s="3530">
        <f>IF(AA45&gt;0,AA45*(VLOOKUP($AM45,$AG$129:$AI$137,2,FALSE)),IF($AM45=$AG$137,$AH$137,X45*(VLOOKUP($AM45,$AG$129:$AI$137,2,FALSE))))</f>
        <v>0</v>
      </c>
      <c r="AO45" s="3530">
        <f>IF(AA45&gt;0,AA45*(VLOOKUP($AM45,$AG$129:$AI$137,3,FALSE)),IF($AM45=$AG$137,$AH$137,X45*(VLOOKUP($AM45,$AG$129:$AI$137,3,FALSE))))</f>
        <v>72231.320500000002</v>
      </c>
      <c r="AP45" s="3530">
        <f>IF(AB45&gt;0,AB45*(VLOOKUP($AM45,$AG$129:$AI$137,2,FALSE)),IF($AM45=$AG$137,$AH$137,Y45*(VLOOKUP($AM45,$AG$129:$AI$137,2,FALSE))))</f>
        <v>0</v>
      </c>
      <c r="AQ45" s="3530">
        <f>IF(AB45&gt;0,AB45*(VLOOKUP($AM45,$AG$129:$AI$137,3,FALSE)),IF($AM45=$AG$137,$AH$137,Y45*(VLOOKUP($AM45,$AG$129:$AI$137,3,FALSE))))</f>
        <v>77344.74295</v>
      </c>
      <c r="AR45" s="3530">
        <f>IF(AC45&gt;0,AC45*(VLOOKUP($AM45,$AG$129:$AI$137,2,FALSE)),IF($AM45=$AG$137,$AH$137,Z45*(VLOOKUP($AM45,$AG$129:$AI$137,2,FALSE))))</f>
        <v>0</v>
      </c>
      <c r="AS45" s="3530">
        <f>IF(AC45&gt;0,AC45*(VLOOKUP($AM45,$AG$129:$AI$137,3,FALSE)),IF($AM45=$AG$137,$AH$137,Z45*(VLOOKUP($AM45,$AG$129:$AI$137,3,FALSE))))</f>
        <v>82420.196150000003</v>
      </c>
      <c r="AT45" s="3530">
        <f t="shared" si="17"/>
        <v>0</v>
      </c>
      <c r="AU45" s="3530">
        <f t="shared" si="18"/>
        <v>0</v>
      </c>
      <c r="AV45" s="3530">
        <f t="shared" si="19"/>
        <v>0</v>
      </c>
      <c r="AW45" s="3530">
        <f t="shared" si="20"/>
        <v>0</v>
      </c>
      <c r="AX45" s="3531" t="s">
        <v>3258</v>
      </c>
      <c r="AY45" s="3532">
        <f t="shared" si="12"/>
        <v>40</v>
      </c>
      <c r="AZ45" s="3532"/>
      <c r="BC45" s="3673"/>
      <c r="BD45" s="3668" t="s">
        <v>82</v>
      </c>
      <c r="BE45" s="3689">
        <f t="shared" ref="BE45:CB45" si="27">SUM(BE39:BE44)-(SUM(BE30:BE35)-SUM($BE$17:$BE$24)+$BE$24)</f>
        <v>0</v>
      </c>
      <c r="BF45" s="3689">
        <f t="shared" si="27"/>
        <v>0</v>
      </c>
      <c r="BG45" s="3689">
        <f t="shared" si="27"/>
        <v>0</v>
      </c>
      <c r="BH45" s="3689">
        <f t="shared" si="27"/>
        <v>0</v>
      </c>
      <c r="BI45" s="3689">
        <f t="shared" si="27"/>
        <v>0</v>
      </c>
      <c r="BJ45" s="3689">
        <f t="shared" si="27"/>
        <v>0</v>
      </c>
      <c r="BK45" s="3689">
        <f t="shared" si="27"/>
        <v>0</v>
      </c>
      <c r="BL45" s="3689">
        <f t="shared" si="27"/>
        <v>0</v>
      </c>
      <c r="BM45" s="3689">
        <f t="shared" si="27"/>
        <v>0</v>
      </c>
      <c r="BN45" s="3689">
        <f t="shared" si="27"/>
        <v>0</v>
      </c>
      <c r="BO45" s="3689">
        <f t="shared" si="27"/>
        <v>0</v>
      </c>
      <c r="BP45" s="3689">
        <f t="shared" si="27"/>
        <v>0</v>
      </c>
      <c r="BQ45" s="3689">
        <f t="shared" si="27"/>
        <v>0</v>
      </c>
      <c r="BR45" s="3689">
        <f t="shared" si="27"/>
        <v>0</v>
      </c>
      <c r="BS45" s="3689">
        <f t="shared" si="27"/>
        <v>0</v>
      </c>
      <c r="BT45" s="3689">
        <f t="shared" si="27"/>
        <v>0</v>
      </c>
      <c r="BU45" s="3689">
        <f t="shared" si="27"/>
        <v>0</v>
      </c>
      <c r="BV45" s="3689">
        <f t="shared" si="27"/>
        <v>0</v>
      </c>
      <c r="BW45" s="3689">
        <f t="shared" si="27"/>
        <v>0</v>
      </c>
      <c r="BX45" s="3689">
        <f t="shared" si="27"/>
        <v>0</v>
      </c>
      <c r="BY45" s="3689">
        <f t="shared" si="27"/>
        <v>0</v>
      </c>
      <c r="BZ45" s="3689">
        <f t="shared" si="27"/>
        <v>0</v>
      </c>
      <c r="CA45" s="3689">
        <f t="shared" si="27"/>
        <v>0</v>
      </c>
      <c r="CB45" s="3688">
        <f t="shared" si="27"/>
        <v>0</v>
      </c>
    </row>
    <row r="46" spans="2:80" ht="60.75" thickBot="1">
      <c r="R46" s="3521">
        <f t="shared" si="11"/>
        <v>41</v>
      </c>
      <c r="S46" s="3522" t="s">
        <v>3155</v>
      </c>
      <c r="T46" s="3523" t="s">
        <v>3260</v>
      </c>
      <c r="U46" s="3524">
        <v>2000000</v>
      </c>
      <c r="V46" s="3524">
        <v>2000000</v>
      </c>
      <c r="W46" s="3524">
        <v>2000000</v>
      </c>
      <c r="X46" s="3547" t="s">
        <v>3150</v>
      </c>
      <c r="Y46" s="3547" t="s">
        <v>3150</v>
      </c>
      <c r="Z46" s="3547" t="s">
        <v>3150</v>
      </c>
      <c r="AA46" s="3538">
        <v>0</v>
      </c>
      <c r="AB46" s="3538">
        <v>0</v>
      </c>
      <c r="AC46" s="3538">
        <v>0</v>
      </c>
      <c r="AD46" s="3539">
        <v>3000</v>
      </c>
      <c r="AE46" s="3539">
        <v>3000</v>
      </c>
      <c r="AF46" s="3539">
        <v>0</v>
      </c>
      <c r="AG46" s="3539">
        <v>0</v>
      </c>
      <c r="AH46" s="3539">
        <v>0</v>
      </c>
      <c r="AI46" s="3539">
        <v>0</v>
      </c>
      <c r="AJ46" s="3540" t="s">
        <v>3151</v>
      </c>
      <c r="AK46" s="3529"/>
      <c r="AL46" s="3529" t="s">
        <v>3253</v>
      </c>
      <c r="AM46" s="3602" t="s">
        <v>3253</v>
      </c>
      <c r="AN46" s="3530"/>
      <c r="AO46" s="3530"/>
      <c r="AP46" s="3530"/>
      <c r="AQ46" s="3530"/>
      <c r="AR46" s="3530"/>
      <c r="AS46" s="3530"/>
      <c r="AT46" s="3530">
        <f t="shared" si="17"/>
        <v>0</v>
      </c>
      <c r="AU46" s="3530">
        <f t="shared" si="18"/>
        <v>2071.0500000000002</v>
      </c>
      <c r="AV46" s="3530">
        <f t="shared" si="19"/>
        <v>0</v>
      </c>
      <c r="AW46" s="3530">
        <f t="shared" si="20"/>
        <v>2071.0500000000002</v>
      </c>
      <c r="AX46" s="3531" t="s">
        <v>3261</v>
      </c>
      <c r="AY46" s="3532">
        <f t="shared" si="12"/>
        <v>41</v>
      </c>
      <c r="AZ46" s="3532"/>
      <c r="BC46" s="3671"/>
      <c r="BD46" s="3670"/>
      <c r="BE46" s="3714"/>
      <c r="BF46" s="3714"/>
      <c r="BG46" s="3714"/>
      <c r="BH46" s="3714"/>
      <c r="BI46" s="3714"/>
      <c r="BJ46" s="3714"/>
      <c r="BK46" s="3714"/>
      <c r="BL46" s="3714"/>
      <c r="BM46" s="3714"/>
      <c r="BN46" s="3714"/>
      <c r="BO46" s="3714"/>
      <c r="BP46" s="3714"/>
      <c r="BQ46" s="3714"/>
      <c r="BR46" s="3714"/>
      <c r="BS46" s="3714"/>
      <c r="BT46" s="3714"/>
      <c r="BU46" s="3714"/>
      <c r="BV46" s="3714"/>
      <c r="BW46" s="3714"/>
      <c r="BX46" s="3714"/>
      <c r="BY46" s="3714"/>
      <c r="BZ46" s="3714"/>
      <c r="CA46" s="3714"/>
      <c r="CB46" s="3713"/>
    </row>
    <row r="47" spans="2:80" ht="90">
      <c r="R47" s="3521">
        <f t="shared" si="11"/>
        <v>42</v>
      </c>
      <c r="S47" s="3522" t="s">
        <v>3155</v>
      </c>
      <c r="T47" s="3523" t="s">
        <v>3262</v>
      </c>
      <c r="U47" s="3524">
        <v>9682000</v>
      </c>
      <c r="V47" s="3524">
        <v>9972000</v>
      </c>
      <c r="W47" s="3524">
        <v>10272000</v>
      </c>
      <c r="X47" s="3525">
        <f>U47*$T$4*$T$3</f>
        <v>19583.250053157557</v>
      </c>
      <c r="Y47" s="3525">
        <f>V47*$T$4*$T$3</f>
        <v>20169.817137997023</v>
      </c>
      <c r="Z47" s="3525">
        <f>W47*$T$4*$T$3</f>
        <v>20776.610674037849</v>
      </c>
      <c r="AA47" s="3538">
        <v>0</v>
      </c>
      <c r="AB47" s="3538">
        <v>0</v>
      </c>
      <c r="AC47" s="3538">
        <v>0</v>
      </c>
      <c r="AD47" s="3539">
        <v>3995000</v>
      </c>
      <c r="AE47" s="3539">
        <v>3995000</v>
      </c>
      <c r="AF47" s="3539">
        <v>0</v>
      </c>
      <c r="AG47" s="3539">
        <v>0</v>
      </c>
      <c r="AH47" s="3539">
        <v>0</v>
      </c>
      <c r="AI47" s="3539">
        <v>0</v>
      </c>
      <c r="AJ47" s="3540"/>
      <c r="AK47" s="3529" t="s">
        <v>3252</v>
      </c>
      <c r="AL47" s="3529" t="s">
        <v>3253</v>
      </c>
      <c r="AM47" s="3529" t="s">
        <v>3253</v>
      </c>
      <c r="AN47" s="3530">
        <f>IF(AA47&gt;0,AA47*(VLOOKUP($AM47,$AG$129:$AI$137,2,FALSE)),IF($AM47=$AG$137,$AH$137,X47*(VLOOKUP($AM47,$AG$129:$AI$137,2,FALSE))))</f>
        <v>0</v>
      </c>
      <c r="AO47" s="3530">
        <f>IF(AA47&gt;0,AA47*(VLOOKUP($AM47,$AG$129:$AI$137,3,FALSE)),IF($AM47=$AG$137,$AH$137,X47*(VLOOKUP($AM47,$AG$129:$AI$137,3,FALSE))))</f>
        <v>13519.29667419732</v>
      </c>
      <c r="AP47" s="3530">
        <f>IF(AB47&gt;0,AB47*(VLOOKUP($AM47,$AG$129:$AI$137,2,FALSE)),IF($AM47=$AG$137,$AH$137,Y47*(VLOOKUP($AM47,$AG$129:$AI$137,2,FALSE))))</f>
        <v>0</v>
      </c>
      <c r="AQ47" s="3530">
        <f>IF(AB47&gt;0,AB47*(VLOOKUP($AM47,$AG$129:$AI$137,3,FALSE)),IF($AM47=$AG$137,$AH$137,Y47*(VLOOKUP($AM47,$AG$129:$AI$137,3,FALSE))))</f>
        <v>13924.233261216245</v>
      </c>
      <c r="AR47" s="3530">
        <f>IF(AC47&gt;0,AC47*(VLOOKUP($AM47,$AG$129:$AI$137,2,FALSE)),IF($AM47=$AG$137,$AH$137,Z47*(VLOOKUP($AM47,$AG$129:$AI$137,2,FALSE))))</f>
        <v>0</v>
      </c>
      <c r="AS47" s="3530">
        <f>IF(AC47&gt;0,AC47*(VLOOKUP($AM47,$AG$129:$AI$137,3,FALSE)),IF($AM47=$AG$137,$AH$137,Z47*(VLOOKUP($AM47,$AG$129:$AI$137,3,FALSE))))</f>
        <v>14343.133178822029</v>
      </c>
      <c r="AT47" s="3530">
        <f t="shared" si="17"/>
        <v>0</v>
      </c>
      <c r="AU47" s="3530">
        <f t="shared" si="18"/>
        <v>2757948.25</v>
      </c>
      <c r="AV47" s="3530">
        <f t="shared" si="19"/>
        <v>0</v>
      </c>
      <c r="AW47" s="3530">
        <f t="shared" si="20"/>
        <v>2757948.25</v>
      </c>
      <c r="AX47" s="3531" t="s">
        <v>3263</v>
      </c>
      <c r="AY47" s="3532">
        <f t="shared" si="12"/>
        <v>42</v>
      </c>
      <c r="AZ47" s="3532"/>
      <c r="BC47" s="3701">
        <v>2</v>
      </c>
      <c r="BD47" s="3707" t="s">
        <v>3435</v>
      </c>
      <c r="BE47" s="3699"/>
      <c r="BF47" s="3699"/>
      <c r="BG47" s="3699"/>
      <c r="BH47" s="3699"/>
      <c r="BI47" s="3699"/>
      <c r="BJ47" s="3699"/>
      <c r="BK47" s="3699"/>
      <c r="BL47" s="3699"/>
      <c r="BM47" s="3699"/>
      <c r="BN47" s="3699"/>
      <c r="BO47" s="3699"/>
      <c r="BP47" s="3699"/>
      <c r="BQ47" s="3699"/>
      <c r="BR47" s="3699"/>
      <c r="BS47" s="3699"/>
      <c r="BT47" s="3699"/>
      <c r="BU47" s="3699"/>
      <c r="BV47" s="3699"/>
      <c r="BW47" s="3699"/>
      <c r="BX47" s="3699"/>
      <c r="BY47" s="3699"/>
      <c r="BZ47" s="3699"/>
      <c r="CA47" s="3699"/>
      <c r="CB47" s="3706"/>
    </row>
    <row r="48" spans="2:80" ht="60">
      <c r="R48" s="3521">
        <f t="shared" si="11"/>
        <v>43</v>
      </c>
      <c r="S48" s="3522" t="s">
        <v>3155</v>
      </c>
      <c r="T48" s="3523" t="s">
        <v>3264</v>
      </c>
      <c r="U48" s="3524">
        <v>3200000</v>
      </c>
      <c r="V48" s="3524">
        <v>3200000</v>
      </c>
      <c r="W48" s="3524">
        <v>3000000</v>
      </c>
      <c r="X48" s="3547" t="s">
        <v>3150</v>
      </c>
      <c r="Y48" s="3547" t="s">
        <v>3150</v>
      </c>
      <c r="Z48" s="3547" t="s">
        <v>3150</v>
      </c>
      <c r="AA48" s="3538">
        <v>0</v>
      </c>
      <c r="AB48" s="3538">
        <v>0</v>
      </c>
      <c r="AC48" s="3538">
        <v>0</v>
      </c>
      <c r="AD48" s="3539">
        <v>0</v>
      </c>
      <c r="AE48" s="3539">
        <v>0</v>
      </c>
      <c r="AF48" s="3539">
        <v>0</v>
      </c>
      <c r="AG48" s="3539">
        <v>0</v>
      </c>
      <c r="AH48" s="3539">
        <v>5200000</v>
      </c>
      <c r="AI48" s="3539">
        <v>5300000</v>
      </c>
      <c r="AJ48" s="3540"/>
      <c r="AK48" s="3529" t="s">
        <v>3252</v>
      </c>
      <c r="AL48" s="3529" t="s">
        <v>3253</v>
      </c>
      <c r="AM48" s="3529" t="s">
        <v>3152</v>
      </c>
      <c r="AN48" s="3530"/>
      <c r="AO48" s="3530"/>
      <c r="AP48" s="3530"/>
      <c r="AQ48" s="3530"/>
      <c r="AR48" s="3530"/>
      <c r="AS48" s="3530"/>
      <c r="AT48" s="3530">
        <f t="shared" si="17"/>
        <v>0</v>
      </c>
      <c r="AU48" s="3530">
        <f t="shared" si="18"/>
        <v>0</v>
      </c>
      <c r="AV48" s="3530">
        <f t="shared" si="19"/>
        <v>0</v>
      </c>
      <c r="AW48" s="3530">
        <f t="shared" si="20"/>
        <v>0</v>
      </c>
      <c r="AX48" s="3531" t="s">
        <v>3265</v>
      </c>
      <c r="AY48" s="3532">
        <f t="shared" si="12"/>
        <v>43</v>
      </c>
      <c r="AZ48" s="3532"/>
      <c r="BC48" s="3673"/>
      <c r="BE48" s="3691">
        <v>45688</v>
      </c>
      <c r="BF48" s="3691">
        <f t="shared" ref="BF48:CB48" si="28">EOMONTH(BE48,1)</f>
        <v>45716</v>
      </c>
      <c r="BG48" s="3691">
        <f t="shared" si="28"/>
        <v>45747</v>
      </c>
      <c r="BH48" s="3691">
        <f t="shared" si="28"/>
        <v>45777</v>
      </c>
      <c r="BI48" s="3691">
        <f t="shared" si="28"/>
        <v>45808</v>
      </c>
      <c r="BJ48" s="3691">
        <f t="shared" si="28"/>
        <v>45838</v>
      </c>
      <c r="BK48" s="3691">
        <f t="shared" si="28"/>
        <v>45869</v>
      </c>
      <c r="BL48" s="3691">
        <f t="shared" si="28"/>
        <v>45900</v>
      </c>
      <c r="BM48" s="3691">
        <f t="shared" si="28"/>
        <v>45930</v>
      </c>
      <c r="BN48" s="3691">
        <f t="shared" si="28"/>
        <v>45961</v>
      </c>
      <c r="BO48" s="3691">
        <f t="shared" si="28"/>
        <v>45991</v>
      </c>
      <c r="BP48" s="3691">
        <f t="shared" si="28"/>
        <v>46022</v>
      </c>
      <c r="BQ48" s="3691">
        <f t="shared" si="28"/>
        <v>46053</v>
      </c>
      <c r="BR48" s="3691">
        <f t="shared" si="28"/>
        <v>46081</v>
      </c>
      <c r="BS48" s="3691">
        <f t="shared" si="28"/>
        <v>46112</v>
      </c>
      <c r="BT48" s="3691">
        <f t="shared" si="28"/>
        <v>46142</v>
      </c>
      <c r="BU48" s="3691">
        <f t="shared" si="28"/>
        <v>46173</v>
      </c>
      <c r="BV48" s="3691">
        <f t="shared" si="28"/>
        <v>46203</v>
      </c>
      <c r="BW48" s="3691">
        <f t="shared" si="28"/>
        <v>46234</v>
      </c>
      <c r="BX48" s="3691">
        <f t="shared" si="28"/>
        <v>46265</v>
      </c>
      <c r="BY48" s="3691">
        <f t="shared" si="28"/>
        <v>46295</v>
      </c>
      <c r="BZ48" s="3691">
        <f t="shared" si="28"/>
        <v>46326</v>
      </c>
      <c r="CA48" s="3691">
        <f t="shared" si="28"/>
        <v>46356</v>
      </c>
      <c r="CB48" s="3690">
        <f t="shared" si="28"/>
        <v>46387</v>
      </c>
    </row>
    <row r="49" spans="18:80" ht="60">
      <c r="R49" s="3521">
        <f t="shared" si="11"/>
        <v>44</v>
      </c>
      <c r="S49" s="3522" t="s">
        <v>3155</v>
      </c>
      <c r="T49" s="3523" t="s">
        <v>3266</v>
      </c>
      <c r="U49" s="3524">
        <v>1069995</v>
      </c>
      <c r="V49" s="3524">
        <v>1069995</v>
      </c>
      <c r="W49" s="3524">
        <v>1069995</v>
      </c>
      <c r="X49" s="3525">
        <f t="shared" ref="X49:Z50" si="29">U49*$T$4*$T$3</f>
        <v>2164.2201653200082</v>
      </c>
      <c r="Y49" s="3525">
        <f t="shared" si="29"/>
        <v>2164.2201653200082</v>
      </c>
      <c r="Z49" s="3525">
        <f t="shared" si="29"/>
        <v>2164.2201653200082</v>
      </c>
      <c r="AA49" s="3538">
        <v>3400</v>
      </c>
      <c r="AB49" s="3538">
        <v>5300</v>
      </c>
      <c r="AC49" s="3538">
        <v>7200</v>
      </c>
      <c r="AD49" s="3539">
        <v>76960</v>
      </c>
      <c r="AE49" s="3539">
        <v>76960</v>
      </c>
      <c r="AF49" s="3539">
        <v>0</v>
      </c>
      <c r="AG49" s="3539">
        <v>0</v>
      </c>
      <c r="AH49" s="3539">
        <v>0</v>
      </c>
      <c r="AI49" s="3539">
        <v>0</v>
      </c>
      <c r="AJ49" s="3540"/>
      <c r="AK49" s="3529" t="s">
        <v>3252</v>
      </c>
      <c r="AL49" s="3529" t="s">
        <v>3253</v>
      </c>
      <c r="AM49" s="3529" t="s">
        <v>3253</v>
      </c>
      <c r="AN49" s="3530">
        <f t="shared" ref="AN49:AN80" si="30">IF(AA49&gt;0,AA49*(VLOOKUP($AM49,$AG$129:$AI$137,2,FALSE)),IF($AM49=$AG$137,$AH$137,X49*(VLOOKUP($AM49,$AG$129:$AI$137,2,FALSE))))</f>
        <v>0</v>
      </c>
      <c r="AO49" s="3530">
        <f t="shared" ref="AO49:AO80" si="31">IF(AA49&gt;0,AA49*(VLOOKUP($AM49,$AG$129:$AI$137,3,FALSE)),IF($AM49=$AG$137,$AH$137,X49*(VLOOKUP($AM49,$AG$129:$AI$137,3,FALSE))))</f>
        <v>2347.19</v>
      </c>
      <c r="AP49" s="3530">
        <f t="shared" ref="AP49:AP80" si="32">IF(AB49&gt;0,AB49*(VLOOKUP($AM49,$AG$129:$AI$137,2,FALSE)),IF($AM49=$AG$137,$AH$137,Y49*(VLOOKUP($AM49,$AG$129:$AI$137,2,FALSE))))</f>
        <v>0</v>
      </c>
      <c r="AQ49" s="3530">
        <f t="shared" ref="AQ49:AQ80" si="33">IF(AB49&gt;0,AB49*(VLOOKUP($AM49,$AG$129:$AI$137,3,FALSE)),IF($AM49=$AG$137,$AH$137,Y49*(VLOOKUP($AM49,$AG$129:$AI$137,3,FALSE))))</f>
        <v>3658.855</v>
      </c>
      <c r="AR49" s="3530">
        <f t="shared" ref="AR49:AR80" si="34">IF(AC49&gt;0,AC49*(VLOOKUP($AM49,$AG$129:$AI$137,2,FALSE)),IF($AM49=$AG$137,$AH$137,Z49*(VLOOKUP($AM49,$AG$129:$AI$137,2,FALSE))))</f>
        <v>0</v>
      </c>
      <c r="AS49" s="3530">
        <f t="shared" ref="AS49:AS80" si="35">IF(AC49&gt;0,AC49*(VLOOKUP($AM49,$AG$129:$AI$137,3,FALSE)),IF($AM49=$AG$137,$AH$137,Z49*(VLOOKUP($AM49,$AG$129:$AI$137,3,FALSE))))</f>
        <v>4970.5200000000004</v>
      </c>
      <c r="AT49" s="3530">
        <f t="shared" si="17"/>
        <v>0</v>
      </c>
      <c r="AU49" s="3530">
        <f t="shared" si="18"/>
        <v>53129.336000000003</v>
      </c>
      <c r="AV49" s="3530">
        <f t="shared" si="19"/>
        <v>0</v>
      </c>
      <c r="AW49" s="3530">
        <f t="shared" si="20"/>
        <v>53129.336000000003</v>
      </c>
      <c r="AX49" s="3531" t="s">
        <v>3267</v>
      </c>
      <c r="AY49" s="3532">
        <f t="shared" si="12"/>
        <v>44</v>
      </c>
      <c r="AZ49" s="3532"/>
      <c r="BC49" s="3673"/>
      <c r="BD49" s="3603" t="s">
        <v>3433</v>
      </c>
      <c r="BE49" s="3712">
        <v>22656909.175218843</v>
      </c>
      <c r="BF49" s="3712">
        <v>19849602.889217008</v>
      </c>
      <c r="BG49" s="3712">
        <v>15164745.132398369</v>
      </c>
      <c r="BH49" s="3712">
        <v>9610373.3074954841</v>
      </c>
      <c r="BI49" s="3712">
        <v>5035124.0137172677</v>
      </c>
      <c r="BJ49" s="3712">
        <v>3119721.4481256031</v>
      </c>
      <c r="BK49" s="3712">
        <v>2295520.861656548</v>
      </c>
      <c r="BL49" s="3712">
        <v>2339467.6765832114</v>
      </c>
      <c r="BM49" s="3712">
        <v>3282871.5868781731</v>
      </c>
      <c r="BN49" s="3712">
        <v>8553051.9569884203</v>
      </c>
      <c r="BO49" s="3712">
        <v>16607816.937788073</v>
      </c>
      <c r="BP49" s="3712">
        <v>24996140.048490152</v>
      </c>
      <c r="BQ49" s="3712">
        <v>22664354.198829129</v>
      </c>
      <c r="BR49" s="3712">
        <v>19871843.424058802</v>
      </c>
      <c r="BS49" s="3712">
        <v>15237213.276181061</v>
      </c>
      <c r="BT49" s="3712">
        <v>9640237.6339436993</v>
      </c>
      <c r="BU49" s="3712">
        <v>5059209.1915920712</v>
      </c>
      <c r="BV49" s="3712">
        <v>3136999.5565341068</v>
      </c>
      <c r="BW49" s="3712">
        <v>2309736.6591114611</v>
      </c>
      <c r="BX49" s="3712">
        <v>2309599.5703815077</v>
      </c>
      <c r="BY49" s="3712">
        <v>3177248.9236758519</v>
      </c>
      <c r="BZ49" s="3712">
        <v>8496909.2993468996</v>
      </c>
      <c r="CA49" s="3712">
        <v>16641285.631130667</v>
      </c>
      <c r="CB49" s="3711">
        <v>24988706.245197769</v>
      </c>
    </row>
    <row r="50" spans="18:80" ht="90">
      <c r="R50" s="3521">
        <f t="shared" si="11"/>
        <v>45</v>
      </c>
      <c r="S50" s="3522" t="s">
        <v>3155</v>
      </c>
      <c r="T50" s="3523" t="s">
        <v>3268</v>
      </c>
      <c r="U50" s="3524">
        <v>1577830</v>
      </c>
      <c r="V50" s="3524">
        <v>1000000</v>
      </c>
      <c r="W50" s="3524">
        <v>1000000</v>
      </c>
      <c r="X50" s="3525">
        <f t="shared" si="29"/>
        <v>3191.3901499043163</v>
      </c>
      <c r="Y50" s="3525">
        <f t="shared" si="29"/>
        <v>2022.6451201360833</v>
      </c>
      <c r="Z50" s="3525">
        <f t="shared" si="29"/>
        <v>2022.6451201360833</v>
      </c>
      <c r="AA50" s="3538">
        <v>22800</v>
      </c>
      <c r="AB50" s="3538">
        <v>22800</v>
      </c>
      <c r="AC50" s="3538">
        <v>22800</v>
      </c>
      <c r="AD50" s="3539">
        <v>414000</v>
      </c>
      <c r="AE50" s="3539">
        <v>828000</v>
      </c>
      <c r="AF50" s="3539">
        <v>0</v>
      </c>
      <c r="AG50" s="3539">
        <v>0</v>
      </c>
      <c r="AH50" s="3539">
        <v>0</v>
      </c>
      <c r="AI50" s="3539">
        <v>0</v>
      </c>
      <c r="AJ50" s="3540"/>
      <c r="AK50" s="3529" t="s">
        <v>3252</v>
      </c>
      <c r="AL50" s="3529" t="s">
        <v>3253</v>
      </c>
      <c r="AM50" s="3529" t="s">
        <v>3253</v>
      </c>
      <c r="AN50" s="3530">
        <f t="shared" si="30"/>
        <v>0</v>
      </c>
      <c r="AO50" s="3530">
        <f t="shared" si="31"/>
        <v>15739.98</v>
      </c>
      <c r="AP50" s="3530">
        <f t="shared" si="32"/>
        <v>0</v>
      </c>
      <c r="AQ50" s="3530">
        <f t="shared" si="33"/>
        <v>15739.98</v>
      </c>
      <c r="AR50" s="3530">
        <f t="shared" si="34"/>
        <v>0</v>
      </c>
      <c r="AS50" s="3530">
        <f t="shared" si="35"/>
        <v>15739.98</v>
      </c>
      <c r="AT50" s="3530">
        <f t="shared" si="17"/>
        <v>0</v>
      </c>
      <c r="AU50" s="3530">
        <f t="shared" si="18"/>
        <v>285804.90000000002</v>
      </c>
      <c r="AV50" s="3530">
        <f t="shared" si="19"/>
        <v>0</v>
      </c>
      <c r="AW50" s="3530">
        <f t="shared" si="20"/>
        <v>571609.80000000005</v>
      </c>
      <c r="AX50" s="3531" t="s">
        <v>3269</v>
      </c>
      <c r="AY50" s="3532">
        <f t="shared" si="12"/>
        <v>45</v>
      </c>
      <c r="AZ50" s="3532"/>
      <c r="BC50" s="3673"/>
      <c r="BD50" s="3603" t="s">
        <v>3428</v>
      </c>
      <c r="BE50" s="3712">
        <v>9069853.3055666778</v>
      </c>
      <c r="BF50" s="3712">
        <v>7924640.9734425247</v>
      </c>
      <c r="BG50" s="3712">
        <v>6391654.6936729671</v>
      </c>
      <c r="BH50" s="3712">
        <v>4394606.3443561736</v>
      </c>
      <c r="BI50" s="3712">
        <v>2670401.6045056437</v>
      </c>
      <c r="BJ50" s="3712">
        <v>2071645.288741708</v>
      </c>
      <c r="BK50" s="3712">
        <v>1778555.7947982929</v>
      </c>
      <c r="BL50" s="3712">
        <v>1828108.3313625336</v>
      </c>
      <c r="BM50" s="3712">
        <v>2416724.343981836</v>
      </c>
      <c r="BN50" s="3712">
        <v>5136476.6543051573</v>
      </c>
      <c r="BO50" s="3712">
        <v>7788283.3263730463</v>
      </c>
      <c r="BP50" s="3712">
        <v>9904798.2006906867</v>
      </c>
      <c r="BQ50" s="3712">
        <v>9054024.1818607692</v>
      </c>
      <c r="BR50" s="3712">
        <v>7935000.6491390523</v>
      </c>
      <c r="BS50" s="3712">
        <v>6414449.618525302</v>
      </c>
      <c r="BT50" s="3712">
        <v>4377204.0410302021</v>
      </c>
      <c r="BU50" s="3712">
        <v>2673308.7753222762</v>
      </c>
      <c r="BV50" s="3712">
        <v>2070916.9798211784</v>
      </c>
      <c r="BW50" s="3712">
        <v>1743375.3278704556</v>
      </c>
      <c r="BX50" s="3712">
        <v>1820214.7257413168</v>
      </c>
      <c r="BY50" s="3712">
        <v>2411116.0339568295</v>
      </c>
      <c r="BZ50" s="3712">
        <v>5156180.7014585268</v>
      </c>
      <c r="CA50" s="3712">
        <v>7803752.6771433372</v>
      </c>
      <c r="CB50" s="3711">
        <v>9896029.3783481233</v>
      </c>
    </row>
    <row r="51" spans="18:80" ht="30">
      <c r="R51" s="3521">
        <f t="shared" si="11"/>
        <v>46</v>
      </c>
      <c r="S51" s="3522" t="s">
        <v>3155</v>
      </c>
      <c r="T51" s="3523" t="s">
        <v>3270</v>
      </c>
      <c r="U51" s="3524">
        <v>3718000</v>
      </c>
      <c r="V51" s="3524">
        <v>3830000</v>
      </c>
      <c r="W51" s="3524">
        <v>3945000</v>
      </c>
      <c r="X51" s="3547" t="s">
        <v>3150</v>
      </c>
      <c r="Y51" s="3547" t="s">
        <v>3150</v>
      </c>
      <c r="Z51" s="3547" t="s">
        <v>3150</v>
      </c>
      <c r="AA51" s="3538">
        <v>0</v>
      </c>
      <c r="AB51" s="3538">
        <v>0</v>
      </c>
      <c r="AC51" s="3538">
        <v>0</v>
      </c>
      <c r="AD51" s="3539">
        <v>0</v>
      </c>
      <c r="AE51" s="3539">
        <v>0</v>
      </c>
      <c r="AF51" s="3539">
        <v>0</v>
      </c>
      <c r="AG51" s="3539">
        <v>0</v>
      </c>
      <c r="AH51" s="3539">
        <v>0</v>
      </c>
      <c r="AI51" s="3539">
        <v>0</v>
      </c>
      <c r="AJ51" s="3540" t="s">
        <v>3151</v>
      </c>
      <c r="AK51" s="3529"/>
      <c r="AL51" s="3529" t="s">
        <v>3253</v>
      </c>
      <c r="AM51" s="3529" t="s">
        <v>3152</v>
      </c>
      <c r="AN51" s="3530">
        <f t="shared" si="30"/>
        <v>0</v>
      </c>
      <c r="AO51" s="3530">
        <f t="shared" si="31"/>
        <v>0</v>
      </c>
      <c r="AP51" s="3530">
        <f t="shared" si="32"/>
        <v>0</v>
      </c>
      <c r="AQ51" s="3530">
        <f t="shared" si="33"/>
        <v>0</v>
      </c>
      <c r="AR51" s="3530">
        <f t="shared" si="34"/>
        <v>0</v>
      </c>
      <c r="AS51" s="3530">
        <f t="shared" si="35"/>
        <v>0</v>
      </c>
      <c r="AT51" s="3530">
        <f t="shared" si="17"/>
        <v>0</v>
      </c>
      <c r="AU51" s="3530">
        <f t="shared" si="18"/>
        <v>0</v>
      </c>
      <c r="AV51" s="3530">
        <f t="shared" si="19"/>
        <v>0</v>
      </c>
      <c r="AW51" s="3530">
        <f t="shared" si="20"/>
        <v>0</v>
      </c>
      <c r="AX51" s="3531" t="s">
        <v>3271</v>
      </c>
      <c r="AY51" s="3532">
        <f t="shared" si="12"/>
        <v>46</v>
      </c>
      <c r="AZ51" s="3532"/>
      <c r="BC51" s="3673"/>
      <c r="BD51" s="3603" t="s">
        <v>3432</v>
      </c>
      <c r="BE51" s="3712">
        <v>432005.92053978279</v>
      </c>
      <c r="BF51" s="3712">
        <v>384649.47149731935</v>
      </c>
      <c r="BG51" s="3712">
        <v>348497.18695108575</v>
      </c>
      <c r="BH51" s="3712">
        <v>241601.87783158416</v>
      </c>
      <c r="BI51" s="3712">
        <v>157218.79646896143</v>
      </c>
      <c r="BJ51" s="3712">
        <v>97029.823053848726</v>
      </c>
      <c r="BK51" s="3712">
        <v>54142.686443559724</v>
      </c>
      <c r="BL51" s="3712">
        <v>24475.410183001437</v>
      </c>
      <c r="BM51" s="3712">
        <v>26903.695093431234</v>
      </c>
      <c r="BN51" s="3712">
        <v>128932.58846610741</v>
      </c>
      <c r="BO51" s="3712">
        <v>323748.6645373737</v>
      </c>
      <c r="BP51" s="3712">
        <v>455264.70155282994</v>
      </c>
      <c r="BQ51" s="3712">
        <v>431254.35013500927</v>
      </c>
      <c r="BR51" s="3712">
        <v>385153.99855608307</v>
      </c>
      <c r="BS51" s="3712">
        <v>349762.96891983075</v>
      </c>
      <c r="BT51" s="3712">
        <v>240692.21995114302</v>
      </c>
      <c r="BU51" s="3712">
        <v>157519.8716032489</v>
      </c>
      <c r="BV51" s="3712">
        <v>97182.623891307769</v>
      </c>
      <c r="BW51" s="3712">
        <v>53199.510745480286</v>
      </c>
      <c r="BX51" s="3712">
        <v>24455.568672349757</v>
      </c>
      <c r="BY51" s="3712">
        <v>26907.048287994421</v>
      </c>
      <c r="BZ51" s="3712">
        <v>129588.03482845843</v>
      </c>
      <c r="CA51" s="3712">
        <v>324532.67056070245</v>
      </c>
      <c r="CB51" s="3711">
        <v>454909.2085730671</v>
      </c>
    </row>
    <row r="52" spans="18:80" ht="90">
      <c r="R52" s="3521">
        <f t="shared" si="11"/>
        <v>47</v>
      </c>
      <c r="S52" s="3522" t="s">
        <v>3155</v>
      </c>
      <c r="T52" s="3523" t="s">
        <v>3272</v>
      </c>
      <c r="U52" s="3524">
        <v>100000</v>
      </c>
      <c r="V52" s="3524">
        <v>100000</v>
      </c>
      <c r="W52" s="3524">
        <v>100000</v>
      </c>
      <c r="X52" s="3525">
        <f>U52*$T$4*$T$3</f>
        <v>202.26451201360834</v>
      </c>
      <c r="Y52" s="3525">
        <f>V52*$T$4*$T$3</f>
        <v>202.26451201360834</v>
      </c>
      <c r="Z52" s="3525">
        <f>W52*$T$4*$T$3</f>
        <v>202.26451201360834</v>
      </c>
      <c r="AA52" s="3538">
        <v>7561</v>
      </c>
      <c r="AB52" s="3538">
        <v>7561</v>
      </c>
      <c r="AC52" s="3538">
        <v>7561</v>
      </c>
      <c r="AD52" s="3539">
        <v>189615</v>
      </c>
      <c r="AE52" s="3539">
        <v>189615</v>
      </c>
      <c r="AF52" s="3539">
        <v>0</v>
      </c>
      <c r="AG52" s="3539">
        <v>0</v>
      </c>
      <c r="AH52" s="3539">
        <v>67168</v>
      </c>
      <c r="AI52" s="3539">
        <v>67168</v>
      </c>
      <c r="AJ52" s="3540"/>
      <c r="AK52" s="3529" t="s">
        <v>3252</v>
      </c>
      <c r="AL52" s="3529" t="s">
        <v>3253</v>
      </c>
      <c r="AM52" s="3529" t="s">
        <v>3253</v>
      </c>
      <c r="AN52" s="3530">
        <f t="shared" si="30"/>
        <v>0</v>
      </c>
      <c r="AO52" s="3530">
        <f t="shared" si="31"/>
        <v>5219.7363500000001</v>
      </c>
      <c r="AP52" s="3530">
        <f t="shared" si="32"/>
        <v>0</v>
      </c>
      <c r="AQ52" s="3530">
        <f t="shared" si="33"/>
        <v>5219.7363500000001</v>
      </c>
      <c r="AR52" s="3530">
        <f t="shared" si="34"/>
        <v>0</v>
      </c>
      <c r="AS52" s="3530">
        <f t="shared" si="35"/>
        <v>5219.7363500000001</v>
      </c>
      <c r="AT52" s="3530">
        <f t="shared" si="17"/>
        <v>0</v>
      </c>
      <c r="AU52" s="3530">
        <f t="shared" si="18"/>
        <v>130900.71525000001</v>
      </c>
      <c r="AV52" s="3530">
        <f t="shared" si="19"/>
        <v>0</v>
      </c>
      <c r="AW52" s="3530">
        <f t="shared" si="20"/>
        <v>130900.71525000001</v>
      </c>
      <c r="AX52" s="3531" t="s">
        <v>3273</v>
      </c>
      <c r="AY52" s="3532">
        <f t="shared" si="12"/>
        <v>47</v>
      </c>
      <c r="AZ52" s="3532"/>
      <c r="BC52" s="3673"/>
      <c r="BD52" s="3603" t="s">
        <v>3434</v>
      </c>
      <c r="BE52" s="3712">
        <v>0</v>
      </c>
      <c r="BF52" s="3712">
        <v>0</v>
      </c>
      <c r="BG52" s="3712">
        <v>0</v>
      </c>
      <c r="BH52" s="3712">
        <v>0</v>
      </c>
      <c r="BI52" s="3712">
        <v>0</v>
      </c>
      <c r="BJ52" s="3712">
        <v>0</v>
      </c>
      <c r="BK52" s="3712">
        <v>0</v>
      </c>
      <c r="BL52" s="3712">
        <v>0</v>
      </c>
      <c r="BM52" s="3712">
        <v>0</v>
      </c>
      <c r="BN52" s="3712">
        <v>0</v>
      </c>
      <c r="BO52" s="3712">
        <v>0</v>
      </c>
      <c r="BP52" s="3712">
        <v>0</v>
      </c>
      <c r="BQ52" s="3712">
        <v>0</v>
      </c>
      <c r="BR52" s="3712">
        <v>0</v>
      </c>
      <c r="BS52" s="3712">
        <v>0</v>
      </c>
      <c r="BT52" s="3712">
        <v>0</v>
      </c>
      <c r="BU52" s="3712">
        <v>0</v>
      </c>
      <c r="BV52" s="3712">
        <v>0</v>
      </c>
      <c r="BW52" s="3712">
        <v>0</v>
      </c>
      <c r="BX52" s="3712">
        <v>0</v>
      </c>
      <c r="BY52" s="3712">
        <v>0</v>
      </c>
      <c r="BZ52" s="3712">
        <v>0</v>
      </c>
      <c r="CA52" s="3712">
        <v>0</v>
      </c>
      <c r="CB52" s="3711">
        <v>0</v>
      </c>
    </row>
    <row r="53" spans="18:80" ht="90">
      <c r="R53" s="3521">
        <f t="shared" si="11"/>
        <v>48</v>
      </c>
      <c r="S53" s="3522" t="s">
        <v>3155</v>
      </c>
      <c r="T53" s="3523" t="s">
        <v>3274</v>
      </c>
      <c r="U53" s="3524">
        <v>500001</v>
      </c>
      <c r="V53" s="3524">
        <v>0</v>
      </c>
      <c r="W53" s="3524">
        <v>0</v>
      </c>
      <c r="X53" s="3547" t="s">
        <v>3150</v>
      </c>
      <c r="Y53" s="3547" t="s">
        <v>3150</v>
      </c>
      <c r="Z53" s="3547" t="s">
        <v>3150</v>
      </c>
      <c r="AA53" s="3538">
        <f>5100+3400</f>
        <v>8500</v>
      </c>
      <c r="AB53" s="3538">
        <f>5200+3500</f>
        <v>8700</v>
      </c>
      <c r="AC53" s="3538">
        <f>5400+3600</f>
        <v>9000</v>
      </c>
      <c r="AD53" s="3539">
        <v>3600</v>
      </c>
      <c r="AE53" s="3539">
        <v>3700</v>
      </c>
      <c r="AF53" s="3539">
        <v>0</v>
      </c>
      <c r="AG53" s="3539">
        <v>0</v>
      </c>
      <c r="AH53" s="3539">
        <v>0</v>
      </c>
      <c r="AI53" s="3539">
        <v>0</v>
      </c>
      <c r="AJ53" s="3540" t="s">
        <v>3151</v>
      </c>
      <c r="AK53" s="3529"/>
      <c r="AL53" s="3529" t="s">
        <v>3253</v>
      </c>
      <c r="AM53" s="3529" t="s">
        <v>3253</v>
      </c>
      <c r="AN53" s="3530">
        <f t="shared" si="30"/>
        <v>0</v>
      </c>
      <c r="AO53" s="3530">
        <f t="shared" si="31"/>
        <v>5867.9750000000004</v>
      </c>
      <c r="AP53" s="3530">
        <f t="shared" si="32"/>
        <v>0</v>
      </c>
      <c r="AQ53" s="3530">
        <f t="shared" si="33"/>
        <v>6006.0450000000001</v>
      </c>
      <c r="AR53" s="3530">
        <f t="shared" si="34"/>
        <v>0</v>
      </c>
      <c r="AS53" s="3530">
        <f t="shared" si="35"/>
        <v>6213.1500000000005</v>
      </c>
      <c r="AT53" s="3530">
        <f t="shared" si="17"/>
        <v>0</v>
      </c>
      <c r="AU53" s="3530">
        <f t="shared" si="18"/>
        <v>2485.2600000000002</v>
      </c>
      <c r="AV53" s="3530">
        <f t="shared" si="19"/>
        <v>0</v>
      </c>
      <c r="AW53" s="3530">
        <f t="shared" si="20"/>
        <v>2554.2950000000001</v>
      </c>
      <c r="AX53" s="3531" t="s">
        <v>3275</v>
      </c>
      <c r="AY53" s="3532">
        <f t="shared" si="12"/>
        <v>48</v>
      </c>
      <c r="AZ53" s="3532"/>
      <c r="BC53" s="3673"/>
      <c r="BD53" s="3603" t="s">
        <v>3431</v>
      </c>
      <c r="BE53" s="3712">
        <v>319156.69070862053</v>
      </c>
      <c r="BF53" s="3712">
        <v>268694.86420645111</v>
      </c>
      <c r="BG53" s="3712">
        <v>232942.73572891613</v>
      </c>
      <c r="BH53" s="3712">
        <v>184362.5589240058</v>
      </c>
      <c r="BI53" s="3712">
        <v>131017.56429795716</v>
      </c>
      <c r="BJ53" s="3712">
        <v>125655.19568779715</v>
      </c>
      <c r="BK53" s="3712">
        <v>130376.10883848352</v>
      </c>
      <c r="BL53" s="3712">
        <v>139094.1728865921</v>
      </c>
      <c r="BM53" s="3712">
        <v>165937.2084800576</v>
      </c>
      <c r="BN53" s="3712">
        <v>299967.1533907507</v>
      </c>
      <c r="BO53" s="3712">
        <v>358963.1405465703</v>
      </c>
      <c r="BP53" s="3712">
        <v>345547.00627591211</v>
      </c>
      <c r="BQ53" s="3712">
        <v>318601.4466440893</v>
      </c>
      <c r="BR53" s="3712">
        <v>269047.29892842093</v>
      </c>
      <c r="BS53" s="3712">
        <v>233788.81060606337</v>
      </c>
      <c r="BT53" s="3712">
        <v>183668.41343106219</v>
      </c>
      <c r="BU53" s="3712">
        <v>131268.46388280936</v>
      </c>
      <c r="BV53" s="3712">
        <v>125853.07525232568</v>
      </c>
      <c r="BW53" s="3712">
        <v>128104.93270105997</v>
      </c>
      <c r="BX53" s="3712">
        <v>138981.41324365739</v>
      </c>
      <c r="BY53" s="3712">
        <v>165957.89038800274</v>
      </c>
      <c r="BZ53" s="3712">
        <v>301492.07724323694</v>
      </c>
      <c r="CA53" s="3712">
        <v>359832.42371332448</v>
      </c>
      <c r="CB53" s="3711">
        <v>345277.18624705821</v>
      </c>
    </row>
    <row r="54" spans="18:80" ht="45">
      <c r="R54" s="3521">
        <f t="shared" si="11"/>
        <v>49</v>
      </c>
      <c r="S54" s="3522" t="s">
        <v>3130</v>
      </c>
      <c r="T54" s="3523" t="s">
        <v>3276</v>
      </c>
      <c r="U54" s="3524">
        <v>490303</v>
      </c>
      <c r="V54" s="3524">
        <v>232932</v>
      </c>
      <c r="W54" s="3524">
        <v>0</v>
      </c>
      <c r="X54" s="3525">
        <f t="shared" ref="X54:Z57" si="36">U54*$T$4*$T$3</f>
        <v>991.70897033808205</v>
      </c>
      <c r="Y54" s="3525">
        <f t="shared" si="36"/>
        <v>471.13877312353816</v>
      </c>
      <c r="Z54" s="3525">
        <f t="shared" si="36"/>
        <v>0</v>
      </c>
      <c r="AA54" s="3538">
        <v>0</v>
      </c>
      <c r="AB54" s="3538">
        <v>0</v>
      </c>
      <c r="AC54" s="3538">
        <v>0</v>
      </c>
      <c r="AD54" s="3539"/>
      <c r="AE54" s="3539"/>
      <c r="AF54" s="3539">
        <v>0</v>
      </c>
      <c r="AG54" s="3539">
        <v>0</v>
      </c>
      <c r="AH54" s="3539"/>
      <c r="AI54" s="3539"/>
      <c r="AJ54" s="3540"/>
      <c r="AK54" s="3529"/>
      <c r="AL54" s="3529" t="s">
        <v>3132</v>
      </c>
      <c r="AM54" s="3529" t="s">
        <v>3133</v>
      </c>
      <c r="AN54" s="3530">
        <f t="shared" si="30"/>
        <v>638.66057689772481</v>
      </c>
      <c r="AO54" s="3530">
        <f t="shared" si="31"/>
        <v>0</v>
      </c>
      <c r="AP54" s="3530">
        <f t="shared" si="32"/>
        <v>303.4133698915586</v>
      </c>
      <c r="AQ54" s="3530">
        <f t="shared" si="33"/>
        <v>0</v>
      </c>
      <c r="AR54" s="3530">
        <f t="shared" si="34"/>
        <v>0</v>
      </c>
      <c r="AS54" s="3530">
        <f t="shared" si="35"/>
        <v>0</v>
      </c>
      <c r="AT54" s="3530">
        <f t="shared" si="17"/>
        <v>0</v>
      </c>
      <c r="AU54" s="3530">
        <f t="shared" si="18"/>
        <v>0</v>
      </c>
      <c r="AV54" s="3530">
        <f t="shared" si="19"/>
        <v>0</v>
      </c>
      <c r="AW54" s="3530">
        <f t="shared" si="20"/>
        <v>0</v>
      </c>
      <c r="AX54" s="3531" t="s">
        <v>3277</v>
      </c>
      <c r="AY54" s="3532">
        <f t="shared" si="12"/>
        <v>49</v>
      </c>
      <c r="AZ54" s="3532"/>
      <c r="BC54" s="3673"/>
      <c r="BD54" s="3603" t="s">
        <v>3430</v>
      </c>
      <c r="BE54" s="3712">
        <v>3060969.412</v>
      </c>
      <c r="BF54" s="3712">
        <v>3209173.8615999999</v>
      </c>
      <c r="BG54" s="3712">
        <v>2967345.1839999999</v>
      </c>
      <c r="BH54" s="3712">
        <v>2848771.3785999999</v>
      </c>
      <c r="BI54" s="3712">
        <v>2520129.7999999998</v>
      </c>
      <c r="BJ54" s="3712">
        <v>2287733.3220000002</v>
      </c>
      <c r="BK54" s="3712">
        <v>2123807.855</v>
      </c>
      <c r="BL54" s="3712">
        <v>2003140.05</v>
      </c>
      <c r="BM54" s="3712">
        <v>1948679.0471999999</v>
      </c>
      <c r="BN54" s="3712">
        <v>2086287.6868</v>
      </c>
      <c r="BO54" s="3712">
        <v>2482827.1568</v>
      </c>
      <c r="BP54" s="3712">
        <v>2938726.6264</v>
      </c>
      <c r="BQ54" s="3712">
        <v>3054813.412</v>
      </c>
      <c r="BR54" s="3712">
        <v>3235241.8615999999</v>
      </c>
      <c r="BS54" s="3712">
        <v>2975135.1839999999</v>
      </c>
      <c r="BT54" s="3712">
        <v>2862204.3785999999</v>
      </c>
      <c r="BU54" s="3712">
        <v>2536887.7999999998</v>
      </c>
      <c r="BV54" s="3712">
        <v>2294611.3220000002</v>
      </c>
      <c r="BW54" s="3712">
        <v>2122724.855</v>
      </c>
      <c r="BX54" s="3712">
        <v>1995654.05</v>
      </c>
      <c r="BY54" s="3712">
        <v>1944765.0471999999</v>
      </c>
      <c r="BZ54" s="3712">
        <v>2066014.6868</v>
      </c>
      <c r="CA54" s="3712">
        <v>2487672.1568</v>
      </c>
      <c r="CB54" s="3711">
        <v>2930404.6264</v>
      </c>
    </row>
    <row r="55" spans="18:80" ht="60">
      <c r="R55" s="3521">
        <f t="shared" si="11"/>
        <v>50</v>
      </c>
      <c r="S55" s="3522" t="s">
        <v>3144</v>
      </c>
      <c r="T55" s="3523" t="s">
        <v>3278</v>
      </c>
      <c r="U55" s="3524">
        <v>3830156</v>
      </c>
      <c r="V55" s="3524">
        <v>7751644</v>
      </c>
      <c r="W55" s="3524">
        <v>1449994</v>
      </c>
      <c r="X55" s="3525">
        <f t="shared" si="36"/>
        <v>7747.0463427599407</v>
      </c>
      <c r="Y55" s="3525">
        <f t="shared" si="36"/>
        <v>15678.824909632149</v>
      </c>
      <c r="Z55" s="3525">
        <f t="shared" si="36"/>
        <v>2932.8232883266</v>
      </c>
      <c r="AA55" s="3538">
        <v>0</v>
      </c>
      <c r="AB55" s="3538">
        <v>0</v>
      </c>
      <c r="AC55" s="3538">
        <v>0</v>
      </c>
      <c r="AD55" s="3539">
        <f>35200+140000</f>
        <v>175200</v>
      </c>
      <c r="AE55" s="3539">
        <f>35200+140000</f>
        <v>175200</v>
      </c>
      <c r="AF55" s="3539">
        <v>0</v>
      </c>
      <c r="AG55" s="3539">
        <v>0</v>
      </c>
      <c r="AH55" s="3539">
        <f>316800+35000</f>
        <v>351800</v>
      </c>
      <c r="AI55" s="3539">
        <f>316800+35000</f>
        <v>351800</v>
      </c>
      <c r="AJ55" s="3540" t="s">
        <v>3243</v>
      </c>
      <c r="AK55" s="3529"/>
      <c r="AL55" s="3529" t="s">
        <v>839</v>
      </c>
      <c r="AM55" s="3529" t="s">
        <v>839</v>
      </c>
      <c r="AN55" s="3530">
        <f t="shared" si="30"/>
        <v>3636.0821011248722</v>
      </c>
      <c r="AO55" s="3530">
        <f t="shared" si="31"/>
        <v>1150.9912005683714</v>
      </c>
      <c r="AP55" s="3530">
        <f t="shared" si="32"/>
        <v>7358.8684123288995</v>
      </c>
      <c r="AQ55" s="3530">
        <f t="shared" si="33"/>
        <v>2329.4283663481624</v>
      </c>
      <c r="AR55" s="3530">
        <f t="shared" si="34"/>
        <v>1376.522844014306</v>
      </c>
      <c r="AS55" s="3530">
        <f t="shared" si="35"/>
        <v>435.73429773537555</v>
      </c>
      <c r="AT55" s="3530">
        <f t="shared" si="17"/>
        <v>82230.253432319994</v>
      </c>
      <c r="AU55" s="3530">
        <f t="shared" si="18"/>
        <v>26029.747263360001</v>
      </c>
      <c r="AV55" s="3530">
        <f t="shared" si="19"/>
        <v>82230.253432319994</v>
      </c>
      <c r="AW55" s="3530">
        <f t="shared" si="20"/>
        <v>26029.747263360001</v>
      </c>
      <c r="AX55" s="3531" t="s">
        <v>3279</v>
      </c>
      <c r="AY55" s="3532">
        <f t="shared" si="12"/>
        <v>50</v>
      </c>
      <c r="AZ55" s="3532"/>
      <c r="BC55" s="3673"/>
      <c r="BD55" s="3603"/>
      <c r="BE55" s="3696"/>
      <c r="BF55" s="3696"/>
      <c r="BG55" s="3696"/>
      <c r="BH55" s="3696"/>
      <c r="BI55" s="3696"/>
      <c r="BJ55" s="3696"/>
      <c r="BK55" s="3696"/>
      <c r="BL55" s="3696"/>
      <c r="BM55" s="3696"/>
      <c r="BN55" s="3696"/>
      <c r="BO55" s="3696"/>
      <c r="BP55" s="3696"/>
      <c r="BQ55" s="3696"/>
      <c r="BR55" s="3696"/>
      <c r="BS55" s="3696"/>
      <c r="BT55" s="3696"/>
      <c r="BU55" s="3696"/>
      <c r="BV55" s="3696"/>
      <c r="BW55" s="3696"/>
      <c r="BX55" s="3696"/>
      <c r="BY55" s="3696"/>
      <c r="BZ55" s="3696"/>
      <c r="CA55" s="3696"/>
      <c r="CB55" s="3710"/>
    </row>
    <row r="56" spans="18:80" ht="60">
      <c r="R56" s="3521">
        <f t="shared" si="11"/>
        <v>51</v>
      </c>
      <c r="S56" s="3522" t="s">
        <v>3130</v>
      </c>
      <c r="T56" s="3523" t="s">
        <v>3280</v>
      </c>
      <c r="U56" s="3524">
        <v>2676153</v>
      </c>
      <c r="V56" s="3524">
        <v>2078530</v>
      </c>
      <c r="W56" s="3524">
        <v>132015</v>
      </c>
      <c r="X56" s="3525">
        <f t="shared" si="36"/>
        <v>5412.9078061875398</v>
      </c>
      <c r="Y56" s="3525">
        <f t="shared" si="36"/>
        <v>4204.128561556453</v>
      </c>
      <c r="Z56" s="3525">
        <f t="shared" si="36"/>
        <v>267.01949553476504</v>
      </c>
      <c r="AA56" s="3538">
        <v>0</v>
      </c>
      <c r="AB56" s="3538">
        <v>0</v>
      </c>
      <c r="AC56" s="3538">
        <v>0</v>
      </c>
      <c r="AD56" s="3539">
        <v>0</v>
      </c>
      <c r="AE56" s="3539">
        <v>0</v>
      </c>
      <c r="AF56" s="3539">
        <v>0</v>
      </c>
      <c r="AG56" s="3539">
        <v>0</v>
      </c>
      <c r="AH56" s="3539">
        <v>0</v>
      </c>
      <c r="AI56" s="3539">
        <v>0</v>
      </c>
      <c r="AJ56" s="3540"/>
      <c r="AK56" s="3529"/>
      <c r="AL56" s="3529" t="s">
        <v>839</v>
      </c>
      <c r="AM56" s="3529" t="s">
        <v>839</v>
      </c>
      <c r="AN56" s="3530">
        <f t="shared" si="30"/>
        <v>2540.5524013047066</v>
      </c>
      <c r="AO56" s="3530">
        <f t="shared" si="31"/>
        <v>804.20446435462384</v>
      </c>
      <c r="AP56" s="3530">
        <f t="shared" si="32"/>
        <v>1973.2109422308333</v>
      </c>
      <c r="AQ56" s="3530">
        <f t="shared" si="33"/>
        <v>624.61417762550059</v>
      </c>
      <c r="AR56" s="3530">
        <f t="shared" si="34"/>
        <v>125.32580359128976</v>
      </c>
      <c r="AS56" s="3530">
        <f t="shared" si="35"/>
        <v>39.671518168720425</v>
      </c>
      <c r="AT56" s="3530">
        <f t="shared" si="17"/>
        <v>0</v>
      </c>
      <c r="AU56" s="3530">
        <f t="shared" si="18"/>
        <v>0</v>
      </c>
      <c r="AV56" s="3530">
        <f t="shared" si="19"/>
        <v>0</v>
      </c>
      <c r="AW56" s="3530">
        <f t="shared" si="20"/>
        <v>0</v>
      </c>
      <c r="AX56" s="3531" t="s">
        <v>3281</v>
      </c>
      <c r="AY56" s="3532">
        <f t="shared" si="12"/>
        <v>51</v>
      </c>
      <c r="AZ56" s="3532"/>
      <c r="BC56" s="3673"/>
      <c r="BD56" s="3693" t="s">
        <v>3305</v>
      </c>
      <c r="CB56" s="3672"/>
    </row>
    <row r="57" spans="18:80" ht="60">
      <c r="R57" s="3521">
        <f t="shared" si="11"/>
        <v>52</v>
      </c>
      <c r="S57" s="3522" t="s">
        <v>3144</v>
      </c>
      <c r="T57" s="3523" t="s">
        <v>3282</v>
      </c>
      <c r="U57" s="3524">
        <v>391207</v>
      </c>
      <c r="V57" s="3524">
        <v>490344</v>
      </c>
      <c r="W57" s="3524">
        <v>613801</v>
      </c>
      <c r="X57" s="3525">
        <f t="shared" si="36"/>
        <v>791.27292951307663</v>
      </c>
      <c r="Y57" s="3525">
        <f t="shared" si="36"/>
        <v>991.79189878800753</v>
      </c>
      <c r="Z57" s="3525">
        <f t="shared" si="36"/>
        <v>1241.501597384648</v>
      </c>
      <c r="AA57" s="3538">
        <v>16300</v>
      </c>
      <c r="AB57" s="3538">
        <v>16300</v>
      </c>
      <c r="AC57" s="3538">
        <v>16300</v>
      </c>
      <c r="AD57" s="3539">
        <v>400000</v>
      </c>
      <c r="AE57" s="3539">
        <v>400000</v>
      </c>
      <c r="AF57" s="3539">
        <v>0</v>
      </c>
      <c r="AG57" s="3539">
        <v>0</v>
      </c>
      <c r="AH57" s="3539">
        <v>0</v>
      </c>
      <c r="AI57" s="3539">
        <v>0</v>
      </c>
      <c r="AJ57" s="3540"/>
      <c r="AK57" s="3529"/>
      <c r="AL57" s="3529" t="s">
        <v>839</v>
      </c>
      <c r="AM57" s="3529" t="s">
        <v>839</v>
      </c>
      <c r="AN57" s="3530">
        <f t="shared" si="30"/>
        <v>7650.4174140799987</v>
      </c>
      <c r="AO57" s="3530">
        <f t="shared" si="31"/>
        <v>2421.7173538400002</v>
      </c>
      <c r="AP57" s="3530">
        <f t="shared" si="32"/>
        <v>7650.4174140799987</v>
      </c>
      <c r="AQ57" s="3530">
        <f t="shared" si="33"/>
        <v>2421.7173538400002</v>
      </c>
      <c r="AR57" s="3530">
        <f t="shared" si="34"/>
        <v>7650.4174140799987</v>
      </c>
      <c r="AS57" s="3530">
        <f t="shared" si="35"/>
        <v>2421.7173538400002</v>
      </c>
      <c r="AT57" s="3530">
        <f t="shared" si="17"/>
        <v>187740.30463999999</v>
      </c>
      <c r="AU57" s="3530">
        <f t="shared" si="18"/>
        <v>59428.646719999997</v>
      </c>
      <c r="AV57" s="3530">
        <f t="shared" si="19"/>
        <v>187740.30463999999</v>
      </c>
      <c r="AW57" s="3530">
        <f t="shared" si="20"/>
        <v>59428.646719999997</v>
      </c>
      <c r="AX57" s="3531" t="s">
        <v>3283</v>
      </c>
      <c r="AY57" s="3532">
        <f t="shared" si="12"/>
        <v>52</v>
      </c>
      <c r="AZ57" s="3532"/>
      <c r="BC57" s="3673"/>
      <c r="BE57" s="3691">
        <v>45688</v>
      </c>
      <c r="BF57" s="3691">
        <f t="shared" ref="BF57:CB57" si="37">EOMONTH(BE57,1)</f>
        <v>45716</v>
      </c>
      <c r="BG57" s="3691">
        <f t="shared" si="37"/>
        <v>45747</v>
      </c>
      <c r="BH57" s="3691">
        <f t="shared" si="37"/>
        <v>45777</v>
      </c>
      <c r="BI57" s="3691">
        <f t="shared" si="37"/>
        <v>45808</v>
      </c>
      <c r="BJ57" s="3691">
        <f t="shared" si="37"/>
        <v>45838</v>
      </c>
      <c r="BK57" s="3691">
        <f t="shared" si="37"/>
        <v>45869</v>
      </c>
      <c r="BL57" s="3691">
        <f t="shared" si="37"/>
        <v>45900</v>
      </c>
      <c r="BM57" s="3691">
        <f t="shared" si="37"/>
        <v>45930</v>
      </c>
      <c r="BN57" s="3691">
        <f t="shared" si="37"/>
        <v>45961</v>
      </c>
      <c r="BO57" s="3691">
        <f t="shared" si="37"/>
        <v>45991</v>
      </c>
      <c r="BP57" s="3691">
        <f t="shared" si="37"/>
        <v>46022</v>
      </c>
      <c r="BQ57" s="3691">
        <f t="shared" si="37"/>
        <v>46053</v>
      </c>
      <c r="BR57" s="3691">
        <f t="shared" si="37"/>
        <v>46081</v>
      </c>
      <c r="BS57" s="3691">
        <f t="shared" si="37"/>
        <v>46112</v>
      </c>
      <c r="BT57" s="3691">
        <f t="shared" si="37"/>
        <v>46142</v>
      </c>
      <c r="BU57" s="3691">
        <f t="shared" si="37"/>
        <v>46173</v>
      </c>
      <c r="BV57" s="3691">
        <f t="shared" si="37"/>
        <v>46203</v>
      </c>
      <c r="BW57" s="3691">
        <f t="shared" si="37"/>
        <v>46234</v>
      </c>
      <c r="BX57" s="3691">
        <f t="shared" si="37"/>
        <v>46265</v>
      </c>
      <c r="BY57" s="3691">
        <f t="shared" si="37"/>
        <v>46295</v>
      </c>
      <c r="BZ57" s="3691">
        <f t="shared" si="37"/>
        <v>46326</v>
      </c>
      <c r="CA57" s="3691">
        <f t="shared" si="37"/>
        <v>46356</v>
      </c>
      <c r="CB57" s="3690">
        <f t="shared" si="37"/>
        <v>46387</v>
      </c>
    </row>
    <row r="58" spans="18:80" ht="45">
      <c r="R58" s="3521">
        <f t="shared" si="11"/>
        <v>53</v>
      </c>
      <c r="S58" s="3522" t="s">
        <v>3144</v>
      </c>
      <c r="T58" s="3523" t="s">
        <v>3284</v>
      </c>
      <c r="U58" s="3524">
        <v>303024</v>
      </c>
      <c r="V58" s="3524">
        <v>649022</v>
      </c>
      <c r="W58" s="3524">
        <v>194984</v>
      </c>
      <c r="X58" s="3547" t="s">
        <v>3150</v>
      </c>
      <c r="Y58" s="3547" t="s">
        <v>3150</v>
      </c>
      <c r="Z58" s="3547" t="s">
        <v>3150</v>
      </c>
      <c r="AA58" s="3538">
        <v>0</v>
      </c>
      <c r="AB58" s="3538">
        <v>0</v>
      </c>
      <c r="AC58" s="3538">
        <v>0</v>
      </c>
      <c r="AD58" s="3539">
        <v>936000</v>
      </c>
      <c r="AE58" s="3539">
        <v>936000</v>
      </c>
      <c r="AF58" s="3539">
        <v>0</v>
      </c>
      <c r="AG58" s="3539">
        <v>0</v>
      </c>
      <c r="AH58" s="3539">
        <v>104000</v>
      </c>
      <c r="AI58" s="3539">
        <v>104000</v>
      </c>
      <c r="AJ58" s="3540" t="s">
        <v>3151</v>
      </c>
      <c r="AK58" s="3529"/>
      <c r="AL58" s="3529" t="s">
        <v>3253</v>
      </c>
      <c r="AM58" s="3529" t="s">
        <v>3152</v>
      </c>
      <c r="AN58" s="3530">
        <f t="shared" si="30"/>
        <v>0</v>
      </c>
      <c r="AO58" s="3530">
        <f t="shared" si="31"/>
        <v>0</v>
      </c>
      <c r="AP58" s="3530">
        <f t="shared" si="32"/>
        <v>0</v>
      </c>
      <c r="AQ58" s="3530">
        <f t="shared" si="33"/>
        <v>0</v>
      </c>
      <c r="AR58" s="3530">
        <f t="shared" si="34"/>
        <v>0</v>
      </c>
      <c r="AS58" s="3530">
        <f t="shared" si="35"/>
        <v>0</v>
      </c>
      <c r="AT58" s="3530">
        <f t="shared" si="17"/>
        <v>0</v>
      </c>
      <c r="AU58" s="3530">
        <f t="shared" si="18"/>
        <v>0</v>
      </c>
      <c r="AV58" s="3530">
        <f t="shared" si="19"/>
        <v>0</v>
      </c>
      <c r="AW58" s="3530">
        <f t="shared" si="20"/>
        <v>0</v>
      </c>
      <c r="AX58" s="3531" t="s">
        <v>3285</v>
      </c>
      <c r="AY58" s="3532">
        <f t="shared" si="12"/>
        <v>53</v>
      </c>
      <c r="AZ58" s="3532"/>
      <c r="BC58" s="3673"/>
      <c r="BD58" s="3603" t="s">
        <v>3433</v>
      </c>
      <c r="BE58" s="3689">
        <f t="shared" ref="BE58:CB58" si="38">BE49/(BE31+BE30)</f>
        <v>127.65772891877144</v>
      </c>
      <c r="BF58" s="3689">
        <f t="shared" si="38"/>
        <v>111.83649157117991</v>
      </c>
      <c r="BG58" s="3689">
        <f t="shared" si="38"/>
        <v>85.438199836074318</v>
      </c>
      <c r="BH58" s="3689">
        <f t="shared" si="38"/>
        <v>54.14302219416593</v>
      </c>
      <c r="BI58" s="3689">
        <f t="shared" si="38"/>
        <v>28.36597204595574</v>
      </c>
      <c r="BJ58" s="3689">
        <f t="shared" si="38"/>
        <v>17.574726741345639</v>
      </c>
      <c r="BK58" s="3689">
        <f t="shared" si="38"/>
        <v>12.931213149337371</v>
      </c>
      <c r="BL58" s="3689">
        <f t="shared" si="38"/>
        <v>13.178328828740502</v>
      </c>
      <c r="BM58" s="3689">
        <f t="shared" si="38"/>
        <v>18.491938949634971</v>
      </c>
      <c r="BN58" s="3689">
        <f t="shared" si="38"/>
        <v>48.176465164912578</v>
      </c>
      <c r="BO58" s="3689">
        <f t="shared" si="38"/>
        <v>93.543073740246811</v>
      </c>
      <c r="BP58" s="3689">
        <f t="shared" si="38"/>
        <v>140.78529750971964</v>
      </c>
      <c r="BQ58" s="3689">
        <f t="shared" si="38"/>
        <v>127.64769276854004</v>
      </c>
      <c r="BR58" s="3689">
        <f t="shared" si="38"/>
        <v>111.91622291867384</v>
      </c>
      <c r="BS58" s="3689">
        <f t="shared" si="38"/>
        <v>85.811541270926995</v>
      </c>
      <c r="BT58" s="3689">
        <f t="shared" si="38"/>
        <v>54.289165245048821</v>
      </c>
      <c r="BU58" s="3689">
        <f t="shared" si="38"/>
        <v>28.490057824509439</v>
      </c>
      <c r="BV58" s="3689">
        <f t="shared" si="38"/>
        <v>17.664868961494339</v>
      </c>
      <c r="BW58" s="3689">
        <f t="shared" si="38"/>
        <v>13.005998517028146</v>
      </c>
      <c r="BX58" s="3689">
        <f t="shared" si="38"/>
        <v>13.004785499679839</v>
      </c>
      <c r="BY58" s="3689">
        <f t="shared" si="38"/>
        <v>17.889698257968007</v>
      </c>
      <c r="BZ58" s="3689">
        <f t="shared" si="38"/>
        <v>47.840755351039107</v>
      </c>
      <c r="CA58" s="3689">
        <f t="shared" si="38"/>
        <v>93.693441712469621</v>
      </c>
      <c r="CB58" s="3688">
        <f t="shared" si="38"/>
        <v>140.68615545608341</v>
      </c>
    </row>
    <row r="59" spans="18:80" ht="45">
      <c r="R59" s="3521">
        <f t="shared" si="11"/>
        <v>54</v>
      </c>
      <c r="S59" s="3522" t="s">
        <v>3155</v>
      </c>
      <c r="T59" s="3523" t="s">
        <v>3286</v>
      </c>
      <c r="U59" s="3524">
        <v>3999996</v>
      </c>
      <c r="V59" s="3524">
        <v>3999996</v>
      </c>
      <c r="W59" s="3524">
        <v>3000000</v>
      </c>
      <c r="X59" s="3547" t="s">
        <v>3150</v>
      </c>
      <c r="Y59" s="3547" t="s">
        <v>3150</v>
      </c>
      <c r="Z59" s="3547" t="s">
        <v>3150</v>
      </c>
      <c r="AA59" s="3538">
        <v>0</v>
      </c>
      <c r="AB59" s="3538">
        <v>0</v>
      </c>
      <c r="AC59" s="3538">
        <v>0</v>
      </c>
      <c r="AD59" s="3539">
        <v>0</v>
      </c>
      <c r="AE59" s="3539">
        <v>0</v>
      </c>
      <c r="AF59" s="3539">
        <v>0</v>
      </c>
      <c r="AG59" s="3539">
        <v>0</v>
      </c>
      <c r="AH59" s="3539">
        <v>0</v>
      </c>
      <c r="AI59" s="3539">
        <v>0</v>
      </c>
      <c r="AJ59" s="3540" t="s">
        <v>3287</v>
      </c>
      <c r="AK59" s="3529" t="s">
        <v>3167</v>
      </c>
      <c r="AL59" s="3529" t="s">
        <v>3132</v>
      </c>
      <c r="AM59" s="3529" t="s">
        <v>3152</v>
      </c>
      <c r="AN59" s="3530">
        <f t="shared" si="30"/>
        <v>0</v>
      </c>
      <c r="AO59" s="3530">
        <f t="shared" si="31"/>
        <v>0</v>
      </c>
      <c r="AP59" s="3530">
        <f t="shared" si="32"/>
        <v>0</v>
      </c>
      <c r="AQ59" s="3530">
        <f t="shared" si="33"/>
        <v>0</v>
      </c>
      <c r="AR59" s="3530">
        <f t="shared" si="34"/>
        <v>0</v>
      </c>
      <c r="AS59" s="3530">
        <f t="shared" si="35"/>
        <v>0</v>
      </c>
      <c r="AT59" s="3530">
        <f t="shared" si="17"/>
        <v>0</v>
      </c>
      <c r="AU59" s="3530">
        <f t="shared" si="18"/>
        <v>0</v>
      </c>
      <c r="AV59" s="3530">
        <f t="shared" si="19"/>
        <v>0</v>
      </c>
      <c r="AW59" s="3530">
        <f t="shared" si="20"/>
        <v>0</v>
      </c>
      <c r="AX59" s="3550" t="s">
        <v>3288</v>
      </c>
      <c r="AY59" s="3532">
        <f t="shared" si="12"/>
        <v>54</v>
      </c>
      <c r="AZ59" s="3532"/>
      <c r="BC59" s="3673"/>
      <c r="BD59" s="3603" t="s">
        <v>3428</v>
      </c>
      <c r="BE59" s="3689">
        <f t="shared" ref="BE59:CB59" si="39">BE50/BE31</f>
        <v>2554.1687709283801</v>
      </c>
      <c r="BF59" s="3689">
        <f t="shared" si="39"/>
        <v>2231.6645940418261</v>
      </c>
      <c r="BG59" s="3689">
        <f t="shared" si="39"/>
        <v>1799.959080166986</v>
      </c>
      <c r="BH59" s="3689">
        <f t="shared" si="39"/>
        <v>1237.568669207596</v>
      </c>
      <c r="BI59" s="3689">
        <f t="shared" si="39"/>
        <v>752.01396916520525</v>
      </c>
      <c r="BJ59" s="3689">
        <f t="shared" si="39"/>
        <v>583.39771578195098</v>
      </c>
      <c r="BK59" s="3689">
        <f t="shared" si="39"/>
        <v>500.86054486012193</v>
      </c>
      <c r="BL59" s="3689">
        <f t="shared" si="39"/>
        <v>514.8150750105699</v>
      </c>
      <c r="BM59" s="3689">
        <f t="shared" si="39"/>
        <v>680.5757093725249</v>
      </c>
      <c r="BN59" s="3689">
        <f t="shared" si="39"/>
        <v>1446.4873709673775</v>
      </c>
      <c r="BO59" s="3689">
        <f t="shared" si="39"/>
        <v>2193.2648060752031</v>
      </c>
      <c r="BP59" s="3689">
        <f t="shared" si="39"/>
        <v>2789.2982823685402</v>
      </c>
      <c r="BQ59" s="3689">
        <f t="shared" si="39"/>
        <v>2549.7111185189437</v>
      </c>
      <c r="BR59" s="3689">
        <f t="shared" si="39"/>
        <v>2234.5819907460018</v>
      </c>
      <c r="BS59" s="3689">
        <f t="shared" si="39"/>
        <v>1806.3783775064212</v>
      </c>
      <c r="BT59" s="3689">
        <f t="shared" si="39"/>
        <v>1232.6679924050134</v>
      </c>
      <c r="BU59" s="3689">
        <f t="shared" si="39"/>
        <v>752.83265990489326</v>
      </c>
      <c r="BV59" s="3689">
        <f t="shared" si="39"/>
        <v>583.19261611410263</v>
      </c>
      <c r="BW59" s="3689">
        <f t="shared" si="39"/>
        <v>490.95334493676586</v>
      </c>
      <c r="BX59" s="3689">
        <f t="shared" si="39"/>
        <v>512.59215030732662</v>
      </c>
      <c r="BY59" s="3689">
        <f t="shared" si="39"/>
        <v>678.99634862203027</v>
      </c>
      <c r="BZ59" s="3689">
        <f t="shared" si="39"/>
        <v>1452.0362437224801</v>
      </c>
      <c r="CA59" s="3689">
        <f t="shared" si="39"/>
        <v>2197.6211425354372</v>
      </c>
      <c r="CB59" s="3688">
        <f t="shared" si="39"/>
        <v>2786.8288871720988</v>
      </c>
    </row>
    <row r="60" spans="18:80" ht="90">
      <c r="R60" s="3521">
        <f t="shared" si="11"/>
        <v>55</v>
      </c>
      <c r="S60" s="3522" t="s">
        <v>3144</v>
      </c>
      <c r="T60" s="3523" t="s">
        <v>3289</v>
      </c>
      <c r="U60" s="3524">
        <v>4597501</v>
      </c>
      <c r="V60" s="3524">
        <v>1999046</v>
      </c>
      <c r="W60" s="3524">
        <v>1944767</v>
      </c>
      <c r="X60" s="3525">
        <f t="shared" ref="X60:Z65" si="40">U60*$T$4*$T$3</f>
        <v>9299.1129624707628</v>
      </c>
      <c r="Y60" s="3525">
        <f t="shared" si="40"/>
        <v>4043.3606368275564</v>
      </c>
      <c r="Z60" s="3525">
        <f t="shared" si="40"/>
        <v>3933.5734823516905</v>
      </c>
      <c r="AA60" s="3538">
        <v>0</v>
      </c>
      <c r="AB60" s="3538">
        <v>0</v>
      </c>
      <c r="AC60" s="3538">
        <v>0</v>
      </c>
      <c r="AD60" s="3539">
        <v>1000000</v>
      </c>
      <c r="AE60" s="3539">
        <v>1000000</v>
      </c>
      <c r="AF60" s="3539">
        <v>0</v>
      </c>
      <c r="AG60" s="3539">
        <v>0</v>
      </c>
      <c r="AH60" s="3539">
        <v>0</v>
      </c>
      <c r="AI60" s="3539">
        <v>0</v>
      </c>
      <c r="AJ60" s="3540" t="s">
        <v>3290</v>
      </c>
      <c r="AK60" s="3529"/>
      <c r="AL60" s="3529" t="s">
        <v>839</v>
      </c>
      <c r="AM60" s="3529" t="s">
        <v>839</v>
      </c>
      <c r="AN60" s="3530">
        <f t="shared" si="30"/>
        <v>4364.5457511400846</v>
      </c>
      <c r="AO60" s="3530">
        <f t="shared" si="31"/>
        <v>1381.584247640119</v>
      </c>
      <c r="AP60" s="3530">
        <f t="shared" si="32"/>
        <v>1897.7543943184744</v>
      </c>
      <c r="AQ60" s="3530">
        <f t="shared" si="33"/>
        <v>600.72862711894766</v>
      </c>
      <c r="AR60" s="3530">
        <f t="shared" si="34"/>
        <v>1846.2257097513298</v>
      </c>
      <c r="AS60" s="3530">
        <f t="shared" si="35"/>
        <v>584.41737207459687</v>
      </c>
      <c r="AT60" s="3530">
        <f t="shared" si="17"/>
        <v>469350.76159999997</v>
      </c>
      <c r="AU60" s="3530">
        <f t="shared" si="18"/>
        <v>148571.61679999999</v>
      </c>
      <c r="AV60" s="3530">
        <f t="shared" si="19"/>
        <v>469350.76159999997</v>
      </c>
      <c r="AW60" s="3530">
        <f t="shared" si="20"/>
        <v>148571.61679999999</v>
      </c>
      <c r="AX60" s="3531" t="s">
        <v>3291</v>
      </c>
      <c r="AY60" s="3532">
        <f t="shared" si="12"/>
        <v>55</v>
      </c>
      <c r="AZ60" s="3532"/>
      <c r="BC60" s="3673"/>
      <c r="BD60" s="3603" t="s">
        <v>3432</v>
      </c>
      <c r="BE60" s="3689">
        <f t="shared" ref="BE60:CB60" si="41">BE51/BE32</f>
        <v>108001.4801349457</v>
      </c>
      <c r="BF60" s="3689">
        <f t="shared" si="41"/>
        <v>96162.367874329837</v>
      </c>
      <c r="BG60" s="3689">
        <f t="shared" si="41"/>
        <v>87124.296737771438</v>
      </c>
      <c r="BH60" s="3689">
        <f t="shared" si="41"/>
        <v>60400.469457896041</v>
      </c>
      <c r="BI60" s="3689">
        <f t="shared" si="41"/>
        <v>39304.699117240358</v>
      </c>
      <c r="BJ60" s="3689">
        <f t="shared" si="41"/>
        <v>24257.455763462181</v>
      </c>
      <c r="BK60" s="3689">
        <f t="shared" si="41"/>
        <v>13535.671610889931</v>
      </c>
      <c r="BL60" s="3689">
        <f t="shared" si="41"/>
        <v>6118.8525457503592</v>
      </c>
      <c r="BM60" s="3689">
        <f t="shared" si="41"/>
        <v>6725.9237733578084</v>
      </c>
      <c r="BN60" s="3689">
        <f t="shared" si="41"/>
        <v>32233.147116526852</v>
      </c>
      <c r="BO60" s="3689">
        <f t="shared" si="41"/>
        <v>80937.166134343424</v>
      </c>
      <c r="BP60" s="3689">
        <f t="shared" si="41"/>
        <v>113816.17538820748</v>
      </c>
      <c r="BQ60" s="3689">
        <f t="shared" si="41"/>
        <v>107813.58753375232</v>
      </c>
      <c r="BR60" s="3689">
        <f t="shared" si="41"/>
        <v>96288.499639020767</v>
      </c>
      <c r="BS60" s="3689">
        <f t="shared" si="41"/>
        <v>87440.742229957687</v>
      </c>
      <c r="BT60" s="3689">
        <f t="shared" si="41"/>
        <v>60173.054987785756</v>
      </c>
      <c r="BU60" s="3689">
        <f t="shared" si="41"/>
        <v>39379.967900812226</v>
      </c>
      <c r="BV60" s="3689">
        <f t="shared" si="41"/>
        <v>24295.655972826942</v>
      </c>
      <c r="BW60" s="3689">
        <f t="shared" si="41"/>
        <v>13299.877686370071</v>
      </c>
      <c r="BX60" s="3689">
        <f t="shared" si="41"/>
        <v>6113.8921680874391</v>
      </c>
      <c r="BY60" s="3689">
        <f t="shared" si="41"/>
        <v>6726.7620719986053</v>
      </c>
      <c r="BZ60" s="3689">
        <f t="shared" si="41"/>
        <v>32397.008707114608</v>
      </c>
      <c r="CA60" s="3689">
        <f t="shared" si="41"/>
        <v>81133.167640175612</v>
      </c>
      <c r="CB60" s="3688">
        <f t="shared" si="41"/>
        <v>113727.30214326677</v>
      </c>
    </row>
    <row r="61" spans="18:80">
      <c r="R61" s="3521">
        <f t="shared" si="11"/>
        <v>56</v>
      </c>
      <c r="S61" s="3522" t="s">
        <v>3155</v>
      </c>
      <c r="T61" s="3523" t="s">
        <v>3292</v>
      </c>
      <c r="U61" s="3524">
        <v>200003</v>
      </c>
      <c r="V61" s="3524">
        <v>199999</v>
      </c>
      <c r="W61" s="3524">
        <v>199999</v>
      </c>
      <c r="X61" s="3525">
        <f t="shared" si="40"/>
        <v>404.5350919625771</v>
      </c>
      <c r="Y61" s="3525">
        <f t="shared" si="40"/>
        <v>404.5270013820965</v>
      </c>
      <c r="Z61" s="3525">
        <f t="shared" si="40"/>
        <v>404.5270013820965</v>
      </c>
      <c r="AA61" s="3538">
        <v>0</v>
      </c>
      <c r="AB61" s="3538">
        <v>0</v>
      </c>
      <c r="AC61" s="3538">
        <v>0</v>
      </c>
      <c r="AD61" s="3539">
        <v>0</v>
      </c>
      <c r="AE61" s="3539">
        <v>0</v>
      </c>
      <c r="AF61" s="3539">
        <v>0</v>
      </c>
      <c r="AG61" s="3539">
        <v>0</v>
      </c>
      <c r="AH61" s="3539">
        <v>0</v>
      </c>
      <c r="AI61" s="3539">
        <v>0</v>
      </c>
      <c r="AJ61" s="3540"/>
      <c r="AK61" s="3529" t="s">
        <v>3167</v>
      </c>
      <c r="AL61" s="3529" t="s">
        <v>3132</v>
      </c>
      <c r="AM61" s="3529" t="s">
        <v>3195</v>
      </c>
      <c r="AN61" s="3530">
        <f t="shared" si="30"/>
        <v>270.80792661250797</v>
      </c>
      <c r="AO61" s="3530">
        <f t="shared" si="31"/>
        <v>0</v>
      </c>
      <c r="AP61" s="3530">
        <f t="shared" si="32"/>
        <v>270.80251053521687</v>
      </c>
      <c r="AQ61" s="3530">
        <f t="shared" si="33"/>
        <v>0</v>
      </c>
      <c r="AR61" s="3530">
        <f t="shared" si="34"/>
        <v>270.80251053521687</v>
      </c>
      <c r="AS61" s="3530">
        <f t="shared" si="35"/>
        <v>0</v>
      </c>
      <c r="AT61" s="3530">
        <f t="shared" si="17"/>
        <v>0</v>
      </c>
      <c r="AU61" s="3530">
        <f t="shared" si="18"/>
        <v>0</v>
      </c>
      <c r="AV61" s="3530">
        <f t="shared" si="19"/>
        <v>0</v>
      </c>
      <c r="AW61" s="3530">
        <f t="shared" si="20"/>
        <v>0</v>
      </c>
      <c r="AX61" s="3531" t="s">
        <v>3293</v>
      </c>
      <c r="AY61" s="3532">
        <f t="shared" si="12"/>
        <v>56</v>
      </c>
      <c r="AZ61" s="3532"/>
      <c r="BC61" s="3673"/>
      <c r="BD61" s="3603" t="s">
        <v>3434</v>
      </c>
      <c r="BE61" s="3689">
        <v>0</v>
      </c>
      <c r="BF61" s="3689">
        <v>0</v>
      </c>
      <c r="BG61" s="3689">
        <v>0</v>
      </c>
      <c r="BH61" s="3689">
        <v>0</v>
      </c>
      <c r="BI61" s="3689">
        <v>0</v>
      </c>
      <c r="BJ61" s="3689">
        <v>0</v>
      </c>
      <c r="BK61" s="3689">
        <v>0</v>
      </c>
      <c r="BL61" s="3689">
        <v>0</v>
      </c>
      <c r="BM61" s="3689">
        <v>0</v>
      </c>
      <c r="BN61" s="3689">
        <v>0</v>
      </c>
      <c r="BO61" s="3689">
        <v>0</v>
      </c>
      <c r="BP61" s="3689">
        <v>0</v>
      </c>
      <c r="BQ61" s="3689">
        <v>0</v>
      </c>
      <c r="BR61" s="3689">
        <v>0</v>
      </c>
      <c r="BS61" s="3689">
        <v>0</v>
      </c>
      <c r="BT61" s="3689">
        <v>0</v>
      </c>
      <c r="BU61" s="3689">
        <v>0</v>
      </c>
      <c r="BV61" s="3689">
        <v>0</v>
      </c>
      <c r="BW61" s="3689">
        <v>0</v>
      </c>
      <c r="BX61" s="3689">
        <v>0</v>
      </c>
      <c r="BY61" s="3689">
        <v>0</v>
      </c>
      <c r="BZ61" s="3689">
        <v>0</v>
      </c>
      <c r="CA61" s="3689">
        <v>0</v>
      </c>
      <c r="CB61" s="3688">
        <v>0</v>
      </c>
    </row>
    <row r="62" spans="18:80" ht="45">
      <c r="R62" s="3521">
        <f t="shared" si="11"/>
        <v>57</v>
      </c>
      <c r="S62" s="3522" t="s">
        <v>3144</v>
      </c>
      <c r="T62" s="3523" t="s">
        <v>3294</v>
      </c>
      <c r="U62" s="3524">
        <v>465000</v>
      </c>
      <c r="V62" s="3524">
        <v>420000</v>
      </c>
      <c r="W62" s="3524">
        <v>405500</v>
      </c>
      <c r="X62" s="3525">
        <f t="shared" si="40"/>
        <v>940.52998086327864</v>
      </c>
      <c r="Y62" s="3525">
        <f t="shared" si="40"/>
        <v>849.51095045715499</v>
      </c>
      <c r="Z62" s="3525">
        <f t="shared" si="40"/>
        <v>820.18259621518166</v>
      </c>
      <c r="AA62" s="3538">
        <v>0</v>
      </c>
      <c r="AB62" s="3538">
        <v>0</v>
      </c>
      <c r="AC62" s="3538">
        <v>0</v>
      </c>
      <c r="AD62" s="3539">
        <v>135000</v>
      </c>
      <c r="AE62" s="3539">
        <v>135000</v>
      </c>
      <c r="AF62" s="3539">
        <v>0</v>
      </c>
      <c r="AG62" s="3539">
        <v>0</v>
      </c>
      <c r="AH62" s="3539">
        <v>0</v>
      </c>
      <c r="AI62" s="3539">
        <v>0</v>
      </c>
      <c r="AJ62" s="3540"/>
      <c r="AK62" s="3529" t="s">
        <v>3167</v>
      </c>
      <c r="AL62" s="3529" t="s">
        <v>839</v>
      </c>
      <c r="AM62" s="3529" t="s">
        <v>839</v>
      </c>
      <c r="AN62" s="3530">
        <f t="shared" si="30"/>
        <v>441.43846282581319</v>
      </c>
      <c r="AO62" s="3530">
        <f t="shared" si="31"/>
        <v>139.73605990573037</v>
      </c>
      <c r="AP62" s="3530">
        <f t="shared" si="32"/>
        <v>398.71861158460553</v>
      </c>
      <c r="AQ62" s="3530">
        <f t="shared" si="33"/>
        <v>126.21321539872422</v>
      </c>
      <c r="AR62" s="3530">
        <f t="shared" si="34"/>
        <v>384.95332618466074</v>
      </c>
      <c r="AS62" s="3530">
        <f t="shared" si="35"/>
        <v>121.85585439091111</v>
      </c>
      <c r="AT62" s="3530">
        <f t="shared" si="17"/>
        <v>63362.352815999991</v>
      </c>
      <c r="AU62" s="3530">
        <f t="shared" si="18"/>
        <v>20057.168268000001</v>
      </c>
      <c r="AV62" s="3530">
        <f t="shared" si="19"/>
        <v>63362.352815999991</v>
      </c>
      <c r="AW62" s="3530">
        <f t="shared" si="20"/>
        <v>20057.168268000001</v>
      </c>
      <c r="AX62" s="3531" t="s">
        <v>3295</v>
      </c>
      <c r="AY62" s="3532">
        <f t="shared" si="12"/>
        <v>57</v>
      </c>
      <c r="AZ62" s="3532"/>
      <c r="BC62" s="3673"/>
      <c r="BD62" s="3603" t="s">
        <v>3431</v>
      </c>
      <c r="BE62" s="3689">
        <f t="shared" ref="BE62:CB62" si="42">BE53/BE34</f>
        <v>79789.172677155133</v>
      </c>
      <c r="BF62" s="3689">
        <f t="shared" si="42"/>
        <v>67173.716051612777</v>
      </c>
      <c r="BG62" s="3689">
        <f t="shared" si="42"/>
        <v>58235.683932229033</v>
      </c>
      <c r="BH62" s="3689">
        <f t="shared" si="42"/>
        <v>46090.639731001451</v>
      </c>
      <c r="BI62" s="3689">
        <f t="shared" si="42"/>
        <v>32754.391074489289</v>
      </c>
      <c r="BJ62" s="3689">
        <f t="shared" si="42"/>
        <v>31413.798921949288</v>
      </c>
      <c r="BK62" s="3689">
        <f t="shared" si="42"/>
        <v>32594.027209620879</v>
      </c>
      <c r="BL62" s="3689">
        <f t="shared" si="42"/>
        <v>34773.543221648026</v>
      </c>
      <c r="BM62" s="3689">
        <f t="shared" si="42"/>
        <v>41484.302120014399</v>
      </c>
      <c r="BN62" s="3689">
        <f t="shared" si="42"/>
        <v>74991.788347687674</v>
      </c>
      <c r="BO62" s="3689">
        <f t="shared" si="42"/>
        <v>89740.785136642575</v>
      </c>
      <c r="BP62" s="3689">
        <f t="shared" si="42"/>
        <v>86386.751568978027</v>
      </c>
      <c r="BQ62" s="3689">
        <f t="shared" si="42"/>
        <v>79650.361661022325</v>
      </c>
      <c r="BR62" s="3689">
        <f t="shared" si="42"/>
        <v>67261.824732105233</v>
      </c>
      <c r="BS62" s="3689">
        <f t="shared" si="42"/>
        <v>58447.202651515843</v>
      </c>
      <c r="BT62" s="3689">
        <f t="shared" si="42"/>
        <v>45917.103357765547</v>
      </c>
      <c r="BU62" s="3689">
        <f t="shared" si="42"/>
        <v>32817.11597070234</v>
      </c>
      <c r="BV62" s="3689">
        <f t="shared" si="42"/>
        <v>31463.26881308142</v>
      </c>
      <c r="BW62" s="3689">
        <f t="shared" si="42"/>
        <v>32026.233175264992</v>
      </c>
      <c r="BX62" s="3689">
        <f t="shared" si="42"/>
        <v>34745.353310914346</v>
      </c>
      <c r="BY62" s="3689">
        <f t="shared" si="42"/>
        <v>41489.472597000684</v>
      </c>
      <c r="BZ62" s="3689">
        <f t="shared" si="42"/>
        <v>75373.019310809235</v>
      </c>
      <c r="CA62" s="3689">
        <f t="shared" si="42"/>
        <v>89958.105928331119</v>
      </c>
      <c r="CB62" s="3688">
        <f t="shared" si="42"/>
        <v>86319.296561764553</v>
      </c>
    </row>
    <row r="63" spans="18:80" ht="75">
      <c r="R63" s="3521">
        <f t="shared" si="11"/>
        <v>58</v>
      </c>
      <c r="S63" s="3522" t="s">
        <v>3130</v>
      </c>
      <c r="T63" s="3523" t="s">
        <v>3296</v>
      </c>
      <c r="U63" s="3524">
        <v>500000</v>
      </c>
      <c r="V63" s="3524">
        <v>1500000</v>
      </c>
      <c r="W63" s="3524">
        <v>45000000</v>
      </c>
      <c r="X63" s="3525">
        <f t="shared" si="40"/>
        <v>1011.3225600680416</v>
      </c>
      <c r="Y63" s="3525">
        <f t="shared" si="40"/>
        <v>3033.9676802041249</v>
      </c>
      <c r="Z63" s="3525">
        <f t="shared" si="40"/>
        <v>91019.03040612374</v>
      </c>
      <c r="AA63" s="3538">
        <v>0</v>
      </c>
      <c r="AB63" s="3538">
        <v>50000</v>
      </c>
      <c r="AC63" s="3538">
        <v>100000</v>
      </c>
      <c r="AD63" s="3539">
        <v>100000</v>
      </c>
      <c r="AE63" s="3539">
        <v>150000</v>
      </c>
      <c r="AF63" s="3539">
        <v>50000</v>
      </c>
      <c r="AG63" s="3539">
        <v>100000</v>
      </c>
      <c r="AH63" s="3539">
        <v>0</v>
      </c>
      <c r="AI63" s="3539">
        <v>250000</v>
      </c>
      <c r="AK63" s="3529"/>
      <c r="AL63" s="3452" t="s">
        <v>3132</v>
      </c>
      <c r="AM63" s="3452" t="s">
        <v>3133</v>
      </c>
      <c r="AN63" s="3530">
        <f t="shared" si="30"/>
        <v>651.29172868381886</v>
      </c>
      <c r="AO63" s="3530">
        <f t="shared" si="31"/>
        <v>0</v>
      </c>
      <c r="AP63" s="3530">
        <f t="shared" si="32"/>
        <v>32200</v>
      </c>
      <c r="AQ63" s="3530">
        <f t="shared" si="33"/>
        <v>0</v>
      </c>
      <c r="AR63" s="3530">
        <f t="shared" si="34"/>
        <v>64400</v>
      </c>
      <c r="AS63" s="3530">
        <f t="shared" si="35"/>
        <v>0</v>
      </c>
      <c r="AT63" s="3530">
        <f t="shared" si="17"/>
        <v>64400</v>
      </c>
      <c r="AU63" s="3530">
        <f t="shared" si="18"/>
        <v>0</v>
      </c>
      <c r="AV63" s="3530">
        <f t="shared" si="19"/>
        <v>96600</v>
      </c>
      <c r="AW63" s="3530">
        <f t="shared" si="20"/>
        <v>0</v>
      </c>
      <c r="AX63" s="3531" t="s">
        <v>3297</v>
      </c>
      <c r="AY63" s="3532">
        <f t="shared" si="12"/>
        <v>58</v>
      </c>
      <c r="AZ63" s="3532"/>
      <c r="BC63" s="3673"/>
      <c r="BD63" s="3603" t="s">
        <v>3430</v>
      </c>
      <c r="BE63" s="3689">
        <f t="shared" ref="BE63:CB63" si="43">BE54/BE35</f>
        <v>87456.268914285713</v>
      </c>
      <c r="BF63" s="3689">
        <f t="shared" si="43"/>
        <v>91690.681759999992</v>
      </c>
      <c r="BG63" s="3689">
        <f t="shared" si="43"/>
        <v>84781.290971428563</v>
      </c>
      <c r="BH63" s="3689">
        <f t="shared" si="43"/>
        <v>81393.467959999994</v>
      </c>
      <c r="BI63" s="3689">
        <f t="shared" si="43"/>
        <v>72003.708571428564</v>
      </c>
      <c r="BJ63" s="3689">
        <f t="shared" si="43"/>
        <v>65363.809200000003</v>
      </c>
      <c r="BK63" s="3689">
        <f t="shared" si="43"/>
        <v>60680.224428571426</v>
      </c>
      <c r="BL63" s="3689">
        <f t="shared" si="43"/>
        <v>57232.572857142855</v>
      </c>
      <c r="BM63" s="3689">
        <f t="shared" si="43"/>
        <v>55676.544205714286</v>
      </c>
      <c r="BN63" s="3689">
        <f t="shared" si="43"/>
        <v>59608.219622857141</v>
      </c>
      <c r="BO63" s="3689">
        <f t="shared" si="43"/>
        <v>70937.91876571429</v>
      </c>
      <c r="BP63" s="3689">
        <f t="shared" si="43"/>
        <v>83963.61789714286</v>
      </c>
      <c r="BQ63" s="3689">
        <f t="shared" si="43"/>
        <v>87280.383199999997</v>
      </c>
      <c r="BR63" s="3689">
        <f t="shared" si="43"/>
        <v>92435.481759999995</v>
      </c>
      <c r="BS63" s="3689">
        <f t="shared" si="43"/>
        <v>85003.862399999998</v>
      </c>
      <c r="BT63" s="3689">
        <f t="shared" si="43"/>
        <v>81777.267959999997</v>
      </c>
      <c r="BU63" s="3689">
        <f t="shared" si="43"/>
        <v>72482.508571428567</v>
      </c>
      <c r="BV63" s="3689">
        <f t="shared" si="43"/>
        <v>65560.323485714296</v>
      </c>
      <c r="BW63" s="3689">
        <f t="shared" si="43"/>
        <v>60649.281571428568</v>
      </c>
      <c r="BX63" s="3689">
        <f t="shared" si="43"/>
        <v>57018.687142857147</v>
      </c>
      <c r="BY63" s="3689">
        <f t="shared" si="43"/>
        <v>55564.715634285712</v>
      </c>
      <c r="BZ63" s="3689">
        <f t="shared" si="43"/>
        <v>59028.991051428573</v>
      </c>
      <c r="CA63" s="3689">
        <f t="shared" si="43"/>
        <v>71076.347337142855</v>
      </c>
      <c r="CB63" s="3688">
        <f t="shared" si="43"/>
        <v>83725.846468571428</v>
      </c>
    </row>
    <row r="64" spans="18:80" ht="60.75" thickBot="1">
      <c r="R64" s="3521">
        <f t="shared" si="11"/>
        <v>59</v>
      </c>
      <c r="S64" s="3522" t="s">
        <v>3130</v>
      </c>
      <c r="T64" s="3523" t="s">
        <v>3298</v>
      </c>
      <c r="U64" s="3524">
        <v>747811</v>
      </c>
      <c r="V64" s="3524">
        <v>0</v>
      </c>
      <c r="W64" s="3524">
        <v>0</v>
      </c>
      <c r="X64" s="3525">
        <f t="shared" si="40"/>
        <v>1512.5562699340846</v>
      </c>
      <c r="Y64" s="3525">
        <f t="shared" si="40"/>
        <v>0</v>
      </c>
      <c r="Z64" s="3525">
        <f t="shared" si="40"/>
        <v>0</v>
      </c>
      <c r="AA64" s="3538"/>
      <c r="AB64" s="3538"/>
      <c r="AC64" s="3538"/>
      <c r="AD64" s="3539">
        <v>300000</v>
      </c>
      <c r="AE64" s="3539"/>
      <c r="AF64" s="3539"/>
      <c r="AG64" s="3539"/>
      <c r="AH64" s="3539"/>
      <c r="AI64" s="3539"/>
      <c r="AJ64" s="3540"/>
      <c r="AK64" s="3529" t="s">
        <v>2863</v>
      </c>
      <c r="AL64" s="3529" t="s">
        <v>3132</v>
      </c>
      <c r="AM64" s="3529" t="s">
        <v>3133</v>
      </c>
      <c r="AN64" s="3530">
        <f t="shared" si="30"/>
        <v>974.08623783755058</v>
      </c>
      <c r="AO64" s="3530">
        <f t="shared" si="31"/>
        <v>0</v>
      </c>
      <c r="AP64" s="3530">
        <f t="shared" si="32"/>
        <v>0</v>
      </c>
      <c r="AQ64" s="3530">
        <f t="shared" si="33"/>
        <v>0</v>
      </c>
      <c r="AR64" s="3530">
        <f t="shared" si="34"/>
        <v>0</v>
      </c>
      <c r="AS64" s="3530">
        <f t="shared" si="35"/>
        <v>0</v>
      </c>
      <c r="AT64" s="3562">
        <f t="shared" si="17"/>
        <v>193200</v>
      </c>
      <c r="AU64" s="3562">
        <f t="shared" si="18"/>
        <v>0</v>
      </c>
      <c r="AV64" s="3562">
        <f t="shared" si="19"/>
        <v>0</v>
      </c>
      <c r="AW64" s="3562">
        <f t="shared" si="20"/>
        <v>0</v>
      </c>
      <c r="AX64" s="3531" t="s">
        <v>3299</v>
      </c>
      <c r="AY64" s="3532">
        <f t="shared" si="12"/>
        <v>59</v>
      </c>
      <c r="AZ64" s="3532"/>
      <c r="BC64" s="3671"/>
      <c r="BD64" s="3610"/>
      <c r="BE64" s="3709"/>
      <c r="BF64" s="3709"/>
      <c r="BG64" s="3709"/>
      <c r="BH64" s="3709"/>
      <c r="BI64" s="3709"/>
      <c r="BJ64" s="3709"/>
      <c r="BK64" s="3709"/>
      <c r="BL64" s="3709"/>
      <c r="BM64" s="3709"/>
      <c r="BN64" s="3709"/>
      <c r="BO64" s="3709"/>
      <c r="BP64" s="3709"/>
      <c r="BQ64" s="3709"/>
      <c r="BR64" s="3709"/>
      <c r="BS64" s="3709"/>
      <c r="BT64" s="3709"/>
      <c r="BU64" s="3709"/>
      <c r="BV64" s="3709"/>
      <c r="BW64" s="3709"/>
      <c r="BX64" s="3709"/>
      <c r="BY64" s="3709"/>
      <c r="BZ64" s="3709"/>
      <c r="CA64" s="3709"/>
      <c r="CB64" s="3708"/>
    </row>
    <row r="65" spans="18:80" ht="25.5">
      <c r="R65" s="3521">
        <f t="shared" si="11"/>
        <v>60</v>
      </c>
      <c r="S65" s="3522" t="s">
        <v>3144</v>
      </c>
      <c r="T65" s="3523" t="s">
        <v>3300</v>
      </c>
      <c r="U65" s="3524">
        <v>4188193</v>
      </c>
      <c r="V65" s="3524">
        <v>3140876</v>
      </c>
      <c r="W65" s="3524">
        <v>1844292</v>
      </c>
      <c r="X65" s="3525">
        <f t="shared" si="40"/>
        <v>8471.2281336381038</v>
      </c>
      <c r="Y65" s="3525">
        <f t="shared" si="40"/>
        <v>6352.8775143525399</v>
      </c>
      <c r="Z65" s="3525">
        <f t="shared" si="40"/>
        <v>3730.348213906017</v>
      </c>
      <c r="AA65" s="3538">
        <v>0</v>
      </c>
      <c r="AB65" s="3538">
        <v>0</v>
      </c>
      <c r="AC65" s="3538">
        <v>0</v>
      </c>
      <c r="AD65" s="3539">
        <v>0</v>
      </c>
      <c r="AE65" s="3539">
        <v>0</v>
      </c>
      <c r="AF65" s="3539">
        <v>0</v>
      </c>
      <c r="AG65" s="3539">
        <v>0</v>
      </c>
      <c r="AH65" s="3539">
        <v>0</v>
      </c>
      <c r="AI65" s="3539">
        <v>0</v>
      </c>
      <c r="AJ65" s="3540" t="s">
        <v>3164</v>
      </c>
      <c r="AK65" s="3529"/>
      <c r="AL65" s="3529" t="s">
        <v>839</v>
      </c>
      <c r="AM65" s="3529" t="s">
        <v>839</v>
      </c>
      <c r="AN65" s="3530">
        <f t="shared" si="30"/>
        <v>3975.97737621039</v>
      </c>
      <c r="AO65" s="3530">
        <f t="shared" si="31"/>
        <v>1258.5840600962595</v>
      </c>
      <c r="AP65" s="3530">
        <f t="shared" si="32"/>
        <v>2981.7278997128792</v>
      </c>
      <c r="AQ65" s="3530">
        <f t="shared" si="33"/>
        <v>943.85728363972203</v>
      </c>
      <c r="AR65" s="3530">
        <f t="shared" si="34"/>
        <v>1750.8417752299886</v>
      </c>
      <c r="AS65" s="3530">
        <f t="shared" si="35"/>
        <v>554.22386536700924</v>
      </c>
      <c r="AT65" s="3530">
        <f t="shared" si="17"/>
        <v>0</v>
      </c>
      <c r="AU65" s="3530">
        <f t="shared" si="18"/>
        <v>0</v>
      </c>
      <c r="AV65" s="3530">
        <f t="shared" si="19"/>
        <v>0</v>
      </c>
      <c r="AW65" s="3530">
        <f t="shared" si="20"/>
        <v>0</v>
      </c>
      <c r="AX65" s="3531" t="s">
        <v>3134</v>
      </c>
      <c r="AY65" s="3532">
        <f t="shared" si="12"/>
        <v>60</v>
      </c>
      <c r="AZ65" s="3532"/>
      <c r="BC65" s="3701">
        <v>3</v>
      </c>
      <c r="BD65" s="3707" t="s">
        <v>3327</v>
      </c>
      <c r="BE65" s="3699"/>
      <c r="BF65" s="3699"/>
      <c r="BG65" s="3699"/>
      <c r="BH65" s="3699"/>
      <c r="BI65" s="3699"/>
      <c r="BJ65" s="3699"/>
      <c r="BK65" s="3699"/>
      <c r="BL65" s="3699"/>
      <c r="BM65" s="3699"/>
      <c r="BN65" s="3699"/>
      <c r="BO65" s="3699"/>
      <c r="BP65" s="3699"/>
      <c r="BQ65" s="3699"/>
      <c r="BR65" s="3699"/>
      <c r="BS65" s="3699"/>
      <c r="BT65" s="3699"/>
      <c r="BU65" s="3699"/>
      <c r="BV65" s="3699"/>
      <c r="BW65" s="3699"/>
      <c r="BX65" s="3699"/>
      <c r="BY65" s="3699"/>
      <c r="BZ65" s="3699"/>
      <c r="CA65" s="3699"/>
      <c r="CB65" s="3706"/>
    </row>
    <row r="66" spans="18:80">
      <c r="R66" s="3521">
        <f t="shared" si="11"/>
        <v>61</v>
      </c>
      <c r="S66" s="3522" t="s">
        <v>3155</v>
      </c>
      <c r="T66" s="3522" t="s">
        <v>3301</v>
      </c>
      <c r="U66" s="3524">
        <v>78505094</v>
      </c>
      <c r="V66" s="3524">
        <v>73745609</v>
      </c>
      <c r="W66" s="3524">
        <v>75985327</v>
      </c>
      <c r="X66" s="3990" t="s">
        <v>3302</v>
      </c>
      <c r="Y66" s="3990"/>
      <c r="Z66" s="3990"/>
      <c r="AA66" s="3606">
        <v>0</v>
      </c>
      <c r="AB66" s="3606">
        <v>0</v>
      </c>
      <c r="AC66" s="3606">
        <v>0</v>
      </c>
      <c r="AD66" s="3539">
        <v>0</v>
      </c>
      <c r="AE66" s="3539">
        <v>0</v>
      </c>
      <c r="AF66" s="3539">
        <v>0</v>
      </c>
      <c r="AG66" s="3539">
        <v>0</v>
      </c>
      <c r="AH66" s="3539">
        <v>0</v>
      </c>
      <c r="AI66" s="3539">
        <v>0</v>
      </c>
      <c r="AJ66" s="3540" t="s">
        <v>3151</v>
      </c>
      <c r="AK66" s="3529"/>
      <c r="AL66" s="3529"/>
      <c r="AM66" s="3529" t="s">
        <v>3152</v>
      </c>
      <c r="AN66" s="3530">
        <f t="shared" si="30"/>
        <v>0</v>
      </c>
      <c r="AO66" s="3530">
        <f t="shared" si="31"/>
        <v>0</v>
      </c>
      <c r="AP66" s="3530">
        <f t="shared" si="32"/>
        <v>0</v>
      </c>
      <c r="AQ66" s="3530">
        <f t="shared" si="33"/>
        <v>0</v>
      </c>
      <c r="AR66" s="3530">
        <f t="shared" si="34"/>
        <v>0</v>
      </c>
      <c r="AS66" s="3530">
        <f t="shared" si="35"/>
        <v>0</v>
      </c>
      <c r="AT66" s="3530">
        <f t="shared" si="17"/>
        <v>0</v>
      </c>
      <c r="AU66" s="3530">
        <f t="shared" si="18"/>
        <v>0</v>
      </c>
      <c r="AV66" s="3530">
        <f t="shared" si="19"/>
        <v>0</v>
      </c>
      <c r="AW66" s="3530">
        <f t="shared" si="20"/>
        <v>0</v>
      </c>
      <c r="AX66" s="2141" t="s">
        <v>3303</v>
      </c>
      <c r="AY66" s="3532">
        <f t="shared" si="12"/>
        <v>61</v>
      </c>
      <c r="AZ66" s="3532"/>
      <c r="BC66" s="3673"/>
      <c r="BE66" s="3691">
        <v>45688</v>
      </c>
      <c r="BF66" s="3691">
        <f t="shared" ref="BF66:CB66" si="44">EOMONTH(BE66,1)</f>
        <v>45716</v>
      </c>
      <c r="BG66" s="3691">
        <f t="shared" si="44"/>
        <v>45747</v>
      </c>
      <c r="BH66" s="3691">
        <f t="shared" si="44"/>
        <v>45777</v>
      </c>
      <c r="BI66" s="3691">
        <f t="shared" si="44"/>
        <v>45808</v>
      </c>
      <c r="BJ66" s="3691">
        <f t="shared" si="44"/>
        <v>45838</v>
      </c>
      <c r="BK66" s="3691">
        <f t="shared" si="44"/>
        <v>45869</v>
      </c>
      <c r="BL66" s="3691">
        <f t="shared" si="44"/>
        <v>45900</v>
      </c>
      <c r="BM66" s="3691">
        <f t="shared" si="44"/>
        <v>45930</v>
      </c>
      <c r="BN66" s="3691">
        <f t="shared" si="44"/>
        <v>45961</v>
      </c>
      <c r="BO66" s="3691">
        <f t="shared" si="44"/>
        <v>45991</v>
      </c>
      <c r="BP66" s="3691">
        <f t="shared" si="44"/>
        <v>46022</v>
      </c>
      <c r="BQ66" s="3691">
        <f t="shared" si="44"/>
        <v>46053</v>
      </c>
      <c r="BR66" s="3691">
        <f t="shared" si="44"/>
        <v>46081</v>
      </c>
      <c r="BS66" s="3691">
        <f t="shared" si="44"/>
        <v>46112</v>
      </c>
      <c r="BT66" s="3691">
        <f t="shared" si="44"/>
        <v>46142</v>
      </c>
      <c r="BU66" s="3691">
        <f t="shared" si="44"/>
        <v>46173</v>
      </c>
      <c r="BV66" s="3691">
        <f t="shared" si="44"/>
        <v>46203</v>
      </c>
      <c r="BW66" s="3691">
        <f t="shared" si="44"/>
        <v>46234</v>
      </c>
      <c r="BX66" s="3691">
        <f t="shared" si="44"/>
        <v>46265</v>
      </c>
      <c r="BY66" s="3691">
        <f t="shared" si="44"/>
        <v>46295</v>
      </c>
      <c r="BZ66" s="3691">
        <f t="shared" si="44"/>
        <v>46326</v>
      </c>
      <c r="CA66" s="3691">
        <f t="shared" si="44"/>
        <v>46356</v>
      </c>
      <c r="CB66" s="3690">
        <f t="shared" si="44"/>
        <v>46387</v>
      </c>
    </row>
    <row r="67" spans="18:80">
      <c r="R67" s="3521">
        <f t="shared" si="11"/>
        <v>62</v>
      </c>
      <c r="S67" s="3522" t="s">
        <v>3130</v>
      </c>
      <c r="T67" s="3523" t="s">
        <v>3304</v>
      </c>
      <c r="U67" s="3524">
        <v>0</v>
      </c>
      <c r="V67" s="3524">
        <v>5292874</v>
      </c>
      <c r="W67" s="3524">
        <v>0</v>
      </c>
      <c r="X67" s="3525">
        <f t="shared" ref="X67:Z73" si="45">U67*$T$4*$T$3</f>
        <v>0</v>
      </c>
      <c r="Y67" s="3525">
        <f t="shared" si="45"/>
        <v>10705.605767595151</v>
      </c>
      <c r="Z67" s="3525">
        <f t="shared" si="45"/>
        <v>0</v>
      </c>
      <c r="AA67" s="3538">
        <v>0</v>
      </c>
      <c r="AB67" s="3538">
        <v>0</v>
      </c>
      <c r="AC67" s="3538">
        <v>0</v>
      </c>
      <c r="AD67" s="3539">
        <v>0</v>
      </c>
      <c r="AE67" s="3539">
        <v>0</v>
      </c>
      <c r="AF67" s="3539">
        <v>0</v>
      </c>
      <c r="AG67" s="3539">
        <v>0</v>
      </c>
      <c r="AH67" s="3539">
        <v>0</v>
      </c>
      <c r="AI67" s="3539">
        <v>0</v>
      </c>
      <c r="AJ67" s="3540"/>
      <c r="AK67" s="3529" t="s">
        <v>2863</v>
      </c>
      <c r="AL67" s="3529" t="s">
        <v>3132</v>
      </c>
      <c r="AM67" s="3529" t="s">
        <v>3133</v>
      </c>
      <c r="AN67" s="3530">
        <f t="shared" si="30"/>
        <v>0</v>
      </c>
      <c r="AO67" s="3530">
        <f t="shared" si="31"/>
        <v>0</v>
      </c>
      <c r="AP67" s="3530">
        <f t="shared" si="32"/>
        <v>6894.4101143312773</v>
      </c>
      <c r="AQ67" s="3530">
        <f t="shared" si="33"/>
        <v>0</v>
      </c>
      <c r="AR67" s="3530">
        <f t="shared" si="34"/>
        <v>0</v>
      </c>
      <c r="AS67" s="3530">
        <f t="shared" si="35"/>
        <v>0</v>
      </c>
      <c r="AT67" s="3530">
        <f t="shared" si="17"/>
        <v>0</v>
      </c>
      <c r="AU67" s="3530">
        <f t="shared" si="18"/>
        <v>0</v>
      </c>
      <c r="AV67" s="3530">
        <f t="shared" si="19"/>
        <v>0</v>
      </c>
      <c r="AW67" s="3530">
        <f t="shared" si="20"/>
        <v>0</v>
      </c>
      <c r="AX67" s="3531" t="s">
        <v>3134</v>
      </c>
      <c r="AY67" s="3532">
        <f t="shared" si="12"/>
        <v>62</v>
      </c>
      <c r="AZ67" s="3532"/>
      <c r="BC67" s="3673"/>
      <c r="BD67" s="3603" t="s">
        <v>3433</v>
      </c>
      <c r="BE67" s="3689">
        <f t="shared" ref="BE67:CB67" si="46">BE58*BE39</f>
        <v>77959.003626820515</v>
      </c>
      <c r="BF67" s="3689">
        <f t="shared" si="46"/>
        <v>68970.788530845792</v>
      </c>
      <c r="BG67" s="3689">
        <f t="shared" si="46"/>
        <v>53205.289192068201</v>
      </c>
      <c r="BH67" s="3689">
        <f t="shared" si="46"/>
        <v>34042.828991161899</v>
      </c>
      <c r="BI67" s="3689">
        <f t="shared" si="46"/>
        <v>18006.171977029931</v>
      </c>
      <c r="BJ67" s="3689">
        <f t="shared" si="46"/>
        <v>11261.954657058559</v>
      </c>
      <c r="BK67" s="3689">
        <f t="shared" si="46"/>
        <v>8364.2607200978564</v>
      </c>
      <c r="BL67" s="3689">
        <f t="shared" si="46"/>
        <v>8603.4783150501353</v>
      </c>
      <c r="BM67" s="3689">
        <f t="shared" si="46"/>
        <v>12183.852917285907</v>
      </c>
      <c r="BN67" s="3689">
        <f t="shared" si="46"/>
        <v>32032.386805168204</v>
      </c>
      <c r="BO67" s="3689">
        <f t="shared" si="46"/>
        <v>62759.942276879301</v>
      </c>
      <c r="BP67" s="3689">
        <f t="shared" si="46"/>
        <v>95303.692648528871</v>
      </c>
      <c r="BQ67" s="3689">
        <f t="shared" si="46"/>
        <v>87179.131164683466</v>
      </c>
      <c r="BR67" s="3689">
        <f t="shared" si="46"/>
        <v>77109.160210041562</v>
      </c>
      <c r="BS67" s="3689">
        <f t="shared" si="46"/>
        <v>59640.160050932136</v>
      </c>
      <c r="BT67" s="3689">
        <f t="shared" si="46"/>
        <v>38058.687886668711</v>
      </c>
      <c r="BU67" s="3689">
        <f t="shared" si="46"/>
        <v>20144.174113262296</v>
      </c>
      <c r="BV67" s="3689">
        <f t="shared" si="46"/>
        <v>12596.518445641517</v>
      </c>
      <c r="BW67" s="3689">
        <f t="shared" si="46"/>
        <v>9352.6954061758715</v>
      </c>
      <c r="BX67" s="3689">
        <f t="shared" si="46"/>
        <v>9430.1542676349491</v>
      </c>
      <c r="BY67" s="3689">
        <f t="shared" si="46"/>
        <v>13080.103090792489</v>
      </c>
      <c r="BZ67" s="3689">
        <f t="shared" si="46"/>
        <v>35267.059653262346</v>
      </c>
      <c r="CA67" s="3689">
        <f t="shared" si="46"/>
        <v>69632.902004453746</v>
      </c>
      <c r="CB67" s="3688">
        <f t="shared" si="46"/>
        <v>105405.24352484256</v>
      </c>
    </row>
    <row r="68" spans="18:80">
      <c r="R68" s="3521">
        <f t="shared" si="11"/>
        <v>63</v>
      </c>
      <c r="S68" s="3522" t="s">
        <v>3155</v>
      </c>
      <c r="T68" s="3523" t="s">
        <v>3306</v>
      </c>
      <c r="U68" s="3524">
        <v>169614</v>
      </c>
      <c r="V68" s="3524">
        <v>0</v>
      </c>
      <c r="W68" s="3524">
        <v>0</v>
      </c>
      <c r="X68" s="3525">
        <f t="shared" si="45"/>
        <v>343.06892940676158</v>
      </c>
      <c r="Y68" s="3525">
        <f t="shared" si="45"/>
        <v>0</v>
      </c>
      <c r="Z68" s="3525">
        <f t="shared" si="45"/>
        <v>0</v>
      </c>
      <c r="AA68" s="3538">
        <v>0</v>
      </c>
      <c r="AB68" s="3538">
        <v>0</v>
      </c>
      <c r="AC68" s="3538">
        <v>0</v>
      </c>
      <c r="AD68" s="3539">
        <v>0</v>
      </c>
      <c r="AE68" s="3539">
        <v>0</v>
      </c>
      <c r="AF68" s="3539">
        <v>0</v>
      </c>
      <c r="AG68" s="3539">
        <v>0</v>
      </c>
      <c r="AH68" s="3539">
        <v>0</v>
      </c>
      <c r="AI68" s="3539">
        <v>0</v>
      </c>
      <c r="AJ68" s="3540"/>
      <c r="AK68" s="3529" t="s">
        <v>3167</v>
      </c>
      <c r="AL68" s="3529" t="s">
        <v>839</v>
      </c>
      <c r="AM68" s="3529" t="s">
        <v>839</v>
      </c>
      <c r="AN68" s="3530">
        <f t="shared" si="30"/>
        <v>161.01966329836017</v>
      </c>
      <c r="AO68" s="3530">
        <f t="shared" si="31"/>
        <v>50.970305515807631</v>
      </c>
      <c r="AP68" s="3530">
        <f t="shared" si="32"/>
        <v>0</v>
      </c>
      <c r="AQ68" s="3530">
        <f t="shared" si="33"/>
        <v>0</v>
      </c>
      <c r="AR68" s="3530">
        <f t="shared" si="34"/>
        <v>0</v>
      </c>
      <c r="AS68" s="3530">
        <f t="shared" si="35"/>
        <v>0</v>
      </c>
      <c r="AT68" s="3530">
        <f t="shared" si="17"/>
        <v>0</v>
      </c>
      <c r="AU68" s="3530">
        <f t="shared" si="18"/>
        <v>0</v>
      </c>
      <c r="AV68" s="3530">
        <f t="shared" si="19"/>
        <v>0</v>
      </c>
      <c r="AW68" s="3530">
        <f t="shared" si="20"/>
        <v>0</v>
      </c>
      <c r="AX68" s="3531" t="s">
        <v>3307</v>
      </c>
      <c r="AY68" s="3532">
        <f t="shared" si="12"/>
        <v>63</v>
      </c>
      <c r="AZ68" s="3532"/>
      <c r="BC68" s="3673"/>
      <c r="BD68" s="3603" t="s">
        <v>3428</v>
      </c>
      <c r="BE68" s="3689">
        <f t="shared" ref="BE68:CB68" si="47">BE59*BE40</f>
        <v>0</v>
      </c>
      <c r="BF68" s="3689">
        <f t="shared" si="47"/>
        <v>0</v>
      </c>
      <c r="BG68" s="3689">
        <f t="shared" si="47"/>
        <v>0</v>
      </c>
      <c r="BH68" s="3689">
        <f t="shared" si="47"/>
        <v>0</v>
      </c>
      <c r="BI68" s="3689">
        <f t="shared" si="47"/>
        <v>0</v>
      </c>
      <c r="BJ68" s="3689">
        <f t="shared" si="47"/>
        <v>0</v>
      </c>
      <c r="BK68" s="3689">
        <f t="shared" si="47"/>
        <v>0</v>
      </c>
      <c r="BL68" s="3689">
        <f t="shared" si="47"/>
        <v>0</v>
      </c>
      <c r="BM68" s="3689">
        <f t="shared" si="47"/>
        <v>0</v>
      </c>
      <c r="BN68" s="3689">
        <f t="shared" si="47"/>
        <v>0</v>
      </c>
      <c r="BO68" s="3689">
        <f t="shared" si="47"/>
        <v>0</v>
      </c>
      <c r="BP68" s="3689">
        <f t="shared" si="47"/>
        <v>0</v>
      </c>
      <c r="BQ68" s="3689">
        <f t="shared" si="47"/>
        <v>0</v>
      </c>
      <c r="BR68" s="3689">
        <f t="shared" si="47"/>
        <v>0</v>
      </c>
      <c r="BS68" s="3689">
        <f t="shared" si="47"/>
        <v>0</v>
      </c>
      <c r="BT68" s="3689">
        <f t="shared" si="47"/>
        <v>0</v>
      </c>
      <c r="BU68" s="3689">
        <f t="shared" si="47"/>
        <v>0</v>
      </c>
      <c r="BV68" s="3689">
        <f t="shared" si="47"/>
        <v>0</v>
      </c>
      <c r="BW68" s="3689">
        <f t="shared" si="47"/>
        <v>0</v>
      </c>
      <c r="BX68" s="3689">
        <f t="shared" si="47"/>
        <v>0</v>
      </c>
      <c r="BY68" s="3689">
        <f t="shared" si="47"/>
        <v>0</v>
      </c>
      <c r="BZ68" s="3689">
        <f t="shared" si="47"/>
        <v>0</v>
      </c>
      <c r="CA68" s="3689">
        <f t="shared" si="47"/>
        <v>0</v>
      </c>
      <c r="CB68" s="3688">
        <f t="shared" si="47"/>
        <v>0</v>
      </c>
    </row>
    <row r="69" spans="18:80" ht="45">
      <c r="R69" s="3521">
        <f t="shared" si="11"/>
        <v>64</v>
      </c>
      <c r="S69" s="3522" t="s">
        <v>3144</v>
      </c>
      <c r="T69" s="3523" t="s">
        <v>3308</v>
      </c>
      <c r="U69" s="3524">
        <v>1364878</v>
      </c>
      <c r="V69" s="3524">
        <v>24099250</v>
      </c>
      <c r="W69" s="3524">
        <v>700000</v>
      </c>
      <c r="X69" s="3525">
        <f t="shared" si="45"/>
        <v>2760.663826281097</v>
      </c>
      <c r="Y69" s="3525">
        <f t="shared" si="45"/>
        <v>48744.230411439501</v>
      </c>
      <c r="Z69" s="3525">
        <f t="shared" si="45"/>
        <v>1415.8515840952582</v>
      </c>
      <c r="AA69" s="3538">
        <v>0</v>
      </c>
      <c r="AB69" s="3538">
        <v>0</v>
      </c>
      <c r="AC69" s="3538">
        <v>0</v>
      </c>
      <c r="AD69" s="3539">
        <v>0</v>
      </c>
      <c r="AE69" s="3539">
        <f>80000+120000+85000</f>
        <v>285000</v>
      </c>
      <c r="AF69" s="3539">
        <v>0</v>
      </c>
      <c r="AG69" s="3539">
        <v>0</v>
      </c>
      <c r="AH69" s="3539">
        <v>0</v>
      </c>
      <c r="AI69" s="3539">
        <v>255000</v>
      </c>
      <c r="AJ69" s="3540"/>
      <c r="AK69" s="3529"/>
      <c r="AL69" s="3529" t="s">
        <v>3132</v>
      </c>
      <c r="AM69" s="3529" t="s">
        <v>3195</v>
      </c>
      <c r="AN69" s="3530">
        <f t="shared" si="30"/>
        <v>1848.0711852273548</v>
      </c>
      <c r="AO69" s="3530">
        <f t="shared" si="31"/>
        <v>0</v>
      </c>
      <c r="AP69" s="3530">
        <f t="shared" si="32"/>
        <v>32630.850164329942</v>
      </c>
      <c r="AQ69" s="3530">
        <f t="shared" si="33"/>
        <v>0</v>
      </c>
      <c r="AR69" s="3530">
        <f t="shared" si="34"/>
        <v>947.81352594088867</v>
      </c>
      <c r="AS69" s="3530">
        <f t="shared" si="35"/>
        <v>0</v>
      </c>
      <c r="AT69" s="3530">
        <f t="shared" si="17"/>
        <v>0</v>
      </c>
      <c r="AU69" s="3530">
        <f t="shared" si="18"/>
        <v>0</v>
      </c>
      <c r="AV69" s="3530">
        <f t="shared" si="19"/>
        <v>190787.55</v>
      </c>
      <c r="AW69" s="3530">
        <f t="shared" si="20"/>
        <v>0</v>
      </c>
      <c r="AX69" s="3531" t="s">
        <v>3309</v>
      </c>
      <c r="AY69" s="3532">
        <f t="shared" si="12"/>
        <v>64</v>
      </c>
      <c r="AZ69" s="3532"/>
      <c r="BC69" s="3673"/>
      <c r="BD69" s="3603" t="s">
        <v>3432</v>
      </c>
      <c r="BE69" s="3689">
        <f t="shared" ref="BE69:CB69" si="48">BE60*BE41</f>
        <v>0</v>
      </c>
      <c r="BF69" s="3689">
        <f t="shared" si="48"/>
        <v>0</v>
      </c>
      <c r="BG69" s="3689">
        <f t="shared" si="48"/>
        <v>0</v>
      </c>
      <c r="BH69" s="3689">
        <f t="shared" si="48"/>
        <v>0</v>
      </c>
      <c r="BI69" s="3689">
        <f t="shared" si="48"/>
        <v>0</v>
      </c>
      <c r="BJ69" s="3689">
        <f t="shared" si="48"/>
        <v>0</v>
      </c>
      <c r="BK69" s="3689">
        <f t="shared" si="48"/>
        <v>0</v>
      </c>
      <c r="BL69" s="3689">
        <f t="shared" si="48"/>
        <v>0</v>
      </c>
      <c r="BM69" s="3689">
        <f t="shared" si="48"/>
        <v>0</v>
      </c>
      <c r="BN69" s="3689">
        <f t="shared" si="48"/>
        <v>0</v>
      </c>
      <c r="BO69" s="3689">
        <f t="shared" si="48"/>
        <v>0</v>
      </c>
      <c r="BP69" s="3689">
        <f t="shared" si="48"/>
        <v>0</v>
      </c>
      <c r="BQ69" s="3689">
        <f t="shared" si="48"/>
        <v>0</v>
      </c>
      <c r="BR69" s="3689">
        <f t="shared" si="48"/>
        <v>0</v>
      </c>
      <c r="BS69" s="3689">
        <f t="shared" si="48"/>
        <v>0</v>
      </c>
      <c r="BT69" s="3689">
        <f t="shared" si="48"/>
        <v>0</v>
      </c>
      <c r="BU69" s="3689">
        <f t="shared" si="48"/>
        <v>0</v>
      </c>
      <c r="BV69" s="3689">
        <f t="shared" si="48"/>
        <v>0</v>
      </c>
      <c r="BW69" s="3689">
        <f t="shared" si="48"/>
        <v>0</v>
      </c>
      <c r="BX69" s="3689">
        <f t="shared" si="48"/>
        <v>0</v>
      </c>
      <c r="BY69" s="3689">
        <f t="shared" si="48"/>
        <v>0</v>
      </c>
      <c r="BZ69" s="3689">
        <f t="shared" si="48"/>
        <v>0</v>
      </c>
      <c r="CA69" s="3689">
        <f t="shared" si="48"/>
        <v>0</v>
      </c>
      <c r="CB69" s="3688">
        <f t="shared" si="48"/>
        <v>0</v>
      </c>
    </row>
    <row r="70" spans="18:80">
      <c r="R70" s="3521">
        <f t="shared" si="11"/>
        <v>65</v>
      </c>
      <c r="S70" s="3522" t="s">
        <v>3130</v>
      </c>
      <c r="T70" s="3523" t="s">
        <v>3310</v>
      </c>
      <c r="U70" s="3524">
        <v>285728</v>
      </c>
      <c r="V70" s="3524">
        <v>0</v>
      </c>
      <c r="W70" s="3524">
        <v>0</v>
      </c>
      <c r="X70" s="3525">
        <f t="shared" si="45"/>
        <v>577.92634488624287</v>
      </c>
      <c r="Y70" s="3525">
        <f t="shared" si="45"/>
        <v>0</v>
      </c>
      <c r="Z70" s="3525">
        <f t="shared" si="45"/>
        <v>0</v>
      </c>
      <c r="AA70" s="3526"/>
      <c r="AB70" s="3526"/>
      <c r="AC70" s="3526"/>
      <c r="AD70" s="3527"/>
      <c r="AE70" s="3527"/>
      <c r="AF70" s="3527"/>
      <c r="AG70" s="3527"/>
      <c r="AH70" s="3527"/>
      <c r="AI70" s="3527"/>
      <c r="AJ70" s="3528"/>
      <c r="AK70" s="3528"/>
      <c r="AL70" s="3528" t="s">
        <v>3132</v>
      </c>
      <c r="AM70" s="3528" t="s">
        <v>3133</v>
      </c>
      <c r="AN70" s="3530">
        <f t="shared" si="30"/>
        <v>372.18456610674042</v>
      </c>
      <c r="AO70" s="3530">
        <f t="shared" si="31"/>
        <v>0</v>
      </c>
      <c r="AP70" s="3530">
        <f t="shared" si="32"/>
        <v>0</v>
      </c>
      <c r="AQ70" s="3530">
        <f t="shared" si="33"/>
        <v>0</v>
      </c>
      <c r="AR70" s="3530">
        <f t="shared" si="34"/>
        <v>0</v>
      </c>
      <c r="AS70" s="3530">
        <f t="shared" si="35"/>
        <v>0</v>
      </c>
      <c r="AT70" s="2049"/>
      <c r="AU70" s="2049"/>
      <c r="AV70" s="2049"/>
      <c r="AW70" s="2049"/>
      <c r="AX70" s="3531" t="s">
        <v>3134</v>
      </c>
      <c r="AY70" s="3532">
        <f t="shared" si="12"/>
        <v>65</v>
      </c>
      <c r="AZ70" s="3532"/>
      <c r="BC70" s="3673"/>
      <c r="BD70" s="3603" t="s">
        <v>3434</v>
      </c>
      <c r="BE70" s="3689">
        <f t="shared" ref="BE70:CB70" si="49">BE61*BE42</f>
        <v>0</v>
      </c>
      <c r="BF70" s="3689">
        <f t="shared" si="49"/>
        <v>0</v>
      </c>
      <c r="BG70" s="3689">
        <f t="shared" si="49"/>
        <v>0</v>
      </c>
      <c r="BH70" s="3689">
        <f t="shared" si="49"/>
        <v>0</v>
      </c>
      <c r="BI70" s="3689">
        <f t="shared" si="49"/>
        <v>0</v>
      </c>
      <c r="BJ70" s="3689">
        <f t="shared" si="49"/>
        <v>0</v>
      </c>
      <c r="BK70" s="3689">
        <f t="shared" si="49"/>
        <v>0</v>
      </c>
      <c r="BL70" s="3689">
        <f t="shared" si="49"/>
        <v>0</v>
      </c>
      <c r="BM70" s="3689">
        <f t="shared" si="49"/>
        <v>0</v>
      </c>
      <c r="BN70" s="3689">
        <f t="shared" si="49"/>
        <v>0</v>
      </c>
      <c r="BO70" s="3689">
        <f t="shared" si="49"/>
        <v>0</v>
      </c>
      <c r="BP70" s="3689">
        <f t="shared" si="49"/>
        <v>0</v>
      </c>
      <c r="BQ70" s="3689">
        <f t="shared" si="49"/>
        <v>0</v>
      </c>
      <c r="BR70" s="3689">
        <f t="shared" si="49"/>
        <v>0</v>
      </c>
      <c r="BS70" s="3689">
        <f t="shared" si="49"/>
        <v>0</v>
      </c>
      <c r="BT70" s="3689">
        <f t="shared" si="49"/>
        <v>0</v>
      </c>
      <c r="BU70" s="3689">
        <f t="shared" si="49"/>
        <v>0</v>
      </c>
      <c r="BV70" s="3689">
        <f t="shared" si="49"/>
        <v>0</v>
      </c>
      <c r="BW70" s="3689">
        <f t="shared" si="49"/>
        <v>0</v>
      </c>
      <c r="BX70" s="3689">
        <f t="shared" si="49"/>
        <v>0</v>
      </c>
      <c r="BY70" s="3689">
        <f t="shared" si="49"/>
        <v>0</v>
      </c>
      <c r="BZ70" s="3689">
        <f t="shared" si="49"/>
        <v>0</v>
      </c>
      <c r="CA70" s="3689">
        <f t="shared" si="49"/>
        <v>0</v>
      </c>
      <c r="CB70" s="3688">
        <f t="shared" si="49"/>
        <v>0</v>
      </c>
    </row>
    <row r="71" spans="18:80" ht="25.5">
      <c r="R71" s="3521">
        <f t="shared" ref="R71:R122" si="50">R70+1</f>
        <v>66</v>
      </c>
      <c r="S71" s="3522" t="s">
        <v>3130</v>
      </c>
      <c r="T71" s="3523" t="s">
        <v>3311</v>
      </c>
      <c r="U71" s="3524">
        <v>0</v>
      </c>
      <c r="V71" s="3524">
        <v>5000000</v>
      </c>
      <c r="W71" s="3524">
        <v>25800000</v>
      </c>
      <c r="X71" s="3525">
        <f t="shared" si="45"/>
        <v>0</v>
      </c>
      <c r="Y71" s="3525">
        <f t="shared" si="45"/>
        <v>10113.225600680416</v>
      </c>
      <c r="Z71" s="3525">
        <f t="shared" si="45"/>
        <v>52184.24409951095</v>
      </c>
      <c r="AA71" s="3538">
        <v>0</v>
      </c>
      <c r="AB71" s="3538">
        <v>0</v>
      </c>
      <c r="AC71" s="3538">
        <v>0</v>
      </c>
      <c r="AD71" s="3539">
        <v>0</v>
      </c>
      <c r="AE71" s="3539">
        <v>0</v>
      </c>
      <c r="AF71" s="3539">
        <v>0</v>
      </c>
      <c r="AG71" s="3539">
        <v>0</v>
      </c>
      <c r="AH71" s="3539">
        <v>0</v>
      </c>
      <c r="AI71" s="3539">
        <v>0</v>
      </c>
      <c r="AJ71" s="3540"/>
      <c r="AK71" s="3529"/>
      <c r="AL71" s="3529" t="s">
        <v>3132</v>
      </c>
      <c r="AM71" s="3529" t="s">
        <v>3133</v>
      </c>
      <c r="AN71" s="3530">
        <f t="shared" si="30"/>
        <v>0</v>
      </c>
      <c r="AO71" s="3530">
        <f t="shared" si="31"/>
        <v>0</v>
      </c>
      <c r="AP71" s="3530">
        <f t="shared" si="32"/>
        <v>6512.9172868381884</v>
      </c>
      <c r="AQ71" s="3530">
        <f t="shared" si="33"/>
        <v>0</v>
      </c>
      <c r="AR71" s="3530">
        <f t="shared" si="34"/>
        <v>33606.653200085049</v>
      </c>
      <c r="AS71" s="3530">
        <f t="shared" si="35"/>
        <v>0</v>
      </c>
      <c r="AT71" s="3530">
        <f>IF($AM71=$AG$129,(AD71)*$AH$129,IF($AM71=$AG$130,(AD71)*$AH$130,IF($AM71=$AG$131,(AD71)*$AH$131,IF($AM71=$AG$134,(AD71)*$AH$134,IF($AM71=$AG$135,(AD71)*$AH$135,IF($AM71=$AG$136,(AD71)*$AH$136,IF(AM71=$AM$10,0,0)))))))</f>
        <v>0</v>
      </c>
      <c r="AU71" s="3530">
        <f>IF($AM71=$AG$129,(AD71)*$AI$129,IF($AM71=$AG$130,(AD71)*$AI$130,IF($AM71=$AG$131,(AD71)*$AI$131,IF($AM71=$AG$134,(AD71)*$AI$134,IF($AM71=$AG$135,(AD71)*$AI$135,IF($AM71=$AG$136,(AD71)*$AI$136,IF(AM71=$AM$10,0,0)))))))</f>
        <v>0</v>
      </c>
      <c r="AV71" s="3530">
        <f>IF($AM71=$AG$129,(AE71)*$AH$129,IF($AM71=$AG$130,(AE71)*$AH$130,IF($AM71=$AG$131,(AE71)*$AH$131,IF($AM71=$AG$134,(AE71)*$AH$134,IF($AM71=$AG$135,(AE71)*$AH$135,IF($AM71=$AG$136,(AE71)*$AH$136,IF(AM71=$AM$10,0,0)))))))</f>
        <v>0</v>
      </c>
      <c r="AW71" s="3530">
        <f>IF($AM71=$AG$129,(AE71)*$AI$129,IF($AM71=$AG$130,(AE71)*$AI$130,IF($AM71=$AG$131,(AE71)*$AI$131,IF($AM71=$AG$134,(AE71)*$AI$134,IF($AM71=$AG$135,(AE71)*$AI$135,IF($AM71=$AG$136,(AE71)*$AI$136,IF(AM71=$AM$10,0,0)))))))</f>
        <v>0</v>
      </c>
      <c r="AX71" s="3531" t="s">
        <v>3134</v>
      </c>
      <c r="AY71" s="3532">
        <f t="shared" ref="AY71:AY122" si="51">AY70+1</f>
        <v>66</v>
      </c>
      <c r="AZ71" s="3532"/>
      <c r="BC71" s="3673"/>
      <c r="BD71" s="3603" t="s">
        <v>3431</v>
      </c>
      <c r="BE71" s="3689">
        <f t="shared" ref="BE71:CB71" si="52">BE62*BE43</f>
        <v>0</v>
      </c>
      <c r="BF71" s="3689">
        <f t="shared" si="52"/>
        <v>0</v>
      </c>
      <c r="BG71" s="3689">
        <f t="shared" si="52"/>
        <v>0</v>
      </c>
      <c r="BH71" s="3689">
        <f t="shared" si="52"/>
        <v>0</v>
      </c>
      <c r="BI71" s="3689">
        <f t="shared" si="52"/>
        <v>0</v>
      </c>
      <c r="BJ71" s="3689">
        <f t="shared" si="52"/>
        <v>0</v>
      </c>
      <c r="BK71" s="3689">
        <f t="shared" si="52"/>
        <v>0</v>
      </c>
      <c r="BL71" s="3689">
        <f t="shared" si="52"/>
        <v>0</v>
      </c>
      <c r="BM71" s="3689">
        <f t="shared" si="52"/>
        <v>0</v>
      </c>
      <c r="BN71" s="3689">
        <f t="shared" si="52"/>
        <v>0</v>
      </c>
      <c r="BO71" s="3689">
        <f t="shared" si="52"/>
        <v>0</v>
      </c>
      <c r="BP71" s="3689">
        <f t="shared" si="52"/>
        <v>0</v>
      </c>
      <c r="BQ71" s="3689">
        <f t="shared" si="52"/>
        <v>0</v>
      </c>
      <c r="BR71" s="3689">
        <f t="shared" si="52"/>
        <v>0</v>
      </c>
      <c r="BS71" s="3689">
        <f t="shared" si="52"/>
        <v>0</v>
      </c>
      <c r="BT71" s="3689">
        <f t="shared" si="52"/>
        <v>0</v>
      </c>
      <c r="BU71" s="3689">
        <f t="shared" si="52"/>
        <v>0</v>
      </c>
      <c r="BV71" s="3689">
        <f t="shared" si="52"/>
        <v>0</v>
      </c>
      <c r="BW71" s="3689">
        <f t="shared" si="52"/>
        <v>0</v>
      </c>
      <c r="BX71" s="3689">
        <f t="shared" si="52"/>
        <v>0</v>
      </c>
      <c r="BY71" s="3689">
        <f t="shared" si="52"/>
        <v>0</v>
      </c>
      <c r="BZ71" s="3689">
        <f t="shared" si="52"/>
        <v>0</v>
      </c>
      <c r="CA71" s="3689">
        <f t="shared" si="52"/>
        <v>0</v>
      </c>
      <c r="CB71" s="3688">
        <f t="shared" si="52"/>
        <v>0</v>
      </c>
    </row>
    <row r="72" spans="18:80">
      <c r="R72" s="3521">
        <f t="shared" si="50"/>
        <v>67</v>
      </c>
      <c r="S72" s="3522" t="s">
        <v>3130</v>
      </c>
      <c r="T72" s="3523" t="s">
        <v>3312</v>
      </c>
      <c r="U72" s="3524">
        <v>703845</v>
      </c>
      <c r="V72" s="3524">
        <v>0</v>
      </c>
      <c r="W72" s="3524">
        <v>0</v>
      </c>
      <c r="X72" s="3525">
        <f t="shared" si="45"/>
        <v>1423.6286545821815</v>
      </c>
      <c r="Y72" s="3525">
        <f t="shared" si="45"/>
        <v>0</v>
      </c>
      <c r="Z72" s="3525">
        <f t="shared" si="45"/>
        <v>0</v>
      </c>
      <c r="AA72" s="3526"/>
      <c r="AB72" s="3526"/>
      <c r="AC72" s="3526"/>
      <c r="AD72" s="3527"/>
      <c r="AE72" s="3527"/>
      <c r="AF72" s="3527"/>
      <c r="AG72" s="3527"/>
      <c r="AH72" s="3527"/>
      <c r="AI72" s="3527"/>
      <c r="AJ72" s="3528"/>
      <c r="AK72" s="3528"/>
      <c r="AL72" s="3528" t="s">
        <v>3132</v>
      </c>
      <c r="AM72" s="3529" t="s">
        <v>3133</v>
      </c>
      <c r="AN72" s="3530">
        <f t="shared" si="30"/>
        <v>916.81685355092498</v>
      </c>
      <c r="AO72" s="3530">
        <f t="shared" si="31"/>
        <v>0</v>
      </c>
      <c r="AP72" s="3530">
        <f t="shared" si="32"/>
        <v>0</v>
      </c>
      <c r="AQ72" s="3530">
        <f t="shared" si="33"/>
        <v>0</v>
      </c>
      <c r="AR72" s="3530">
        <f t="shared" si="34"/>
        <v>0</v>
      </c>
      <c r="AS72" s="3530">
        <f t="shared" si="35"/>
        <v>0</v>
      </c>
      <c r="AT72" s="2049"/>
      <c r="AU72" s="2049"/>
      <c r="AV72" s="2049"/>
      <c r="AW72" s="2049"/>
      <c r="AX72" s="3531" t="s">
        <v>3134</v>
      </c>
      <c r="AY72" s="3532">
        <f t="shared" si="51"/>
        <v>67</v>
      </c>
      <c r="AZ72" s="3532"/>
      <c r="BC72" s="3673"/>
      <c r="BD72" s="3603" t="s">
        <v>3430</v>
      </c>
      <c r="BE72" s="3689">
        <f t="shared" ref="BE72:CB72" si="53">BE63*BE44</f>
        <v>0</v>
      </c>
      <c r="BF72" s="3689">
        <f t="shared" si="53"/>
        <v>0</v>
      </c>
      <c r="BG72" s="3689">
        <f t="shared" si="53"/>
        <v>0</v>
      </c>
      <c r="BH72" s="3689">
        <f t="shared" si="53"/>
        <v>0</v>
      </c>
      <c r="BI72" s="3689">
        <f t="shared" si="53"/>
        <v>0</v>
      </c>
      <c r="BJ72" s="3689">
        <f t="shared" si="53"/>
        <v>0</v>
      </c>
      <c r="BK72" s="3689">
        <f t="shared" si="53"/>
        <v>0</v>
      </c>
      <c r="BL72" s="3689">
        <f t="shared" si="53"/>
        <v>0</v>
      </c>
      <c r="BM72" s="3689">
        <f t="shared" si="53"/>
        <v>0</v>
      </c>
      <c r="BN72" s="3689">
        <f t="shared" si="53"/>
        <v>0</v>
      </c>
      <c r="BO72" s="3689">
        <f t="shared" si="53"/>
        <v>0</v>
      </c>
      <c r="BP72" s="3689">
        <f t="shared" si="53"/>
        <v>0</v>
      </c>
      <c r="BQ72" s="3689">
        <f t="shared" si="53"/>
        <v>0</v>
      </c>
      <c r="BR72" s="3689">
        <f t="shared" si="53"/>
        <v>0</v>
      </c>
      <c r="BS72" s="3689">
        <f t="shared" si="53"/>
        <v>0</v>
      </c>
      <c r="BT72" s="3689">
        <f t="shared" si="53"/>
        <v>0</v>
      </c>
      <c r="BU72" s="3689">
        <f t="shared" si="53"/>
        <v>0</v>
      </c>
      <c r="BV72" s="3689">
        <f t="shared" si="53"/>
        <v>0</v>
      </c>
      <c r="BW72" s="3689">
        <f t="shared" si="53"/>
        <v>0</v>
      </c>
      <c r="BX72" s="3689">
        <f t="shared" si="53"/>
        <v>0</v>
      </c>
      <c r="BY72" s="3689">
        <f t="shared" si="53"/>
        <v>0</v>
      </c>
      <c r="BZ72" s="3689">
        <f t="shared" si="53"/>
        <v>0</v>
      </c>
      <c r="CA72" s="3689">
        <f t="shared" si="53"/>
        <v>0</v>
      </c>
      <c r="CB72" s="3688">
        <f t="shared" si="53"/>
        <v>0</v>
      </c>
    </row>
    <row r="73" spans="18:80" ht="45.75" thickBot="1">
      <c r="R73" s="3521">
        <f t="shared" si="50"/>
        <v>68</v>
      </c>
      <c r="S73" s="3522" t="s">
        <v>3155</v>
      </c>
      <c r="T73" s="3523" t="s">
        <v>3313</v>
      </c>
      <c r="U73" s="3524">
        <v>716783</v>
      </c>
      <c r="V73" s="3524">
        <v>0</v>
      </c>
      <c r="W73" s="3524">
        <v>0</v>
      </c>
      <c r="X73" s="3525">
        <f t="shared" si="45"/>
        <v>1449.7976371465022</v>
      </c>
      <c r="Y73" s="3525">
        <f t="shared" si="45"/>
        <v>0</v>
      </c>
      <c r="Z73" s="3525">
        <f t="shared" si="45"/>
        <v>0</v>
      </c>
      <c r="AA73" s="3538">
        <v>0</v>
      </c>
      <c r="AB73" s="3538">
        <v>0</v>
      </c>
      <c r="AC73" s="3538">
        <v>0</v>
      </c>
      <c r="AD73" s="3539">
        <v>8000</v>
      </c>
      <c r="AE73" s="3539">
        <v>8000</v>
      </c>
      <c r="AF73" s="3539">
        <v>0</v>
      </c>
      <c r="AG73" s="3539">
        <v>0</v>
      </c>
      <c r="AH73" s="3539">
        <v>0</v>
      </c>
      <c r="AI73" s="3539">
        <v>0</v>
      </c>
      <c r="AJ73" s="3540" t="s">
        <v>3210</v>
      </c>
      <c r="AK73" s="3529" t="s">
        <v>3167</v>
      </c>
      <c r="AL73" s="3529" t="s">
        <v>3132</v>
      </c>
      <c r="AM73" s="3529" t="s">
        <v>3195</v>
      </c>
      <c r="AN73" s="3530">
        <f t="shared" si="30"/>
        <v>970.53803223498289</v>
      </c>
      <c r="AO73" s="3530">
        <f t="shared" si="31"/>
        <v>0</v>
      </c>
      <c r="AP73" s="3530">
        <f t="shared" si="32"/>
        <v>0</v>
      </c>
      <c r="AQ73" s="3530">
        <f t="shared" si="33"/>
        <v>0</v>
      </c>
      <c r="AR73" s="3530">
        <f t="shared" si="34"/>
        <v>0</v>
      </c>
      <c r="AS73" s="3530">
        <f t="shared" si="35"/>
        <v>0</v>
      </c>
      <c r="AT73" s="3530">
        <f t="shared" ref="AT73:AT88" si="54">IF($AM73=$AG$129,(AD73)*$AH$129,IF($AM73=$AG$130,(AD73)*$AH$130,IF($AM73=$AG$131,(AD73)*$AH$131,IF($AM73=$AG$134,(AD73)*$AH$134,IF($AM73=$AG$135,(AD73)*$AH$135,IF($AM73=$AG$136,(AD73)*$AH$136,IF(AM73=$AM$10,0,0)))))))</f>
        <v>5355.44</v>
      </c>
      <c r="AU73" s="3530">
        <f t="shared" ref="AU73:AU88" si="55">IF($AM73=$AG$129,(AD73)*$AI$129,IF($AM73=$AG$130,(AD73)*$AI$130,IF($AM73=$AG$131,(AD73)*$AI$131,IF($AM73=$AG$134,(AD73)*$AI$134,IF($AM73=$AG$135,(AD73)*$AI$135,IF($AM73=$AG$136,(AD73)*$AI$136,IF(AM73=$AM$10,0,0)))))))</f>
        <v>0</v>
      </c>
      <c r="AV73" s="3530">
        <f t="shared" ref="AV73:AV122" si="56">IF($AM73=$AG$129,(AE73)*$AH$129,IF($AM73=$AG$130,(AE73)*$AH$130,IF($AM73=$AG$131,(AE73)*$AH$131,IF($AM73=$AG$134,(AE73)*$AH$134,IF($AM73=$AG$135,(AE73)*$AH$135,IF($AM73=$AG$136,(AE73)*$AH$136,IF(AM73=$AM$10,0,0)))))))</f>
        <v>5355.44</v>
      </c>
      <c r="AW73" s="3530">
        <f t="shared" ref="AW73:AW122" si="57">IF($AM73=$AG$129,(AE73)*$AI$129,IF($AM73=$AG$130,(AE73)*$AI$130,IF($AM73=$AG$131,(AE73)*$AI$131,IF($AM73=$AG$134,(AE73)*$AI$134,IF($AM73=$AG$135,(AE73)*$AI$135,IF($AM73=$AG$136,(AE73)*$AI$136,IF(AM73=$AM$10,0,0)))))))</f>
        <v>0</v>
      </c>
      <c r="AX73" s="3550" t="s">
        <v>3314</v>
      </c>
      <c r="AY73" s="3532">
        <f t="shared" si="51"/>
        <v>68</v>
      </c>
      <c r="AZ73" s="3532"/>
      <c r="BC73" s="3671"/>
      <c r="BD73" s="3610"/>
      <c r="BE73" s="3709"/>
      <c r="BF73" s="3709"/>
      <c r="BG73" s="3709"/>
      <c r="BH73" s="3709"/>
      <c r="BI73" s="3709"/>
      <c r="BJ73" s="3709"/>
      <c r="BK73" s="3709"/>
      <c r="BL73" s="3709"/>
      <c r="BM73" s="3709"/>
      <c r="BN73" s="3709"/>
      <c r="BO73" s="3709"/>
      <c r="BP73" s="3709"/>
      <c r="BQ73" s="3709"/>
      <c r="BR73" s="3709"/>
      <c r="BS73" s="3709"/>
      <c r="BT73" s="3709"/>
      <c r="BU73" s="3709"/>
      <c r="BV73" s="3709"/>
      <c r="BW73" s="3709"/>
      <c r="BX73" s="3709"/>
      <c r="BY73" s="3709"/>
      <c r="BZ73" s="3709"/>
      <c r="CA73" s="3709"/>
      <c r="CB73" s="3708"/>
    </row>
    <row r="74" spans="18:80" ht="30">
      <c r="R74" s="3521">
        <f t="shared" si="50"/>
        <v>69</v>
      </c>
      <c r="S74" s="3522" t="s">
        <v>3155</v>
      </c>
      <c r="T74" s="3523" t="s">
        <v>3315</v>
      </c>
      <c r="U74" s="3524">
        <v>700000</v>
      </c>
      <c r="V74" s="3524">
        <v>700000</v>
      </c>
      <c r="W74" s="3524">
        <v>701014</v>
      </c>
      <c r="X74" s="3547" t="s">
        <v>3150</v>
      </c>
      <c r="Y74" s="3547" t="s">
        <v>3150</v>
      </c>
      <c r="Z74" s="3547" t="s">
        <v>3150</v>
      </c>
      <c r="AA74" s="3538">
        <v>0</v>
      </c>
      <c r="AB74" s="3538">
        <v>0</v>
      </c>
      <c r="AC74" s="3538">
        <v>0</v>
      </c>
      <c r="AD74" s="3539">
        <v>0</v>
      </c>
      <c r="AE74" s="3539">
        <v>0</v>
      </c>
      <c r="AF74" s="3539">
        <v>0</v>
      </c>
      <c r="AG74" s="3539">
        <v>0</v>
      </c>
      <c r="AH74" s="3539">
        <v>0</v>
      </c>
      <c r="AI74" s="3539">
        <v>0</v>
      </c>
      <c r="AJ74" s="3540" t="s">
        <v>3161</v>
      </c>
      <c r="AK74" s="3529"/>
      <c r="AL74" s="3529" t="s">
        <v>839</v>
      </c>
      <c r="AM74" s="3529" t="s">
        <v>3152</v>
      </c>
      <c r="AN74" s="3530">
        <f t="shared" si="30"/>
        <v>0</v>
      </c>
      <c r="AO74" s="3530">
        <f t="shared" si="31"/>
        <v>0</v>
      </c>
      <c r="AP74" s="3530">
        <f t="shared" si="32"/>
        <v>0</v>
      </c>
      <c r="AQ74" s="3530">
        <f t="shared" si="33"/>
        <v>0</v>
      </c>
      <c r="AR74" s="3530">
        <f t="shared" si="34"/>
        <v>0</v>
      </c>
      <c r="AS74" s="3530">
        <f t="shared" si="35"/>
        <v>0</v>
      </c>
      <c r="AT74" s="3530">
        <f t="shared" si="54"/>
        <v>0</v>
      </c>
      <c r="AU74" s="3530">
        <f t="shared" si="55"/>
        <v>0</v>
      </c>
      <c r="AV74" s="3530">
        <f t="shared" si="56"/>
        <v>0</v>
      </c>
      <c r="AW74" s="3530">
        <f t="shared" si="57"/>
        <v>0</v>
      </c>
      <c r="AX74" s="3550" t="s">
        <v>3316</v>
      </c>
      <c r="AY74" s="3532">
        <f t="shared" si="51"/>
        <v>69</v>
      </c>
      <c r="AZ74" s="3532"/>
      <c r="BC74" s="3701">
        <v>4</v>
      </c>
      <c r="BD74" s="3707" t="s">
        <v>3351</v>
      </c>
      <c r="BE74" s="3699"/>
      <c r="BF74" s="3699"/>
      <c r="BG74" s="3699"/>
      <c r="BH74" s="3699"/>
      <c r="BI74" s="3699"/>
      <c r="BJ74" s="3699"/>
      <c r="BK74" s="3699"/>
      <c r="BL74" s="3699"/>
      <c r="BM74" s="3699"/>
      <c r="BN74" s="3699"/>
      <c r="BO74" s="3699"/>
      <c r="BP74" s="3699"/>
      <c r="BQ74" s="3699"/>
      <c r="BR74" s="3699"/>
      <c r="BS74" s="3699"/>
      <c r="BT74" s="3699"/>
      <c r="BU74" s="3699"/>
      <c r="BV74" s="3699"/>
      <c r="BW74" s="3699"/>
      <c r="BX74" s="3699"/>
      <c r="BY74" s="3699"/>
      <c r="BZ74" s="3699"/>
      <c r="CA74" s="3699"/>
      <c r="CB74" s="3706"/>
    </row>
    <row r="75" spans="18:80" ht="45">
      <c r="R75" s="3521">
        <f t="shared" si="50"/>
        <v>70</v>
      </c>
      <c r="S75" s="3522" t="s">
        <v>3144</v>
      </c>
      <c r="T75" s="3523" t="s">
        <v>3317</v>
      </c>
      <c r="U75" s="3524">
        <v>99683</v>
      </c>
      <c r="V75" s="3524">
        <v>100106</v>
      </c>
      <c r="W75" s="3524">
        <v>101654</v>
      </c>
      <c r="X75" s="3547" t="s">
        <v>3150</v>
      </c>
      <c r="Y75" s="3547" t="s">
        <v>3150</v>
      </c>
      <c r="Z75" s="3547" t="s">
        <v>3150</v>
      </c>
      <c r="AA75" s="3538">
        <v>0</v>
      </c>
      <c r="AB75" s="3538">
        <v>0</v>
      </c>
      <c r="AC75" s="3538">
        <v>0</v>
      </c>
      <c r="AD75" s="3539">
        <f>936000+6000+942000</f>
        <v>1884000</v>
      </c>
      <c r="AE75" s="3539">
        <f>936000+6000+942000</f>
        <v>1884000</v>
      </c>
      <c r="AF75" s="3539">
        <v>0</v>
      </c>
      <c r="AG75" s="3539">
        <v>0</v>
      </c>
      <c r="AH75" s="3539">
        <f>104000+594000+698000</f>
        <v>1396000</v>
      </c>
      <c r="AI75" s="3539">
        <f>104000+594000+698000</f>
        <v>1396000</v>
      </c>
      <c r="AJ75" s="3540" t="s">
        <v>3151</v>
      </c>
      <c r="AK75" s="3529"/>
      <c r="AL75" s="3529" t="s">
        <v>839</v>
      </c>
      <c r="AM75" s="3529" t="s">
        <v>3152</v>
      </c>
      <c r="AN75" s="3530">
        <f t="shared" si="30"/>
        <v>0</v>
      </c>
      <c r="AO75" s="3530">
        <f t="shared" si="31"/>
        <v>0</v>
      </c>
      <c r="AP75" s="3530">
        <f t="shared" si="32"/>
        <v>0</v>
      </c>
      <c r="AQ75" s="3530">
        <f t="shared" si="33"/>
        <v>0</v>
      </c>
      <c r="AR75" s="3530">
        <f t="shared" si="34"/>
        <v>0</v>
      </c>
      <c r="AS75" s="3530">
        <f t="shared" si="35"/>
        <v>0</v>
      </c>
      <c r="AT75" s="3530">
        <f t="shared" si="54"/>
        <v>0</v>
      </c>
      <c r="AU75" s="3530">
        <f t="shared" si="55"/>
        <v>0</v>
      </c>
      <c r="AV75" s="3530">
        <f t="shared" si="56"/>
        <v>0</v>
      </c>
      <c r="AW75" s="3530">
        <f t="shared" si="57"/>
        <v>0</v>
      </c>
      <c r="AX75" s="3531" t="s">
        <v>3318</v>
      </c>
      <c r="AY75" s="3532">
        <f t="shared" si="51"/>
        <v>70</v>
      </c>
      <c r="AZ75" s="3532"/>
      <c r="BC75" s="3673"/>
      <c r="BD75" s="3603" t="s">
        <v>3433</v>
      </c>
      <c r="CB75" s="3672"/>
    </row>
    <row r="76" spans="18:80" ht="45">
      <c r="R76" s="3521">
        <f t="shared" si="50"/>
        <v>71</v>
      </c>
      <c r="S76" s="3522" t="s">
        <v>3130</v>
      </c>
      <c r="T76" s="3523" t="s">
        <v>3319</v>
      </c>
      <c r="U76" s="3524">
        <v>838800</v>
      </c>
      <c r="V76" s="3524">
        <v>954600</v>
      </c>
      <c r="W76" s="3524">
        <v>909600</v>
      </c>
      <c r="X76" s="3547" t="s">
        <v>3150</v>
      </c>
      <c r="Y76" s="3547" t="s">
        <v>3150</v>
      </c>
      <c r="Z76" s="3547" t="s">
        <v>3150</v>
      </c>
      <c r="AA76" s="3538">
        <v>0</v>
      </c>
      <c r="AB76" s="3538">
        <v>0</v>
      </c>
      <c r="AC76" s="3538">
        <v>0</v>
      </c>
      <c r="AD76" s="3539">
        <v>0</v>
      </c>
      <c r="AE76" s="3539">
        <v>0</v>
      </c>
      <c r="AF76" s="3539">
        <v>0</v>
      </c>
      <c r="AG76" s="3539">
        <v>0</v>
      </c>
      <c r="AH76" s="3539">
        <v>0</v>
      </c>
      <c r="AI76" s="3539">
        <v>0</v>
      </c>
      <c r="AJ76" s="3540" t="s">
        <v>3151</v>
      </c>
      <c r="AK76" s="3529"/>
      <c r="AL76" s="3529" t="s">
        <v>3132</v>
      </c>
      <c r="AM76" s="3529" t="s">
        <v>3152</v>
      </c>
      <c r="AN76" s="3530">
        <f t="shared" si="30"/>
        <v>0</v>
      </c>
      <c r="AO76" s="3530">
        <f t="shared" si="31"/>
        <v>0</v>
      </c>
      <c r="AP76" s="3530">
        <f t="shared" si="32"/>
        <v>0</v>
      </c>
      <c r="AQ76" s="3530">
        <f t="shared" si="33"/>
        <v>0</v>
      </c>
      <c r="AR76" s="3530">
        <f t="shared" si="34"/>
        <v>0</v>
      </c>
      <c r="AS76" s="3530">
        <f t="shared" si="35"/>
        <v>0</v>
      </c>
      <c r="AT76" s="3530">
        <f t="shared" si="54"/>
        <v>0</v>
      </c>
      <c r="AU76" s="3530">
        <f t="shared" si="55"/>
        <v>0</v>
      </c>
      <c r="AV76" s="3530">
        <f t="shared" si="56"/>
        <v>0</v>
      </c>
      <c r="AW76" s="3530">
        <f t="shared" si="57"/>
        <v>0</v>
      </c>
      <c r="AX76" s="3550" t="s">
        <v>3320</v>
      </c>
      <c r="AY76" s="3532">
        <f t="shared" si="51"/>
        <v>71</v>
      </c>
      <c r="AZ76" s="3532"/>
      <c r="BC76" s="3673"/>
      <c r="BD76" s="3603" t="s">
        <v>1522</v>
      </c>
      <c r="BE76" s="3705">
        <v>0.50068184018358375</v>
      </c>
      <c r="BF76" s="3705">
        <v>0.4780881241925608</v>
      </c>
      <c r="BG76" s="3705">
        <v>0.54631407566538637</v>
      </c>
      <c r="BH76" s="3705">
        <v>0.71703415972879792</v>
      </c>
      <c r="BI76" s="3705">
        <v>0.90054534904853789</v>
      </c>
      <c r="BJ76" s="3705">
        <v>0.93359983875447006</v>
      </c>
      <c r="BK76" s="3705">
        <v>0.92288071042120834</v>
      </c>
      <c r="BL76" s="3705">
        <v>0.93511751833144474</v>
      </c>
      <c r="BM76" s="3705">
        <v>0.92189105317830922</v>
      </c>
      <c r="BN76" s="3705">
        <v>0.91070459116489522</v>
      </c>
      <c r="BO76" s="3705">
        <v>0.76087277839720979</v>
      </c>
      <c r="BP76" s="3705">
        <v>0.54691355662496777</v>
      </c>
      <c r="BQ76" s="3705">
        <v>0.50068184018358375</v>
      </c>
      <c r="BR76" s="3705">
        <v>0.4780881241925608</v>
      </c>
      <c r="BS76" s="3705">
        <v>0.54631407566538637</v>
      </c>
      <c r="BT76" s="3705">
        <v>0.71703415972879792</v>
      </c>
      <c r="BU76" s="3705">
        <v>0.90054534904853789</v>
      </c>
      <c r="BV76" s="3705">
        <v>0.93359983875447006</v>
      </c>
      <c r="BW76" s="3705">
        <v>0.92288071042120834</v>
      </c>
      <c r="BX76" s="3705">
        <v>0.93511751833144474</v>
      </c>
      <c r="BY76" s="3705">
        <v>0.92189105317830922</v>
      </c>
      <c r="BZ76" s="3705">
        <v>0.91070459116489522</v>
      </c>
      <c r="CA76" s="3705">
        <v>0.76087277839720979</v>
      </c>
      <c r="CB76" s="3704">
        <v>0.54691355662496777</v>
      </c>
    </row>
    <row r="77" spans="18:80" ht="60">
      <c r="R77" s="3521">
        <f t="shared" si="50"/>
        <v>72</v>
      </c>
      <c r="S77" s="3522" t="s">
        <v>3155</v>
      </c>
      <c r="T77" s="3523" t="s">
        <v>3321</v>
      </c>
      <c r="U77" s="3524">
        <v>5348646</v>
      </c>
      <c r="V77" s="3524">
        <v>4238511</v>
      </c>
      <c r="W77" s="3524">
        <v>4399224</v>
      </c>
      <c r="X77" s="3525">
        <f t="shared" ref="X77:Z80" si="58">U77*$T$4*$T$3</f>
        <v>10818.412731235381</v>
      </c>
      <c r="Y77" s="3525">
        <f t="shared" si="58"/>
        <v>8573.0035907931106</v>
      </c>
      <c r="Z77" s="3525">
        <f t="shared" si="58"/>
        <v>8898.06895598554</v>
      </c>
      <c r="AA77" s="3538">
        <v>11000</v>
      </c>
      <c r="AB77" s="3538">
        <v>11330</v>
      </c>
      <c r="AC77" s="3538">
        <v>11670</v>
      </c>
      <c r="AD77" s="3539">
        <v>292958</v>
      </c>
      <c r="AE77" s="3539">
        <v>301746</v>
      </c>
      <c r="AF77" s="3539">
        <v>20000</v>
      </c>
      <c r="AG77" s="3539">
        <v>20600</v>
      </c>
      <c r="AH77" s="3539">
        <v>0</v>
      </c>
      <c r="AI77" s="3539">
        <v>0</v>
      </c>
      <c r="AJ77" s="3540"/>
      <c r="AK77" s="3529" t="s">
        <v>3167</v>
      </c>
      <c r="AL77" s="3529" t="s">
        <v>839</v>
      </c>
      <c r="AM77" s="3529" t="s">
        <v>839</v>
      </c>
      <c r="AN77" s="3530">
        <f t="shared" si="30"/>
        <v>5162.8583775999996</v>
      </c>
      <c r="AO77" s="3530">
        <f t="shared" si="31"/>
        <v>1634.2877848000001</v>
      </c>
      <c r="AP77" s="3530">
        <f t="shared" si="32"/>
        <v>5317.7441289279996</v>
      </c>
      <c r="AQ77" s="3530">
        <f t="shared" si="33"/>
        <v>1683.3164183440001</v>
      </c>
      <c r="AR77" s="3530">
        <f t="shared" si="34"/>
        <v>5477.3233878719993</v>
      </c>
      <c r="AS77" s="3530">
        <f t="shared" si="35"/>
        <v>1733.8307680559999</v>
      </c>
      <c r="AT77" s="3530">
        <f t="shared" si="54"/>
        <v>137500.06041681278</v>
      </c>
      <c r="AU77" s="3530">
        <f t="shared" si="55"/>
        <v>43525.243714494398</v>
      </c>
      <c r="AV77" s="3530">
        <f t="shared" si="56"/>
        <v>141624.71490975359</v>
      </c>
      <c r="AW77" s="3530">
        <f t="shared" si="57"/>
        <v>44830.891082932802</v>
      </c>
      <c r="AX77" s="3531" t="s">
        <v>3322</v>
      </c>
      <c r="AY77" s="3532">
        <f t="shared" si="51"/>
        <v>72</v>
      </c>
      <c r="AZ77" s="3532"/>
      <c r="BC77" s="3673"/>
      <c r="BD77" s="3603" t="s">
        <v>1521</v>
      </c>
      <c r="BE77" s="3705">
        <v>0.49931815981641625</v>
      </c>
      <c r="BF77" s="3705">
        <v>0.52191187580743914</v>
      </c>
      <c r="BG77" s="3705">
        <v>0.45368592433461374</v>
      </c>
      <c r="BH77" s="3705">
        <v>0.28296584027120203</v>
      </c>
      <c r="BI77" s="3705">
        <v>9.9454650951462109E-2</v>
      </c>
      <c r="BJ77" s="3705">
        <v>6.6400161245529998E-2</v>
      </c>
      <c r="BK77" s="3705">
        <v>7.7119289578791661E-2</v>
      </c>
      <c r="BL77" s="3705">
        <v>6.4882481668555286E-2</v>
      </c>
      <c r="BM77" s="3705">
        <v>7.8108946821690811E-2</v>
      </c>
      <c r="BN77" s="3705">
        <v>8.9295408835104756E-2</v>
      </c>
      <c r="BO77" s="3705">
        <v>0.23912722160279024</v>
      </c>
      <c r="BP77" s="3705">
        <v>0.45308644337503229</v>
      </c>
      <c r="BQ77" s="3705">
        <v>0.49931815981641625</v>
      </c>
      <c r="BR77" s="3705">
        <v>0.52191187580743914</v>
      </c>
      <c r="BS77" s="3705">
        <v>0.45368592433461374</v>
      </c>
      <c r="BT77" s="3705">
        <v>0.28296584027120203</v>
      </c>
      <c r="BU77" s="3705">
        <v>9.9454650951462109E-2</v>
      </c>
      <c r="BV77" s="3705">
        <v>6.6400161245529998E-2</v>
      </c>
      <c r="BW77" s="3705">
        <v>7.7119289578791661E-2</v>
      </c>
      <c r="BX77" s="3705">
        <v>6.4882481668555286E-2</v>
      </c>
      <c r="BY77" s="3705">
        <v>7.8108946821690811E-2</v>
      </c>
      <c r="BZ77" s="3705">
        <v>8.9295408835104756E-2</v>
      </c>
      <c r="CA77" s="3705">
        <v>0.23912722160279024</v>
      </c>
      <c r="CB77" s="3704">
        <v>0.45308644337503229</v>
      </c>
    </row>
    <row r="78" spans="18:80" ht="75">
      <c r="R78" s="3521">
        <f t="shared" si="50"/>
        <v>73</v>
      </c>
      <c r="S78" s="3522" t="s">
        <v>3144</v>
      </c>
      <c r="T78" s="3523" t="s">
        <v>3323</v>
      </c>
      <c r="U78" s="3524">
        <v>659782</v>
      </c>
      <c r="V78" s="3524">
        <v>660002</v>
      </c>
      <c r="W78" s="3524">
        <v>660004</v>
      </c>
      <c r="X78" s="3525">
        <f t="shared" si="58"/>
        <v>1334.5048426536252</v>
      </c>
      <c r="Y78" s="3525">
        <f t="shared" si="58"/>
        <v>1334.9498245800551</v>
      </c>
      <c r="Z78" s="3525">
        <f t="shared" si="58"/>
        <v>1334.9538698702954</v>
      </c>
      <c r="AA78" s="3538">
        <v>0</v>
      </c>
      <c r="AB78" s="3538">
        <v>0</v>
      </c>
      <c r="AC78" s="3538">
        <v>0</v>
      </c>
      <c r="AD78" s="3539">
        <v>1000000</v>
      </c>
      <c r="AE78" s="3539">
        <v>1000000</v>
      </c>
      <c r="AF78" s="3539">
        <v>0</v>
      </c>
      <c r="AG78" s="3539">
        <v>0</v>
      </c>
      <c r="AH78" s="3539">
        <v>0</v>
      </c>
      <c r="AI78" s="3539">
        <v>0</v>
      </c>
      <c r="AJ78" s="3540"/>
      <c r="AK78" s="3529"/>
      <c r="AL78" s="3529" t="s">
        <v>839</v>
      </c>
      <c r="AM78" s="3529" t="s">
        <v>839</v>
      </c>
      <c r="AN78" s="3530">
        <f t="shared" si="30"/>
        <v>626.3508642583671</v>
      </c>
      <c r="AO78" s="3530">
        <f t="shared" si="31"/>
        <v>198.2695421004787</v>
      </c>
      <c r="AP78" s="3530">
        <f t="shared" si="32"/>
        <v>626.55971686443513</v>
      </c>
      <c r="AQ78" s="3530">
        <f t="shared" si="33"/>
        <v>198.33565378473517</v>
      </c>
      <c r="AR78" s="3530">
        <f t="shared" si="34"/>
        <v>626.56161552449032</v>
      </c>
      <c r="AS78" s="3530">
        <f t="shared" si="35"/>
        <v>198.33625480004659</v>
      </c>
      <c r="AT78" s="3530">
        <f t="shared" si="54"/>
        <v>469350.76159999997</v>
      </c>
      <c r="AU78" s="3530">
        <f t="shared" si="55"/>
        <v>148571.61679999999</v>
      </c>
      <c r="AV78" s="3530">
        <f t="shared" si="56"/>
        <v>469350.76159999997</v>
      </c>
      <c r="AW78" s="3530">
        <f t="shared" si="57"/>
        <v>148571.61679999999</v>
      </c>
      <c r="AX78" s="3531" t="s">
        <v>3324</v>
      </c>
      <c r="AY78" s="3532">
        <f t="shared" si="51"/>
        <v>73</v>
      </c>
      <c r="AZ78" s="3532"/>
      <c r="BC78" s="3673"/>
      <c r="CB78" s="3672"/>
    </row>
    <row r="79" spans="18:80" ht="45">
      <c r="R79" s="3521">
        <f t="shared" si="50"/>
        <v>74</v>
      </c>
      <c r="S79" s="3522" t="s">
        <v>3155</v>
      </c>
      <c r="T79" s="3523" t="s">
        <v>3325</v>
      </c>
      <c r="U79" s="3524">
        <v>3343420</v>
      </c>
      <c r="V79" s="3524">
        <v>3343420</v>
      </c>
      <c r="W79" s="3524">
        <v>3343419</v>
      </c>
      <c r="X79" s="3525">
        <f t="shared" si="58"/>
        <v>6762.5521475653832</v>
      </c>
      <c r="Y79" s="3525">
        <f t="shared" si="58"/>
        <v>6762.5521475653832</v>
      </c>
      <c r="Z79" s="3525">
        <f t="shared" si="58"/>
        <v>6762.5501249202634</v>
      </c>
      <c r="AA79" s="3538">
        <v>0</v>
      </c>
      <c r="AB79" s="3538">
        <v>0</v>
      </c>
      <c r="AC79" s="3538">
        <v>0</v>
      </c>
      <c r="AD79" s="3539">
        <v>2720</v>
      </c>
      <c r="AE79" s="3539">
        <v>2720</v>
      </c>
      <c r="AF79" s="3539">
        <v>0</v>
      </c>
      <c r="AG79" s="3539">
        <v>0</v>
      </c>
      <c r="AH79" s="3539">
        <v>0</v>
      </c>
      <c r="AI79" s="3539">
        <v>0</v>
      </c>
      <c r="AJ79" s="3540"/>
      <c r="AK79" s="3529"/>
      <c r="AL79" s="3540" t="s">
        <v>3132</v>
      </c>
      <c r="AM79" s="3540" t="s">
        <v>3133</v>
      </c>
      <c r="AN79" s="3530">
        <f t="shared" si="30"/>
        <v>4355.0835830321066</v>
      </c>
      <c r="AO79" s="3530">
        <f t="shared" si="31"/>
        <v>0</v>
      </c>
      <c r="AP79" s="3530">
        <f t="shared" si="32"/>
        <v>4355.0835830321066</v>
      </c>
      <c r="AQ79" s="3530">
        <f t="shared" si="33"/>
        <v>0</v>
      </c>
      <c r="AR79" s="3530">
        <f t="shared" si="34"/>
        <v>4355.0822804486497</v>
      </c>
      <c r="AS79" s="3530">
        <f t="shared" si="35"/>
        <v>0</v>
      </c>
      <c r="AT79" s="3530">
        <f t="shared" si="54"/>
        <v>1751.68</v>
      </c>
      <c r="AU79" s="3530">
        <f t="shared" si="55"/>
        <v>0</v>
      </c>
      <c r="AV79" s="3530">
        <f t="shared" si="56"/>
        <v>1751.68</v>
      </c>
      <c r="AW79" s="3530">
        <f t="shared" si="57"/>
        <v>0</v>
      </c>
      <c r="AX79" s="3531" t="s">
        <v>3326</v>
      </c>
      <c r="AY79" s="3532">
        <f t="shared" si="51"/>
        <v>74</v>
      </c>
      <c r="AZ79" s="3532"/>
      <c r="BC79" s="3673"/>
      <c r="BD79" s="3603" t="s">
        <v>3428</v>
      </c>
      <c r="CB79" s="3672"/>
    </row>
    <row r="80" spans="18:80" ht="25.5">
      <c r="R80" s="3521">
        <f t="shared" si="50"/>
        <v>75</v>
      </c>
      <c r="S80" s="3522" t="s">
        <v>3155</v>
      </c>
      <c r="T80" s="3523" t="s">
        <v>3328</v>
      </c>
      <c r="U80" s="3524">
        <v>100000</v>
      </c>
      <c r="V80" s="3524">
        <v>1400000</v>
      </c>
      <c r="W80" s="3524">
        <v>500000</v>
      </c>
      <c r="X80" s="3525">
        <f t="shared" si="58"/>
        <v>202.26451201360834</v>
      </c>
      <c r="Y80" s="3525">
        <f t="shared" si="58"/>
        <v>2831.7031681905164</v>
      </c>
      <c r="Z80" s="3525">
        <f t="shared" si="58"/>
        <v>1011.3225600680416</v>
      </c>
      <c r="AA80" s="3538">
        <v>0</v>
      </c>
      <c r="AB80" s="3538">
        <v>0</v>
      </c>
      <c r="AC80" s="3538">
        <v>0</v>
      </c>
      <c r="AD80" s="3539">
        <v>0</v>
      </c>
      <c r="AE80" s="3539">
        <v>0</v>
      </c>
      <c r="AF80" s="3539">
        <v>0</v>
      </c>
      <c r="AG80" s="3539">
        <v>0</v>
      </c>
      <c r="AH80" s="3539">
        <v>0</v>
      </c>
      <c r="AI80" s="3539">
        <v>0</v>
      </c>
      <c r="AJ80" s="3540"/>
      <c r="AK80" s="3529"/>
      <c r="AL80" s="3540" t="s">
        <v>3132</v>
      </c>
      <c r="AM80" s="3540" t="s">
        <v>3133</v>
      </c>
      <c r="AN80" s="3530">
        <f t="shared" si="30"/>
        <v>130.25834573676377</v>
      </c>
      <c r="AO80" s="3530">
        <f t="shared" si="31"/>
        <v>0</v>
      </c>
      <c r="AP80" s="3530">
        <f t="shared" si="32"/>
        <v>1823.6168403146926</v>
      </c>
      <c r="AQ80" s="3530">
        <f t="shared" si="33"/>
        <v>0</v>
      </c>
      <c r="AR80" s="3530">
        <f t="shared" si="34"/>
        <v>651.29172868381886</v>
      </c>
      <c r="AS80" s="3530">
        <f t="shared" si="35"/>
        <v>0</v>
      </c>
      <c r="AT80" s="3530">
        <f t="shared" si="54"/>
        <v>0</v>
      </c>
      <c r="AU80" s="3530">
        <f t="shared" si="55"/>
        <v>0</v>
      </c>
      <c r="AV80" s="3530">
        <f t="shared" si="56"/>
        <v>0</v>
      </c>
      <c r="AW80" s="3530">
        <f t="shared" si="57"/>
        <v>0</v>
      </c>
      <c r="AX80" s="3531" t="s">
        <v>3134</v>
      </c>
      <c r="AY80" s="3532">
        <f t="shared" si="51"/>
        <v>75</v>
      </c>
      <c r="AZ80" s="3532"/>
      <c r="BC80" s="3673"/>
      <c r="BD80" s="3603" t="s">
        <v>1522</v>
      </c>
      <c r="BE80" s="3705">
        <v>7.2460905986869925E-2</v>
      </c>
      <c r="BF80" s="3705">
        <v>8.8252530227728915E-2</v>
      </c>
      <c r="BG80" s="3705">
        <v>8.6818134533904537E-2</v>
      </c>
      <c r="BH80" s="3705">
        <v>0.112972975898062</v>
      </c>
      <c r="BI80" s="3705">
        <v>0.16818966777574407</v>
      </c>
      <c r="BJ80" s="3705">
        <v>0.22451562646695636</v>
      </c>
      <c r="BK80" s="3705">
        <v>0.23768402596931945</v>
      </c>
      <c r="BL80" s="3705">
        <v>0.23235777901240171</v>
      </c>
      <c r="BM80" s="3705">
        <v>0.23092674089537843</v>
      </c>
      <c r="BN80" s="3705">
        <v>0.19903319604706293</v>
      </c>
      <c r="BO80" s="3705">
        <v>0.13102712734310781</v>
      </c>
      <c r="BP80" s="3705">
        <v>8.348100615458294E-2</v>
      </c>
      <c r="BQ80" s="3705">
        <v>7.2460905986869925E-2</v>
      </c>
      <c r="BR80" s="3705">
        <v>8.8252530227728915E-2</v>
      </c>
      <c r="BS80" s="3705">
        <v>8.6818134533904537E-2</v>
      </c>
      <c r="BT80" s="3705">
        <v>0.112972975898062</v>
      </c>
      <c r="BU80" s="3705">
        <v>0.16818966777574407</v>
      </c>
      <c r="BV80" s="3705">
        <v>0.22451562646695636</v>
      </c>
      <c r="BW80" s="3705">
        <v>0.23768402596931945</v>
      </c>
      <c r="BX80" s="3705">
        <v>0.23235777901240171</v>
      </c>
      <c r="BY80" s="3705">
        <v>0.23092674089537843</v>
      </c>
      <c r="BZ80" s="3705">
        <v>0.19903319604706293</v>
      </c>
      <c r="CA80" s="3705">
        <v>0.13102712734310781</v>
      </c>
      <c r="CB80" s="3704">
        <v>8.348100615458294E-2</v>
      </c>
    </row>
    <row r="81" spans="18:80" ht="30">
      <c r="R81" s="3521">
        <f t="shared" si="50"/>
        <v>76</v>
      </c>
      <c r="S81" s="3522" t="s">
        <v>3155</v>
      </c>
      <c r="T81" s="3523" t="s">
        <v>3329</v>
      </c>
      <c r="U81" s="3524">
        <v>500000</v>
      </c>
      <c r="V81" s="3524">
        <v>500000</v>
      </c>
      <c r="W81" s="3524">
        <v>250000</v>
      </c>
      <c r="X81" s="3547" t="s">
        <v>3150</v>
      </c>
      <c r="Y81" s="3547" t="s">
        <v>3150</v>
      </c>
      <c r="Z81" s="3547" t="s">
        <v>3150</v>
      </c>
      <c r="AA81" s="3538">
        <v>0</v>
      </c>
      <c r="AB81" s="3538">
        <v>0</v>
      </c>
      <c r="AC81" s="3538">
        <v>0</v>
      </c>
      <c r="AD81" s="3539">
        <v>0</v>
      </c>
      <c r="AE81" s="3539">
        <v>0</v>
      </c>
      <c r="AF81" s="3539">
        <v>5000</v>
      </c>
      <c r="AG81" s="3539">
        <v>5000</v>
      </c>
      <c r="AH81" s="3539">
        <v>0</v>
      </c>
      <c r="AI81" s="3539">
        <v>0</v>
      </c>
      <c r="AJ81" s="3540" t="s">
        <v>3161</v>
      </c>
      <c r="AK81" s="3529"/>
      <c r="AL81" s="3529" t="s">
        <v>839</v>
      </c>
      <c r="AM81" s="3529" t="s">
        <v>3152</v>
      </c>
      <c r="AN81" s="3530"/>
      <c r="AO81" s="3530"/>
      <c r="AP81" s="3530"/>
      <c r="AQ81" s="3530"/>
      <c r="AR81" s="3530"/>
      <c r="AS81" s="3530"/>
      <c r="AT81" s="3530">
        <f t="shared" si="54"/>
        <v>0</v>
      </c>
      <c r="AU81" s="3530">
        <f t="shared" si="55"/>
        <v>0</v>
      </c>
      <c r="AV81" s="3530">
        <f t="shared" si="56"/>
        <v>0</v>
      </c>
      <c r="AW81" s="3530">
        <f t="shared" si="57"/>
        <v>0</v>
      </c>
      <c r="AX81" s="3531" t="s">
        <v>3330</v>
      </c>
      <c r="AY81" s="3532">
        <f t="shared" si="51"/>
        <v>76</v>
      </c>
      <c r="AZ81" s="3532"/>
      <c r="BC81" s="3673"/>
      <c r="BD81" s="3603" t="s">
        <v>1521</v>
      </c>
      <c r="BE81" s="3705">
        <v>0.25607046185482796</v>
      </c>
      <c r="BF81" s="3705">
        <v>0.29690561454943304</v>
      </c>
      <c r="BG81" s="3705">
        <v>0.29306720915724416</v>
      </c>
      <c r="BH81" s="3705">
        <v>0.3402110190736054</v>
      </c>
      <c r="BI81" s="3705">
        <v>0.36627773363360583</v>
      </c>
      <c r="BJ81" s="3705">
        <v>0.36080384702603835</v>
      </c>
      <c r="BK81" s="3705">
        <v>0.36561032100943597</v>
      </c>
      <c r="BL81" s="3705">
        <v>0.35275261649924727</v>
      </c>
      <c r="BM81" s="3705">
        <v>0.36650197082970848</v>
      </c>
      <c r="BN81" s="3705">
        <v>0.37436577508317115</v>
      </c>
      <c r="BO81" s="3705">
        <v>0.35592108910663278</v>
      </c>
      <c r="BP81" s="3705">
        <v>0.28414947083560765</v>
      </c>
      <c r="BQ81" s="3705">
        <v>0.25607046185482796</v>
      </c>
      <c r="BR81" s="3705">
        <v>0.29690561454943304</v>
      </c>
      <c r="BS81" s="3705">
        <v>0.29306720915724416</v>
      </c>
      <c r="BT81" s="3705">
        <v>0.3402110190736054</v>
      </c>
      <c r="BU81" s="3705">
        <v>0.36627773363360583</v>
      </c>
      <c r="BV81" s="3705">
        <v>0.36080384702603835</v>
      </c>
      <c r="BW81" s="3705">
        <v>0.36561032100943597</v>
      </c>
      <c r="BX81" s="3705">
        <v>0.35275261649924727</v>
      </c>
      <c r="BY81" s="3705">
        <v>0.36650197082970848</v>
      </c>
      <c r="BZ81" s="3705">
        <v>0.37436577508317115</v>
      </c>
      <c r="CA81" s="3705">
        <v>0.35592108910663278</v>
      </c>
      <c r="CB81" s="3704">
        <v>0.28414947083560765</v>
      </c>
    </row>
    <row r="82" spans="18:80" ht="45">
      <c r="R82" s="3521">
        <f t="shared" si="50"/>
        <v>77</v>
      </c>
      <c r="S82" s="3522" t="s">
        <v>3155</v>
      </c>
      <c r="T82" s="3523" t="s">
        <v>3331</v>
      </c>
      <c r="U82" s="3524">
        <v>8250000</v>
      </c>
      <c r="V82" s="3524">
        <v>9040634</v>
      </c>
      <c r="W82" s="3524">
        <v>10000000</v>
      </c>
      <c r="X82" s="3525">
        <f>U82*$T$4*$T$3</f>
        <v>16686.822241122685</v>
      </c>
      <c r="Y82" s="3525">
        <f>V82*$T$4*$T$3</f>
        <v>18285.994243036359</v>
      </c>
      <c r="Z82" s="3525">
        <f>W82*$T$4*$T$3</f>
        <v>20226.451201360833</v>
      </c>
      <c r="AA82" s="3538">
        <v>0</v>
      </c>
      <c r="AB82" s="3538">
        <v>0</v>
      </c>
      <c r="AC82" s="3538">
        <v>10000</v>
      </c>
      <c r="AD82" s="3539">
        <v>0</v>
      </c>
      <c r="AE82" s="3539">
        <v>0</v>
      </c>
      <c r="AF82" s="3539">
        <v>0</v>
      </c>
      <c r="AG82" s="3539">
        <v>0</v>
      </c>
      <c r="AH82" s="3539">
        <v>0</v>
      </c>
      <c r="AI82" s="3539">
        <v>0</v>
      </c>
      <c r="AJ82" s="3540"/>
      <c r="AK82" s="3529" t="s">
        <v>3167</v>
      </c>
      <c r="AL82" s="3540" t="s">
        <v>3132</v>
      </c>
      <c r="AM82" s="3529" t="s">
        <v>3195</v>
      </c>
      <c r="AN82" s="3530">
        <f t="shared" ref="AN82:AN88" si="59">IF(AA82&gt;0,AA82*(VLOOKUP($AM82,$AG$129:$AI$137,2,FALSE)),IF($AM82=$AG$137,$AH$137,X82*(VLOOKUP($AM82,$AG$129:$AI$137,2,FALSE))))</f>
        <v>11170.659412874758</v>
      </c>
      <c r="AO82" s="3530">
        <f t="shared" ref="AO82:AO88" si="60">IF(AA82&gt;0,AA82*(VLOOKUP($AM82,$AG$129:$AI$137,3,FALSE)),IF($AM82=$AG$137,$AH$137,X82*(VLOOKUP($AM82,$AG$129:$AI$137,3,FALSE))))</f>
        <v>0</v>
      </c>
      <c r="AP82" s="3530">
        <f t="shared" ref="AP82:AP88" si="61">IF(AB82&gt;0,AB82*(VLOOKUP($AM82,$AG$129:$AI$137,2,FALSE)),IF($AM82=$AG$137,$AH$137,Y82*(VLOOKUP($AM82,$AG$129:$AI$137,2,FALSE))))</f>
        <v>12241.19312611583</v>
      </c>
      <c r="AQ82" s="3530">
        <f t="shared" ref="AQ82:AQ88" si="62">IF(AB82&gt;0,AB82*(VLOOKUP($AM82,$AG$129:$AI$137,3,FALSE)),IF($AM82=$AG$137,$AH$137,Y82*(VLOOKUP($AM82,$AG$129:$AI$137,3,FALSE))))</f>
        <v>0</v>
      </c>
      <c r="AR82" s="3530">
        <f t="shared" ref="AR82:AR88" si="63">IF(AC82&gt;0,AC82*(VLOOKUP($AM82,$AG$129:$AI$137,2,FALSE)),IF($AM82=$AG$137,$AH$137,Z82*(VLOOKUP($AM82,$AG$129:$AI$137,2,FALSE))))</f>
        <v>6694.2999999999993</v>
      </c>
      <c r="AS82" s="3530">
        <f t="shared" ref="AS82:AS88" si="64">IF(AC82&gt;0,AC82*(VLOOKUP($AM82,$AG$129:$AI$137,3,FALSE)),IF($AM82=$AG$137,$AH$137,Z82*(VLOOKUP($AM82,$AG$129:$AI$137,3,FALSE))))</f>
        <v>0</v>
      </c>
      <c r="AT82" s="3530">
        <f t="shared" si="54"/>
        <v>0</v>
      </c>
      <c r="AU82" s="3530">
        <f t="shared" si="55"/>
        <v>0</v>
      </c>
      <c r="AV82" s="3530">
        <f t="shared" si="56"/>
        <v>0</v>
      </c>
      <c r="AW82" s="3530">
        <f t="shared" si="57"/>
        <v>0</v>
      </c>
      <c r="AX82" s="3531" t="s">
        <v>3332</v>
      </c>
      <c r="AY82" s="3532">
        <f t="shared" si="51"/>
        <v>77</v>
      </c>
      <c r="AZ82" s="3532"/>
      <c r="BC82" s="3673"/>
      <c r="BD82" s="3603" t="s">
        <v>1520</v>
      </c>
      <c r="BE82" s="3705">
        <v>0.6594270522479182</v>
      </c>
      <c r="BF82" s="3705">
        <v>0.60310404320843358</v>
      </c>
      <c r="BG82" s="3705">
        <v>0.60549936060600251</v>
      </c>
      <c r="BH82" s="3705">
        <v>0.53711124215639705</v>
      </c>
      <c r="BI82" s="3705">
        <v>0.44693350382138564</v>
      </c>
      <c r="BJ82" s="3705">
        <v>0.39542635896636746</v>
      </c>
      <c r="BK82" s="3705">
        <v>0.38304187690831931</v>
      </c>
      <c r="BL82" s="3705">
        <v>0.39328090680424438</v>
      </c>
      <c r="BM82" s="3705">
        <v>0.3788746561080279</v>
      </c>
      <c r="BN82" s="3705">
        <v>0.40495334406423711</v>
      </c>
      <c r="BO82" s="3705">
        <v>0.49422715503935838</v>
      </c>
      <c r="BP82" s="3705">
        <v>0.62972410083281249</v>
      </c>
      <c r="BQ82" s="3705">
        <v>0.6594270522479182</v>
      </c>
      <c r="BR82" s="3705">
        <v>0.60310404320843358</v>
      </c>
      <c r="BS82" s="3705">
        <v>0.60549936060600251</v>
      </c>
      <c r="BT82" s="3705">
        <v>0.53711124215639705</v>
      </c>
      <c r="BU82" s="3705">
        <v>0.44693350382138564</v>
      </c>
      <c r="BV82" s="3705">
        <v>0.39542635896636746</v>
      </c>
      <c r="BW82" s="3705">
        <v>0.38304187690831931</v>
      </c>
      <c r="BX82" s="3705">
        <v>0.39328090680424438</v>
      </c>
      <c r="BY82" s="3705">
        <v>0.3788746561080279</v>
      </c>
      <c r="BZ82" s="3705">
        <v>0.40495334406423711</v>
      </c>
      <c r="CA82" s="3705">
        <v>0.49422715503935838</v>
      </c>
      <c r="CB82" s="3704">
        <v>0.62972410083281249</v>
      </c>
    </row>
    <row r="83" spans="18:80" ht="60">
      <c r="R83" s="3521">
        <f t="shared" si="50"/>
        <v>78</v>
      </c>
      <c r="S83" s="3522" t="s">
        <v>3155</v>
      </c>
      <c r="T83" s="3523" t="s">
        <v>3333</v>
      </c>
      <c r="U83" s="3524">
        <v>1133452</v>
      </c>
      <c r="V83" s="3524">
        <v>0</v>
      </c>
      <c r="W83" s="3524">
        <v>0</v>
      </c>
      <c r="X83" s="3547" t="s">
        <v>3150</v>
      </c>
      <c r="Y83" s="3547" t="s">
        <v>3150</v>
      </c>
      <c r="Z83" s="3547" t="s">
        <v>3150</v>
      </c>
      <c r="AA83" s="3538">
        <v>0</v>
      </c>
      <c r="AB83" s="3538">
        <v>0</v>
      </c>
      <c r="AC83" s="3538">
        <v>0</v>
      </c>
      <c r="AD83" s="3539">
        <v>0</v>
      </c>
      <c r="AE83" s="3539">
        <v>0</v>
      </c>
      <c r="AF83" s="3539">
        <v>0</v>
      </c>
      <c r="AG83" s="3539">
        <v>0</v>
      </c>
      <c r="AH83" s="3539">
        <v>0</v>
      </c>
      <c r="AI83" s="3539">
        <v>0</v>
      </c>
      <c r="AJ83" s="3540" t="s">
        <v>3151</v>
      </c>
      <c r="AK83" s="3529"/>
      <c r="AL83" s="3540" t="s">
        <v>3132</v>
      </c>
      <c r="AM83" s="3529" t="s">
        <v>3152</v>
      </c>
      <c r="AN83" s="3530">
        <f t="shared" si="59"/>
        <v>0</v>
      </c>
      <c r="AO83" s="3530">
        <f t="shared" si="60"/>
        <v>0</v>
      </c>
      <c r="AP83" s="3530">
        <f t="shared" si="61"/>
        <v>0</v>
      </c>
      <c r="AQ83" s="3530">
        <f t="shared" si="62"/>
        <v>0</v>
      </c>
      <c r="AR83" s="3530">
        <f t="shared" si="63"/>
        <v>0</v>
      </c>
      <c r="AS83" s="3530">
        <f t="shared" si="64"/>
        <v>0</v>
      </c>
      <c r="AT83" s="3530">
        <f t="shared" si="54"/>
        <v>0</v>
      </c>
      <c r="AU83" s="3530">
        <f t="shared" si="55"/>
        <v>0</v>
      </c>
      <c r="AV83" s="3530">
        <f t="shared" si="56"/>
        <v>0</v>
      </c>
      <c r="AW83" s="3530">
        <f t="shared" si="57"/>
        <v>0</v>
      </c>
      <c r="AX83" s="3531" t="s">
        <v>3334</v>
      </c>
      <c r="AY83" s="3532">
        <f t="shared" si="51"/>
        <v>78</v>
      </c>
      <c r="AZ83" s="3532"/>
      <c r="BC83" s="3673"/>
      <c r="BD83" s="3603" t="s">
        <v>1519</v>
      </c>
      <c r="BE83" s="3705">
        <v>1.2041579910383998E-2</v>
      </c>
      <c r="BF83" s="3705">
        <v>1.1737812014404443E-2</v>
      </c>
      <c r="BG83" s="3705">
        <v>1.4615295702848915E-2</v>
      </c>
      <c r="BH83" s="3705">
        <v>9.7047628719357185E-3</v>
      </c>
      <c r="BI83" s="3705">
        <v>1.8599094769264381E-2</v>
      </c>
      <c r="BJ83" s="3705">
        <v>1.9254167540637818E-2</v>
      </c>
      <c r="BK83" s="3705">
        <v>1.3663776112925258E-2</v>
      </c>
      <c r="BL83" s="3705">
        <v>2.160869768410657E-2</v>
      </c>
      <c r="BM83" s="3705">
        <v>2.3696632166885268E-2</v>
      </c>
      <c r="BN83" s="3705">
        <v>2.1647684805528807E-2</v>
      </c>
      <c r="BO83" s="3705">
        <v>1.8824628510901026E-2</v>
      </c>
      <c r="BP83" s="3705">
        <v>2.6454221769969853E-3</v>
      </c>
      <c r="BQ83" s="3705">
        <v>1.2041579910383998E-2</v>
      </c>
      <c r="BR83" s="3705">
        <v>1.1737812014404443E-2</v>
      </c>
      <c r="BS83" s="3705">
        <v>1.4615295702848915E-2</v>
      </c>
      <c r="BT83" s="3705">
        <v>9.7047628719357185E-3</v>
      </c>
      <c r="BU83" s="3705">
        <v>1.8599094769264381E-2</v>
      </c>
      <c r="BV83" s="3705">
        <v>1.9254167540637818E-2</v>
      </c>
      <c r="BW83" s="3705">
        <v>1.3663776112925258E-2</v>
      </c>
      <c r="BX83" s="3705">
        <v>2.160869768410657E-2</v>
      </c>
      <c r="BY83" s="3705">
        <v>2.3696632166885268E-2</v>
      </c>
      <c r="BZ83" s="3705">
        <v>2.1647684805528807E-2</v>
      </c>
      <c r="CA83" s="3705">
        <v>1.8824628510901026E-2</v>
      </c>
      <c r="CB83" s="3704">
        <v>2.6454221769969853E-3</v>
      </c>
    </row>
    <row r="84" spans="18:80" ht="75">
      <c r="R84" s="3521">
        <f t="shared" si="50"/>
        <v>79</v>
      </c>
      <c r="S84" s="3522" t="s">
        <v>3130</v>
      </c>
      <c r="T84" s="3523" t="s">
        <v>3335</v>
      </c>
      <c r="U84" s="3524">
        <v>185540</v>
      </c>
      <c r="V84" s="3524">
        <v>0</v>
      </c>
      <c r="W84" s="3524">
        <v>0</v>
      </c>
      <c r="X84" s="3525">
        <f>U84*$T$4*$T$3</f>
        <v>375.28157559004887</v>
      </c>
      <c r="Y84" s="3525">
        <f>V84*$T$4*$T$3</f>
        <v>0</v>
      </c>
      <c r="Z84" s="3525">
        <f>W84*$T$4*$T$3</f>
        <v>0</v>
      </c>
      <c r="AA84" s="3538"/>
      <c r="AB84" s="3538"/>
      <c r="AC84" s="3538"/>
      <c r="AD84" s="3539">
        <v>30000</v>
      </c>
      <c r="AE84" s="3539">
        <v>30000</v>
      </c>
      <c r="AF84" s="3539"/>
      <c r="AG84" s="3539"/>
      <c r="AH84" s="3539"/>
      <c r="AI84" s="3539"/>
      <c r="AJ84" s="3540"/>
      <c r="AK84" s="3529" t="s">
        <v>2863</v>
      </c>
      <c r="AL84" s="3529" t="s">
        <v>3132</v>
      </c>
      <c r="AM84" s="3529" t="s">
        <v>3133</v>
      </c>
      <c r="AN84" s="3530">
        <f t="shared" si="59"/>
        <v>241.68133467999149</v>
      </c>
      <c r="AO84" s="3530">
        <f t="shared" si="60"/>
        <v>0</v>
      </c>
      <c r="AP84" s="3530">
        <f t="shared" si="61"/>
        <v>0</v>
      </c>
      <c r="AQ84" s="3530">
        <f t="shared" si="62"/>
        <v>0</v>
      </c>
      <c r="AR84" s="3530">
        <f t="shared" si="63"/>
        <v>0</v>
      </c>
      <c r="AS84" s="3530">
        <f t="shared" si="64"/>
        <v>0</v>
      </c>
      <c r="AT84" s="3530">
        <f t="shared" si="54"/>
        <v>19320</v>
      </c>
      <c r="AU84" s="3530">
        <f t="shared" si="55"/>
        <v>0</v>
      </c>
      <c r="AV84" s="3530">
        <f t="shared" si="56"/>
        <v>19320</v>
      </c>
      <c r="AW84" s="3530">
        <f t="shared" si="57"/>
        <v>0</v>
      </c>
      <c r="AX84" s="3531" t="s">
        <v>3336</v>
      </c>
      <c r="AY84" s="3532">
        <f t="shared" si="51"/>
        <v>79</v>
      </c>
      <c r="AZ84" s="3532"/>
      <c r="BC84" s="3673"/>
      <c r="BD84" s="3603" t="s">
        <v>1518</v>
      </c>
      <c r="BE84" s="3705">
        <v>0</v>
      </c>
      <c r="BF84" s="3705">
        <v>0</v>
      </c>
      <c r="BG84" s="3705">
        <v>0</v>
      </c>
      <c r="BH84" s="3705">
        <v>0</v>
      </c>
      <c r="BI84" s="3705">
        <v>0</v>
      </c>
      <c r="BJ84" s="3705">
        <v>0</v>
      </c>
      <c r="BK84" s="3705">
        <v>0</v>
      </c>
      <c r="BL84" s="3705">
        <v>0</v>
      </c>
      <c r="BM84" s="3705">
        <v>0</v>
      </c>
      <c r="BN84" s="3705">
        <v>0</v>
      </c>
      <c r="BO84" s="3705">
        <v>0</v>
      </c>
      <c r="BP84" s="3705">
        <v>0</v>
      </c>
      <c r="BQ84" s="3705">
        <v>0</v>
      </c>
      <c r="BR84" s="3705">
        <v>0</v>
      </c>
      <c r="BS84" s="3705">
        <v>0</v>
      </c>
      <c r="BT84" s="3705">
        <v>0</v>
      </c>
      <c r="BU84" s="3705">
        <v>0</v>
      </c>
      <c r="BV84" s="3705">
        <v>0</v>
      </c>
      <c r="BW84" s="3705">
        <v>0</v>
      </c>
      <c r="BX84" s="3705">
        <v>0</v>
      </c>
      <c r="BY84" s="3705">
        <v>0</v>
      </c>
      <c r="BZ84" s="3705">
        <v>0</v>
      </c>
      <c r="CA84" s="3705">
        <v>0</v>
      </c>
      <c r="CB84" s="3704">
        <v>0</v>
      </c>
    </row>
    <row r="85" spans="18:80" ht="30">
      <c r="R85" s="3521">
        <f t="shared" si="50"/>
        <v>80</v>
      </c>
      <c r="S85" s="3522" t="s">
        <v>3130</v>
      </c>
      <c r="T85" s="3523" t="s">
        <v>3337</v>
      </c>
      <c r="U85" s="3524">
        <v>250002</v>
      </c>
      <c r="V85" s="3524">
        <v>250000</v>
      </c>
      <c r="W85" s="3524">
        <v>249996</v>
      </c>
      <c r="X85" s="3547" t="s">
        <v>3150</v>
      </c>
      <c r="Y85" s="3547" t="s">
        <v>3150</v>
      </c>
      <c r="Z85" s="3547" t="s">
        <v>3150</v>
      </c>
      <c r="AA85" s="3538">
        <v>0</v>
      </c>
      <c r="AB85" s="3538">
        <v>0</v>
      </c>
      <c r="AC85" s="3538">
        <v>0</v>
      </c>
      <c r="AD85" s="3539">
        <v>0</v>
      </c>
      <c r="AE85" s="3539">
        <v>0</v>
      </c>
      <c r="AF85" s="3539">
        <v>0</v>
      </c>
      <c r="AG85" s="3539">
        <v>0</v>
      </c>
      <c r="AH85" s="3539">
        <v>0</v>
      </c>
      <c r="AI85" s="3539">
        <v>0</v>
      </c>
      <c r="AJ85" s="3540" t="s">
        <v>3151</v>
      </c>
      <c r="AK85" s="3529"/>
      <c r="AL85" s="3529" t="s">
        <v>3132</v>
      </c>
      <c r="AM85" s="3529" t="s">
        <v>3152</v>
      </c>
      <c r="AN85" s="3530">
        <f t="shared" si="59"/>
        <v>0</v>
      </c>
      <c r="AO85" s="3530">
        <f t="shared" si="60"/>
        <v>0</v>
      </c>
      <c r="AP85" s="3530">
        <f t="shared" si="61"/>
        <v>0</v>
      </c>
      <c r="AQ85" s="3530">
        <f t="shared" si="62"/>
        <v>0</v>
      </c>
      <c r="AR85" s="3530">
        <f t="shared" si="63"/>
        <v>0</v>
      </c>
      <c r="AS85" s="3530">
        <f t="shared" si="64"/>
        <v>0</v>
      </c>
      <c r="AT85" s="3530">
        <f t="shared" si="54"/>
        <v>0</v>
      </c>
      <c r="AU85" s="3530">
        <f t="shared" si="55"/>
        <v>0</v>
      </c>
      <c r="AV85" s="3530">
        <f t="shared" si="56"/>
        <v>0</v>
      </c>
      <c r="AW85" s="3530">
        <f t="shared" si="57"/>
        <v>0</v>
      </c>
      <c r="AX85" s="3550" t="s">
        <v>3338</v>
      </c>
      <c r="AY85" s="3532">
        <f t="shared" si="51"/>
        <v>80</v>
      </c>
      <c r="AZ85" s="3532"/>
      <c r="BC85" s="3673"/>
      <c r="CB85" s="3672"/>
    </row>
    <row r="86" spans="18:80" ht="25.5">
      <c r="R86" s="3521">
        <f t="shared" si="50"/>
        <v>81</v>
      </c>
      <c r="S86" s="3522" t="s">
        <v>3155</v>
      </c>
      <c r="T86" s="3523" t="s">
        <v>3339</v>
      </c>
      <c r="U86" s="3524">
        <v>4717625</v>
      </c>
      <c r="V86" s="3524">
        <v>0</v>
      </c>
      <c r="W86" s="3524">
        <v>0</v>
      </c>
      <c r="X86" s="3525">
        <f t="shared" ref="X86:Z88" si="65">U86*$T$4*$T$3</f>
        <v>9542.0811848819903</v>
      </c>
      <c r="Y86" s="3525">
        <f t="shared" si="65"/>
        <v>0</v>
      </c>
      <c r="Z86" s="3525">
        <f t="shared" si="65"/>
        <v>0</v>
      </c>
      <c r="AA86" s="3538">
        <v>0</v>
      </c>
      <c r="AB86" s="3538">
        <v>0</v>
      </c>
      <c r="AC86" s="3538">
        <v>0</v>
      </c>
      <c r="AD86" s="3539">
        <v>0</v>
      </c>
      <c r="AE86" s="3539">
        <v>0</v>
      </c>
      <c r="AF86" s="3539">
        <v>0</v>
      </c>
      <c r="AG86" s="3539">
        <v>0</v>
      </c>
      <c r="AH86" s="3539">
        <v>0</v>
      </c>
      <c r="AI86" s="3539">
        <v>0</v>
      </c>
      <c r="AJ86" s="3540" t="s">
        <v>3151</v>
      </c>
      <c r="AK86" s="3529"/>
      <c r="AL86" s="3529" t="s">
        <v>3132</v>
      </c>
      <c r="AM86" s="3529" t="s">
        <v>3133</v>
      </c>
      <c r="AN86" s="3530">
        <f t="shared" si="59"/>
        <v>6145.1002830640018</v>
      </c>
      <c r="AO86" s="3530">
        <f t="shared" si="60"/>
        <v>0</v>
      </c>
      <c r="AP86" s="3530">
        <f t="shared" si="61"/>
        <v>0</v>
      </c>
      <c r="AQ86" s="3530">
        <f t="shared" si="62"/>
        <v>0</v>
      </c>
      <c r="AR86" s="3530">
        <f t="shared" si="63"/>
        <v>0</v>
      </c>
      <c r="AS86" s="3530">
        <f t="shared" si="64"/>
        <v>0</v>
      </c>
      <c r="AT86" s="3530">
        <f t="shared" si="54"/>
        <v>0</v>
      </c>
      <c r="AU86" s="3530">
        <f t="shared" si="55"/>
        <v>0</v>
      </c>
      <c r="AV86" s="3530">
        <f t="shared" si="56"/>
        <v>0</v>
      </c>
      <c r="AW86" s="3530">
        <f t="shared" si="57"/>
        <v>0</v>
      </c>
      <c r="AX86" s="3531" t="s">
        <v>3134</v>
      </c>
      <c r="AY86" s="3532">
        <f t="shared" si="51"/>
        <v>81</v>
      </c>
      <c r="AZ86" s="3532"/>
      <c r="BC86" s="3673"/>
      <c r="BD86" s="3603" t="s">
        <v>3432</v>
      </c>
      <c r="CB86" s="3672"/>
    </row>
    <row r="87" spans="18:80" ht="30">
      <c r="R87" s="3521">
        <f t="shared" si="50"/>
        <v>82</v>
      </c>
      <c r="S87" s="3522" t="s">
        <v>3340</v>
      </c>
      <c r="T87" s="3523" t="s">
        <v>3341</v>
      </c>
      <c r="U87" s="3524">
        <v>33749995.571428567</v>
      </c>
      <c r="V87" s="3524">
        <v>35249997</v>
      </c>
      <c r="W87" s="3524">
        <v>60249995</v>
      </c>
      <c r="X87" s="3525">
        <f t="shared" si="65"/>
        <v>68264.263847164417</v>
      </c>
      <c r="Y87" s="3525">
        <f t="shared" si="65"/>
        <v>71298.234416861567</v>
      </c>
      <c r="Z87" s="3525">
        <f t="shared" si="65"/>
        <v>121864.35837497341</v>
      </c>
      <c r="AA87" s="3538">
        <v>0</v>
      </c>
      <c r="AB87" s="3538">
        <v>0</v>
      </c>
      <c r="AC87" s="3538">
        <v>0</v>
      </c>
      <c r="AD87" s="3539">
        <v>53000000</v>
      </c>
      <c r="AE87" s="3539">
        <v>53000000</v>
      </c>
      <c r="AF87" s="3539">
        <v>0</v>
      </c>
      <c r="AG87" s="3539">
        <v>0</v>
      </c>
      <c r="AH87" s="3539">
        <v>0</v>
      </c>
      <c r="AI87" s="3539">
        <v>0</v>
      </c>
      <c r="AJ87" s="3540" t="s">
        <v>3201</v>
      </c>
      <c r="AK87" s="3529" t="s">
        <v>3167</v>
      </c>
      <c r="AL87" s="3529" t="s">
        <v>3132</v>
      </c>
      <c r="AM87" s="3529" t="s">
        <v>3195</v>
      </c>
      <c r="AN87" s="3530">
        <f t="shared" si="59"/>
        <v>45698.146147207277</v>
      </c>
      <c r="AO87" s="3530">
        <f t="shared" si="60"/>
        <v>0</v>
      </c>
      <c r="AP87" s="3530">
        <f t="shared" si="61"/>
        <v>47729.177065679636</v>
      </c>
      <c r="AQ87" s="3530">
        <f t="shared" si="62"/>
        <v>0</v>
      </c>
      <c r="AR87" s="3530">
        <f t="shared" si="63"/>
        <v>81579.657426958453</v>
      </c>
      <c r="AS87" s="3530">
        <f t="shared" si="64"/>
        <v>0</v>
      </c>
      <c r="AT87" s="3562">
        <f t="shared" si="54"/>
        <v>35479790</v>
      </c>
      <c r="AU87" s="3562">
        <f t="shared" si="55"/>
        <v>0</v>
      </c>
      <c r="AV87" s="3562">
        <f t="shared" si="56"/>
        <v>35479790</v>
      </c>
      <c r="AW87" s="3562">
        <f t="shared" si="57"/>
        <v>0</v>
      </c>
      <c r="AX87" s="3531" t="s">
        <v>3342</v>
      </c>
      <c r="AY87" s="3532">
        <f t="shared" si="51"/>
        <v>82</v>
      </c>
      <c r="AZ87" s="3532"/>
      <c r="BC87" s="3673"/>
      <c r="BD87" s="3603" t="s">
        <v>1522</v>
      </c>
      <c r="BE87" s="3705">
        <v>2.8590353070704223E-3</v>
      </c>
      <c r="BF87" s="3705">
        <v>3.5968467164206484E-3</v>
      </c>
      <c r="BG87" s="3705">
        <v>3.6093360530081529E-3</v>
      </c>
      <c r="BH87" s="3705">
        <v>4.1521409781408881E-3</v>
      </c>
      <c r="BI87" s="3705">
        <v>6.2428234192736711E-3</v>
      </c>
      <c r="BJ87" s="3705">
        <v>5.8417261412805109E-3</v>
      </c>
      <c r="BK87" s="3705">
        <v>6.3284120577597547E-3</v>
      </c>
      <c r="BL87" s="3705">
        <v>6.1430607663073107E-3</v>
      </c>
      <c r="BM87" s="3705">
        <v>5.4181027046879731E-3</v>
      </c>
      <c r="BN87" s="3705">
        <v>5.3045708656099533E-3</v>
      </c>
      <c r="BO87" s="3705">
        <v>3.8990951603807013E-3</v>
      </c>
      <c r="BP87" s="3705">
        <v>3.2074949834638273E-3</v>
      </c>
      <c r="BQ87" s="3705">
        <v>2.8590353070704223E-3</v>
      </c>
      <c r="BR87" s="3705">
        <v>3.5968467164206484E-3</v>
      </c>
      <c r="BS87" s="3705">
        <v>3.6093360530081529E-3</v>
      </c>
      <c r="BT87" s="3705">
        <v>4.1521409781408881E-3</v>
      </c>
      <c r="BU87" s="3705">
        <v>6.2428234192736711E-3</v>
      </c>
      <c r="BV87" s="3705">
        <v>5.8417261412805109E-3</v>
      </c>
      <c r="BW87" s="3705">
        <v>6.3284120577597547E-3</v>
      </c>
      <c r="BX87" s="3705">
        <v>6.1430607663073107E-3</v>
      </c>
      <c r="BY87" s="3705">
        <v>5.4181027046879731E-3</v>
      </c>
      <c r="BZ87" s="3705">
        <v>5.3045708656099533E-3</v>
      </c>
      <c r="CA87" s="3705">
        <v>3.8990951603807013E-3</v>
      </c>
      <c r="CB87" s="3704">
        <v>3.2074949834638273E-3</v>
      </c>
    </row>
    <row r="88" spans="18:80" ht="60">
      <c r="R88" s="3521">
        <f t="shared" si="50"/>
        <v>83</v>
      </c>
      <c r="S88" s="3522" t="s">
        <v>3155</v>
      </c>
      <c r="T88" s="3523" t="s">
        <v>3343</v>
      </c>
      <c r="U88" s="3524">
        <v>13000004</v>
      </c>
      <c r="V88" s="3524">
        <v>9999994</v>
      </c>
      <c r="W88" s="3524">
        <v>9999994</v>
      </c>
      <c r="X88" s="3525">
        <f t="shared" si="65"/>
        <v>26294.394652349562</v>
      </c>
      <c r="Y88" s="3525">
        <f t="shared" si="65"/>
        <v>20226.439065490111</v>
      </c>
      <c r="Z88" s="3525">
        <f t="shared" si="65"/>
        <v>20226.439065490111</v>
      </c>
      <c r="AA88" s="3538">
        <v>0</v>
      </c>
      <c r="AB88" s="3538">
        <v>0</v>
      </c>
      <c r="AC88" s="3538">
        <v>0</v>
      </c>
      <c r="AD88" s="3539">
        <v>12700000</v>
      </c>
      <c r="AE88" s="3539">
        <v>12700000</v>
      </c>
      <c r="AF88" s="3539">
        <v>0</v>
      </c>
      <c r="AG88" s="3539">
        <v>0</v>
      </c>
      <c r="AH88" s="3539">
        <v>0</v>
      </c>
      <c r="AI88" s="3539">
        <v>0</v>
      </c>
      <c r="AJ88" s="3540"/>
      <c r="AK88" s="3529" t="s">
        <v>3167</v>
      </c>
      <c r="AL88" s="3529" t="s">
        <v>3132</v>
      </c>
      <c r="AM88" s="3529" t="s">
        <v>3195</v>
      </c>
      <c r="AN88" s="3530">
        <f t="shared" si="59"/>
        <v>17602.256612122364</v>
      </c>
      <c r="AO88" s="3530">
        <f t="shared" si="60"/>
        <v>0</v>
      </c>
      <c r="AP88" s="3530">
        <f t="shared" si="61"/>
        <v>13540.185103611044</v>
      </c>
      <c r="AQ88" s="3530">
        <f t="shared" si="62"/>
        <v>0</v>
      </c>
      <c r="AR88" s="3530">
        <f t="shared" si="63"/>
        <v>13540.185103611044</v>
      </c>
      <c r="AS88" s="3530">
        <f t="shared" si="64"/>
        <v>0</v>
      </c>
      <c r="AT88" s="3530">
        <f t="shared" si="54"/>
        <v>8501761</v>
      </c>
      <c r="AU88" s="3530">
        <f t="shared" si="55"/>
        <v>0</v>
      </c>
      <c r="AV88" s="3530">
        <f t="shared" si="56"/>
        <v>8501761</v>
      </c>
      <c r="AW88" s="3530">
        <f t="shared" si="57"/>
        <v>0</v>
      </c>
      <c r="AX88" s="3531" t="s">
        <v>3344</v>
      </c>
      <c r="AY88" s="3532">
        <f t="shared" si="51"/>
        <v>83</v>
      </c>
      <c r="AZ88" s="3532"/>
      <c r="BC88" s="3673"/>
      <c r="BD88" s="3603" t="s">
        <v>1521</v>
      </c>
      <c r="BE88" s="3705">
        <v>1.1436141228281689E-2</v>
      </c>
      <c r="BF88" s="3705">
        <v>1.4387386865682594E-2</v>
      </c>
      <c r="BG88" s="3705">
        <v>1.4437344212032611E-2</v>
      </c>
      <c r="BH88" s="3705">
        <v>1.6608563912563552E-2</v>
      </c>
      <c r="BI88" s="3705">
        <v>2.4971293677094684E-2</v>
      </c>
      <c r="BJ88" s="3705">
        <v>2.3366904565122044E-2</v>
      </c>
      <c r="BK88" s="3705">
        <v>2.5313648231039019E-2</v>
      </c>
      <c r="BL88" s="3705">
        <v>2.4572243065229243E-2</v>
      </c>
      <c r="BM88" s="3705">
        <v>2.1672410818751892E-2</v>
      </c>
      <c r="BN88" s="3705">
        <v>2.1218283462439813E-2</v>
      </c>
      <c r="BO88" s="3705">
        <v>1.5596380641522805E-2</v>
      </c>
      <c r="BP88" s="3705">
        <v>1.2829979933855309E-2</v>
      </c>
      <c r="BQ88" s="3705">
        <v>1.1436141228281689E-2</v>
      </c>
      <c r="BR88" s="3705">
        <v>1.4387386865682594E-2</v>
      </c>
      <c r="BS88" s="3705">
        <v>1.4437344212032611E-2</v>
      </c>
      <c r="BT88" s="3705">
        <v>1.6608563912563552E-2</v>
      </c>
      <c r="BU88" s="3705">
        <v>2.4971293677094684E-2</v>
      </c>
      <c r="BV88" s="3705">
        <v>2.3366904565122044E-2</v>
      </c>
      <c r="BW88" s="3705">
        <v>2.5313648231039019E-2</v>
      </c>
      <c r="BX88" s="3705">
        <v>2.4572243065229243E-2</v>
      </c>
      <c r="BY88" s="3705">
        <v>2.1672410818751892E-2</v>
      </c>
      <c r="BZ88" s="3705">
        <v>2.1218283462439813E-2</v>
      </c>
      <c r="CA88" s="3705">
        <v>1.5596380641522805E-2</v>
      </c>
      <c r="CB88" s="3704">
        <v>1.2829979933855309E-2</v>
      </c>
    </row>
    <row r="89" spans="18:80" ht="30">
      <c r="R89" s="3521">
        <f t="shared" si="50"/>
        <v>84</v>
      </c>
      <c r="S89" s="3522" t="s">
        <v>3155</v>
      </c>
      <c r="T89" s="3523" t="s">
        <v>3345</v>
      </c>
      <c r="U89" s="3524">
        <v>999998</v>
      </c>
      <c r="V89" s="3524">
        <v>999998</v>
      </c>
      <c r="W89" s="3524">
        <v>2000002</v>
      </c>
      <c r="X89" s="3547" t="s">
        <v>3150</v>
      </c>
      <c r="Y89" s="3547" t="s">
        <v>3150</v>
      </c>
      <c r="Z89" s="3547" t="s">
        <v>3150</v>
      </c>
      <c r="AA89" s="3538">
        <v>0</v>
      </c>
      <c r="AB89" s="3538">
        <v>0</v>
      </c>
      <c r="AC89" s="3538">
        <v>0</v>
      </c>
      <c r="AD89" s="3539">
        <v>1058000</v>
      </c>
      <c r="AE89" s="3539">
        <v>949000</v>
      </c>
      <c r="AF89" s="3539">
        <v>0</v>
      </c>
      <c r="AG89" s="3539">
        <v>0</v>
      </c>
      <c r="AH89" s="3539">
        <v>0</v>
      </c>
      <c r="AI89" s="3539">
        <v>0</v>
      </c>
      <c r="AJ89" s="3540" t="s">
        <v>3151</v>
      </c>
      <c r="AK89" s="3529" t="s">
        <v>3167</v>
      </c>
      <c r="AL89" s="3529" t="s">
        <v>880</v>
      </c>
      <c r="AM89" s="3602" t="s">
        <v>880</v>
      </c>
      <c r="AN89" s="3530"/>
      <c r="AO89" s="3530"/>
      <c r="AP89" s="3530"/>
      <c r="AQ89" s="3530"/>
      <c r="AR89" s="3530"/>
      <c r="AS89" s="3530"/>
      <c r="AT89" s="3530">
        <f>AD89</f>
        <v>1058000</v>
      </c>
      <c r="AU89" s="3530">
        <f>AE89</f>
        <v>949000</v>
      </c>
      <c r="AV89" s="3530">
        <f t="shared" si="56"/>
        <v>0</v>
      </c>
      <c r="AW89" s="3530">
        <f t="shared" si="57"/>
        <v>0</v>
      </c>
      <c r="AX89" s="3531" t="s">
        <v>3346</v>
      </c>
      <c r="AY89" s="3532">
        <f t="shared" si="51"/>
        <v>84</v>
      </c>
      <c r="AZ89" s="3532"/>
      <c r="BC89" s="3673"/>
      <c r="BD89" s="3603" t="s">
        <v>1520</v>
      </c>
      <c r="BE89" s="3705">
        <v>0.12865658881816902</v>
      </c>
      <c r="BF89" s="3705">
        <v>0.16185810223892919</v>
      </c>
      <c r="BG89" s="3705">
        <v>0.16242012238536688</v>
      </c>
      <c r="BH89" s="3705">
        <v>0.18684634401633995</v>
      </c>
      <c r="BI89" s="3705">
        <v>0.2809270538673152</v>
      </c>
      <c r="BJ89" s="3705">
        <v>0.26287767635762299</v>
      </c>
      <c r="BK89" s="3705">
        <v>0.28477854259918894</v>
      </c>
      <c r="BL89" s="3705">
        <v>0.27643773448382897</v>
      </c>
      <c r="BM89" s="3705">
        <v>0.2438146217109588</v>
      </c>
      <c r="BN89" s="3705">
        <v>0.23870568895244787</v>
      </c>
      <c r="BO89" s="3705">
        <v>0.17545928221713156</v>
      </c>
      <c r="BP89" s="3705">
        <v>0.14433727425587223</v>
      </c>
      <c r="BQ89" s="3705">
        <v>0.12865658881816902</v>
      </c>
      <c r="BR89" s="3705">
        <v>0.16185810223892919</v>
      </c>
      <c r="BS89" s="3705">
        <v>0.16242012238536688</v>
      </c>
      <c r="BT89" s="3705">
        <v>0.18684634401633995</v>
      </c>
      <c r="BU89" s="3705">
        <v>0.2809270538673152</v>
      </c>
      <c r="BV89" s="3705">
        <v>0.26287767635762299</v>
      </c>
      <c r="BW89" s="3705">
        <v>0.28477854259918894</v>
      </c>
      <c r="BX89" s="3705">
        <v>0.27643773448382897</v>
      </c>
      <c r="BY89" s="3705">
        <v>0.2438146217109588</v>
      </c>
      <c r="BZ89" s="3705">
        <v>0.23870568895244787</v>
      </c>
      <c r="CA89" s="3705">
        <v>0.17545928221713156</v>
      </c>
      <c r="CB89" s="3704">
        <v>0.14433727425587223</v>
      </c>
    </row>
    <row r="90" spans="18:80" ht="60">
      <c r="R90" s="3521">
        <f t="shared" si="50"/>
        <v>85</v>
      </c>
      <c r="S90" s="3522" t="s">
        <v>3130</v>
      </c>
      <c r="T90" s="3523" t="s">
        <v>3347</v>
      </c>
      <c r="U90" s="3524">
        <v>150000</v>
      </c>
      <c r="V90" s="3524">
        <v>149999</v>
      </c>
      <c r="W90" s="3524">
        <v>150000</v>
      </c>
      <c r="X90" s="3547" t="s">
        <v>3150</v>
      </c>
      <c r="Y90" s="3547" t="s">
        <v>3150</v>
      </c>
      <c r="Z90" s="3547" t="s">
        <v>3150</v>
      </c>
      <c r="AA90" s="3607">
        <v>0</v>
      </c>
      <c r="AB90" s="3607">
        <v>0</v>
      </c>
      <c r="AC90" s="3607">
        <v>0</v>
      </c>
      <c r="AD90" s="3608">
        <v>0</v>
      </c>
      <c r="AE90" s="3608">
        <v>0</v>
      </c>
      <c r="AF90" s="3608">
        <v>0</v>
      </c>
      <c r="AG90" s="3608">
        <v>0</v>
      </c>
      <c r="AH90" s="3608">
        <v>0</v>
      </c>
      <c r="AI90" s="3608">
        <v>0</v>
      </c>
      <c r="AJ90" s="3540" t="s">
        <v>3151</v>
      </c>
      <c r="AK90" s="3529"/>
      <c r="AL90" s="3529" t="s">
        <v>880</v>
      </c>
      <c r="AM90" s="3529" t="s">
        <v>3152</v>
      </c>
      <c r="AN90" s="3530">
        <f t="shared" ref="AN90:AN122" si="66">IF(AA90&gt;0,AA90*(VLOOKUP($AM90,$AG$129:$AI$137,2,FALSE)),IF($AM90=$AG$137,$AH$137,X90*(VLOOKUP($AM90,$AG$129:$AI$137,2,FALSE))))</f>
        <v>0</v>
      </c>
      <c r="AO90" s="3530">
        <f t="shared" ref="AO90:AO122" si="67">IF(AA90&gt;0,AA90*(VLOOKUP($AM90,$AG$129:$AI$137,3,FALSE)),IF($AM90=$AG$137,$AH$137,X90*(VLOOKUP($AM90,$AG$129:$AI$137,3,FALSE))))</f>
        <v>0</v>
      </c>
      <c r="AP90" s="3530">
        <f t="shared" ref="AP90:AP122" si="68">IF(AB90&gt;0,AB90*(VLOOKUP($AM90,$AG$129:$AI$137,2,FALSE)),IF($AM90=$AG$137,$AH$137,Y90*(VLOOKUP($AM90,$AG$129:$AI$137,2,FALSE))))</f>
        <v>0</v>
      </c>
      <c r="AQ90" s="3530">
        <f t="shared" ref="AQ90:AQ122" si="69">IF(AB90&gt;0,AB90*(VLOOKUP($AM90,$AG$129:$AI$137,3,FALSE)),IF($AM90=$AG$137,$AH$137,Y90*(VLOOKUP($AM90,$AG$129:$AI$137,3,FALSE))))</f>
        <v>0</v>
      </c>
      <c r="AR90" s="3530">
        <f t="shared" ref="AR90:AR122" si="70">IF(AC90&gt;0,AC90*(VLOOKUP($AM90,$AG$129:$AI$137,2,FALSE)),IF($AM90=$AG$137,$AH$137,Z90*(VLOOKUP($AM90,$AG$129:$AI$137,2,FALSE))))</f>
        <v>0</v>
      </c>
      <c r="AS90" s="3530">
        <f t="shared" ref="AS90:AS122" si="71">IF(AC90&gt;0,AC90*(VLOOKUP($AM90,$AG$129:$AI$137,3,FALSE)),IF($AM90=$AG$137,$AH$137,Z90*(VLOOKUP($AM90,$AG$129:$AI$137,3,FALSE))))</f>
        <v>0</v>
      </c>
      <c r="AT90" s="3609">
        <f t="shared" ref="AT90:AT122" si="72">IF($AM90=$AG$129,(AD90)*$AH$129,IF($AM90=$AG$130,(AD90)*$AH$130,IF($AM90=$AG$131,(AD90)*$AH$131,IF($AM90=$AG$134,(AD90)*$AH$134,IF($AM90=$AG$135,(AD90)*$AH$135,IF($AM90=$AG$136,(AD90)*$AH$136,IF(AM90=$AM$10,0,0)))))))</f>
        <v>0</v>
      </c>
      <c r="AU90" s="3609">
        <f t="shared" ref="AU90:AU122" si="73">IF($AM90=$AG$129,(AD90)*$AI$129,IF($AM90=$AG$130,(AD90)*$AI$130,IF($AM90=$AG$131,(AD90)*$AI$131,IF($AM90=$AG$134,(AD90)*$AI$134,IF($AM90=$AG$135,(AD90)*$AI$135,IF($AM90=$AG$136,(AD90)*$AI$136,IF(AM90=$AM$10,0,0)))))))</f>
        <v>0</v>
      </c>
      <c r="AV90" s="3609">
        <f t="shared" si="56"/>
        <v>0</v>
      </c>
      <c r="AW90" s="3609">
        <f t="shared" si="57"/>
        <v>0</v>
      </c>
      <c r="AX90" s="3531" t="s">
        <v>3348</v>
      </c>
      <c r="AY90" s="3532">
        <f t="shared" si="51"/>
        <v>85</v>
      </c>
      <c r="AZ90" s="3532"/>
      <c r="BC90" s="3673"/>
      <c r="BD90" s="3603" t="s">
        <v>1519</v>
      </c>
      <c r="BE90" s="3705">
        <v>0.21442764803028169</v>
      </c>
      <c r="BF90" s="3705">
        <v>0.26976350373154862</v>
      </c>
      <c r="BG90" s="3705">
        <v>0.27070020397561145</v>
      </c>
      <c r="BH90" s="3705">
        <v>0.3114105733605666</v>
      </c>
      <c r="BI90" s="3705">
        <v>0.46821175644552532</v>
      </c>
      <c r="BJ90" s="3705">
        <v>0.4381294605960383</v>
      </c>
      <c r="BK90" s="3705">
        <v>0.47463090433198157</v>
      </c>
      <c r="BL90" s="3705">
        <v>0.46072955747304828</v>
      </c>
      <c r="BM90" s="3705">
        <v>0.406357702851598</v>
      </c>
      <c r="BN90" s="3705">
        <v>0.39784281492074647</v>
      </c>
      <c r="BO90" s="3705">
        <v>0.29243213702855259</v>
      </c>
      <c r="BP90" s="3705">
        <v>0.24056212375978703</v>
      </c>
      <c r="BQ90" s="3705">
        <v>0.21442764803028169</v>
      </c>
      <c r="BR90" s="3705">
        <v>0.26976350373154862</v>
      </c>
      <c r="BS90" s="3705">
        <v>0.27070020397561145</v>
      </c>
      <c r="BT90" s="3705">
        <v>0.3114105733605666</v>
      </c>
      <c r="BU90" s="3705">
        <v>0.46821175644552532</v>
      </c>
      <c r="BV90" s="3705">
        <v>0.4381294605960383</v>
      </c>
      <c r="BW90" s="3705">
        <v>0.47463090433198157</v>
      </c>
      <c r="BX90" s="3705">
        <v>0.46072955747304828</v>
      </c>
      <c r="BY90" s="3705">
        <v>0.406357702851598</v>
      </c>
      <c r="BZ90" s="3705">
        <v>0.39784281492074647</v>
      </c>
      <c r="CA90" s="3705">
        <v>0.29243213702855259</v>
      </c>
      <c r="CB90" s="3704">
        <v>0.24056212375978703</v>
      </c>
    </row>
    <row r="91" spans="18:80" ht="75">
      <c r="R91" s="3521">
        <f t="shared" si="50"/>
        <v>86</v>
      </c>
      <c r="S91" s="3522" t="s">
        <v>3144</v>
      </c>
      <c r="T91" s="3523" t="s">
        <v>3349</v>
      </c>
      <c r="U91" s="3524">
        <v>5798065</v>
      </c>
      <c r="V91" s="3524">
        <v>3168636</v>
      </c>
      <c r="W91" s="3524">
        <v>2704701</v>
      </c>
      <c r="X91" s="3525">
        <f t="shared" ref="X91:Z113" si="74">U91*$T$4*$T$3</f>
        <v>11727.427878481818</v>
      </c>
      <c r="Y91" s="3525">
        <f t="shared" si="74"/>
        <v>6409.0261428875183</v>
      </c>
      <c r="Z91" s="3525">
        <f t="shared" si="74"/>
        <v>5470.6502790771847</v>
      </c>
      <c r="AA91" s="3607">
        <v>10000</v>
      </c>
      <c r="AB91" s="3607">
        <v>20000</v>
      </c>
      <c r="AC91" s="3607">
        <v>20000</v>
      </c>
      <c r="AD91" s="3608">
        <v>0</v>
      </c>
      <c r="AE91" s="3608">
        <v>0</v>
      </c>
      <c r="AF91" s="3608">
        <v>54081</v>
      </c>
      <c r="AG91" s="3608">
        <v>54081</v>
      </c>
      <c r="AH91" s="3608">
        <v>0</v>
      </c>
      <c r="AI91" s="3608">
        <v>0</v>
      </c>
      <c r="AJ91" s="3540"/>
      <c r="AK91" s="3529"/>
      <c r="AL91" s="3529" t="s">
        <v>839</v>
      </c>
      <c r="AM91" s="3529" t="s">
        <v>839</v>
      </c>
      <c r="AN91" s="3530">
        <f t="shared" si="66"/>
        <v>4693.5076159999999</v>
      </c>
      <c r="AO91" s="3530">
        <f t="shared" si="67"/>
        <v>1485.7161679999999</v>
      </c>
      <c r="AP91" s="3530">
        <f t="shared" si="68"/>
        <v>9387.0152319999997</v>
      </c>
      <c r="AQ91" s="3530">
        <f t="shared" si="69"/>
        <v>2971.4323359999999</v>
      </c>
      <c r="AR91" s="3530">
        <f t="shared" si="70"/>
        <v>9387.0152319999997</v>
      </c>
      <c r="AS91" s="3530">
        <f t="shared" si="71"/>
        <v>2971.4323359999999</v>
      </c>
      <c r="AT91" s="3609">
        <f t="shared" si="72"/>
        <v>0</v>
      </c>
      <c r="AU91" s="3609">
        <f t="shared" si="73"/>
        <v>0</v>
      </c>
      <c r="AV91" s="3609">
        <f t="shared" si="56"/>
        <v>0</v>
      </c>
      <c r="AW91" s="3609">
        <f t="shared" si="57"/>
        <v>0</v>
      </c>
      <c r="AX91" s="3531" t="s">
        <v>3350</v>
      </c>
      <c r="AY91" s="3532">
        <f t="shared" si="51"/>
        <v>86</v>
      </c>
      <c r="AZ91" s="3532"/>
      <c r="BC91" s="3673"/>
      <c r="BD91" s="3603" t="s">
        <v>1518</v>
      </c>
      <c r="BE91" s="3705">
        <v>0.64262058661619725</v>
      </c>
      <c r="BF91" s="3705">
        <v>0.55039416044741896</v>
      </c>
      <c r="BG91" s="3705">
        <v>0.54883299337398084</v>
      </c>
      <c r="BH91" s="3705">
        <v>0.480982377732389</v>
      </c>
      <c r="BI91" s="3705">
        <v>0.21964707259079119</v>
      </c>
      <c r="BJ91" s="3705">
        <v>0.26978423233993615</v>
      </c>
      <c r="BK91" s="3705">
        <v>0.20894849278003069</v>
      </c>
      <c r="BL91" s="3705">
        <v>0.23211740421158622</v>
      </c>
      <c r="BM91" s="3705">
        <v>0.32273716191400331</v>
      </c>
      <c r="BN91" s="3705">
        <v>0.33692864179875598</v>
      </c>
      <c r="BO91" s="3705">
        <v>0.5126131049524123</v>
      </c>
      <c r="BP91" s="3705">
        <v>0.59906312706702158</v>
      </c>
      <c r="BQ91" s="3705">
        <v>0.64262058661619725</v>
      </c>
      <c r="BR91" s="3705">
        <v>0.55039416044741896</v>
      </c>
      <c r="BS91" s="3705">
        <v>0.54883299337398084</v>
      </c>
      <c r="BT91" s="3705">
        <v>0.480982377732389</v>
      </c>
      <c r="BU91" s="3705">
        <v>0.21964707259079119</v>
      </c>
      <c r="BV91" s="3705">
        <v>0.26978423233993615</v>
      </c>
      <c r="BW91" s="3705">
        <v>0.20894849278003069</v>
      </c>
      <c r="BX91" s="3705">
        <v>0.23211740421158622</v>
      </c>
      <c r="BY91" s="3705">
        <v>0.32273716191400331</v>
      </c>
      <c r="BZ91" s="3705">
        <v>0.33692864179875598</v>
      </c>
      <c r="CA91" s="3705">
        <v>0.5126131049524123</v>
      </c>
      <c r="CB91" s="3704">
        <v>0.59906312706702158</v>
      </c>
    </row>
    <row r="92" spans="18:80" ht="25.5">
      <c r="R92" s="3521">
        <f t="shared" si="50"/>
        <v>87</v>
      </c>
      <c r="S92" s="3522" t="s">
        <v>3130</v>
      </c>
      <c r="T92" s="3523" t="s">
        <v>3352</v>
      </c>
      <c r="U92" s="3524">
        <v>0</v>
      </c>
      <c r="V92" s="3524">
        <v>14891744</v>
      </c>
      <c r="W92" s="3524">
        <v>0</v>
      </c>
      <c r="X92" s="3525">
        <f t="shared" si="74"/>
        <v>0</v>
      </c>
      <c r="Y92" s="3525">
        <f t="shared" si="74"/>
        <v>30120.713331915798</v>
      </c>
      <c r="Z92" s="3525">
        <f t="shared" si="74"/>
        <v>0</v>
      </c>
      <c r="AA92" s="3607">
        <v>0</v>
      </c>
      <c r="AB92" s="3607">
        <v>0</v>
      </c>
      <c r="AC92" s="3607">
        <v>0</v>
      </c>
      <c r="AD92" s="3608">
        <v>0</v>
      </c>
      <c r="AE92" s="3608">
        <v>0</v>
      </c>
      <c r="AF92" s="3608">
        <v>0</v>
      </c>
      <c r="AG92" s="3608">
        <v>0</v>
      </c>
      <c r="AH92" s="3608">
        <v>0</v>
      </c>
      <c r="AI92" s="3608">
        <v>0</v>
      </c>
      <c r="AJ92" s="3540"/>
      <c r="AK92" s="3529"/>
      <c r="AL92" s="3529" t="s">
        <v>3132</v>
      </c>
      <c r="AM92" s="3529" t="s">
        <v>3133</v>
      </c>
      <c r="AN92" s="3530">
        <f t="shared" si="66"/>
        <v>0</v>
      </c>
      <c r="AO92" s="3530">
        <f t="shared" si="67"/>
        <v>0</v>
      </c>
      <c r="AP92" s="3530">
        <f t="shared" si="68"/>
        <v>19397.739385753775</v>
      </c>
      <c r="AQ92" s="3530">
        <f t="shared" si="69"/>
        <v>0</v>
      </c>
      <c r="AR92" s="3530">
        <f t="shared" si="70"/>
        <v>0</v>
      </c>
      <c r="AS92" s="3530">
        <f t="shared" si="71"/>
        <v>0</v>
      </c>
      <c r="AT92" s="3609">
        <f t="shared" si="72"/>
        <v>0</v>
      </c>
      <c r="AU92" s="3609">
        <f t="shared" si="73"/>
        <v>0</v>
      </c>
      <c r="AV92" s="3609">
        <f t="shared" si="56"/>
        <v>0</v>
      </c>
      <c r="AW92" s="3609">
        <f t="shared" si="57"/>
        <v>0</v>
      </c>
      <c r="AX92" s="3531" t="s">
        <v>3134</v>
      </c>
      <c r="AY92" s="3532">
        <f t="shared" si="51"/>
        <v>87</v>
      </c>
      <c r="AZ92" s="3532"/>
      <c r="BC92" s="3673"/>
      <c r="CB92" s="3672"/>
    </row>
    <row r="93" spans="18:80">
      <c r="R93" s="3521">
        <f t="shared" si="50"/>
        <v>88</v>
      </c>
      <c r="S93" s="3522" t="s">
        <v>3130</v>
      </c>
      <c r="T93" s="3523" t="s">
        <v>3353</v>
      </c>
      <c r="U93" s="3524">
        <v>868123</v>
      </c>
      <c r="V93" s="3524">
        <v>1813667</v>
      </c>
      <c r="W93" s="3524">
        <v>1450001</v>
      </c>
      <c r="X93" s="3525">
        <f t="shared" si="74"/>
        <v>1755.9047496278968</v>
      </c>
      <c r="Y93" s="3525">
        <f t="shared" si="74"/>
        <v>3668.4047071018495</v>
      </c>
      <c r="Z93" s="3525">
        <f t="shared" si="74"/>
        <v>2932.8374468424408</v>
      </c>
      <c r="AA93" s="3607">
        <v>0</v>
      </c>
      <c r="AB93" s="3607">
        <v>0</v>
      </c>
      <c r="AC93" s="3607">
        <v>0</v>
      </c>
      <c r="AD93" s="3608">
        <v>0</v>
      </c>
      <c r="AE93" s="3608">
        <v>0</v>
      </c>
      <c r="AF93" s="3608">
        <v>0</v>
      </c>
      <c r="AG93" s="3608">
        <v>0</v>
      </c>
      <c r="AH93" s="3608">
        <v>0</v>
      </c>
      <c r="AI93" s="3608">
        <v>0</v>
      </c>
      <c r="AJ93" s="3540"/>
      <c r="AK93" s="3529"/>
      <c r="AL93" s="3529" t="s">
        <v>3132</v>
      </c>
      <c r="AM93" s="3529" t="s">
        <v>3133</v>
      </c>
      <c r="AN93" s="3530">
        <f t="shared" si="66"/>
        <v>1130.8026587603656</v>
      </c>
      <c r="AO93" s="3530">
        <f t="shared" si="67"/>
        <v>0</v>
      </c>
      <c r="AP93" s="3530">
        <f t="shared" si="68"/>
        <v>2362.452631373591</v>
      </c>
      <c r="AQ93" s="3530">
        <f t="shared" si="69"/>
        <v>0</v>
      </c>
      <c r="AR93" s="3530">
        <f t="shared" si="70"/>
        <v>1888.747315766532</v>
      </c>
      <c r="AS93" s="3530">
        <f t="shared" si="71"/>
        <v>0</v>
      </c>
      <c r="AT93" s="3609">
        <f t="shared" si="72"/>
        <v>0</v>
      </c>
      <c r="AU93" s="3609">
        <f t="shared" si="73"/>
        <v>0</v>
      </c>
      <c r="AV93" s="3609">
        <f t="shared" si="56"/>
        <v>0</v>
      </c>
      <c r="AW93" s="3609">
        <f t="shared" si="57"/>
        <v>0</v>
      </c>
      <c r="AX93" s="3531" t="s">
        <v>3134</v>
      </c>
      <c r="AY93" s="3532">
        <f t="shared" si="51"/>
        <v>88</v>
      </c>
      <c r="AZ93" s="3532"/>
      <c r="BC93" s="3673"/>
      <c r="BD93" s="3603" t="s">
        <v>3431</v>
      </c>
      <c r="CB93" s="3672"/>
    </row>
    <row r="94" spans="18:80">
      <c r="R94" s="3521">
        <f t="shared" si="50"/>
        <v>89</v>
      </c>
      <c r="S94" s="3522" t="s">
        <v>3130</v>
      </c>
      <c r="T94" s="3523" t="s">
        <v>3354</v>
      </c>
      <c r="U94" s="3524">
        <v>637698</v>
      </c>
      <c r="V94" s="3524">
        <v>1967828</v>
      </c>
      <c r="W94" s="3524">
        <v>4365255</v>
      </c>
      <c r="X94" s="3525">
        <f t="shared" si="74"/>
        <v>1289.8367478205398</v>
      </c>
      <c r="Y94" s="3525">
        <f t="shared" si="74"/>
        <v>3980.2177014671483</v>
      </c>
      <c r="Z94" s="3525">
        <f t="shared" si="74"/>
        <v>8829.3617238996376</v>
      </c>
      <c r="AA94" s="3607">
        <v>0</v>
      </c>
      <c r="AB94" s="3607">
        <v>0</v>
      </c>
      <c r="AC94" s="3607">
        <v>0</v>
      </c>
      <c r="AD94" s="3608">
        <v>0</v>
      </c>
      <c r="AE94" s="3608">
        <v>0</v>
      </c>
      <c r="AF94" s="3608">
        <v>0</v>
      </c>
      <c r="AG94" s="3608">
        <v>0</v>
      </c>
      <c r="AH94" s="3608">
        <v>0</v>
      </c>
      <c r="AI94" s="3608">
        <v>0</v>
      </c>
      <c r="AJ94" s="3540"/>
      <c r="AK94" s="3529"/>
      <c r="AL94" s="3529" t="s">
        <v>3132</v>
      </c>
      <c r="AM94" s="3529" t="s">
        <v>3133</v>
      </c>
      <c r="AN94" s="3530">
        <f t="shared" si="66"/>
        <v>830.65486559642761</v>
      </c>
      <c r="AO94" s="3530">
        <f t="shared" si="67"/>
        <v>0</v>
      </c>
      <c r="AP94" s="3530">
        <f t="shared" si="68"/>
        <v>2563.2601997448437</v>
      </c>
      <c r="AQ94" s="3530">
        <f t="shared" si="69"/>
        <v>0</v>
      </c>
      <c r="AR94" s="3530">
        <f t="shared" si="70"/>
        <v>5686.1089501913666</v>
      </c>
      <c r="AS94" s="3530">
        <f t="shared" si="71"/>
        <v>0</v>
      </c>
      <c r="AT94" s="3609">
        <f t="shared" si="72"/>
        <v>0</v>
      </c>
      <c r="AU94" s="3609">
        <f t="shared" si="73"/>
        <v>0</v>
      </c>
      <c r="AV94" s="3609">
        <f t="shared" si="56"/>
        <v>0</v>
      </c>
      <c r="AW94" s="3609">
        <f t="shared" si="57"/>
        <v>0</v>
      </c>
      <c r="AX94" s="3531" t="s">
        <v>3134</v>
      </c>
      <c r="AY94" s="3532">
        <f t="shared" si="51"/>
        <v>89</v>
      </c>
      <c r="AZ94" s="3532"/>
      <c r="BC94" s="3673"/>
      <c r="BD94" s="3603" t="s">
        <v>1522</v>
      </c>
      <c r="BE94" s="3705">
        <v>0.14161939139944588</v>
      </c>
      <c r="BF94" s="3705">
        <v>0.14074995319008432</v>
      </c>
      <c r="BG94" s="3705">
        <v>0.1768079648734909</v>
      </c>
      <c r="BH94" s="3705">
        <v>0.21454824164413983</v>
      </c>
      <c r="BI94" s="3705">
        <v>0.27434525755333877</v>
      </c>
      <c r="BJ94" s="3705">
        <v>0.42132241097115136</v>
      </c>
      <c r="BK94" s="3705">
        <v>0.47918816324733166</v>
      </c>
      <c r="BL94" s="3705">
        <v>0.45960702312623047</v>
      </c>
      <c r="BM94" s="3705">
        <v>0.44609248853408484</v>
      </c>
      <c r="BN94" s="3705">
        <v>0.29114628937911879</v>
      </c>
      <c r="BO94" s="3705">
        <v>0.22594116611783113</v>
      </c>
      <c r="BP94" s="3705">
        <v>0.17416868676218009</v>
      </c>
      <c r="BQ94" s="3705">
        <v>0.14161939139944588</v>
      </c>
      <c r="BR94" s="3705">
        <v>0.14074995319008432</v>
      </c>
      <c r="BS94" s="3705">
        <v>0.1768079648734909</v>
      </c>
      <c r="BT94" s="3705">
        <v>0.21454824164413983</v>
      </c>
      <c r="BU94" s="3705">
        <v>0.27434525755333877</v>
      </c>
      <c r="BV94" s="3705">
        <v>0.42132241097115136</v>
      </c>
      <c r="BW94" s="3705">
        <v>0.47918816324733166</v>
      </c>
      <c r="BX94" s="3705">
        <v>0.45960702312623047</v>
      </c>
      <c r="BY94" s="3705">
        <v>0.44609248853408484</v>
      </c>
      <c r="BZ94" s="3705">
        <v>0.29114628937911879</v>
      </c>
      <c r="CA94" s="3705">
        <v>0.22594116611783113</v>
      </c>
      <c r="CB94" s="3704">
        <v>0.17416868676218009</v>
      </c>
    </row>
    <row r="95" spans="18:80">
      <c r="R95" s="3521">
        <f t="shared" si="50"/>
        <v>90</v>
      </c>
      <c r="S95" s="3522" t="s">
        <v>3130</v>
      </c>
      <c r="T95" s="3523" t="s">
        <v>3355</v>
      </c>
      <c r="U95" s="3524">
        <v>7976356</v>
      </c>
      <c r="V95" s="3524">
        <v>6264758</v>
      </c>
      <c r="W95" s="3524">
        <v>8788005</v>
      </c>
      <c r="X95" s="3525">
        <f t="shared" si="74"/>
        <v>16133.337539868169</v>
      </c>
      <c r="Y95" s="3525">
        <f t="shared" si="74"/>
        <v>12671.382197533487</v>
      </c>
      <c r="Z95" s="3525">
        <f t="shared" si="74"/>
        <v>17775.0154289815</v>
      </c>
      <c r="AA95" s="3607">
        <v>0</v>
      </c>
      <c r="AB95" s="3607">
        <v>0</v>
      </c>
      <c r="AC95" s="3607">
        <v>0</v>
      </c>
      <c r="AD95" s="3608">
        <v>0</v>
      </c>
      <c r="AE95" s="3608">
        <v>0</v>
      </c>
      <c r="AF95" s="3608">
        <v>0</v>
      </c>
      <c r="AG95" s="3608">
        <v>0</v>
      </c>
      <c r="AH95" s="3608">
        <v>0</v>
      </c>
      <c r="AI95" s="3608">
        <v>0</v>
      </c>
      <c r="AJ95" s="3540"/>
      <c r="AK95" s="3529"/>
      <c r="AL95" s="3529" t="s">
        <v>3132</v>
      </c>
      <c r="AM95" s="3529" t="s">
        <v>3133</v>
      </c>
      <c r="AN95" s="3530">
        <f t="shared" si="66"/>
        <v>10389.869375675102</v>
      </c>
      <c r="AO95" s="3530">
        <f t="shared" si="67"/>
        <v>0</v>
      </c>
      <c r="AP95" s="3530">
        <f t="shared" si="68"/>
        <v>8160.3701352115659</v>
      </c>
      <c r="AQ95" s="3530">
        <f t="shared" si="69"/>
        <v>0</v>
      </c>
      <c r="AR95" s="3530">
        <f t="shared" si="70"/>
        <v>11447.109936264087</v>
      </c>
      <c r="AS95" s="3530">
        <f t="shared" si="71"/>
        <v>0</v>
      </c>
      <c r="AT95" s="3609">
        <f t="shared" si="72"/>
        <v>0</v>
      </c>
      <c r="AU95" s="3609">
        <f t="shared" si="73"/>
        <v>0</v>
      </c>
      <c r="AV95" s="3609">
        <f t="shared" si="56"/>
        <v>0</v>
      </c>
      <c r="AW95" s="3609">
        <f t="shared" si="57"/>
        <v>0</v>
      </c>
      <c r="AX95" s="3531" t="s">
        <v>3134</v>
      </c>
      <c r="AY95" s="3532">
        <f t="shared" si="51"/>
        <v>90</v>
      </c>
      <c r="AZ95" s="3532"/>
      <c r="BC95" s="3673"/>
      <c r="BD95" s="3603" t="s">
        <v>1521</v>
      </c>
      <c r="BE95" s="3705">
        <v>0.2124290870991688</v>
      </c>
      <c r="BF95" s="3705">
        <v>0.21112492978512648</v>
      </c>
      <c r="BG95" s="3705">
        <v>0.26521194731023634</v>
      </c>
      <c r="BH95" s="3705">
        <v>0.32182236246620971</v>
      </c>
      <c r="BI95" s="3705">
        <v>0.41151788633000819</v>
      </c>
      <c r="BJ95" s="3705">
        <v>0.43048838535243145</v>
      </c>
      <c r="BK95" s="3705">
        <v>0.45798121189465779</v>
      </c>
      <c r="BL95" s="3705">
        <v>0.37359616481838764</v>
      </c>
      <c r="BM95" s="3705">
        <v>0.36664966162100376</v>
      </c>
      <c r="BN95" s="3705">
        <v>0.33096498443262629</v>
      </c>
      <c r="BO95" s="3705">
        <v>0.33891174917674666</v>
      </c>
      <c r="BP95" s="3705">
        <v>0.26125303014327012</v>
      </c>
      <c r="BQ95" s="3705">
        <v>0.2124290870991688</v>
      </c>
      <c r="BR95" s="3705">
        <v>0.21112492978512648</v>
      </c>
      <c r="BS95" s="3705">
        <v>0.26521194731023634</v>
      </c>
      <c r="BT95" s="3705">
        <v>0.32182236246620971</v>
      </c>
      <c r="BU95" s="3705">
        <v>0.41151788633000819</v>
      </c>
      <c r="BV95" s="3705">
        <v>0.43048838535243145</v>
      </c>
      <c r="BW95" s="3705">
        <v>0.45798121189465779</v>
      </c>
      <c r="BX95" s="3705">
        <v>0.37359616481838764</v>
      </c>
      <c r="BY95" s="3705">
        <v>0.36664966162100376</v>
      </c>
      <c r="BZ95" s="3705">
        <v>0.33096498443262629</v>
      </c>
      <c r="CA95" s="3705">
        <v>0.33891174917674666</v>
      </c>
      <c r="CB95" s="3704">
        <v>0.26125303014327012</v>
      </c>
    </row>
    <row r="96" spans="18:80">
      <c r="R96" s="3521">
        <f t="shared" si="50"/>
        <v>91</v>
      </c>
      <c r="S96" s="3522" t="s">
        <v>3130</v>
      </c>
      <c r="T96" s="3523" t="s">
        <v>3356</v>
      </c>
      <c r="U96" s="3524">
        <v>1000000</v>
      </c>
      <c r="V96" s="3524">
        <v>0</v>
      </c>
      <c r="W96" s="3524">
        <v>0</v>
      </c>
      <c r="X96" s="3525">
        <f t="shared" si="74"/>
        <v>2022.6451201360833</v>
      </c>
      <c r="Y96" s="3525">
        <f t="shared" si="74"/>
        <v>0</v>
      </c>
      <c r="Z96" s="3525">
        <f t="shared" si="74"/>
        <v>0</v>
      </c>
      <c r="AA96" s="3607">
        <v>0</v>
      </c>
      <c r="AB96" s="3607">
        <v>0</v>
      </c>
      <c r="AC96" s="3607">
        <v>0</v>
      </c>
      <c r="AD96" s="3608">
        <v>0</v>
      </c>
      <c r="AE96" s="3608">
        <v>0</v>
      </c>
      <c r="AF96" s="3608">
        <v>0</v>
      </c>
      <c r="AG96" s="3608">
        <v>0</v>
      </c>
      <c r="AH96" s="3608">
        <v>0</v>
      </c>
      <c r="AI96" s="3608">
        <v>0</v>
      </c>
      <c r="AJ96" s="3540"/>
      <c r="AK96" s="3529"/>
      <c r="AL96" s="3529" t="s">
        <v>3132</v>
      </c>
      <c r="AM96" s="3529" t="s">
        <v>3133</v>
      </c>
      <c r="AN96" s="3530">
        <f t="shared" si="66"/>
        <v>1302.5834573676377</v>
      </c>
      <c r="AO96" s="3530">
        <f t="shared" si="67"/>
        <v>0</v>
      </c>
      <c r="AP96" s="3530">
        <f t="shared" si="68"/>
        <v>0</v>
      </c>
      <c r="AQ96" s="3530">
        <f t="shared" si="69"/>
        <v>0</v>
      </c>
      <c r="AR96" s="3530">
        <f t="shared" si="70"/>
        <v>0</v>
      </c>
      <c r="AS96" s="3530">
        <f t="shared" si="71"/>
        <v>0</v>
      </c>
      <c r="AT96" s="3609">
        <f t="shared" si="72"/>
        <v>0</v>
      </c>
      <c r="AU96" s="3609">
        <f t="shared" si="73"/>
        <v>0</v>
      </c>
      <c r="AV96" s="3609">
        <f t="shared" si="56"/>
        <v>0</v>
      </c>
      <c r="AW96" s="3609">
        <f t="shared" si="57"/>
        <v>0</v>
      </c>
      <c r="AX96" s="3531" t="s">
        <v>3134</v>
      </c>
      <c r="AY96" s="3532">
        <f t="shared" si="51"/>
        <v>91</v>
      </c>
      <c r="AZ96" s="3532"/>
      <c r="BC96" s="3673"/>
      <c r="BD96" s="3603" t="s">
        <v>1520</v>
      </c>
      <c r="BE96" s="3705">
        <v>0.35404847849861465</v>
      </c>
      <c r="BF96" s="3705">
        <v>0.3518748829752108</v>
      </c>
      <c r="BG96" s="3705">
        <v>0.44201991218372721</v>
      </c>
      <c r="BH96" s="3705">
        <v>0.46362939588965046</v>
      </c>
      <c r="BI96" s="3705">
        <v>0.31413685611665304</v>
      </c>
      <c r="BJ96" s="3705">
        <v>0.14818920367641722</v>
      </c>
      <c r="BK96" s="3705">
        <v>6.2830624858010553E-2</v>
      </c>
      <c r="BL96" s="3705">
        <v>0.16679681205538191</v>
      </c>
      <c r="BM96" s="3705">
        <v>0.18725784984491151</v>
      </c>
      <c r="BN96" s="3705">
        <v>0.36393286172389844</v>
      </c>
      <c r="BO96" s="3705">
        <v>0.30973284840785864</v>
      </c>
      <c r="BP96" s="3705">
        <v>0.43542171690545023</v>
      </c>
      <c r="BQ96" s="3705">
        <v>0.35404847849861465</v>
      </c>
      <c r="BR96" s="3705">
        <v>0.3518748829752108</v>
      </c>
      <c r="BS96" s="3705">
        <v>0.44201991218372721</v>
      </c>
      <c r="BT96" s="3705">
        <v>0.46362939588965046</v>
      </c>
      <c r="BU96" s="3705">
        <v>0.31413685611665304</v>
      </c>
      <c r="BV96" s="3705">
        <v>0.14818920367641722</v>
      </c>
      <c r="BW96" s="3705">
        <v>6.2830624858010553E-2</v>
      </c>
      <c r="BX96" s="3705">
        <v>0.16679681205538191</v>
      </c>
      <c r="BY96" s="3705">
        <v>0.18725784984491151</v>
      </c>
      <c r="BZ96" s="3705">
        <v>0.36393286172389844</v>
      </c>
      <c r="CA96" s="3705">
        <v>0.30973284840785864</v>
      </c>
      <c r="CB96" s="3704">
        <v>0.43542171690545023</v>
      </c>
    </row>
    <row r="97" spans="18:80" ht="45">
      <c r="R97" s="3521">
        <f t="shared" si="50"/>
        <v>92</v>
      </c>
      <c r="S97" s="3522" t="s">
        <v>3130</v>
      </c>
      <c r="T97" s="3523" t="s">
        <v>3357</v>
      </c>
      <c r="U97" s="3524">
        <v>5554098</v>
      </c>
      <c r="V97" s="3524">
        <v>0</v>
      </c>
      <c r="W97" s="3524">
        <v>0</v>
      </c>
      <c r="X97" s="3525">
        <f t="shared" si="74"/>
        <v>11233.969216457581</v>
      </c>
      <c r="Y97" s="3525">
        <f t="shared" si="74"/>
        <v>0</v>
      </c>
      <c r="Z97" s="3525">
        <f t="shared" si="74"/>
        <v>0</v>
      </c>
      <c r="AA97" s="3607">
        <v>50000</v>
      </c>
      <c r="AB97" s="3607">
        <v>0</v>
      </c>
      <c r="AC97" s="3607">
        <v>0</v>
      </c>
      <c r="AD97" s="3608">
        <v>0</v>
      </c>
      <c r="AE97" s="3608">
        <v>0</v>
      </c>
      <c r="AF97" s="3608">
        <v>0</v>
      </c>
      <c r="AG97" s="3608">
        <v>0</v>
      </c>
      <c r="AH97" s="3608">
        <v>0</v>
      </c>
      <c r="AI97" s="3608">
        <v>0</v>
      </c>
      <c r="AK97" s="3529"/>
      <c r="AL97" s="3452" t="s">
        <v>3132</v>
      </c>
      <c r="AM97" s="3452" t="s">
        <v>3133</v>
      </c>
      <c r="AN97" s="3530">
        <f t="shared" si="66"/>
        <v>32200</v>
      </c>
      <c r="AO97" s="3530">
        <f t="shared" si="67"/>
        <v>0</v>
      </c>
      <c r="AP97" s="3530">
        <f t="shared" si="68"/>
        <v>0</v>
      </c>
      <c r="AQ97" s="3530">
        <f t="shared" si="69"/>
        <v>0</v>
      </c>
      <c r="AR97" s="3530">
        <f t="shared" si="70"/>
        <v>0</v>
      </c>
      <c r="AS97" s="3530">
        <f t="shared" si="71"/>
        <v>0</v>
      </c>
      <c r="AT97" s="3609">
        <f t="shared" si="72"/>
        <v>0</v>
      </c>
      <c r="AU97" s="3609">
        <f t="shared" si="73"/>
        <v>0</v>
      </c>
      <c r="AV97" s="3609">
        <f t="shared" si="56"/>
        <v>0</v>
      </c>
      <c r="AW97" s="3609">
        <f t="shared" si="57"/>
        <v>0</v>
      </c>
      <c r="AX97" s="3531" t="s">
        <v>3358</v>
      </c>
      <c r="AY97" s="3532">
        <f t="shared" si="51"/>
        <v>92</v>
      </c>
      <c r="AZ97" s="3532"/>
      <c r="BC97" s="3673"/>
      <c r="BD97" s="3603" t="s">
        <v>1519</v>
      </c>
      <c r="BE97" s="3705">
        <v>0.2919030430027707</v>
      </c>
      <c r="BF97" s="3705">
        <v>0.2962502340495784</v>
      </c>
      <c r="BG97" s="3705">
        <v>0.11596017563254551</v>
      </c>
      <c r="BH97" s="3705">
        <v>0</v>
      </c>
      <c r="BI97" s="3705">
        <v>0</v>
      </c>
      <c r="BJ97" s="3705">
        <v>0</v>
      </c>
      <c r="BK97" s="3705">
        <v>0</v>
      </c>
      <c r="BL97" s="3705">
        <v>0</v>
      </c>
      <c r="BM97" s="3705">
        <v>0</v>
      </c>
      <c r="BN97" s="3705">
        <v>1.3955864464356553E-2</v>
      </c>
      <c r="BO97" s="3705">
        <v>0.12541423629756357</v>
      </c>
      <c r="BP97" s="3705">
        <v>0.1291565661890996</v>
      </c>
      <c r="BQ97" s="3705">
        <v>0.2919030430027707</v>
      </c>
      <c r="BR97" s="3705">
        <v>0.2962502340495784</v>
      </c>
      <c r="BS97" s="3705">
        <v>0.11596017563254551</v>
      </c>
      <c r="BT97" s="3705">
        <v>0</v>
      </c>
      <c r="BU97" s="3705">
        <v>0</v>
      </c>
      <c r="BV97" s="3705">
        <v>0</v>
      </c>
      <c r="BW97" s="3705">
        <v>0</v>
      </c>
      <c r="BX97" s="3705">
        <v>0</v>
      </c>
      <c r="BY97" s="3705">
        <v>0</v>
      </c>
      <c r="BZ97" s="3705">
        <v>1.3955864464356553E-2</v>
      </c>
      <c r="CA97" s="3705">
        <v>0.12541423629756357</v>
      </c>
      <c r="CB97" s="3704">
        <v>0.1291565661890996</v>
      </c>
    </row>
    <row r="98" spans="18:80" ht="25.5">
      <c r="R98" s="3521">
        <f t="shared" si="50"/>
        <v>93</v>
      </c>
      <c r="S98" s="3522" t="s">
        <v>3130</v>
      </c>
      <c r="T98" s="3523" t="s">
        <v>3359</v>
      </c>
      <c r="U98" s="3524">
        <v>0</v>
      </c>
      <c r="V98" s="3524">
        <v>0</v>
      </c>
      <c r="W98" s="3524">
        <v>19500000</v>
      </c>
      <c r="X98" s="3525">
        <f t="shared" si="74"/>
        <v>0</v>
      </c>
      <c r="Y98" s="3525">
        <f t="shared" si="74"/>
        <v>0</v>
      </c>
      <c r="Z98" s="3525">
        <f t="shared" si="74"/>
        <v>39441.579842653628</v>
      </c>
      <c r="AA98" s="3607">
        <v>0</v>
      </c>
      <c r="AB98" s="3607">
        <v>0</v>
      </c>
      <c r="AC98" s="3607">
        <v>0</v>
      </c>
      <c r="AD98" s="3608">
        <v>0</v>
      </c>
      <c r="AE98" s="3608">
        <v>0</v>
      </c>
      <c r="AF98" s="3608">
        <v>0</v>
      </c>
      <c r="AG98" s="3608">
        <v>0</v>
      </c>
      <c r="AH98" s="3608">
        <v>0</v>
      </c>
      <c r="AI98" s="3608">
        <v>0</v>
      </c>
      <c r="AJ98" s="3540"/>
      <c r="AK98" s="3529"/>
      <c r="AL98" s="3529" t="s">
        <v>3132</v>
      </c>
      <c r="AM98" s="3529" t="s">
        <v>3133</v>
      </c>
      <c r="AN98" s="3530">
        <f t="shared" si="66"/>
        <v>0</v>
      </c>
      <c r="AO98" s="3530">
        <f t="shared" si="67"/>
        <v>0</v>
      </c>
      <c r="AP98" s="3530">
        <f t="shared" si="68"/>
        <v>0</v>
      </c>
      <c r="AQ98" s="3530">
        <f t="shared" si="69"/>
        <v>0</v>
      </c>
      <c r="AR98" s="3530">
        <f t="shared" si="70"/>
        <v>25400.377418668937</v>
      </c>
      <c r="AS98" s="3530">
        <f t="shared" si="71"/>
        <v>0</v>
      </c>
      <c r="AT98" s="3609">
        <f t="shared" si="72"/>
        <v>0</v>
      </c>
      <c r="AU98" s="3609">
        <f t="shared" si="73"/>
        <v>0</v>
      </c>
      <c r="AV98" s="3609">
        <f t="shared" si="56"/>
        <v>0</v>
      </c>
      <c r="AW98" s="3609">
        <f t="shared" si="57"/>
        <v>0</v>
      </c>
      <c r="AX98" s="3531" t="s">
        <v>3134</v>
      </c>
      <c r="AY98" s="3532">
        <f t="shared" si="51"/>
        <v>93</v>
      </c>
      <c r="AZ98" s="3532"/>
      <c r="BC98" s="3673"/>
      <c r="CB98" s="3672"/>
    </row>
    <row r="99" spans="18:80" ht="25.5">
      <c r="R99" s="3521">
        <f t="shared" si="50"/>
        <v>94</v>
      </c>
      <c r="S99" s="3522" t="s">
        <v>3130</v>
      </c>
      <c r="T99" s="3523" t="s">
        <v>3360</v>
      </c>
      <c r="U99" s="3524">
        <v>299321</v>
      </c>
      <c r="V99" s="3524">
        <v>0</v>
      </c>
      <c r="W99" s="3524">
        <v>0</v>
      </c>
      <c r="X99" s="3525">
        <f t="shared" si="74"/>
        <v>605.42016000425258</v>
      </c>
      <c r="Y99" s="3525">
        <f t="shared" si="74"/>
        <v>0</v>
      </c>
      <c r="Z99" s="3525">
        <f t="shared" si="74"/>
        <v>0</v>
      </c>
      <c r="AA99" s="3607">
        <v>0</v>
      </c>
      <c r="AB99" s="3607">
        <v>0</v>
      </c>
      <c r="AC99" s="3607">
        <v>0</v>
      </c>
      <c r="AD99" s="3608">
        <v>0</v>
      </c>
      <c r="AE99" s="3608">
        <v>0</v>
      </c>
      <c r="AF99" s="3608">
        <v>0</v>
      </c>
      <c r="AG99" s="3608">
        <v>0</v>
      </c>
      <c r="AH99" s="3608">
        <v>0</v>
      </c>
      <c r="AI99" s="3608">
        <v>0</v>
      </c>
      <c r="AJ99" s="3540"/>
      <c r="AK99" s="3529"/>
      <c r="AL99" s="3529" t="s">
        <v>3132</v>
      </c>
      <c r="AM99" s="3529" t="s">
        <v>3133</v>
      </c>
      <c r="AN99" s="3530">
        <f t="shared" si="66"/>
        <v>389.89058304273868</v>
      </c>
      <c r="AO99" s="3530">
        <f t="shared" si="67"/>
        <v>0</v>
      </c>
      <c r="AP99" s="3530">
        <f t="shared" si="68"/>
        <v>0</v>
      </c>
      <c r="AQ99" s="3530">
        <f t="shared" si="69"/>
        <v>0</v>
      </c>
      <c r="AR99" s="3530">
        <f t="shared" si="70"/>
        <v>0</v>
      </c>
      <c r="AS99" s="3530">
        <f t="shared" si="71"/>
        <v>0</v>
      </c>
      <c r="AT99" s="3609">
        <f t="shared" si="72"/>
        <v>0</v>
      </c>
      <c r="AU99" s="3609">
        <f t="shared" si="73"/>
        <v>0</v>
      </c>
      <c r="AV99" s="3609">
        <f t="shared" si="56"/>
        <v>0</v>
      </c>
      <c r="AW99" s="3609">
        <f t="shared" si="57"/>
        <v>0</v>
      </c>
      <c r="AX99" s="3531" t="s">
        <v>3134</v>
      </c>
      <c r="AY99" s="3532">
        <f t="shared" si="51"/>
        <v>94</v>
      </c>
      <c r="AZ99" s="3532"/>
      <c r="BC99" s="3673"/>
      <c r="BD99" s="3603" t="s">
        <v>3430</v>
      </c>
      <c r="CB99" s="3672"/>
    </row>
    <row r="100" spans="18:80" ht="45">
      <c r="R100" s="3521">
        <f t="shared" si="50"/>
        <v>95</v>
      </c>
      <c r="S100" s="3522" t="s">
        <v>3130</v>
      </c>
      <c r="T100" s="3523" t="s">
        <v>3361</v>
      </c>
      <c r="U100" s="3524">
        <v>0</v>
      </c>
      <c r="V100" s="3524">
        <v>0</v>
      </c>
      <c r="W100" s="3524">
        <v>5000000</v>
      </c>
      <c r="X100" s="3525">
        <f t="shared" si="74"/>
        <v>0</v>
      </c>
      <c r="Y100" s="3525">
        <f t="shared" si="74"/>
        <v>0</v>
      </c>
      <c r="Z100" s="3525">
        <f t="shared" si="74"/>
        <v>10113.225600680416</v>
      </c>
      <c r="AA100" s="3607">
        <v>0</v>
      </c>
      <c r="AB100" s="3607">
        <v>0</v>
      </c>
      <c r="AC100" s="3607">
        <v>0</v>
      </c>
      <c r="AD100" s="3608">
        <v>0</v>
      </c>
      <c r="AE100" s="3608">
        <v>0</v>
      </c>
      <c r="AF100" s="3608">
        <v>0</v>
      </c>
      <c r="AG100" s="3608">
        <v>0</v>
      </c>
      <c r="AH100" s="3608">
        <v>0</v>
      </c>
      <c r="AI100" s="3608">
        <v>0</v>
      </c>
      <c r="AJ100" s="3540"/>
      <c r="AK100" s="3529"/>
      <c r="AL100" s="3529" t="s">
        <v>3132</v>
      </c>
      <c r="AM100" s="3529" t="s">
        <v>3133</v>
      </c>
      <c r="AN100" s="3530">
        <f t="shared" si="66"/>
        <v>0</v>
      </c>
      <c r="AO100" s="3530">
        <f t="shared" si="67"/>
        <v>0</v>
      </c>
      <c r="AP100" s="3530">
        <f t="shared" si="68"/>
        <v>0</v>
      </c>
      <c r="AQ100" s="3530">
        <f t="shared" si="69"/>
        <v>0</v>
      </c>
      <c r="AR100" s="3530">
        <f t="shared" si="70"/>
        <v>6512.9172868381884</v>
      </c>
      <c r="AS100" s="3530">
        <f t="shared" si="71"/>
        <v>0</v>
      </c>
      <c r="AT100" s="3609">
        <f t="shared" si="72"/>
        <v>0</v>
      </c>
      <c r="AU100" s="3609">
        <f t="shared" si="73"/>
        <v>0</v>
      </c>
      <c r="AV100" s="3609">
        <f t="shared" si="56"/>
        <v>0</v>
      </c>
      <c r="AW100" s="3609">
        <f t="shared" si="57"/>
        <v>0</v>
      </c>
      <c r="AX100" s="3531" t="s">
        <v>3362</v>
      </c>
      <c r="AY100" s="3532">
        <f t="shared" si="51"/>
        <v>95</v>
      </c>
      <c r="AZ100" s="3532"/>
      <c r="BC100" s="3673"/>
      <c r="BD100" s="3603" t="s">
        <v>1522</v>
      </c>
      <c r="BE100" s="3705">
        <v>0.19054406874169211</v>
      </c>
      <c r="BF100" s="3705">
        <v>0.17270388154618654</v>
      </c>
      <c r="BG100" s="3705">
        <v>0.20481090427530035</v>
      </c>
      <c r="BH100" s="3705">
        <v>0.2145948773623271</v>
      </c>
      <c r="BI100" s="3705">
        <v>0.25676747666276462</v>
      </c>
      <c r="BJ100" s="3705">
        <v>0.29060080678225081</v>
      </c>
      <c r="BK100" s="3705">
        <v>0.30543525528276461</v>
      </c>
      <c r="BL100" s="3705">
        <v>0.29854549850832013</v>
      </c>
      <c r="BM100" s="3705">
        <v>0.28828723140159979</v>
      </c>
      <c r="BN100" s="3705">
        <v>0.32623412601263896</v>
      </c>
      <c r="BO100" s="3705">
        <v>0.24558697509409513</v>
      </c>
      <c r="BP100" s="3705">
        <v>0.22383489249324834</v>
      </c>
      <c r="BQ100" s="3705">
        <v>0.19054406874169211</v>
      </c>
      <c r="BR100" s="3705">
        <v>0.17270388154618654</v>
      </c>
      <c r="BS100" s="3705">
        <v>0.20481090427530035</v>
      </c>
      <c r="BT100" s="3705">
        <v>0.2145948773623271</v>
      </c>
      <c r="BU100" s="3705">
        <v>0.25676747666276462</v>
      </c>
      <c r="BV100" s="3705">
        <v>0.29060080678225081</v>
      </c>
      <c r="BW100" s="3705">
        <v>0.30543525528276461</v>
      </c>
      <c r="BX100" s="3705">
        <v>0.29854549850832013</v>
      </c>
      <c r="BY100" s="3705">
        <v>0.28828723140159979</v>
      </c>
      <c r="BZ100" s="3705">
        <v>0.32623412601263896</v>
      </c>
      <c r="CA100" s="3705">
        <v>0.24558697509409513</v>
      </c>
      <c r="CB100" s="3704">
        <v>0.22383489249324834</v>
      </c>
    </row>
    <row r="101" spans="18:80" ht="45">
      <c r="R101" s="3521">
        <f t="shared" si="50"/>
        <v>96</v>
      </c>
      <c r="S101" s="3523" t="s">
        <v>3155</v>
      </c>
      <c r="T101" s="3523" t="s">
        <v>3363</v>
      </c>
      <c r="U101" s="3524">
        <v>2074003</v>
      </c>
      <c r="V101" s="3524">
        <v>2079010</v>
      </c>
      <c r="W101" s="3524">
        <v>2085001</v>
      </c>
      <c r="X101" s="3525">
        <f t="shared" si="74"/>
        <v>4194.9720470975972</v>
      </c>
      <c r="Y101" s="3525">
        <f t="shared" si="74"/>
        <v>4205.0994312141183</v>
      </c>
      <c r="Z101" s="3525">
        <f t="shared" si="74"/>
        <v>4217.2170981288536</v>
      </c>
      <c r="AA101" s="3607">
        <v>0</v>
      </c>
      <c r="AB101" s="3607">
        <v>0</v>
      </c>
      <c r="AC101" s="3607">
        <v>0</v>
      </c>
      <c r="AD101" s="3608">
        <v>3900000</v>
      </c>
      <c r="AE101" s="3608">
        <v>5700000</v>
      </c>
      <c r="AF101" s="3608">
        <v>0</v>
      </c>
      <c r="AG101" s="3608">
        <v>0</v>
      </c>
      <c r="AH101" s="3608"/>
      <c r="AI101" s="3608"/>
      <c r="AJ101" s="3540"/>
      <c r="AK101" s="3529"/>
      <c r="AL101" s="3529" t="s">
        <v>839</v>
      </c>
      <c r="AM101" s="3529" t="s">
        <v>839</v>
      </c>
      <c r="AN101" s="3530">
        <f t="shared" si="66"/>
        <v>1968.9133251959681</v>
      </c>
      <c r="AO101" s="3530">
        <f t="shared" si="67"/>
        <v>623.25377946809579</v>
      </c>
      <c r="AP101" s="3530">
        <f t="shared" si="68"/>
        <v>1973.666620644073</v>
      </c>
      <c r="AQ101" s="3530">
        <f t="shared" si="69"/>
        <v>624.75842130024193</v>
      </c>
      <c r="AR101" s="3530">
        <f t="shared" si="70"/>
        <v>1979.3540568393191</v>
      </c>
      <c r="AS101" s="3530">
        <f t="shared" si="71"/>
        <v>626.55876266560801</v>
      </c>
      <c r="AT101" s="3609">
        <f t="shared" si="72"/>
        <v>1830467.9702399997</v>
      </c>
      <c r="AU101" s="3609">
        <f t="shared" si="73"/>
        <v>579429.30552000005</v>
      </c>
      <c r="AV101" s="3609">
        <f t="shared" si="56"/>
        <v>2675299.3411199995</v>
      </c>
      <c r="AW101" s="3609">
        <f t="shared" si="57"/>
        <v>846858.21576000005</v>
      </c>
      <c r="AX101" s="3531" t="s">
        <v>3364</v>
      </c>
      <c r="AY101" s="3532">
        <f t="shared" si="51"/>
        <v>96</v>
      </c>
      <c r="AZ101" s="3532"/>
      <c r="BC101" s="3673"/>
      <c r="BD101" s="3603" t="s">
        <v>1521</v>
      </c>
      <c r="BE101" s="3705">
        <v>0.22258919105371985</v>
      </c>
      <c r="BF101" s="3705">
        <v>0.21889896984366056</v>
      </c>
      <c r="BG101" s="3705">
        <v>0.23354109735735826</v>
      </c>
      <c r="BH101" s="3705">
        <v>0.24546046828822018</v>
      </c>
      <c r="BI101" s="3705">
        <v>0.23848888246794006</v>
      </c>
      <c r="BJ101" s="3705">
        <v>0.22985454320004961</v>
      </c>
      <c r="BK101" s="3705">
        <v>0.22787664536224347</v>
      </c>
      <c r="BL101" s="3705">
        <v>0.21475417733991939</v>
      </c>
      <c r="BM101" s="3705">
        <v>0.22333810060480638</v>
      </c>
      <c r="BN101" s="3705">
        <v>0.25214533550547885</v>
      </c>
      <c r="BO101" s="3705">
        <v>0.2533580711540474</v>
      </c>
      <c r="BP101" s="3705">
        <v>0.25948689548246867</v>
      </c>
      <c r="BQ101" s="3705">
        <v>0.22258919105371985</v>
      </c>
      <c r="BR101" s="3705">
        <v>0.21889896984366056</v>
      </c>
      <c r="BS101" s="3705">
        <v>0.23354109735735826</v>
      </c>
      <c r="BT101" s="3705">
        <v>0.24546046828822018</v>
      </c>
      <c r="BU101" s="3705">
        <v>0.23848888246794006</v>
      </c>
      <c r="BV101" s="3705">
        <v>0.22985454320004961</v>
      </c>
      <c r="BW101" s="3705">
        <v>0.22787664536224347</v>
      </c>
      <c r="BX101" s="3705">
        <v>0.21475417733991939</v>
      </c>
      <c r="BY101" s="3705">
        <v>0.22333810060480638</v>
      </c>
      <c r="BZ101" s="3705">
        <v>0.25214533550547885</v>
      </c>
      <c r="CA101" s="3705">
        <v>0.2533580711540474</v>
      </c>
      <c r="CB101" s="3704">
        <v>0.25948689548246867</v>
      </c>
    </row>
    <row r="102" spans="18:80" ht="45">
      <c r="R102" s="3521">
        <f t="shared" si="50"/>
        <v>97</v>
      </c>
      <c r="S102" s="3523" t="s">
        <v>3155</v>
      </c>
      <c r="T102" s="3523" t="s">
        <v>3365</v>
      </c>
      <c r="U102" s="3524">
        <v>248981</v>
      </c>
      <c r="V102" s="3524">
        <v>248983</v>
      </c>
      <c r="W102" s="3524">
        <v>0</v>
      </c>
      <c r="X102" s="3525">
        <f t="shared" si="74"/>
        <v>503.60020465660216</v>
      </c>
      <c r="Y102" s="3525">
        <f t="shared" si="74"/>
        <v>503.6042499468424</v>
      </c>
      <c r="Z102" s="3525">
        <f t="shared" si="74"/>
        <v>0</v>
      </c>
      <c r="AA102" s="3607">
        <v>0</v>
      </c>
      <c r="AB102" s="3607">
        <v>0</v>
      </c>
      <c r="AC102" s="3607">
        <v>0</v>
      </c>
      <c r="AD102" s="3608">
        <v>0</v>
      </c>
      <c r="AE102" s="3608">
        <v>22100</v>
      </c>
      <c r="AF102" s="3608">
        <v>0</v>
      </c>
      <c r="AG102" s="3608">
        <v>0</v>
      </c>
      <c r="AH102" s="3608">
        <v>0</v>
      </c>
      <c r="AI102" s="3608">
        <v>0</v>
      </c>
      <c r="AJ102" s="3540"/>
      <c r="AK102" s="3529"/>
      <c r="AL102" s="3529" t="s">
        <v>3366</v>
      </c>
      <c r="AM102" s="3529" t="s">
        <v>3366</v>
      </c>
      <c r="AN102" s="3530">
        <f t="shared" si="66"/>
        <v>388.49734188028918</v>
      </c>
      <c r="AO102" s="3530">
        <f t="shared" si="67"/>
        <v>115.10286277631299</v>
      </c>
      <c r="AP102" s="3530">
        <f t="shared" si="68"/>
        <v>388.50046257899209</v>
      </c>
      <c r="AQ102" s="3530">
        <f t="shared" si="69"/>
        <v>115.1037873678503</v>
      </c>
      <c r="AR102" s="3530">
        <f t="shared" si="70"/>
        <v>0</v>
      </c>
      <c r="AS102" s="3530">
        <f t="shared" si="71"/>
        <v>0</v>
      </c>
      <c r="AT102" s="3609">
        <f t="shared" si="72"/>
        <v>0</v>
      </c>
      <c r="AU102" s="3609">
        <f t="shared" si="73"/>
        <v>0</v>
      </c>
      <c r="AV102" s="3609">
        <f t="shared" si="56"/>
        <v>0</v>
      </c>
      <c r="AW102" s="3609">
        <f t="shared" si="57"/>
        <v>0</v>
      </c>
      <c r="AX102" s="3531" t="s">
        <v>3367</v>
      </c>
      <c r="AY102" s="3532">
        <f t="shared" si="51"/>
        <v>97</v>
      </c>
      <c r="AZ102" s="3532"/>
      <c r="BC102" s="3673"/>
      <c r="BD102" s="3603" t="s">
        <v>1520</v>
      </c>
      <c r="BE102" s="3705">
        <v>0.42129980485468743</v>
      </c>
      <c r="BF102" s="3705">
        <v>0.44008382957511699</v>
      </c>
      <c r="BG102" s="3705">
        <v>0.44364833028144302</v>
      </c>
      <c r="BH102" s="3705">
        <v>0.43957781324963408</v>
      </c>
      <c r="BI102" s="3705">
        <v>0.38839044074646167</v>
      </c>
      <c r="BJ102" s="3705">
        <v>0.33722738099761806</v>
      </c>
      <c r="BK102" s="3705">
        <v>0.33523869105028037</v>
      </c>
      <c r="BL102" s="3705">
        <v>0.31928675704616483</v>
      </c>
      <c r="BM102" s="3705">
        <v>0.32292398508744757</v>
      </c>
      <c r="BN102" s="3705">
        <v>0.31152728234431071</v>
      </c>
      <c r="BO102" s="3705">
        <v>0.36880127070344704</v>
      </c>
      <c r="BP102" s="3705">
        <v>0.42252574400093712</v>
      </c>
      <c r="BQ102" s="3705">
        <v>0.42129980485468743</v>
      </c>
      <c r="BR102" s="3705">
        <v>0.44008382957511699</v>
      </c>
      <c r="BS102" s="3705">
        <v>0.44364833028144302</v>
      </c>
      <c r="BT102" s="3705">
        <v>0.43957781324963408</v>
      </c>
      <c r="BU102" s="3705">
        <v>0.38839044074646167</v>
      </c>
      <c r="BV102" s="3705">
        <v>0.33722738099761806</v>
      </c>
      <c r="BW102" s="3705">
        <v>0.33523869105028037</v>
      </c>
      <c r="BX102" s="3705">
        <v>0.31928675704616483</v>
      </c>
      <c r="BY102" s="3705">
        <v>0.32292398508744757</v>
      </c>
      <c r="BZ102" s="3705">
        <v>0.31152728234431071</v>
      </c>
      <c r="CA102" s="3705">
        <v>0.36880127070344704</v>
      </c>
      <c r="CB102" s="3704">
        <v>0.42252574400093712</v>
      </c>
    </row>
    <row r="103" spans="18:80">
      <c r="R103" s="3521">
        <f t="shared" si="50"/>
        <v>98</v>
      </c>
      <c r="S103" s="3523" t="s">
        <v>3155</v>
      </c>
      <c r="T103" s="3523" t="s">
        <v>3368</v>
      </c>
      <c r="U103" s="3524">
        <v>746533</v>
      </c>
      <c r="V103" s="3524">
        <v>750011</v>
      </c>
      <c r="W103" s="3524">
        <v>0</v>
      </c>
      <c r="X103" s="3525">
        <f t="shared" si="74"/>
        <v>1509.9713294705507</v>
      </c>
      <c r="Y103" s="3525">
        <f t="shared" si="74"/>
        <v>1517.006089198384</v>
      </c>
      <c r="Z103" s="3525">
        <f t="shared" si="74"/>
        <v>0</v>
      </c>
      <c r="AA103" s="3607">
        <v>0</v>
      </c>
      <c r="AB103" s="3607">
        <v>0</v>
      </c>
      <c r="AC103" s="3607">
        <v>0</v>
      </c>
      <c r="AD103" s="3608">
        <v>0</v>
      </c>
      <c r="AE103" s="3608">
        <v>0</v>
      </c>
      <c r="AF103" s="3608">
        <v>0</v>
      </c>
      <c r="AG103" s="3608">
        <v>0</v>
      </c>
      <c r="AH103" s="3608">
        <v>0</v>
      </c>
      <c r="AI103" s="3608">
        <v>0</v>
      </c>
      <c r="AJ103" s="3540"/>
      <c r="AK103" s="3529"/>
      <c r="AL103" s="3529" t="s">
        <v>2729</v>
      </c>
      <c r="AM103" s="3529" t="s">
        <v>2729</v>
      </c>
      <c r="AN103" s="3530">
        <f t="shared" si="66"/>
        <v>779.78706341155851</v>
      </c>
      <c r="AO103" s="3530">
        <f t="shared" si="67"/>
        <v>247.60911150638611</v>
      </c>
      <c r="AP103" s="3530">
        <f t="shared" si="68"/>
        <v>783.41998976115769</v>
      </c>
      <c r="AQ103" s="3530">
        <f t="shared" si="69"/>
        <v>248.76269010213366</v>
      </c>
      <c r="AR103" s="3530">
        <f t="shared" si="70"/>
        <v>0</v>
      </c>
      <c r="AS103" s="3530">
        <f t="shared" si="71"/>
        <v>0</v>
      </c>
      <c r="AT103" s="3609">
        <f t="shared" si="72"/>
        <v>0</v>
      </c>
      <c r="AU103" s="3609">
        <f t="shared" si="73"/>
        <v>0</v>
      </c>
      <c r="AV103" s="3609">
        <f t="shared" si="56"/>
        <v>0</v>
      </c>
      <c r="AW103" s="3609">
        <f t="shared" si="57"/>
        <v>0</v>
      </c>
      <c r="AX103" s="3531" t="s">
        <v>3134</v>
      </c>
      <c r="AY103" s="3532">
        <f t="shared" si="51"/>
        <v>98</v>
      </c>
      <c r="AZ103" s="3532"/>
      <c r="BC103" s="3673"/>
      <c r="BD103" s="3603" t="s">
        <v>1519</v>
      </c>
      <c r="BE103" s="3705">
        <v>8.6677348562132453E-2</v>
      </c>
      <c r="BF103" s="3705">
        <v>8.5970491193223808E-2</v>
      </c>
      <c r="BG103" s="3705">
        <v>7.2855986283874033E-2</v>
      </c>
      <c r="BH103" s="3705">
        <v>5.9716929809317872E-2</v>
      </c>
      <c r="BI103" s="3705">
        <v>6.5968652356086913E-2</v>
      </c>
      <c r="BJ103" s="3705">
        <v>7.9998240038719151E-2</v>
      </c>
      <c r="BK103" s="3705">
        <v>8.2751692375548691E-2</v>
      </c>
      <c r="BL103" s="3705">
        <v>9.0900661938620231E-2</v>
      </c>
      <c r="BM103" s="3705">
        <v>8.7875971853326212E-2</v>
      </c>
      <c r="BN103" s="3705">
        <v>8.5450256628483226E-2</v>
      </c>
      <c r="BO103" s="3705">
        <v>6.5191024369382788E-2</v>
      </c>
      <c r="BP103" s="3705">
        <v>6.8194272337353812E-2</v>
      </c>
      <c r="BQ103" s="3705">
        <v>8.6677348562132453E-2</v>
      </c>
      <c r="BR103" s="3705">
        <v>8.5970491193223808E-2</v>
      </c>
      <c r="BS103" s="3705">
        <v>7.2855986283874033E-2</v>
      </c>
      <c r="BT103" s="3705">
        <v>5.9716929809317872E-2</v>
      </c>
      <c r="BU103" s="3705">
        <v>6.5968652356086913E-2</v>
      </c>
      <c r="BV103" s="3705">
        <v>7.9998240038719151E-2</v>
      </c>
      <c r="BW103" s="3705">
        <v>8.2751692375548691E-2</v>
      </c>
      <c r="BX103" s="3705">
        <v>9.0900661938620231E-2</v>
      </c>
      <c r="BY103" s="3705">
        <v>8.7875971853326212E-2</v>
      </c>
      <c r="BZ103" s="3705">
        <v>8.5450256628483226E-2</v>
      </c>
      <c r="CA103" s="3705">
        <v>6.5191024369382788E-2</v>
      </c>
      <c r="CB103" s="3704">
        <v>6.8194272337353812E-2</v>
      </c>
    </row>
    <row r="104" spans="18:80" ht="75">
      <c r="R104" s="3521">
        <f t="shared" si="50"/>
        <v>99</v>
      </c>
      <c r="S104" s="3523" t="s">
        <v>3144</v>
      </c>
      <c r="T104" s="3523" t="s">
        <v>3369</v>
      </c>
      <c r="U104" s="3524">
        <v>113768</v>
      </c>
      <c r="V104" s="3524">
        <v>112898</v>
      </c>
      <c r="W104" s="3524">
        <v>112592</v>
      </c>
      <c r="X104" s="3525">
        <f t="shared" si="74"/>
        <v>230.1122900276419</v>
      </c>
      <c r="Y104" s="3525">
        <f t="shared" si="74"/>
        <v>228.35258877312353</v>
      </c>
      <c r="Z104" s="3525">
        <f t="shared" si="74"/>
        <v>227.73365936636188</v>
      </c>
      <c r="AA104" s="3607">
        <v>0</v>
      </c>
      <c r="AB104" s="3607">
        <v>0</v>
      </c>
      <c r="AC104" s="3607">
        <v>0</v>
      </c>
      <c r="AD104" s="3608">
        <v>22260</v>
      </c>
      <c r="AE104" s="3608">
        <v>22260</v>
      </c>
      <c r="AF104" s="3608">
        <v>0</v>
      </c>
      <c r="AG104" s="3608">
        <v>0</v>
      </c>
      <c r="AH104" s="3608">
        <v>370000</v>
      </c>
      <c r="AI104" s="3608">
        <v>370000</v>
      </c>
      <c r="AJ104" s="3540"/>
      <c r="AK104" s="3529"/>
      <c r="AL104" s="3529" t="s">
        <v>839</v>
      </c>
      <c r="AM104" s="3529" t="s">
        <v>839</v>
      </c>
      <c r="AN104" s="3530">
        <f t="shared" si="66"/>
        <v>108.0033785779938</v>
      </c>
      <c r="AO104" s="3530">
        <f t="shared" si="67"/>
        <v>34.188154974957271</v>
      </c>
      <c r="AP104" s="3530">
        <f t="shared" si="68"/>
        <v>107.17746145399713</v>
      </c>
      <c r="AQ104" s="3530">
        <f t="shared" si="69"/>
        <v>33.926713314488488</v>
      </c>
      <c r="AR104" s="3530">
        <f t="shared" si="70"/>
        <v>106.88696646555691</v>
      </c>
      <c r="AS104" s="3530">
        <f t="shared" si="71"/>
        <v>33.834757971840851</v>
      </c>
      <c r="AT104" s="3609">
        <f t="shared" si="72"/>
        <v>10447.747953216</v>
      </c>
      <c r="AU104" s="3609">
        <f t="shared" si="73"/>
        <v>3307.2041899679998</v>
      </c>
      <c r="AV104" s="3609">
        <f t="shared" si="56"/>
        <v>10447.747953216</v>
      </c>
      <c r="AW104" s="3609">
        <f t="shared" si="57"/>
        <v>3307.2041899679998</v>
      </c>
      <c r="AX104" s="3531" t="s">
        <v>3370</v>
      </c>
      <c r="AY104" s="3532">
        <f t="shared" si="51"/>
        <v>99</v>
      </c>
      <c r="AZ104" s="3532"/>
      <c r="BC104" s="3673"/>
      <c r="BD104" s="3603" t="s">
        <v>1518</v>
      </c>
      <c r="BE104" s="3705">
        <v>7.8889586787768279E-2</v>
      </c>
      <c r="BF104" s="3705">
        <v>8.2342827841812127E-2</v>
      </c>
      <c r="BG104" s="3705">
        <v>4.5143681802024459E-2</v>
      </c>
      <c r="BH104" s="3705">
        <v>4.0649911290500766E-2</v>
      </c>
      <c r="BI104" s="3705">
        <v>5.0384547766746716E-2</v>
      </c>
      <c r="BJ104" s="3705">
        <v>6.2319028981362413E-2</v>
      </c>
      <c r="BK104" s="3705">
        <v>4.8697715929162895E-2</v>
      </c>
      <c r="BL104" s="3705">
        <v>7.6512905166975426E-2</v>
      </c>
      <c r="BM104" s="3705">
        <v>7.7574711052820045E-2</v>
      </c>
      <c r="BN104" s="3705">
        <v>2.4642999509088277E-2</v>
      </c>
      <c r="BO104" s="3705">
        <v>6.7062658679027762E-2</v>
      </c>
      <c r="BP104" s="3705">
        <v>2.595819568599203E-2</v>
      </c>
      <c r="BQ104" s="3705">
        <v>7.8889586787768279E-2</v>
      </c>
      <c r="BR104" s="3705">
        <v>8.2342827841812127E-2</v>
      </c>
      <c r="BS104" s="3705">
        <v>4.5143681802024459E-2</v>
      </c>
      <c r="BT104" s="3705">
        <v>4.0649911290500766E-2</v>
      </c>
      <c r="BU104" s="3705">
        <v>5.0384547766746716E-2</v>
      </c>
      <c r="BV104" s="3705">
        <v>6.2319028981362413E-2</v>
      </c>
      <c r="BW104" s="3705">
        <v>4.8697715929162895E-2</v>
      </c>
      <c r="BX104" s="3705">
        <v>7.6512905166975426E-2</v>
      </c>
      <c r="BY104" s="3705">
        <v>7.7574711052820045E-2</v>
      </c>
      <c r="BZ104" s="3705">
        <v>2.4642999509088277E-2</v>
      </c>
      <c r="CA104" s="3705">
        <v>6.7062658679027762E-2</v>
      </c>
      <c r="CB104" s="3704">
        <v>2.595819568599203E-2</v>
      </c>
    </row>
    <row r="105" spans="18:80" ht="15.75" thickBot="1">
      <c r="R105" s="3521">
        <f t="shared" si="50"/>
        <v>100</v>
      </c>
      <c r="S105" s="3523" t="s">
        <v>3155</v>
      </c>
      <c r="T105" s="3523" t="s">
        <v>3371</v>
      </c>
      <c r="U105" s="3524">
        <v>0</v>
      </c>
      <c r="V105" s="3524">
        <v>38006</v>
      </c>
      <c r="W105" s="3524">
        <v>554008</v>
      </c>
      <c r="X105" s="3525">
        <f t="shared" si="74"/>
        <v>0</v>
      </c>
      <c r="Y105" s="3525">
        <f t="shared" si="74"/>
        <v>76.87265043589197</v>
      </c>
      <c r="Z105" s="3525">
        <f t="shared" si="74"/>
        <v>1120.5615777163512</v>
      </c>
      <c r="AA105" s="3607">
        <v>0</v>
      </c>
      <c r="AB105" s="3607">
        <v>0</v>
      </c>
      <c r="AC105" s="3607">
        <v>0</v>
      </c>
      <c r="AD105" s="3608">
        <v>0</v>
      </c>
      <c r="AE105" s="3608">
        <v>0</v>
      </c>
      <c r="AF105" s="3608">
        <v>0</v>
      </c>
      <c r="AG105" s="3608">
        <v>0</v>
      </c>
      <c r="AH105" s="3608">
        <v>0</v>
      </c>
      <c r="AI105" s="3608">
        <v>0</v>
      </c>
      <c r="AJ105" s="3540"/>
      <c r="AK105" s="3529"/>
      <c r="AL105" s="3529" t="s">
        <v>3132</v>
      </c>
      <c r="AM105" s="3529" t="s">
        <v>3133</v>
      </c>
      <c r="AN105" s="3530">
        <f t="shared" si="66"/>
        <v>0</v>
      </c>
      <c r="AO105" s="3530">
        <f t="shared" si="67"/>
        <v>0</v>
      </c>
      <c r="AP105" s="3530">
        <f t="shared" si="68"/>
        <v>49.505986880714431</v>
      </c>
      <c r="AQ105" s="3530">
        <f t="shared" si="69"/>
        <v>0</v>
      </c>
      <c r="AR105" s="3530">
        <f t="shared" si="70"/>
        <v>721.64165604933021</v>
      </c>
      <c r="AS105" s="3530">
        <f t="shared" si="71"/>
        <v>0</v>
      </c>
      <c r="AT105" s="3609">
        <f t="shared" si="72"/>
        <v>0</v>
      </c>
      <c r="AU105" s="3609">
        <f t="shared" si="73"/>
        <v>0</v>
      </c>
      <c r="AV105" s="3609">
        <f t="shared" si="56"/>
        <v>0</v>
      </c>
      <c r="AW105" s="3609">
        <f t="shared" si="57"/>
        <v>0</v>
      </c>
      <c r="AX105" s="3531" t="s">
        <v>3134</v>
      </c>
      <c r="AY105" s="3532">
        <f t="shared" si="51"/>
        <v>100</v>
      </c>
      <c r="AZ105" s="3532"/>
      <c r="BC105" s="3671"/>
      <c r="BD105" s="3610"/>
      <c r="BE105" s="3703"/>
      <c r="BF105" s="3703"/>
      <c r="BG105" s="3703"/>
      <c r="BH105" s="3703"/>
      <c r="BI105" s="3703"/>
      <c r="BJ105" s="3703"/>
      <c r="BK105" s="3703"/>
      <c r="BL105" s="3703"/>
      <c r="BM105" s="3703"/>
      <c r="BN105" s="3703"/>
      <c r="BO105" s="3703"/>
      <c r="BP105" s="3703"/>
      <c r="BQ105" s="3703"/>
      <c r="BR105" s="3703"/>
      <c r="BS105" s="3703"/>
      <c r="BT105" s="3703"/>
      <c r="BU105" s="3703"/>
      <c r="BV105" s="3703"/>
      <c r="BW105" s="3703"/>
      <c r="BX105" s="3703"/>
      <c r="BY105" s="3703"/>
      <c r="BZ105" s="3703"/>
      <c r="CA105" s="3703"/>
      <c r="CB105" s="3702"/>
    </row>
    <row r="106" spans="18:80" ht="60">
      <c r="R106" s="3521">
        <f t="shared" si="50"/>
        <v>101</v>
      </c>
      <c r="S106" s="3523" t="s">
        <v>3155</v>
      </c>
      <c r="T106" s="3523" t="s">
        <v>3372</v>
      </c>
      <c r="U106" s="3524">
        <v>6000000</v>
      </c>
      <c r="V106" s="3524">
        <v>3200004</v>
      </c>
      <c r="W106" s="3524">
        <v>38700000</v>
      </c>
      <c r="X106" s="3525">
        <f t="shared" si="74"/>
        <v>12135.8707208165</v>
      </c>
      <c r="Y106" s="3525">
        <f t="shared" si="74"/>
        <v>6472.4724750159476</v>
      </c>
      <c r="Z106" s="3525">
        <f t="shared" si="74"/>
        <v>78276.366149266425</v>
      </c>
      <c r="AA106" s="3607">
        <v>0</v>
      </c>
      <c r="AB106" s="3607">
        <v>0</v>
      </c>
      <c r="AC106" s="3607">
        <v>0</v>
      </c>
      <c r="AD106" s="3608">
        <v>180000</v>
      </c>
      <c r="AE106" s="3608">
        <v>180000</v>
      </c>
      <c r="AF106" s="3608">
        <v>0</v>
      </c>
      <c r="AG106" s="3608">
        <v>0</v>
      </c>
      <c r="AH106" s="3608">
        <v>10000</v>
      </c>
      <c r="AI106" s="3608">
        <v>10000</v>
      </c>
      <c r="AJ106" s="3540"/>
      <c r="AK106" s="3529"/>
      <c r="AL106" s="3529" t="s">
        <v>3132</v>
      </c>
      <c r="AM106" s="3529" t="s">
        <v>3133</v>
      </c>
      <c r="AN106" s="3530">
        <f t="shared" si="66"/>
        <v>7815.5007442058259</v>
      </c>
      <c r="AO106" s="3530">
        <f t="shared" si="67"/>
        <v>0</v>
      </c>
      <c r="AP106" s="3530">
        <f t="shared" si="68"/>
        <v>4168.2722739102701</v>
      </c>
      <c r="AQ106" s="3530">
        <f t="shared" si="69"/>
        <v>0</v>
      </c>
      <c r="AR106" s="3530">
        <f t="shared" si="70"/>
        <v>50409.979800127578</v>
      </c>
      <c r="AS106" s="3530">
        <f t="shared" si="71"/>
        <v>0</v>
      </c>
      <c r="AT106" s="3609">
        <f t="shared" si="72"/>
        <v>115920</v>
      </c>
      <c r="AU106" s="3609">
        <f t="shared" si="73"/>
        <v>0</v>
      </c>
      <c r="AV106" s="3609">
        <f t="shared" si="56"/>
        <v>115920</v>
      </c>
      <c r="AW106" s="3609">
        <f t="shared" si="57"/>
        <v>0</v>
      </c>
      <c r="AX106" s="3531" t="s">
        <v>3373</v>
      </c>
      <c r="AY106" s="3532">
        <f t="shared" si="51"/>
        <v>101</v>
      </c>
      <c r="AZ106" s="3532"/>
      <c r="BC106" s="3701">
        <v>5</v>
      </c>
      <c r="BD106" s="3700" t="s">
        <v>3381</v>
      </c>
      <c r="BE106" s="3699"/>
      <c r="BF106" s="3699"/>
      <c r="BG106" s="3699"/>
      <c r="BH106" s="3699"/>
      <c r="BI106" s="3699"/>
      <c r="BJ106" s="3699"/>
      <c r="BK106" s="3698"/>
      <c r="BL106" s="3698"/>
      <c r="BM106" s="3698"/>
      <c r="BN106" s="3698"/>
      <c r="BO106" s="3698"/>
      <c r="BP106" s="3698"/>
      <c r="BQ106" s="3698"/>
      <c r="BR106" s="3698"/>
      <c r="BS106" s="3698"/>
      <c r="BT106" s="3698"/>
      <c r="BU106" s="3698"/>
      <c r="BV106" s="3698"/>
      <c r="BW106" s="3698"/>
      <c r="BX106" s="3698"/>
      <c r="BY106" s="3698"/>
      <c r="BZ106" s="3698"/>
      <c r="CA106" s="3698"/>
      <c r="CB106" s="3697"/>
    </row>
    <row r="107" spans="18:80" ht="25.5">
      <c r="R107" s="3521">
        <f t="shared" si="50"/>
        <v>102</v>
      </c>
      <c r="S107" s="3523" t="s">
        <v>3155</v>
      </c>
      <c r="T107" s="3523" t="s">
        <v>3374</v>
      </c>
      <c r="U107" s="3524">
        <v>8621160</v>
      </c>
      <c r="V107" s="3524">
        <v>7399007</v>
      </c>
      <c r="W107" s="3524">
        <v>1350006</v>
      </c>
      <c r="X107" s="3525">
        <f t="shared" si="74"/>
        <v>17437.547203912396</v>
      </c>
      <c r="Y107" s="3525">
        <f t="shared" si="74"/>
        <v>14965.565402402719</v>
      </c>
      <c r="Z107" s="3525">
        <f t="shared" si="74"/>
        <v>2730.5830480544332</v>
      </c>
      <c r="AA107" s="3607">
        <v>0</v>
      </c>
      <c r="AB107" s="3607">
        <v>0</v>
      </c>
      <c r="AC107" s="3607">
        <v>0</v>
      </c>
      <c r="AD107" s="3608">
        <v>0</v>
      </c>
      <c r="AE107" s="3608">
        <v>0</v>
      </c>
      <c r="AF107" s="3608">
        <v>0</v>
      </c>
      <c r="AG107" s="3608">
        <v>0</v>
      </c>
      <c r="AH107" s="3608">
        <v>0</v>
      </c>
      <c r="AI107" s="3608">
        <v>0</v>
      </c>
      <c r="AJ107" s="3540"/>
      <c r="AK107" s="3529"/>
      <c r="AL107" s="3529" t="s">
        <v>3132</v>
      </c>
      <c r="AM107" s="3529" t="s">
        <v>3195</v>
      </c>
      <c r="AN107" s="3530">
        <f t="shared" si="66"/>
        <v>11673.217224715076</v>
      </c>
      <c r="AO107" s="3530">
        <f t="shared" si="67"/>
        <v>0</v>
      </c>
      <c r="AP107" s="3530">
        <f t="shared" si="68"/>
        <v>10018.398447330452</v>
      </c>
      <c r="AQ107" s="3530">
        <f t="shared" si="69"/>
        <v>0</v>
      </c>
      <c r="AR107" s="3530">
        <f t="shared" si="70"/>
        <v>1827.9342098590791</v>
      </c>
      <c r="AS107" s="3530">
        <f t="shared" si="71"/>
        <v>0</v>
      </c>
      <c r="AT107" s="3609">
        <f t="shared" si="72"/>
        <v>0</v>
      </c>
      <c r="AU107" s="3609">
        <f t="shared" si="73"/>
        <v>0</v>
      </c>
      <c r="AV107" s="3609">
        <f t="shared" si="56"/>
        <v>0</v>
      </c>
      <c r="AW107" s="3609">
        <f t="shared" si="57"/>
        <v>0</v>
      </c>
      <c r="AX107" s="3531" t="s">
        <v>3134</v>
      </c>
      <c r="AY107" s="3532">
        <f t="shared" si="51"/>
        <v>102</v>
      </c>
      <c r="AZ107" s="3532"/>
      <c r="BC107" s="3673"/>
      <c r="BF107" s="3668" t="s">
        <v>3383</v>
      </c>
      <c r="BL107" s="3695"/>
      <c r="BM107" s="3695"/>
      <c r="BN107" s="3695"/>
      <c r="BO107" s="3695"/>
      <c r="BP107" s="3695"/>
      <c r="BQ107" s="3695"/>
      <c r="BR107" s="3695"/>
      <c r="BS107" s="3695"/>
      <c r="BT107" s="3695"/>
      <c r="BU107" s="3695"/>
      <c r="BV107" s="3695"/>
      <c r="BW107" s="3695"/>
      <c r="BX107" s="3695"/>
      <c r="BY107" s="3695"/>
      <c r="BZ107" s="3695"/>
      <c r="CA107" s="3695"/>
      <c r="CB107" s="3694"/>
    </row>
    <row r="108" spans="18:80" ht="45">
      <c r="R108" s="3521">
        <f t="shared" si="50"/>
        <v>103</v>
      </c>
      <c r="S108" s="3523" t="s">
        <v>3155</v>
      </c>
      <c r="T108" s="3523" t="s">
        <v>3375</v>
      </c>
      <c r="U108" s="3524">
        <v>1000000</v>
      </c>
      <c r="V108" s="3524">
        <v>1000000</v>
      </c>
      <c r="W108" s="3524">
        <v>2000000</v>
      </c>
      <c r="X108" s="3525">
        <f t="shared" si="74"/>
        <v>2022.6451201360833</v>
      </c>
      <c r="Y108" s="3525">
        <f t="shared" si="74"/>
        <v>2022.6451201360833</v>
      </c>
      <c r="Z108" s="3525">
        <f t="shared" si="74"/>
        <v>4045.2902402721666</v>
      </c>
      <c r="AA108" s="3607">
        <v>0</v>
      </c>
      <c r="AB108" s="3607">
        <v>0</v>
      </c>
      <c r="AC108" s="3607">
        <v>0</v>
      </c>
      <c r="AD108" s="3608">
        <v>0</v>
      </c>
      <c r="AE108" s="3608">
        <v>0</v>
      </c>
      <c r="AF108" s="3608">
        <v>5000</v>
      </c>
      <c r="AG108" s="3608">
        <v>5000</v>
      </c>
      <c r="AH108" s="3608">
        <v>0</v>
      </c>
      <c r="AI108" s="3608">
        <v>0</v>
      </c>
      <c r="AJ108" s="3540"/>
      <c r="AK108" s="3529"/>
      <c r="AL108" s="3529" t="s">
        <v>3132</v>
      </c>
      <c r="AM108" s="3529" t="s">
        <v>3133</v>
      </c>
      <c r="AN108" s="3530">
        <f t="shared" si="66"/>
        <v>1302.5834573676377</v>
      </c>
      <c r="AO108" s="3530">
        <f t="shared" si="67"/>
        <v>0</v>
      </c>
      <c r="AP108" s="3530">
        <f t="shared" si="68"/>
        <v>1302.5834573676377</v>
      </c>
      <c r="AQ108" s="3530">
        <f t="shared" si="69"/>
        <v>0</v>
      </c>
      <c r="AR108" s="3530">
        <f t="shared" si="70"/>
        <v>2605.1669147352754</v>
      </c>
      <c r="AS108" s="3530">
        <f t="shared" si="71"/>
        <v>0</v>
      </c>
      <c r="AT108" s="3609">
        <f t="shared" si="72"/>
        <v>0</v>
      </c>
      <c r="AU108" s="3609">
        <f t="shared" si="73"/>
        <v>0</v>
      </c>
      <c r="AV108" s="3609">
        <f t="shared" si="56"/>
        <v>0</v>
      </c>
      <c r="AW108" s="3609">
        <f t="shared" si="57"/>
        <v>0</v>
      </c>
      <c r="AX108" s="3531" t="s">
        <v>3376</v>
      </c>
      <c r="AY108" s="3532">
        <f t="shared" si="51"/>
        <v>103</v>
      </c>
      <c r="AZ108" s="3532"/>
      <c r="BC108" s="3673"/>
      <c r="BE108" s="3668" t="s">
        <v>3386</v>
      </c>
      <c r="BF108" s="3668" t="s">
        <v>1522</v>
      </c>
      <c r="BG108" s="3668" t="s">
        <v>1521</v>
      </c>
      <c r="BH108" s="3668" t="s">
        <v>1520</v>
      </c>
      <c r="BI108" s="3668" t="s">
        <v>1519</v>
      </c>
      <c r="BJ108" s="3668" t="s">
        <v>1518</v>
      </c>
      <c r="BL108" s="3695"/>
      <c r="BM108" s="3695"/>
      <c r="BN108" s="3695"/>
      <c r="BO108" s="3695"/>
      <c r="BP108" s="3695"/>
      <c r="BQ108" s="3695"/>
      <c r="BR108" s="3695"/>
      <c r="BS108" s="3695"/>
      <c r="BT108" s="3695"/>
      <c r="BU108" s="3695"/>
      <c r="BV108" s="3695"/>
      <c r="BW108" s="3695"/>
      <c r="BX108" s="3695"/>
      <c r="BY108" s="3695"/>
      <c r="BZ108" s="3695"/>
      <c r="CA108" s="3695"/>
      <c r="CB108" s="3694"/>
    </row>
    <row r="109" spans="18:80" ht="25.5">
      <c r="R109" s="3521">
        <f t="shared" si="50"/>
        <v>104</v>
      </c>
      <c r="S109" s="3523" t="s">
        <v>3155</v>
      </c>
      <c r="T109" s="3523" t="s">
        <v>3377</v>
      </c>
      <c r="U109" s="3524">
        <v>2397000</v>
      </c>
      <c r="V109" s="3524">
        <v>2386000</v>
      </c>
      <c r="W109" s="3524">
        <v>2386000</v>
      </c>
      <c r="X109" s="3525">
        <f t="shared" si="74"/>
        <v>4848.2803529661915</v>
      </c>
      <c r="Y109" s="3525">
        <f t="shared" si="74"/>
        <v>4826.0312566446946</v>
      </c>
      <c r="Z109" s="3525">
        <f t="shared" si="74"/>
        <v>4826.0312566446946</v>
      </c>
      <c r="AA109" s="3607">
        <v>0</v>
      </c>
      <c r="AB109" s="3607">
        <v>0</v>
      </c>
      <c r="AC109" s="3607">
        <v>0</v>
      </c>
      <c r="AD109" s="3608">
        <v>0</v>
      </c>
      <c r="AE109" s="3608">
        <v>0</v>
      </c>
      <c r="AF109" s="3608">
        <v>0</v>
      </c>
      <c r="AG109" s="3608">
        <v>0</v>
      </c>
      <c r="AH109" s="3608">
        <v>0</v>
      </c>
      <c r="AI109" s="3608">
        <v>0</v>
      </c>
      <c r="AJ109" s="3540"/>
      <c r="AK109" s="3529"/>
      <c r="AL109" s="3529" t="s">
        <v>3253</v>
      </c>
      <c r="AM109" s="3529" t="s">
        <v>3253</v>
      </c>
      <c r="AN109" s="3530">
        <f t="shared" si="66"/>
        <v>0</v>
      </c>
      <c r="AO109" s="3530">
        <f t="shared" si="67"/>
        <v>3347.0103416702104</v>
      </c>
      <c r="AP109" s="3530">
        <f t="shared" si="68"/>
        <v>0</v>
      </c>
      <c r="AQ109" s="3530">
        <f t="shared" si="69"/>
        <v>3331.650678024665</v>
      </c>
      <c r="AR109" s="3530">
        <f t="shared" si="70"/>
        <v>0</v>
      </c>
      <c r="AS109" s="3530">
        <f t="shared" si="71"/>
        <v>3331.650678024665</v>
      </c>
      <c r="AT109" s="3609">
        <f t="shared" si="72"/>
        <v>0</v>
      </c>
      <c r="AU109" s="3609">
        <f t="shared" si="73"/>
        <v>0</v>
      </c>
      <c r="AV109" s="3609">
        <f t="shared" si="56"/>
        <v>0</v>
      </c>
      <c r="AW109" s="3609">
        <f t="shared" si="57"/>
        <v>0</v>
      </c>
      <c r="AX109" s="3531" t="s">
        <v>3134</v>
      </c>
      <c r="AY109" s="3532">
        <f t="shared" si="51"/>
        <v>104</v>
      </c>
      <c r="AZ109" s="3532"/>
      <c r="BC109" s="3673"/>
      <c r="BD109" s="3668" t="s">
        <v>3429</v>
      </c>
      <c r="BE109" s="3611">
        <v>9.5</v>
      </c>
      <c r="BF109" s="3612">
        <v>0.50668999999999997</v>
      </c>
      <c r="BG109" s="3612">
        <v>0.65852999999999995</v>
      </c>
      <c r="BH109" s="3613" t="s">
        <v>3388</v>
      </c>
      <c r="BI109" s="3613" t="s">
        <v>3388</v>
      </c>
      <c r="BJ109" s="3613" t="s">
        <v>3388</v>
      </c>
      <c r="BL109" s="3695"/>
      <c r="BM109" s="3695"/>
      <c r="BN109" s="3695"/>
      <c r="BO109" s="3695"/>
      <c r="BP109" s="3695"/>
      <c r="BQ109" s="3695"/>
      <c r="BR109" s="3695"/>
      <c r="BS109" s="3695"/>
      <c r="BT109" s="3695"/>
      <c r="BU109" s="3695"/>
      <c r="BV109" s="3695"/>
      <c r="BW109" s="3695"/>
      <c r="BX109" s="3695"/>
      <c r="BY109" s="3695"/>
      <c r="BZ109" s="3695"/>
      <c r="CA109" s="3695"/>
      <c r="CB109" s="3694"/>
    </row>
    <row r="110" spans="18:80">
      <c r="R110" s="3521">
        <f t="shared" si="50"/>
        <v>105</v>
      </c>
      <c r="S110" s="3523" t="s">
        <v>3155</v>
      </c>
      <c r="T110" s="3523" t="s">
        <v>3378</v>
      </c>
      <c r="U110" s="3524">
        <v>250001</v>
      </c>
      <c r="V110" s="3524">
        <v>250001</v>
      </c>
      <c r="W110" s="3524">
        <v>250001</v>
      </c>
      <c r="X110" s="3525">
        <f t="shared" si="74"/>
        <v>505.66330267914094</v>
      </c>
      <c r="Y110" s="3525">
        <f t="shared" si="74"/>
        <v>505.66330267914094</v>
      </c>
      <c r="Z110" s="3525">
        <f t="shared" si="74"/>
        <v>505.66330267914094</v>
      </c>
      <c r="AA110" s="3607">
        <v>0</v>
      </c>
      <c r="AB110" s="3607">
        <v>0</v>
      </c>
      <c r="AC110" s="3607">
        <v>0</v>
      </c>
      <c r="AD110" s="3608">
        <v>0</v>
      </c>
      <c r="AE110" s="3608">
        <v>0</v>
      </c>
      <c r="AF110" s="3608">
        <v>0</v>
      </c>
      <c r="AG110" s="3608">
        <v>0</v>
      </c>
      <c r="AH110" s="3608">
        <v>0</v>
      </c>
      <c r="AI110" s="3608">
        <v>0</v>
      </c>
      <c r="AJ110" s="3540"/>
      <c r="AK110" s="3529"/>
      <c r="AL110" s="3529" t="s">
        <v>3132</v>
      </c>
      <c r="AM110" s="3529" t="s">
        <v>3195</v>
      </c>
      <c r="AN110" s="3530">
        <f t="shared" si="66"/>
        <v>338.50618471249732</v>
      </c>
      <c r="AO110" s="3530">
        <f t="shared" si="67"/>
        <v>0</v>
      </c>
      <c r="AP110" s="3530">
        <f t="shared" si="68"/>
        <v>338.50618471249732</v>
      </c>
      <c r="AQ110" s="3530">
        <f t="shared" si="69"/>
        <v>0</v>
      </c>
      <c r="AR110" s="3530">
        <f t="shared" si="70"/>
        <v>338.50618471249732</v>
      </c>
      <c r="AS110" s="3530">
        <f t="shared" si="71"/>
        <v>0</v>
      </c>
      <c r="AT110" s="3609">
        <f t="shared" si="72"/>
        <v>0</v>
      </c>
      <c r="AU110" s="3609">
        <f t="shared" si="73"/>
        <v>0</v>
      </c>
      <c r="AV110" s="3609">
        <f t="shared" si="56"/>
        <v>0</v>
      </c>
      <c r="AW110" s="3609">
        <f t="shared" si="57"/>
        <v>0</v>
      </c>
      <c r="AX110" s="3531" t="s">
        <v>3134</v>
      </c>
      <c r="AY110" s="3532">
        <f t="shared" si="51"/>
        <v>105</v>
      </c>
      <c r="AZ110" s="3532"/>
      <c r="BC110" s="3673"/>
      <c r="BD110" s="3668" t="s">
        <v>3428</v>
      </c>
      <c r="BE110" s="3611">
        <v>130.58000000000001</v>
      </c>
      <c r="BF110" s="3612">
        <v>0</v>
      </c>
      <c r="BG110" s="3612">
        <v>0.38763999999999998</v>
      </c>
      <c r="BH110" s="3612">
        <v>0.29547000000000001</v>
      </c>
      <c r="BI110" s="3612">
        <v>0.25211</v>
      </c>
      <c r="BJ110" s="3612">
        <v>0.17685999999999999</v>
      </c>
      <c r="BL110" s="3695"/>
      <c r="BM110" s="3695"/>
      <c r="BN110" s="3695"/>
      <c r="BO110" s="3695"/>
      <c r="BP110" s="3695"/>
      <c r="BQ110" s="3695"/>
      <c r="BR110" s="3695"/>
      <c r="BS110" s="3695"/>
      <c r="BT110" s="3695"/>
      <c r="BU110" s="3695"/>
      <c r="BV110" s="3695"/>
      <c r="BW110" s="3695"/>
      <c r="BX110" s="3695"/>
      <c r="BY110" s="3695"/>
      <c r="BZ110" s="3695"/>
      <c r="CA110" s="3695"/>
      <c r="CB110" s="3694"/>
    </row>
    <row r="111" spans="18:80" ht="25.5">
      <c r="R111" s="3521">
        <f t="shared" si="50"/>
        <v>106</v>
      </c>
      <c r="S111" s="3523" t="s">
        <v>3155</v>
      </c>
      <c r="T111" s="3523" t="s">
        <v>3379</v>
      </c>
      <c r="U111" s="3524">
        <v>412000</v>
      </c>
      <c r="V111" s="3524">
        <v>0</v>
      </c>
      <c r="W111" s="3524">
        <v>0</v>
      </c>
      <c r="X111" s="3525">
        <f t="shared" si="74"/>
        <v>833.32978949606627</v>
      </c>
      <c r="Y111" s="3525">
        <f t="shared" si="74"/>
        <v>0</v>
      </c>
      <c r="Z111" s="3525">
        <f t="shared" si="74"/>
        <v>0</v>
      </c>
      <c r="AA111" s="3607">
        <v>0</v>
      </c>
      <c r="AB111" s="3607">
        <v>0</v>
      </c>
      <c r="AC111" s="3607">
        <v>0</v>
      </c>
      <c r="AD111" s="3608">
        <v>0</v>
      </c>
      <c r="AE111" s="3608">
        <v>0</v>
      </c>
      <c r="AF111" s="3608">
        <v>0</v>
      </c>
      <c r="AG111" s="3608">
        <v>0</v>
      </c>
      <c r="AH111" s="3608">
        <v>0</v>
      </c>
      <c r="AI111" s="3608">
        <v>0</v>
      </c>
      <c r="AJ111" s="3540"/>
      <c r="AK111" s="3529"/>
      <c r="AL111" s="3529" t="s">
        <v>3253</v>
      </c>
      <c r="AM111" s="3529" t="s">
        <v>3253</v>
      </c>
      <c r="AN111" s="3530">
        <f t="shared" si="66"/>
        <v>0</v>
      </c>
      <c r="AO111" s="3530">
        <f t="shared" si="67"/>
        <v>575.28922017860941</v>
      </c>
      <c r="AP111" s="3530">
        <f t="shared" si="68"/>
        <v>0</v>
      </c>
      <c r="AQ111" s="3530">
        <f t="shared" si="69"/>
        <v>0</v>
      </c>
      <c r="AR111" s="3530">
        <f t="shared" si="70"/>
        <v>0</v>
      </c>
      <c r="AS111" s="3530">
        <f t="shared" si="71"/>
        <v>0</v>
      </c>
      <c r="AT111" s="3609">
        <f t="shared" si="72"/>
        <v>0</v>
      </c>
      <c r="AU111" s="3609">
        <f t="shared" si="73"/>
        <v>0</v>
      </c>
      <c r="AV111" s="3609">
        <f t="shared" si="56"/>
        <v>0</v>
      </c>
      <c r="AW111" s="3609">
        <f t="shared" si="57"/>
        <v>0</v>
      </c>
      <c r="AX111" s="3531" t="s">
        <v>3134</v>
      </c>
      <c r="AY111" s="3532">
        <f t="shared" si="51"/>
        <v>106</v>
      </c>
      <c r="AZ111" s="3532"/>
      <c r="BC111" s="3673"/>
      <c r="BD111" s="3603"/>
      <c r="BE111" s="3695"/>
      <c r="BF111" s="3696"/>
      <c r="BG111" s="3695"/>
      <c r="BH111" s="3695"/>
      <c r="BI111" s="3695"/>
      <c r="BJ111" s="3695"/>
      <c r="BK111" s="3695"/>
      <c r="BL111" s="3695"/>
      <c r="BM111" s="3695"/>
      <c r="BN111" s="3695"/>
      <c r="BO111" s="3695"/>
      <c r="BP111" s="3695"/>
      <c r="BQ111" s="3695"/>
      <c r="BR111" s="3695"/>
      <c r="BS111" s="3695"/>
      <c r="BT111" s="3695"/>
      <c r="BU111" s="3695"/>
      <c r="BV111" s="3695"/>
      <c r="BW111" s="3695"/>
      <c r="BX111" s="3695"/>
      <c r="BY111" s="3695"/>
      <c r="BZ111" s="3695"/>
      <c r="CA111" s="3695"/>
      <c r="CB111" s="3694"/>
    </row>
    <row r="112" spans="18:80" ht="25.5">
      <c r="R112" s="3521">
        <f t="shared" si="50"/>
        <v>107</v>
      </c>
      <c r="S112" s="3523" t="s">
        <v>3130</v>
      </c>
      <c r="T112" s="3523" t="s">
        <v>3380</v>
      </c>
      <c r="U112" s="3524">
        <v>1134952</v>
      </c>
      <c r="V112" s="3524"/>
      <c r="W112" s="3524">
        <v>0</v>
      </c>
      <c r="X112" s="3525">
        <f t="shared" si="74"/>
        <v>2295.6051243886877</v>
      </c>
      <c r="Y112" s="3525">
        <f t="shared" si="74"/>
        <v>0</v>
      </c>
      <c r="Z112" s="3525">
        <f t="shared" si="74"/>
        <v>0</v>
      </c>
      <c r="AA112" s="3607"/>
      <c r="AB112" s="3607"/>
      <c r="AC112" s="3607"/>
      <c r="AD112" s="3608"/>
      <c r="AE112" s="3608"/>
      <c r="AF112" s="3608"/>
      <c r="AG112" s="3608"/>
      <c r="AH112" s="3608"/>
      <c r="AI112" s="3608"/>
      <c r="AJ112" s="3540"/>
      <c r="AK112" s="3529"/>
      <c r="AL112" s="3529" t="s">
        <v>3132</v>
      </c>
      <c r="AM112" s="3529" t="s">
        <v>3133</v>
      </c>
      <c r="AN112" s="3530">
        <f t="shared" si="66"/>
        <v>1478.3697001063149</v>
      </c>
      <c r="AO112" s="3530">
        <f t="shared" si="67"/>
        <v>0</v>
      </c>
      <c r="AP112" s="3530">
        <f t="shared" si="68"/>
        <v>0</v>
      </c>
      <c r="AQ112" s="3530">
        <f t="shared" si="69"/>
        <v>0</v>
      </c>
      <c r="AR112" s="3530">
        <f t="shared" si="70"/>
        <v>0</v>
      </c>
      <c r="AS112" s="3530">
        <f t="shared" si="71"/>
        <v>0</v>
      </c>
      <c r="AT112" s="3609">
        <f t="shared" si="72"/>
        <v>0</v>
      </c>
      <c r="AU112" s="3609">
        <f t="shared" si="73"/>
        <v>0</v>
      </c>
      <c r="AV112" s="3609">
        <f t="shared" si="56"/>
        <v>0</v>
      </c>
      <c r="AW112" s="3609">
        <f t="shared" si="57"/>
        <v>0</v>
      </c>
      <c r="AX112" s="3531" t="s">
        <v>3134</v>
      </c>
      <c r="AY112" s="3532">
        <f t="shared" si="51"/>
        <v>107</v>
      </c>
      <c r="AZ112" s="3532"/>
      <c r="BC112" s="3673"/>
      <c r="BD112" s="3693" t="s">
        <v>3398</v>
      </c>
      <c r="CB112" s="3672"/>
    </row>
    <row r="113" spans="18:80" ht="25.5">
      <c r="R113" s="3521">
        <f t="shared" si="50"/>
        <v>108</v>
      </c>
      <c r="S113" s="3523" t="s">
        <v>3130</v>
      </c>
      <c r="T113" s="3523" t="s">
        <v>3382</v>
      </c>
      <c r="U113" s="3524">
        <v>99888</v>
      </c>
      <c r="V113" s="3524">
        <v>3473234</v>
      </c>
      <c r="W113" s="3524">
        <v>0</v>
      </c>
      <c r="X113" s="3525">
        <f t="shared" si="74"/>
        <v>202.03797576015307</v>
      </c>
      <c r="Y113" s="3525">
        <f t="shared" si="74"/>
        <v>7025.1198011907281</v>
      </c>
      <c r="Z113" s="3525">
        <f t="shared" si="74"/>
        <v>0</v>
      </c>
      <c r="AA113" s="3607"/>
      <c r="AB113" s="3607"/>
      <c r="AC113" s="3607"/>
      <c r="AD113" s="3608"/>
      <c r="AE113" s="3608"/>
      <c r="AF113" s="3608"/>
      <c r="AG113" s="3608"/>
      <c r="AH113" s="3608"/>
      <c r="AI113" s="3608"/>
      <c r="AJ113" s="3540"/>
      <c r="AK113" s="3529"/>
      <c r="AL113" s="3529" t="s">
        <v>3132</v>
      </c>
      <c r="AM113" s="3529" t="s">
        <v>3133</v>
      </c>
      <c r="AN113" s="3530">
        <f t="shared" si="66"/>
        <v>130.11245638953858</v>
      </c>
      <c r="AO113" s="3530">
        <f t="shared" si="67"/>
        <v>0</v>
      </c>
      <c r="AP113" s="3530">
        <f t="shared" si="68"/>
        <v>4524.1771519668291</v>
      </c>
      <c r="AQ113" s="3530">
        <f t="shared" si="69"/>
        <v>0</v>
      </c>
      <c r="AR113" s="3530">
        <f t="shared" si="70"/>
        <v>0</v>
      </c>
      <c r="AS113" s="3530">
        <f t="shared" si="71"/>
        <v>0</v>
      </c>
      <c r="AT113" s="3609">
        <f t="shared" si="72"/>
        <v>0</v>
      </c>
      <c r="AU113" s="3609">
        <f t="shared" si="73"/>
        <v>0</v>
      </c>
      <c r="AV113" s="3609">
        <f t="shared" si="56"/>
        <v>0</v>
      </c>
      <c r="AW113" s="3609">
        <f t="shared" si="57"/>
        <v>0</v>
      </c>
      <c r="AX113" s="3531" t="s">
        <v>3134</v>
      </c>
      <c r="AY113" s="3532">
        <f t="shared" si="51"/>
        <v>108</v>
      </c>
      <c r="AZ113" s="3532"/>
      <c r="BC113" s="3692"/>
      <c r="BD113" s="3679" t="s">
        <v>3429</v>
      </c>
      <c r="BE113" s="3691">
        <v>45688</v>
      </c>
      <c r="BF113" s="3691">
        <f t="shared" ref="BF113:CB113" si="75">EOMONTH(BE113,1)</f>
        <v>45716</v>
      </c>
      <c r="BG113" s="3691">
        <f t="shared" si="75"/>
        <v>45747</v>
      </c>
      <c r="BH113" s="3691">
        <f t="shared" si="75"/>
        <v>45777</v>
      </c>
      <c r="BI113" s="3691">
        <f t="shared" si="75"/>
        <v>45808</v>
      </c>
      <c r="BJ113" s="3691">
        <f t="shared" si="75"/>
        <v>45838</v>
      </c>
      <c r="BK113" s="3691">
        <f t="shared" si="75"/>
        <v>45869</v>
      </c>
      <c r="BL113" s="3691">
        <f t="shared" si="75"/>
        <v>45900</v>
      </c>
      <c r="BM113" s="3691">
        <f t="shared" si="75"/>
        <v>45930</v>
      </c>
      <c r="BN113" s="3691">
        <f t="shared" si="75"/>
        <v>45961</v>
      </c>
      <c r="BO113" s="3691">
        <f t="shared" si="75"/>
        <v>45991</v>
      </c>
      <c r="BP113" s="3691">
        <f t="shared" si="75"/>
        <v>46022</v>
      </c>
      <c r="BQ113" s="3691">
        <f t="shared" si="75"/>
        <v>46053</v>
      </c>
      <c r="BR113" s="3691">
        <f t="shared" si="75"/>
        <v>46081</v>
      </c>
      <c r="BS113" s="3691">
        <f t="shared" si="75"/>
        <v>46112</v>
      </c>
      <c r="BT113" s="3691">
        <f t="shared" si="75"/>
        <v>46142</v>
      </c>
      <c r="BU113" s="3691">
        <f t="shared" si="75"/>
        <v>46173</v>
      </c>
      <c r="BV113" s="3691">
        <f t="shared" si="75"/>
        <v>46203</v>
      </c>
      <c r="BW113" s="3691">
        <f t="shared" si="75"/>
        <v>46234</v>
      </c>
      <c r="BX113" s="3691">
        <f t="shared" si="75"/>
        <v>46265</v>
      </c>
      <c r="BY113" s="3691">
        <f t="shared" si="75"/>
        <v>46295</v>
      </c>
      <c r="BZ113" s="3691">
        <f t="shared" si="75"/>
        <v>46326</v>
      </c>
      <c r="CA113" s="3691">
        <f t="shared" si="75"/>
        <v>46356</v>
      </c>
      <c r="CB113" s="3690">
        <f t="shared" si="75"/>
        <v>46387</v>
      </c>
    </row>
    <row r="114" spans="18:80" ht="45">
      <c r="R114" s="3521">
        <f t="shared" si="50"/>
        <v>109</v>
      </c>
      <c r="S114" s="3523" t="s">
        <v>3130</v>
      </c>
      <c r="T114" s="3523" t="s">
        <v>3384</v>
      </c>
      <c r="U114" s="3524">
        <v>0</v>
      </c>
      <c r="V114" s="3524">
        <v>0</v>
      </c>
      <c r="W114" s="3524">
        <v>11076524</v>
      </c>
      <c r="X114" s="3547" t="s">
        <v>3150</v>
      </c>
      <c r="Y114" s="3547" t="s">
        <v>3150</v>
      </c>
      <c r="Z114" s="3547" t="s">
        <v>3150</v>
      </c>
      <c r="AA114" s="3607">
        <v>0</v>
      </c>
      <c r="AB114" s="3607">
        <v>0</v>
      </c>
      <c r="AC114" s="3607">
        <v>0</v>
      </c>
      <c r="AD114" s="3608">
        <v>0</v>
      </c>
      <c r="AE114" s="3608">
        <v>0</v>
      </c>
      <c r="AF114" s="3608">
        <v>0</v>
      </c>
      <c r="AG114" s="3608">
        <v>0</v>
      </c>
      <c r="AH114" s="3608">
        <v>0</v>
      </c>
      <c r="AI114" s="3608">
        <v>0</v>
      </c>
      <c r="AJ114" s="3540" t="s">
        <v>3161</v>
      </c>
      <c r="AK114" s="3529"/>
      <c r="AL114" s="3529" t="s">
        <v>3132</v>
      </c>
      <c r="AM114" s="3529" t="s">
        <v>3152</v>
      </c>
      <c r="AN114" s="3530">
        <f t="shared" si="66"/>
        <v>0</v>
      </c>
      <c r="AO114" s="3530">
        <f t="shared" si="67"/>
        <v>0</v>
      </c>
      <c r="AP114" s="3530">
        <f t="shared" si="68"/>
        <v>0</v>
      </c>
      <c r="AQ114" s="3530">
        <f t="shared" si="69"/>
        <v>0</v>
      </c>
      <c r="AR114" s="3530">
        <f t="shared" si="70"/>
        <v>0</v>
      </c>
      <c r="AS114" s="3530">
        <f t="shared" si="71"/>
        <v>0</v>
      </c>
      <c r="AT114" s="3609">
        <f t="shared" si="72"/>
        <v>0</v>
      </c>
      <c r="AU114" s="3609">
        <f t="shared" si="73"/>
        <v>0</v>
      </c>
      <c r="AV114" s="3609">
        <f t="shared" si="56"/>
        <v>0</v>
      </c>
      <c r="AW114" s="3609">
        <f t="shared" si="57"/>
        <v>0</v>
      </c>
      <c r="AX114" s="3531" t="s">
        <v>3385</v>
      </c>
      <c r="AY114" s="3532">
        <f t="shared" si="51"/>
        <v>109</v>
      </c>
      <c r="AZ114" s="3532"/>
      <c r="BC114" s="3673"/>
      <c r="BD114" s="3668" t="s">
        <v>3386</v>
      </c>
      <c r="BE114" s="3689">
        <f t="shared" ref="BE114:CB114" si="76">BE39*$BE$109</f>
        <v>5801.5330581828312</v>
      </c>
      <c r="BF114" s="3689">
        <f t="shared" si="76"/>
        <v>5858.7539884153957</v>
      </c>
      <c r="BG114" s="3689">
        <f t="shared" si="76"/>
        <v>5915.9749186479603</v>
      </c>
      <c r="BH114" s="3689">
        <f t="shared" si="76"/>
        <v>5973.1958488805249</v>
      </c>
      <c r="BI114" s="3689">
        <f t="shared" si="76"/>
        <v>6030.4167791130894</v>
      </c>
      <c r="BJ114" s="3689">
        <f t="shared" si="76"/>
        <v>6087.6377093453775</v>
      </c>
      <c r="BK114" s="3689">
        <f t="shared" si="76"/>
        <v>6144.8586395779421</v>
      </c>
      <c r="BL114" s="3689">
        <f t="shared" si="76"/>
        <v>6202.0795698105067</v>
      </c>
      <c r="BM114" s="3689">
        <f t="shared" si="76"/>
        <v>6259.3005000430712</v>
      </c>
      <c r="BN114" s="3689">
        <f t="shared" si="76"/>
        <v>6316.5214302756358</v>
      </c>
      <c r="BO114" s="3689">
        <f t="shared" si="76"/>
        <v>6373.7423605082004</v>
      </c>
      <c r="BP114" s="3689">
        <f t="shared" si="76"/>
        <v>6430.9632907407649</v>
      </c>
      <c r="BQ114" s="3689">
        <f t="shared" si="76"/>
        <v>6488.1842209733295</v>
      </c>
      <c r="BR114" s="3689">
        <f t="shared" si="76"/>
        <v>6545.4051512058941</v>
      </c>
      <c r="BS114" s="3689">
        <f t="shared" si="76"/>
        <v>6602.6260814384586</v>
      </c>
      <c r="BT114" s="3689">
        <f t="shared" si="76"/>
        <v>6659.8470116710232</v>
      </c>
      <c r="BU114" s="3689">
        <f t="shared" si="76"/>
        <v>6717.0679419035878</v>
      </c>
      <c r="BV114" s="3689">
        <f t="shared" si="76"/>
        <v>6774.2888721361523</v>
      </c>
      <c r="BW114" s="3689">
        <f t="shared" si="76"/>
        <v>6831.5098023687169</v>
      </c>
      <c r="BX114" s="3689">
        <f t="shared" si="76"/>
        <v>6888.7307326012815</v>
      </c>
      <c r="BY114" s="3689">
        <f t="shared" si="76"/>
        <v>6945.9516628338461</v>
      </c>
      <c r="BZ114" s="3689">
        <f t="shared" si="76"/>
        <v>7003.1725930664106</v>
      </c>
      <c r="CA114" s="3689">
        <f t="shared" si="76"/>
        <v>7060.3935232989752</v>
      </c>
      <c r="CB114" s="3688">
        <f t="shared" si="76"/>
        <v>7117.6144535315398</v>
      </c>
    </row>
    <row r="115" spans="18:80">
      <c r="R115" s="3521">
        <f t="shared" si="50"/>
        <v>110</v>
      </c>
      <c r="S115" s="3523" t="s">
        <v>3130</v>
      </c>
      <c r="T115" s="3523" t="s">
        <v>3387</v>
      </c>
      <c r="U115" s="3524">
        <v>2008437</v>
      </c>
      <c r="V115" s="3524">
        <v>0</v>
      </c>
      <c r="W115" s="3524">
        <v>0</v>
      </c>
      <c r="X115" s="3525">
        <f t="shared" ref="X115:Z122" si="77">U115*$T$4*$T$3</f>
        <v>4062.3552971507547</v>
      </c>
      <c r="Y115" s="3525">
        <f t="shared" si="77"/>
        <v>0</v>
      </c>
      <c r="Z115" s="3525">
        <f t="shared" si="77"/>
        <v>0</v>
      </c>
      <c r="AA115" s="3607"/>
      <c r="AB115" s="3607"/>
      <c r="AC115" s="3607"/>
      <c r="AD115" s="3608"/>
      <c r="AE115" s="3608"/>
      <c r="AF115" s="3608"/>
      <c r="AG115" s="3608"/>
      <c r="AH115" s="3608"/>
      <c r="AI115" s="3608"/>
      <c r="AJ115" s="3540"/>
      <c r="AK115" s="3529"/>
      <c r="AL115" s="3529" t="s">
        <v>3132</v>
      </c>
      <c r="AM115" s="3529" t="s">
        <v>3133</v>
      </c>
      <c r="AN115" s="3530">
        <f t="shared" si="66"/>
        <v>2616.156811365086</v>
      </c>
      <c r="AO115" s="3530">
        <f t="shared" si="67"/>
        <v>0</v>
      </c>
      <c r="AP115" s="3530">
        <f t="shared" si="68"/>
        <v>0</v>
      </c>
      <c r="AQ115" s="3530">
        <f t="shared" si="69"/>
        <v>0</v>
      </c>
      <c r="AR115" s="3530">
        <f t="shared" si="70"/>
        <v>0</v>
      </c>
      <c r="AS115" s="3530">
        <f t="shared" si="71"/>
        <v>0</v>
      </c>
      <c r="AT115" s="3609">
        <f t="shared" si="72"/>
        <v>0</v>
      </c>
      <c r="AU115" s="3609">
        <f t="shared" si="73"/>
        <v>0</v>
      </c>
      <c r="AV115" s="3609">
        <f t="shared" si="56"/>
        <v>0</v>
      </c>
      <c r="AW115" s="3609">
        <f t="shared" si="57"/>
        <v>0</v>
      </c>
      <c r="AX115" s="3531" t="s">
        <v>3134</v>
      </c>
      <c r="AY115" s="3532">
        <f t="shared" si="51"/>
        <v>110</v>
      </c>
      <c r="AZ115" s="3532"/>
      <c r="BC115" s="3673"/>
      <c r="BD115" s="3668" t="s">
        <v>3410</v>
      </c>
      <c r="BE115" s="3689">
        <f t="shared" ref="BE115:CB115" si="78">BE67*BE76*$BF$109</f>
        <v>19777.457175348496</v>
      </c>
      <c r="BF115" s="3689">
        <f t="shared" si="78"/>
        <v>16707.654285163513</v>
      </c>
      <c r="BG115" s="3689">
        <f t="shared" si="78"/>
        <v>14727.856073935978</v>
      </c>
      <c r="BH115" s="3689">
        <f t="shared" si="78"/>
        <v>12368.237679100805</v>
      </c>
      <c r="BI115" s="3689">
        <f t="shared" si="78"/>
        <v>8216.1680689650821</v>
      </c>
      <c r="BJ115" s="3689">
        <f t="shared" si="78"/>
        <v>5327.4192500021554</v>
      </c>
      <c r="BK115" s="3689">
        <f t="shared" si="78"/>
        <v>3911.2489852732342</v>
      </c>
      <c r="BL115" s="3689">
        <f t="shared" si="78"/>
        <v>4076.4544569107511</v>
      </c>
      <c r="BM115" s="3689">
        <f t="shared" si="78"/>
        <v>5691.2358164776806</v>
      </c>
      <c r="BN115" s="3689">
        <f t="shared" si="78"/>
        <v>14781.181823888175</v>
      </c>
      <c r="BO115" s="3689">
        <f t="shared" si="78"/>
        <v>24195.628924882436</v>
      </c>
      <c r="BP115" s="3689">
        <f t="shared" si="78"/>
        <v>26410.142830224329</v>
      </c>
      <c r="BQ115" s="3689">
        <f t="shared" si="78"/>
        <v>22116.515770866528</v>
      </c>
      <c r="BR115" s="3689">
        <f t="shared" si="78"/>
        <v>18679.11355591489</v>
      </c>
      <c r="BS115" s="3689">
        <f t="shared" si="78"/>
        <v>16509.104767493332</v>
      </c>
      <c r="BT115" s="3689">
        <f t="shared" si="78"/>
        <v>13827.255592043774</v>
      </c>
      <c r="BU115" s="3689">
        <f t="shared" si="78"/>
        <v>9191.7327201024964</v>
      </c>
      <c r="BV115" s="3689">
        <f t="shared" si="78"/>
        <v>5958.7289146345311</v>
      </c>
      <c r="BW115" s="3689">
        <f t="shared" si="78"/>
        <v>4373.4553047919635</v>
      </c>
      <c r="BX115" s="3689">
        <f t="shared" si="78"/>
        <v>4468.1456715489394</v>
      </c>
      <c r="BY115" s="3689">
        <f t="shared" si="78"/>
        <v>6109.885903819777</v>
      </c>
      <c r="BZ115" s="3689">
        <f t="shared" si="78"/>
        <v>16273.805142883548</v>
      </c>
      <c r="CA115" s="3689">
        <f t="shared" si="78"/>
        <v>26845.337913625648</v>
      </c>
      <c r="CB115" s="3688">
        <f t="shared" si="78"/>
        <v>29209.440465354735</v>
      </c>
    </row>
    <row r="116" spans="18:80" ht="25.5">
      <c r="R116" s="3521">
        <f t="shared" si="50"/>
        <v>111</v>
      </c>
      <c r="S116" s="3523" t="s">
        <v>3130</v>
      </c>
      <c r="T116" s="3523" t="s">
        <v>3389</v>
      </c>
      <c r="U116" s="3524">
        <v>498893</v>
      </c>
      <c r="V116" s="3524">
        <v>0</v>
      </c>
      <c r="W116" s="3524">
        <v>0</v>
      </c>
      <c r="X116" s="3525">
        <f t="shared" si="77"/>
        <v>1009.0834919200508</v>
      </c>
      <c r="Y116" s="3525">
        <f t="shared" si="77"/>
        <v>0</v>
      </c>
      <c r="Z116" s="3525">
        <f t="shared" si="77"/>
        <v>0</v>
      </c>
      <c r="AA116" s="3607">
        <v>0</v>
      </c>
      <c r="AB116" s="3607">
        <v>0</v>
      </c>
      <c r="AC116" s="3607">
        <v>0</v>
      </c>
      <c r="AD116" s="3608">
        <v>0</v>
      </c>
      <c r="AE116" s="3608">
        <v>0</v>
      </c>
      <c r="AF116" s="3608">
        <v>0</v>
      </c>
      <c r="AG116" s="3608">
        <v>0</v>
      </c>
      <c r="AH116" s="3608">
        <v>0</v>
      </c>
      <c r="AI116" s="3608">
        <v>0</v>
      </c>
      <c r="AJ116" s="3540"/>
      <c r="AK116" s="3529"/>
      <c r="AL116" s="3529" t="s">
        <v>3132</v>
      </c>
      <c r="AM116" s="3529" t="s">
        <v>3133</v>
      </c>
      <c r="AN116" s="3530">
        <f t="shared" si="66"/>
        <v>649.84976879651276</v>
      </c>
      <c r="AO116" s="3530">
        <f t="shared" si="67"/>
        <v>0</v>
      </c>
      <c r="AP116" s="3530">
        <f t="shared" si="68"/>
        <v>0</v>
      </c>
      <c r="AQ116" s="3530">
        <f t="shared" si="69"/>
        <v>0</v>
      </c>
      <c r="AR116" s="3530">
        <f t="shared" si="70"/>
        <v>0</v>
      </c>
      <c r="AS116" s="3530">
        <f t="shared" si="71"/>
        <v>0</v>
      </c>
      <c r="AT116" s="3609">
        <f t="shared" si="72"/>
        <v>0</v>
      </c>
      <c r="AU116" s="3609">
        <f t="shared" si="73"/>
        <v>0</v>
      </c>
      <c r="AV116" s="3609">
        <f t="shared" si="56"/>
        <v>0</v>
      </c>
      <c r="AW116" s="3609">
        <f t="shared" si="57"/>
        <v>0</v>
      </c>
      <c r="AX116" s="3531" t="s">
        <v>3390</v>
      </c>
      <c r="AY116" s="3532">
        <f t="shared" si="51"/>
        <v>111</v>
      </c>
      <c r="AZ116" s="3532"/>
      <c r="BC116" s="3673"/>
      <c r="BD116" s="3668" t="s">
        <v>3411</v>
      </c>
      <c r="BE116" s="3689">
        <f t="shared" ref="BE116:CB116" si="79">BE67*BE77*$BG$109</f>
        <v>25634.166784201989</v>
      </c>
      <c r="BF116" s="3689">
        <f t="shared" si="79"/>
        <v>23704.889477695739</v>
      </c>
      <c r="BG116" s="3689">
        <f t="shared" si="79"/>
        <v>15895.920350866278</v>
      </c>
      <c r="BH116" s="3689">
        <f t="shared" si="79"/>
        <v>6343.5916412226379</v>
      </c>
      <c r="BI116" s="3689">
        <f t="shared" si="79"/>
        <v>1179.2939099084037</v>
      </c>
      <c r="BJ116" s="3689">
        <f t="shared" si="79"/>
        <v>492.44583987163583</v>
      </c>
      <c r="BK116" s="3689">
        <f t="shared" si="79"/>
        <v>424.78204003504669</v>
      </c>
      <c r="BL116" s="3689">
        <f t="shared" si="79"/>
        <v>367.60133979558395</v>
      </c>
      <c r="BM116" s="3689">
        <f t="shared" si="79"/>
        <v>626.70187509391621</v>
      </c>
      <c r="BN116" s="3689">
        <f t="shared" si="79"/>
        <v>1883.6230427216028</v>
      </c>
      <c r="BO116" s="3689">
        <f t="shared" si="79"/>
        <v>9882.9618246320879</v>
      </c>
      <c r="BP116" s="3689">
        <f t="shared" si="79"/>
        <v>28435.859561755577</v>
      </c>
      <c r="BQ116" s="3689">
        <f t="shared" si="79"/>
        <v>28665.892128057971</v>
      </c>
      <c r="BR116" s="3689">
        <f t="shared" si="79"/>
        <v>26502.004101047707</v>
      </c>
      <c r="BS116" s="3689">
        <f t="shared" si="79"/>
        <v>17818.439637837102</v>
      </c>
      <c r="BT116" s="3689">
        <f t="shared" si="79"/>
        <v>7091.9127906923331</v>
      </c>
      <c r="BU116" s="3689">
        <f t="shared" si="79"/>
        <v>1319.3199466388312</v>
      </c>
      <c r="BV116" s="3689">
        <f t="shared" si="79"/>
        <v>550.80164095090049</v>
      </c>
      <c r="BW116" s="3689">
        <f t="shared" si="79"/>
        <v>474.98005710363799</v>
      </c>
      <c r="BX116" s="3689">
        <f t="shared" si="79"/>
        <v>402.92277336221201</v>
      </c>
      <c r="BY116" s="3689">
        <f t="shared" si="79"/>
        <v>672.80237122621384</v>
      </c>
      <c r="BZ116" s="3689">
        <f t="shared" si="79"/>
        <v>2073.833792529138</v>
      </c>
      <c r="CA116" s="3689">
        <f t="shared" si="79"/>
        <v>10965.263626475453</v>
      </c>
      <c r="CB116" s="3688">
        <f t="shared" si="79"/>
        <v>31449.869555409467</v>
      </c>
    </row>
    <row r="117" spans="18:80" ht="25.5">
      <c r="R117" s="3521">
        <f t="shared" si="50"/>
        <v>112</v>
      </c>
      <c r="S117" s="3523" t="s">
        <v>3130</v>
      </c>
      <c r="T117" s="3523" t="s">
        <v>3391</v>
      </c>
      <c r="U117" s="3524">
        <v>1312654</v>
      </c>
      <c r="V117" s="3524">
        <v>0</v>
      </c>
      <c r="W117" s="3524">
        <v>0</v>
      </c>
      <c r="X117" s="3525">
        <f t="shared" si="77"/>
        <v>2655.0332075271103</v>
      </c>
      <c r="Y117" s="3525">
        <f t="shared" si="77"/>
        <v>0</v>
      </c>
      <c r="Z117" s="3525">
        <f t="shared" si="77"/>
        <v>0</v>
      </c>
      <c r="AA117" s="3607">
        <v>0</v>
      </c>
      <c r="AB117" s="3607">
        <v>0</v>
      </c>
      <c r="AC117" s="3607">
        <v>0</v>
      </c>
      <c r="AD117" s="3608">
        <v>0</v>
      </c>
      <c r="AE117" s="3608">
        <v>0</v>
      </c>
      <c r="AF117" s="3608">
        <v>0</v>
      </c>
      <c r="AG117" s="3608">
        <v>0</v>
      </c>
      <c r="AH117" s="3608">
        <v>0</v>
      </c>
      <c r="AI117" s="3608">
        <v>0</v>
      </c>
      <c r="AJ117" s="3540"/>
      <c r="AK117" s="3529"/>
      <c r="AL117" s="3529" t="s">
        <v>3132</v>
      </c>
      <c r="AM117" s="3529" t="s">
        <v>3133</v>
      </c>
      <c r="AN117" s="3530">
        <f t="shared" si="66"/>
        <v>1709.841385647459</v>
      </c>
      <c r="AO117" s="3530">
        <f t="shared" si="67"/>
        <v>0</v>
      </c>
      <c r="AP117" s="3530">
        <f t="shared" si="68"/>
        <v>0</v>
      </c>
      <c r="AQ117" s="3530">
        <f t="shared" si="69"/>
        <v>0</v>
      </c>
      <c r="AR117" s="3530">
        <f t="shared" si="70"/>
        <v>0</v>
      </c>
      <c r="AS117" s="3530">
        <f t="shared" si="71"/>
        <v>0</v>
      </c>
      <c r="AT117" s="3609">
        <f t="shared" si="72"/>
        <v>0</v>
      </c>
      <c r="AU117" s="3609">
        <f t="shared" si="73"/>
        <v>0</v>
      </c>
      <c r="AV117" s="3609">
        <f t="shared" si="56"/>
        <v>0</v>
      </c>
      <c r="AW117" s="3609">
        <f t="shared" si="57"/>
        <v>0</v>
      </c>
      <c r="AX117" s="3531" t="s">
        <v>3390</v>
      </c>
      <c r="AY117" s="3532">
        <f t="shared" si="51"/>
        <v>112</v>
      </c>
      <c r="AZ117" s="3532"/>
      <c r="BC117" s="3673"/>
      <c r="BD117" s="3687" t="s">
        <v>24</v>
      </c>
      <c r="BE117" s="3686">
        <f t="shared" ref="BE117:CB117" si="80">SUM(BE114:BE116)</f>
        <v>51213.15701773332</v>
      </c>
      <c r="BF117" s="3686">
        <f t="shared" si="80"/>
        <v>46271.297751274644</v>
      </c>
      <c r="BG117" s="3686">
        <f t="shared" si="80"/>
        <v>36539.751343450218</v>
      </c>
      <c r="BH117" s="3686">
        <f t="shared" si="80"/>
        <v>24685.025169203967</v>
      </c>
      <c r="BI117" s="3686">
        <f t="shared" si="80"/>
        <v>15425.878757986575</v>
      </c>
      <c r="BJ117" s="3686">
        <f t="shared" si="80"/>
        <v>11907.50279921917</v>
      </c>
      <c r="BK117" s="3686">
        <f t="shared" si="80"/>
        <v>10480.889664886223</v>
      </c>
      <c r="BL117" s="3686">
        <f t="shared" si="80"/>
        <v>10646.135366516843</v>
      </c>
      <c r="BM117" s="3686">
        <f t="shared" si="80"/>
        <v>12577.23819161467</v>
      </c>
      <c r="BN117" s="3686">
        <f t="shared" si="80"/>
        <v>22981.326296885414</v>
      </c>
      <c r="BO117" s="3686">
        <f t="shared" si="80"/>
        <v>40452.333110022722</v>
      </c>
      <c r="BP117" s="3686">
        <f t="shared" si="80"/>
        <v>61276.965682720671</v>
      </c>
      <c r="BQ117" s="3686">
        <f t="shared" si="80"/>
        <v>57270.592119897832</v>
      </c>
      <c r="BR117" s="3686">
        <f t="shared" si="80"/>
        <v>51726.522808168491</v>
      </c>
      <c r="BS117" s="3686">
        <f t="shared" si="80"/>
        <v>40930.170486768897</v>
      </c>
      <c r="BT117" s="3686">
        <f t="shared" si="80"/>
        <v>27579.015394407128</v>
      </c>
      <c r="BU117" s="3686">
        <f t="shared" si="80"/>
        <v>17228.120608644917</v>
      </c>
      <c r="BV117" s="3686">
        <f t="shared" si="80"/>
        <v>13283.819427721584</v>
      </c>
      <c r="BW117" s="3686">
        <f t="shared" si="80"/>
        <v>11679.945164264318</v>
      </c>
      <c r="BX117" s="3686">
        <f t="shared" si="80"/>
        <v>11759.799177512434</v>
      </c>
      <c r="BY117" s="3686">
        <f t="shared" si="80"/>
        <v>13728.639937879838</v>
      </c>
      <c r="BZ117" s="3686">
        <f t="shared" si="80"/>
        <v>25350.811528479095</v>
      </c>
      <c r="CA117" s="3686">
        <f t="shared" si="80"/>
        <v>44870.995063400078</v>
      </c>
      <c r="CB117" s="3685">
        <f t="shared" si="80"/>
        <v>67776.924474295753</v>
      </c>
    </row>
    <row r="118" spans="18:80">
      <c r="R118" s="3521">
        <f t="shared" si="50"/>
        <v>113</v>
      </c>
      <c r="S118" s="3523" t="s">
        <v>3130</v>
      </c>
      <c r="T118" s="3523" t="s">
        <v>3392</v>
      </c>
      <c r="U118" s="3524">
        <v>194036</v>
      </c>
      <c r="V118" s="3524">
        <v>0</v>
      </c>
      <c r="W118" s="3524">
        <v>0</v>
      </c>
      <c r="X118" s="3525">
        <f t="shared" si="77"/>
        <v>392.46596853072504</v>
      </c>
      <c r="Y118" s="3525">
        <f t="shared" si="77"/>
        <v>0</v>
      </c>
      <c r="Z118" s="3525">
        <f t="shared" si="77"/>
        <v>0</v>
      </c>
      <c r="AA118" s="3607">
        <v>0</v>
      </c>
      <c r="AB118" s="3607">
        <v>0</v>
      </c>
      <c r="AC118" s="3607">
        <v>0</v>
      </c>
      <c r="AD118" s="3608">
        <v>0</v>
      </c>
      <c r="AE118" s="3608">
        <v>0</v>
      </c>
      <c r="AF118" s="3608">
        <v>0</v>
      </c>
      <c r="AG118" s="3608">
        <v>0</v>
      </c>
      <c r="AH118" s="3608">
        <v>0</v>
      </c>
      <c r="AI118" s="3608">
        <v>0</v>
      </c>
      <c r="AJ118" s="3540"/>
      <c r="AK118" s="3529"/>
      <c r="AL118" s="3529" t="s">
        <v>3132</v>
      </c>
      <c r="AM118" s="3529" t="s">
        <v>3133</v>
      </c>
      <c r="AN118" s="3530">
        <f t="shared" si="66"/>
        <v>252.74808373378693</v>
      </c>
      <c r="AO118" s="3530">
        <f t="shared" si="67"/>
        <v>0</v>
      </c>
      <c r="AP118" s="3530">
        <f t="shared" si="68"/>
        <v>0</v>
      </c>
      <c r="AQ118" s="3530">
        <f t="shared" si="69"/>
        <v>0</v>
      </c>
      <c r="AR118" s="3530">
        <f t="shared" si="70"/>
        <v>0</v>
      </c>
      <c r="AS118" s="3530">
        <f t="shared" si="71"/>
        <v>0</v>
      </c>
      <c r="AT118" s="3609">
        <f t="shared" si="72"/>
        <v>0</v>
      </c>
      <c r="AU118" s="3609">
        <f t="shared" si="73"/>
        <v>0</v>
      </c>
      <c r="AV118" s="3609">
        <f t="shared" si="56"/>
        <v>0</v>
      </c>
      <c r="AW118" s="3609">
        <f t="shared" si="57"/>
        <v>0</v>
      </c>
      <c r="AX118" s="3531" t="s">
        <v>3390</v>
      </c>
      <c r="AY118" s="3532">
        <f t="shared" si="51"/>
        <v>113</v>
      </c>
      <c r="AZ118" s="3532"/>
      <c r="BC118" s="3673"/>
      <c r="BE118" s="3689"/>
      <c r="BF118" s="3689"/>
      <c r="BG118" s="3689"/>
      <c r="BH118" s="3689"/>
      <c r="BI118" s="3689"/>
      <c r="BJ118" s="3689"/>
      <c r="BK118" s="3689"/>
      <c r="BL118" s="3689"/>
      <c r="BM118" s="3689"/>
      <c r="BN118" s="3689"/>
      <c r="BO118" s="3689"/>
      <c r="BP118" s="3689"/>
      <c r="BQ118" s="3689"/>
      <c r="BR118" s="3689"/>
      <c r="BS118" s="3689"/>
      <c r="BT118" s="3689"/>
      <c r="BU118" s="3689"/>
      <c r="BV118" s="3689"/>
      <c r="BW118" s="3689"/>
      <c r="BX118" s="3689"/>
      <c r="BY118" s="3689"/>
      <c r="BZ118" s="3689"/>
      <c r="CA118" s="3689"/>
      <c r="CB118" s="3688"/>
    </row>
    <row r="119" spans="18:80">
      <c r="R119" s="3521">
        <f t="shared" si="50"/>
        <v>114</v>
      </c>
      <c r="S119" s="3523" t="s">
        <v>3130</v>
      </c>
      <c r="T119" s="3523" t="s">
        <v>3393</v>
      </c>
      <c r="U119" s="3524">
        <v>1614227</v>
      </c>
      <c r="V119" s="3524">
        <v>0</v>
      </c>
      <c r="W119" s="3524">
        <v>0</v>
      </c>
      <c r="X119" s="3525">
        <f t="shared" si="77"/>
        <v>3265.0083643419093</v>
      </c>
      <c r="Y119" s="3525">
        <f t="shared" si="77"/>
        <v>0</v>
      </c>
      <c r="Z119" s="3525">
        <f t="shared" si="77"/>
        <v>0</v>
      </c>
      <c r="AA119" s="3607">
        <v>0</v>
      </c>
      <c r="AB119" s="3607">
        <v>0</v>
      </c>
      <c r="AC119" s="3607">
        <v>0</v>
      </c>
      <c r="AD119" s="3608">
        <v>0</v>
      </c>
      <c r="AE119" s="3608">
        <v>0</v>
      </c>
      <c r="AF119" s="3608">
        <v>0</v>
      </c>
      <c r="AG119" s="3608">
        <v>0</v>
      </c>
      <c r="AH119" s="3608">
        <v>0</v>
      </c>
      <c r="AI119" s="3608">
        <v>0</v>
      </c>
      <c r="AJ119" s="3540"/>
      <c r="AK119" s="3529"/>
      <c r="AL119" s="3529" t="s">
        <v>3132</v>
      </c>
      <c r="AM119" s="3529" t="s">
        <v>3133</v>
      </c>
      <c r="AN119" s="3530">
        <f t="shared" si="66"/>
        <v>2102.6653866361899</v>
      </c>
      <c r="AO119" s="3530">
        <f t="shared" si="67"/>
        <v>0</v>
      </c>
      <c r="AP119" s="3530">
        <f t="shared" si="68"/>
        <v>0</v>
      </c>
      <c r="AQ119" s="3530">
        <f t="shared" si="69"/>
        <v>0</v>
      </c>
      <c r="AR119" s="3530">
        <f t="shared" si="70"/>
        <v>0</v>
      </c>
      <c r="AS119" s="3530">
        <f t="shared" si="71"/>
        <v>0</v>
      </c>
      <c r="AT119" s="3609">
        <f t="shared" si="72"/>
        <v>0</v>
      </c>
      <c r="AU119" s="3609">
        <f t="shared" si="73"/>
        <v>0</v>
      </c>
      <c r="AV119" s="3609">
        <f t="shared" si="56"/>
        <v>0</v>
      </c>
      <c r="AW119" s="3609">
        <f t="shared" si="57"/>
        <v>0</v>
      </c>
      <c r="AX119" s="3531" t="s">
        <v>3390</v>
      </c>
      <c r="AY119" s="3532">
        <f t="shared" si="51"/>
        <v>114</v>
      </c>
      <c r="AZ119" s="3532"/>
      <c r="BC119" s="3692"/>
      <c r="BD119" s="3679" t="s">
        <v>3428</v>
      </c>
      <c r="BE119" s="3691">
        <v>45688</v>
      </c>
      <c r="BF119" s="3691">
        <f t="shared" ref="BF119:CB119" si="81">EOMONTH(BE119,1)</f>
        <v>45716</v>
      </c>
      <c r="BG119" s="3691">
        <f t="shared" si="81"/>
        <v>45747</v>
      </c>
      <c r="BH119" s="3691">
        <f t="shared" si="81"/>
        <v>45777</v>
      </c>
      <c r="BI119" s="3691">
        <f t="shared" si="81"/>
        <v>45808</v>
      </c>
      <c r="BJ119" s="3691">
        <f t="shared" si="81"/>
        <v>45838</v>
      </c>
      <c r="BK119" s="3691">
        <f t="shared" si="81"/>
        <v>45869</v>
      </c>
      <c r="BL119" s="3691">
        <f t="shared" si="81"/>
        <v>45900</v>
      </c>
      <c r="BM119" s="3691">
        <f t="shared" si="81"/>
        <v>45930</v>
      </c>
      <c r="BN119" s="3691">
        <f t="shared" si="81"/>
        <v>45961</v>
      </c>
      <c r="BO119" s="3691">
        <f t="shared" si="81"/>
        <v>45991</v>
      </c>
      <c r="BP119" s="3691">
        <f t="shared" si="81"/>
        <v>46022</v>
      </c>
      <c r="BQ119" s="3691">
        <f t="shared" si="81"/>
        <v>46053</v>
      </c>
      <c r="BR119" s="3691">
        <f t="shared" si="81"/>
        <v>46081</v>
      </c>
      <c r="BS119" s="3691">
        <f t="shared" si="81"/>
        <v>46112</v>
      </c>
      <c r="BT119" s="3691">
        <f t="shared" si="81"/>
        <v>46142</v>
      </c>
      <c r="BU119" s="3691">
        <f t="shared" si="81"/>
        <v>46173</v>
      </c>
      <c r="BV119" s="3691">
        <f t="shared" si="81"/>
        <v>46203</v>
      </c>
      <c r="BW119" s="3691">
        <f t="shared" si="81"/>
        <v>46234</v>
      </c>
      <c r="BX119" s="3691">
        <f t="shared" si="81"/>
        <v>46265</v>
      </c>
      <c r="BY119" s="3691">
        <f t="shared" si="81"/>
        <v>46295</v>
      </c>
      <c r="BZ119" s="3691">
        <f t="shared" si="81"/>
        <v>46326</v>
      </c>
      <c r="CA119" s="3691">
        <f t="shared" si="81"/>
        <v>46356</v>
      </c>
      <c r="CB119" s="3690">
        <f t="shared" si="81"/>
        <v>46387</v>
      </c>
    </row>
    <row r="120" spans="18:80" ht="75">
      <c r="R120" s="3521">
        <f t="shared" si="50"/>
        <v>115</v>
      </c>
      <c r="S120" s="3523" t="s">
        <v>3155</v>
      </c>
      <c r="T120" s="3523" t="s">
        <v>3394</v>
      </c>
      <c r="U120" s="3524">
        <v>25772370</v>
      </c>
      <c r="V120" s="3524">
        <v>44265853</v>
      </c>
      <c r="W120" s="3524">
        <v>34666286</v>
      </c>
      <c r="X120" s="3525">
        <f t="shared" si="77"/>
        <v>52128.358414841583</v>
      </c>
      <c r="Y120" s="3525">
        <f t="shared" si="77"/>
        <v>89534.111559111203</v>
      </c>
      <c r="Z120" s="3525">
        <f t="shared" si="77"/>
        <v>70117.594211141826</v>
      </c>
      <c r="AA120" s="3607">
        <v>0</v>
      </c>
      <c r="AB120" s="3607">
        <v>0</v>
      </c>
      <c r="AC120" s="3607">
        <v>0</v>
      </c>
      <c r="AD120" s="3608">
        <v>1951000</v>
      </c>
      <c r="AE120" s="3608">
        <v>1951000</v>
      </c>
      <c r="AF120" s="3608">
        <v>0</v>
      </c>
      <c r="AG120" s="3608">
        <v>0</v>
      </c>
      <c r="AH120" s="3608">
        <v>0</v>
      </c>
      <c r="AI120" s="3608">
        <v>0</v>
      </c>
      <c r="AJ120" s="3540"/>
      <c r="AK120" s="3529" t="s">
        <v>3167</v>
      </c>
      <c r="AL120" s="3529" t="s">
        <v>3132</v>
      </c>
      <c r="AM120" s="3529" t="s">
        <v>3195</v>
      </c>
      <c r="AN120" s="3530">
        <f t="shared" si="66"/>
        <v>34896.286973647402</v>
      </c>
      <c r="AO120" s="3530">
        <f t="shared" si="67"/>
        <v>0</v>
      </c>
      <c r="AP120" s="3530">
        <f t="shared" si="68"/>
        <v>59936.82030101581</v>
      </c>
      <c r="AQ120" s="3530">
        <f t="shared" si="69"/>
        <v>0</v>
      </c>
      <c r="AR120" s="3530">
        <f t="shared" si="70"/>
        <v>46938.821092764672</v>
      </c>
      <c r="AS120" s="3530">
        <f t="shared" si="71"/>
        <v>0</v>
      </c>
      <c r="AT120" s="3609">
        <f t="shared" si="72"/>
        <v>1306057.93</v>
      </c>
      <c r="AU120" s="3609">
        <f t="shared" si="73"/>
        <v>0</v>
      </c>
      <c r="AV120" s="3609">
        <f t="shared" si="56"/>
        <v>1306057.93</v>
      </c>
      <c r="AW120" s="3609">
        <f t="shared" si="57"/>
        <v>0</v>
      </c>
      <c r="AX120" s="3531" t="s">
        <v>3395</v>
      </c>
      <c r="AY120" s="3532">
        <f t="shared" si="51"/>
        <v>115</v>
      </c>
      <c r="AZ120" s="3532"/>
      <c r="BC120" s="3673"/>
      <c r="BD120" s="3668" t="s">
        <v>3386</v>
      </c>
      <c r="BE120" s="3689">
        <f t="shared" ref="BE120:CB120" si="82">BE40*$BE$110</f>
        <v>0</v>
      </c>
      <c r="BF120" s="3689">
        <f t="shared" si="82"/>
        <v>0</v>
      </c>
      <c r="BG120" s="3689">
        <f t="shared" si="82"/>
        <v>0</v>
      </c>
      <c r="BH120" s="3689">
        <f t="shared" si="82"/>
        <v>0</v>
      </c>
      <c r="BI120" s="3689">
        <f t="shared" si="82"/>
        <v>0</v>
      </c>
      <c r="BJ120" s="3689">
        <f t="shared" si="82"/>
        <v>0</v>
      </c>
      <c r="BK120" s="3689">
        <f t="shared" si="82"/>
        <v>0</v>
      </c>
      <c r="BL120" s="3689">
        <f t="shared" si="82"/>
        <v>0</v>
      </c>
      <c r="BM120" s="3689">
        <f t="shared" si="82"/>
        <v>0</v>
      </c>
      <c r="BN120" s="3689">
        <f t="shared" si="82"/>
        <v>0</v>
      </c>
      <c r="BO120" s="3689">
        <f t="shared" si="82"/>
        <v>0</v>
      </c>
      <c r="BP120" s="3689">
        <f t="shared" si="82"/>
        <v>0</v>
      </c>
      <c r="BQ120" s="3689">
        <f t="shared" si="82"/>
        <v>0</v>
      </c>
      <c r="BR120" s="3689">
        <f t="shared" si="82"/>
        <v>0</v>
      </c>
      <c r="BS120" s="3689">
        <f t="shared" si="82"/>
        <v>0</v>
      </c>
      <c r="BT120" s="3689">
        <f t="shared" si="82"/>
        <v>0</v>
      </c>
      <c r="BU120" s="3689">
        <f t="shared" si="82"/>
        <v>0</v>
      </c>
      <c r="BV120" s="3689">
        <f t="shared" si="82"/>
        <v>0</v>
      </c>
      <c r="BW120" s="3689">
        <f t="shared" si="82"/>
        <v>0</v>
      </c>
      <c r="BX120" s="3689">
        <f t="shared" si="82"/>
        <v>0</v>
      </c>
      <c r="BY120" s="3689">
        <f t="shared" si="82"/>
        <v>0</v>
      </c>
      <c r="BZ120" s="3689">
        <f t="shared" si="82"/>
        <v>0</v>
      </c>
      <c r="CA120" s="3689">
        <f t="shared" si="82"/>
        <v>0</v>
      </c>
      <c r="CB120" s="3688">
        <f t="shared" si="82"/>
        <v>0</v>
      </c>
    </row>
    <row r="121" spans="18:80" ht="38.25">
      <c r="R121" s="3521">
        <f t="shared" si="50"/>
        <v>116</v>
      </c>
      <c r="S121" s="3523" t="s">
        <v>3155</v>
      </c>
      <c r="T121" s="3523" t="s">
        <v>3396</v>
      </c>
      <c r="U121" s="3524">
        <v>0</v>
      </c>
      <c r="V121" s="3524">
        <v>0</v>
      </c>
      <c r="W121" s="3524">
        <v>3950000</v>
      </c>
      <c r="X121" s="3525">
        <f t="shared" si="77"/>
        <v>0</v>
      </c>
      <c r="Y121" s="3525">
        <f t="shared" si="77"/>
        <v>0</v>
      </c>
      <c r="Z121" s="3525">
        <f t="shared" si="77"/>
        <v>7989.4482245375284</v>
      </c>
      <c r="AA121" s="3607">
        <v>0</v>
      </c>
      <c r="AB121" s="3607">
        <v>0</v>
      </c>
      <c r="AC121" s="3607">
        <v>0</v>
      </c>
      <c r="AD121" s="3608">
        <v>0</v>
      </c>
      <c r="AE121" s="3608">
        <v>0</v>
      </c>
      <c r="AF121" s="3608">
        <v>0</v>
      </c>
      <c r="AG121" s="3608">
        <v>0</v>
      </c>
      <c r="AH121" s="3608">
        <v>0</v>
      </c>
      <c r="AI121" s="3608">
        <v>0</v>
      </c>
      <c r="AJ121" s="3540"/>
      <c r="AK121" s="3529"/>
      <c r="AL121" s="3529" t="s">
        <v>3132</v>
      </c>
      <c r="AM121" s="3529" t="s">
        <v>3133</v>
      </c>
      <c r="AN121" s="3530">
        <f t="shared" si="66"/>
        <v>0</v>
      </c>
      <c r="AO121" s="3530">
        <f t="shared" si="67"/>
        <v>0</v>
      </c>
      <c r="AP121" s="3530">
        <f t="shared" si="68"/>
        <v>0</v>
      </c>
      <c r="AQ121" s="3530">
        <f t="shared" si="69"/>
        <v>0</v>
      </c>
      <c r="AR121" s="3530">
        <f t="shared" si="70"/>
        <v>5145.2046566021681</v>
      </c>
      <c r="AS121" s="3530">
        <f t="shared" si="71"/>
        <v>0</v>
      </c>
      <c r="AT121" s="3609">
        <f t="shared" si="72"/>
        <v>0</v>
      </c>
      <c r="AU121" s="3609">
        <f t="shared" si="73"/>
        <v>0</v>
      </c>
      <c r="AV121" s="3609">
        <f t="shared" si="56"/>
        <v>0</v>
      </c>
      <c r="AW121" s="3609">
        <f t="shared" si="57"/>
        <v>0</v>
      </c>
      <c r="AX121" s="3531" t="s">
        <v>3397</v>
      </c>
      <c r="AY121" s="3532">
        <f t="shared" si="51"/>
        <v>116</v>
      </c>
      <c r="AZ121" s="3532"/>
      <c r="BC121" s="3673"/>
      <c r="BD121" s="3668" t="s">
        <v>3410</v>
      </c>
      <c r="BE121" s="3684">
        <f t="shared" ref="BE121:CB121" si="83">BE$68*BE80*$BF$110</f>
        <v>0</v>
      </c>
      <c r="BF121" s="3684">
        <f t="shared" si="83"/>
        <v>0</v>
      </c>
      <c r="BG121" s="3684">
        <f t="shared" si="83"/>
        <v>0</v>
      </c>
      <c r="BH121" s="3684">
        <f t="shared" si="83"/>
        <v>0</v>
      </c>
      <c r="BI121" s="3684">
        <f t="shared" si="83"/>
        <v>0</v>
      </c>
      <c r="BJ121" s="3684">
        <f t="shared" si="83"/>
        <v>0</v>
      </c>
      <c r="BK121" s="3684">
        <f t="shared" si="83"/>
        <v>0</v>
      </c>
      <c r="BL121" s="3684">
        <f t="shared" si="83"/>
        <v>0</v>
      </c>
      <c r="BM121" s="3684">
        <f t="shared" si="83"/>
        <v>0</v>
      </c>
      <c r="BN121" s="3684">
        <f t="shared" si="83"/>
        <v>0</v>
      </c>
      <c r="BO121" s="3684">
        <f t="shared" si="83"/>
        <v>0</v>
      </c>
      <c r="BP121" s="3684">
        <f t="shared" si="83"/>
        <v>0</v>
      </c>
      <c r="BQ121" s="3684">
        <f t="shared" si="83"/>
        <v>0</v>
      </c>
      <c r="BR121" s="3684">
        <f t="shared" si="83"/>
        <v>0</v>
      </c>
      <c r="BS121" s="3684">
        <f t="shared" si="83"/>
        <v>0</v>
      </c>
      <c r="BT121" s="3684">
        <f t="shared" si="83"/>
        <v>0</v>
      </c>
      <c r="BU121" s="3684">
        <f t="shared" si="83"/>
        <v>0</v>
      </c>
      <c r="BV121" s="3684">
        <f t="shared" si="83"/>
        <v>0</v>
      </c>
      <c r="BW121" s="3684">
        <f t="shared" si="83"/>
        <v>0</v>
      </c>
      <c r="BX121" s="3684">
        <f t="shared" si="83"/>
        <v>0</v>
      </c>
      <c r="BY121" s="3684">
        <f t="shared" si="83"/>
        <v>0</v>
      </c>
      <c r="BZ121" s="3684">
        <f t="shared" si="83"/>
        <v>0</v>
      </c>
      <c r="CA121" s="3684">
        <f t="shared" si="83"/>
        <v>0</v>
      </c>
      <c r="CB121" s="3683">
        <f t="shared" si="83"/>
        <v>0</v>
      </c>
    </row>
    <row r="122" spans="18:80" ht="25.5">
      <c r="R122" s="3521">
        <f t="shared" si="50"/>
        <v>117</v>
      </c>
      <c r="S122" s="3523" t="s">
        <v>3144</v>
      </c>
      <c r="T122" s="3523" t="s">
        <v>3399</v>
      </c>
      <c r="U122" s="3524">
        <v>485512</v>
      </c>
      <c r="V122" s="3524">
        <v>1014488</v>
      </c>
      <c r="W122" s="3524">
        <v>1220271</v>
      </c>
      <c r="X122" s="3525">
        <f t="shared" si="77"/>
        <v>982.01847756750999</v>
      </c>
      <c r="Y122" s="3525">
        <f t="shared" si="77"/>
        <v>2051.9492026366147</v>
      </c>
      <c r="Z122" s="3525">
        <f t="shared" si="77"/>
        <v>2468.1751833935782</v>
      </c>
      <c r="AA122" s="3607">
        <v>0</v>
      </c>
      <c r="AB122" s="3607">
        <v>0</v>
      </c>
      <c r="AC122" s="3607">
        <v>0</v>
      </c>
      <c r="AD122" s="3608">
        <v>0</v>
      </c>
      <c r="AE122" s="3608">
        <v>0</v>
      </c>
      <c r="AF122" s="3608">
        <v>0</v>
      </c>
      <c r="AG122" s="3608">
        <v>0</v>
      </c>
      <c r="AH122" s="3608">
        <v>0</v>
      </c>
      <c r="AI122" s="3608">
        <v>0</v>
      </c>
      <c r="AJ122" s="3540"/>
      <c r="AK122" s="3529"/>
      <c r="AL122" s="3529" t="s">
        <v>839</v>
      </c>
      <c r="AM122" s="3529" t="s">
        <v>839</v>
      </c>
      <c r="AN122" s="3530">
        <f t="shared" si="66"/>
        <v>460.91112035158329</v>
      </c>
      <c r="AO122" s="3530">
        <f t="shared" si="67"/>
        <v>145.90007293967949</v>
      </c>
      <c r="AP122" s="3530">
        <f t="shared" si="68"/>
        <v>963.08392102200776</v>
      </c>
      <c r="AQ122" s="3530">
        <f t="shared" si="69"/>
        <v>304.8614106271927</v>
      </c>
      <c r="AR122" s="3530">
        <f t="shared" si="70"/>
        <v>1158.4399020879955</v>
      </c>
      <c r="AS122" s="3530">
        <f t="shared" si="71"/>
        <v>366.70077754242044</v>
      </c>
      <c r="AT122" s="3609">
        <f t="shared" si="72"/>
        <v>0</v>
      </c>
      <c r="AU122" s="3609">
        <f t="shared" si="73"/>
        <v>0</v>
      </c>
      <c r="AV122" s="3609">
        <f t="shared" si="56"/>
        <v>0</v>
      </c>
      <c r="AW122" s="3609">
        <f t="shared" si="57"/>
        <v>0</v>
      </c>
      <c r="AX122" s="3531" t="s">
        <v>3134</v>
      </c>
      <c r="AY122" s="3532">
        <f t="shared" si="51"/>
        <v>117</v>
      </c>
      <c r="AZ122" s="3532"/>
      <c r="BC122" s="3673"/>
      <c r="BD122" s="3668" t="s">
        <v>3411</v>
      </c>
      <c r="BE122" s="3684">
        <f t="shared" ref="BE122:CB122" si="84">BE$68*BE81*$BG$110</f>
        <v>0</v>
      </c>
      <c r="BF122" s="3684">
        <f t="shared" si="84"/>
        <v>0</v>
      </c>
      <c r="BG122" s="3684">
        <f t="shared" si="84"/>
        <v>0</v>
      </c>
      <c r="BH122" s="3684">
        <f t="shared" si="84"/>
        <v>0</v>
      </c>
      <c r="BI122" s="3684">
        <f t="shared" si="84"/>
        <v>0</v>
      </c>
      <c r="BJ122" s="3684">
        <f t="shared" si="84"/>
        <v>0</v>
      </c>
      <c r="BK122" s="3684">
        <f t="shared" si="84"/>
        <v>0</v>
      </c>
      <c r="BL122" s="3684">
        <f t="shared" si="84"/>
        <v>0</v>
      </c>
      <c r="BM122" s="3684">
        <f t="shared" si="84"/>
        <v>0</v>
      </c>
      <c r="BN122" s="3684">
        <f t="shared" si="84"/>
        <v>0</v>
      </c>
      <c r="BO122" s="3684">
        <f t="shared" si="84"/>
        <v>0</v>
      </c>
      <c r="BP122" s="3684">
        <f t="shared" si="84"/>
        <v>0</v>
      </c>
      <c r="BQ122" s="3684">
        <f t="shared" si="84"/>
        <v>0</v>
      </c>
      <c r="BR122" s="3684">
        <f t="shared" si="84"/>
        <v>0</v>
      </c>
      <c r="BS122" s="3684">
        <f t="shared" si="84"/>
        <v>0</v>
      </c>
      <c r="BT122" s="3684">
        <f t="shared" si="84"/>
        <v>0</v>
      </c>
      <c r="BU122" s="3684">
        <f t="shared" si="84"/>
        <v>0</v>
      </c>
      <c r="BV122" s="3684">
        <f t="shared" si="84"/>
        <v>0</v>
      </c>
      <c r="BW122" s="3684">
        <f t="shared" si="84"/>
        <v>0</v>
      </c>
      <c r="BX122" s="3684">
        <f t="shared" si="84"/>
        <v>0</v>
      </c>
      <c r="BY122" s="3684">
        <f t="shared" si="84"/>
        <v>0</v>
      </c>
      <c r="BZ122" s="3684">
        <f t="shared" si="84"/>
        <v>0</v>
      </c>
      <c r="CA122" s="3684">
        <f t="shared" si="84"/>
        <v>0</v>
      </c>
      <c r="CB122" s="3683">
        <f t="shared" si="84"/>
        <v>0</v>
      </c>
    </row>
    <row r="123" spans="18:80">
      <c r="R123" s="2688"/>
      <c r="S123" s="3614"/>
      <c r="T123" s="2688"/>
      <c r="U123" s="3615">
        <f t="shared" ref="U123:AI123" si="85">SUM(U6:U122)</f>
        <v>409247187.57142854</v>
      </c>
      <c r="V123" s="3615">
        <f t="shared" si="85"/>
        <v>457512047</v>
      </c>
      <c r="W123" s="3615">
        <f t="shared" si="85"/>
        <v>551511322</v>
      </c>
      <c r="X123" s="3616">
        <f t="shared" si="85"/>
        <v>541247.17354576103</v>
      </c>
      <c r="Y123" s="3616">
        <f t="shared" si="85"/>
        <v>650248.29056453321</v>
      </c>
      <c r="Z123" s="3616">
        <f t="shared" si="85"/>
        <v>811419.68647405924</v>
      </c>
      <c r="AA123" s="3617">
        <f t="shared" si="85"/>
        <v>609174</v>
      </c>
      <c r="AB123" s="3617">
        <f t="shared" si="85"/>
        <v>696605</v>
      </c>
      <c r="AC123" s="3617">
        <f t="shared" si="85"/>
        <v>1067991</v>
      </c>
      <c r="AD123" s="3618">
        <f t="shared" si="85"/>
        <v>158279926.33333334</v>
      </c>
      <c r="AE123" s="3618">
        <f t="shared" si="85"/>
        <v>160781859.33333334</v>
      </c>
      <c r="AF123" s="3618">
        <f t="shared" si="85"/>
        <v>3602994</v>
      </c>
      <c r="AG123" s="3618">
        <f t="shared" si="85"/>
        <v>979594</v>
      </c>
      <c r="AH123" s="3618">
        <f t="shared" si="85"/>
        <v>8881101</v>
      </c>
      <c r="AI123" s="3618">
        <f t="shared" si="85"/>
        <v>9246942</v>
      </c>
      <c r="AJ123" s="3614"/>
      <c r="AK123" s="3619"/>
      <c r="AL123" s="3619"/>
      <c r="AM123" s="3619" t="s">
        <v>24</v>
      </c>
      <c r="AN123" s="3620">
        <f t="shared" ref="AN123:AW123" si="86">SUM(AN6:AN122)</f>
        <v>559337.92574495065</v>
      </c>
      <c r="AO123" s="3621">
        <f t="shared" si="86"/>
        <v>186710.32165398271</v>
      </c>
      <c r="AP123" s="3620">
        <f t="shared" si="86"/>
        <v>714945.78031786077</v>
      </c>
      <c r="AQ123" s="3621">
        <f t="shared" si="86"/>
        <v>183992.89129313678</v>
      </c>
      <c r="AR123" s="3620">
        <f t="shared" si="86"/>
        <v>945719.19548597082</v>
      </c>
      <c r="AS123" s="3621">
        <f t="shared" si="86"/>
        <v>217764.76932557541</v>
      </c>
      <c r="AT123" s="3622">
        <f t="shared" si="86"/>
        <v>88574486.149120972</v>
      </c>
      <c r="AU123" s="3622">
        <f t="shared" si="86"/>
        <v>14949847.837270435</v>
      </c>
      <c r="AV123" s="3622">
        <f t="shared" si="86"/>
        <v>88550559.012291655</v>
      </c>
      <c r="AW123" s="3622">
        <f t="shared" si="86"/>
        <v>14604625.363600751</v>
      </c>
      <c r="AX123" s="3614"/>
      <c r="AY123" s="2136"/>
      <c r="AZ123" s="2136"/>
      <c r="BC123" s="3673"/>
      <c r="BD123" s="3668" t="s">
        <v>3412</v>
      </c>
      <c r="BE123" s="3684">
        <f t="shared" ref="BE123:CB123" si="87">BE$68*BE82*$BH$110</f>
        <v>0</v>
      </c>
      <c r="BF123" s="3684">
        <f t="shared" si="87"/>
        <v>0</v>
      </c>
      <c r="BG123" s="3684">
        <f t="shared" si="87"/>
        <v>0</v>
      </c>
      <c r="BH123" s="3684">
        <f t="shared" si="87"/>
        <v>0</v>
      </c>
      <c r="BI123" s="3684">
        <f t="shared" si="87"/>
        <v>0</v>
      </c>
      <c r="BJ123" s="3684">
        <f t="shared" si="87"/>
        <v>0</v>
      </c>
      <c r="BK123" s="3684">
        <f t="shared" si="87"/>
        <v>0</v>
      </c>
      <c r="BL123" s="3684">
        <f t="shared" si="87"/>
        <v>0</v>
      </c>
      <c r="BM123" s="3684">
        <f t="shared" si="87"/>
        <v>0</v>
      </c>
      <c r="BN123" s="3684">
        <f t="shared" si="87"/>
        <v>0</v>
      </c>
      <c r="BO123" s="3684">
        <f t="shared" si="87"/>
        <v>0</v>
      </c>
      <c r="BP123" s="3684">
        <f t="shared" si="87"/>
        <v>0</v>
      </c>
      <c r="BQ123" s="3684">
        <f t="shared" si="87"/>
        <v>0</v>
      </c>
      <c r="BR123" s="3684">
        <f t="shared" si="87"/>
        <v>0</v>
      </c>
      <c r="BS123" s="3684">
        <f t="shared" si="87"/>
        <v>0</v>
      </c>
      <c r="BT123" s="3684">
        <f t="shared" si="87"/>
        <v>0</v>
      </c>
      <c r="BU123" s="3684">
        <f t="shared" si="87"/>
        <v>0</v>
      </c>
      <c r="BV123" s="3684">
        <f t="shared" si="87"/>
        <v>0</v>
      </c>
      <c r="BW123" s="3684">
        <f t="shared" si="87"/>
        <v>0</v>
      </c>
      <c r="BX123" s="3684">
        <f t="shared" si="87"/>
        <v>0</v>
      </c>
      <c r="BY123" s="3684">
        <f t="shared" si="87"/>
        <v>0</v>
      </c>
      <c r="BZ123" s="3684">
        <f t="shared" si="87"/>
        <v>0</v>
      </c>
      <c r="CA123" s="3684">
        <f t="shared" si="87"/>
        <v>0</v>
      </c>
      <c r="CB123" s="3683">
        <f t="shared" si="87"/>
        <v>0</v>
      </c>
    </row>
    <row r="124" spans="18:80" ht="25.5">
      <c r="S124" s="3991" t="s">
        <v>3400</v>
      </c>
      <c r="T124" s="3991"/>
      <c r="U124" s="3991"/>
      <c r="V124" s="3991"/>
      <c r="W124" s="3991"/>
      <c r="X124" s="3619" t="s">
        <v>24</v>
      </c>
      <c r="AA124" s="3541"/>
      <c r="AB124" s="3541"/>
      <c r="AC124" s="3541"/>
      <c r="AD124" s="3541"/>
      <c r="AF124" s="3541"/>
      <c r="AG124" s="3541"/>
      <c r="AN124" s="3623" t="s">
        <v>3401</v>
      </c>
      <c r="AO124" s="3577" t="s">
        <v>3176</v>
      </c>
      <c r="AP124" s="3623" t="s">
        <v>3402</v>
      </c>
      <c r="AQ124" s="3577" t="s">
        <v>3403</v>
      </c>
      <c r="AR124" s="3623" t="s">
        <v>3404</v>
      </c>
      <c r="AS124" s="3577" t="s">
        <v>3405</v>
      </c>
      <c r="AT124" s="3578" t="s">
        <v>3406</v>
      </c>
      <c r="AU124" s="3578" t="s">
        <v>3407</v>
      </c>
      <c r="AV124" s="3578" t="s">
        <v>3408</v>
      </c>
      <c r="AW124" s="3578" t="s">
        <v>3409</v>
      </c>
      <c r="BC124" s="3673"/>
      <c r="BD124" s="3668" t="s">
        <v>3427</v>
      </c>
      <c r="BE124" s="3684">
        <f t="shared" ref="BE124:CB124" si="88">BE$68*BE83*$BI$110</f>
        <v>0</v>
      </c>
      <c r="BF124" s="3684">
        <f t="shared" si="88"/>
        <v>0</v>
      </c>
      <c r="BG124" s="3684">
        <f t="shared" si="88"/>
        <v>0</v>
      </c>
      <c r="BH124" s="3684">
        <f t="shared" si="88"/>
        <v>0</v>
      </c>
      <c r="BI124" s="3684">
        <f t="shared" si="88"/>
        <v>0</v>
      </c>
      <c r="BJ124" s="3684">
        <f t="shared" si="88"/>
        <v>0</v>
      </c>
      <c r="BK124" s="3684">
        <f t="shared" si="88"/>
        <v>0</v>
      </c>
      <c r="BL124" s="3684">
        <f t="shared" si="88"/>
        <v>0</v>
      </c>
      <c r="BM124" s="3684">
        <f t="shared" si="88"/>
        <v>0</v>
      </c>
      <c r="BN124" s="3684">
        <f t="shared" si="88"/>
        <v>0</v>
      </c>
      <c r="BO124" s="3684">
        <f t="shared" si="88"/>
        <v>0</v>
      </c>
      <c r="BP124" s="3684">
        <f t="shared" si="88"/>
        <v>0</v>
      </c>
      <c r="BQ124" s="3684">
        <f t="shared" si="88"/>
        <v>0</v>
      </c>
      <c r="BR124" s="3684">
        <f t="shared" si="88"/>
        <v>0</v>
      </c>
      <c r="BS124" s="3684">
        <f t="shared" si="88"/>
        <v>0</v>
      </c>
      <c r="BT124" s="3684">
        <f t="shared" si="88"/>
        <v>0</v>
      </c>
      <c r="BU124" s="3684">
        <f t="shared" si="88"/>
        <v>0</v>
      </c>
      <c r="BV124" s="3684">
        <f t="shared" si="88"/>
        <v>0</v>
      </c>
      <c r="BW124" s="3684">
        <f t="shared" si="88"/>
        <v>0</v>
      </c>
      <c r="BX124" s="3684">
        <f t="shared" si="88"/>
        <v>0</v>
      </c>
      <c r="BY124" s="3684">
        <f t="shared" si="88"/>
        <v>0</v>
      </c>
      <c r="BZ124" s="3684">
        <f t="shared" si="88"/>
        <v>0</v>
      </c>
      <c r="CA124" s="3684">
        <f t="shared" si="88"/>
        <v>0</v>
      </c>
      <c r="CB124" s="3683">
        <f t="shared" si="88"/>
        <v>0</v>
      </c>
    </row>
    <row r="125" spans="18:80" ht="15.75" thickBot="1">
      <c r="S125" s="3532"/>
      <c r="AA125" s="3541"/>
      <c r="AB125" s="3541"/>
      <c r="AC125" s="3541"/>
      <c r="AD125" s="3541"/>
      <c r="AF125" s="3541"/>
      <c r="AG125" s="3541"/>
      <c r="AN125" s="3541"/>
      <c r="AO125" s="3541"/>
      <c r="AP125" s="3541"/>
      <c r="AQ125" s="3541"/>
      <c r="AR125" s="3541"/>
      <c r="AS125" s="3541"/>
      <c r="AT125" s="3541"/>
      <c r="AU125" s="3541"/>
      <c r="AV125" s="3541"/>
      <c r="AW125" s="3541"/>
      <c r="BC125" s="3673"/>
      <c r="BD125" s="3668" t="s">
        <v>3426</v>
      </c>
      <c r="BE125" s="3684">
        <f t="shared" ref="BE125:CB125" si="89">BE$68*BE84*$BJ$110</f>
        <v>0</v>
      </c>
      <c r="BF125" s="3684">
        <f t="shared" si="89"/>
        <v>0</v>
      </c>
      <c r="BG125" s="3684">
        <f t="shared" si="89"/>
        <v>0</v>
      </c>
      <c r="BH125" s="3684">
        <f t="shared" si="89"/>
        <v>0</v>
      </c>
      <c r="BI125" s="3684">
        <f t="shared" si="89"/>
        <v>0</v>
      </c>
      <c r="BJ125" s="3684">
        <f t="shared" si="89"/>
        <v>0</v>
      </c>
      <c r="BK125" s="3684">
        <f t="shared" si="89"/>
        <v>0</v>
      </c>
      <c r="BL125" s="3684">
        <f t="shared" si="89"/>
        <v>0</v>
      </c>
      <c r="BM125" s="3684">
        <f t="shared" si="89"/>
        <v>0</v>
      </c>
      <c r="BN125" s="3684">
        <f t="shared" si="89"/>
        <v>0</v>
      </c>
      <c r="BO125" s="3684">
        <f t="shared" si="89"/>
        <v>0</v>
      </c>
      <c r="BP125" s="3684">
        <f t="shared" si="89"/>
        <v>0</v>
      </c>
      <c r="BQ125" s="3684">
        <f t="shared" si="89"/>
        <v>0</v>
      </c>
      <c r="BR125" s="3684">
        <f t="shared" si="89"/>
        <v>0</v>
      </c>
      <c r="BS125" s="3684">
        <f t="shared" si="89"/>
        <v>0</v>
      </c>
      <c r="BT125" s="3684">
        <f t="shared" si="89"/>
        <v>0</v>
      </c>
      <c r="BU125" s="3684">
        <f t="shared" si="89"/>
        <v>0</v>
      </c>
      <c r="BV125" s="3684">
        <f t="shared" si="89"/>
        <v>0</v>
      </c>
      <c r="BW125" s="3684">
        <f t="shared" si="89"/>
        <v>0</v>
      </c>
      <c r="BX125" s="3684">
        <f t="shared" si="89"/>
        <v>0</v>
      </c>
      <c r="BY125" s="3684">
        <f t="shared" si="89"/>
        <v>0</v>
      </c>
      <c r="BZ125" s="3684">
        <f t="shared" si="89"/>
        <v>0</v>
      </c>
      <c r="CA125" s="3684">
        <f t="shared" si="89"/>
        <v>0</v>
      </c>
      <c r="CB125" s="3683">
        <f t="shared" si="89"/>
        <v>0</v>
      </c>
    </row>
    <row r="126" spans="18:80">
      <c r="W126" s="3624"/>
      <c r="X126" s="3524"/>
      <c r="Y126" s="3524"/>
      <c r="Z126" s="3524"/>
      <c r="AA126" s="3541"/>
      <c r="AB126" s="3541"/>
      <c r="AC126" s="3541"/>
      <c r="AG126" s="3625"/>
      <c r="AH126" s="3626" t="s">
        <v>794</v>
      </c>
      <c r="AI126" s="3627"/>
      <c r="AO126" s="3628" t="s">
        <v>3186</v>
      </c>
      <c r="AP126" s="3583" t="s">
        <v>3187</v>
      </c>
      <c r="AR126" s="3628" t="s">
        <v>3188</v>
      </c>
      <c r="AS126" s="3583" t="s">
        <v>3189</v>
      </c>
      <c r="BC126" s="3673"/>
      <c r="BD126" s="3687" t="s">
        <v>24</v>
      </c>
      <c r="BE126" s="3686">
        <f t="shared" ref="BE126:CB126" si="90">SUM(BE120:BE125)</f>
        <v>0</v>
      </c>
      <c r="BF126" s="3686">
        <f t="shared" si="90"/>
        <v>0</v>
      </c>
      <c r="BG126" s="3686">
        <f t="shared" si="90"/>
        <v>0</v>
      </c>
      <c r="BH126" s="3686">
        <f t="shared" si="90"/>
        <v>0</v>
      </c>
      <c r="BI126" s="3686">
        <f t="shared" si="90"/>
        <v>0</v>
      </c>
      <c r="BJ126" s="3686">
        <f t="shared" si="90"/>
        <v>0</v>
      </c>
      <c r="BK126" s="3686">
        <f t="shared" si="90"/>
        <v>0</v>
      </c>
      <c r="BL126" s="3686">
        <f t="shared" si="90"/>
        <v>0</v>
      </c>
      <c r="BM126" s="3686">
        <f t="shared" si="90"/>
        <v>0</v>
      </c>
      <c r="BN126" s="3686">
        <f t="shared" si="90"/>
        <v>0</v>
      </c>
      <c r="BO126" s="3686">
        <f t="shared" si="90"/>
        <v>0</v>
      </c>
      <c r="BP126" s="3686">
        <f t="shared" si="90"/>
        <v>0</v>
      </c>
      <c r="BQ126" s="3686">
        <f t="shared" si="90"/>
        <v>0</v>
      </c>
      <c r="BR126" s="3686">
        <f t="shared" si="90"/>
        <v>0</v>
      </c>
      <c r="BS126" s="3686">
        <f t="shared" si="90"/>
        <v>0</v>
      </c>
      <c r="BT126" s="3686">
        <f t="shared" si="90"/>
        <v>0</v>
      </c>
      <c r="BU126" s="3686">
        <f t="shared" si="90"/>
        <v>0</v>
      </c>
      <c r="BV126" s="3686">
        <f t="shared" si="90"/>
        <v>0</v>
      </c>
      <c r="BW126" s="3686">
        <f t="shared" si="90"/>
        <v>0</v>
      </c>
      <c r="BX126" s="3686">
        <f t="shared" si="90"/>
        <v>0</v>
      </c>
      <c r="BY126" s="3686">
        <f t="shared" si="90"/>
        <v>0</v>
      </c>
      <c r="BZ126" s="3686">
        <f t="shared" si="90"/>
        <v>0</v>
      </c>
      <c r="CA126" s="3686">
        <f t="shared" si="90"/>
        <v>0</v>
      </c>
      <c r="CB126" s="3685">
        <f t="shared" si="90"/>
        <v>0</v>
      </c>
    </row>
    <row r="127" spans="18:80">
      <c r="W127" s="3624"/>
      <c r="X127" s="3524"/>
      <c r="Y127" s="3524"/>
      <c r="Z127" s="3524"/>
      <c r="AA127" s="3541"/>
      <c r="AB127" s="3541"/>
      <c r="AC127" s="3541"/>
      <c r="AG127" s="3564"/>
      <c r="AI127" s="3629"/>
      <c r="AO127" s="3630"/>
      <c r="AP127" s="3631"/>
      <c r="AR127" s="3630"/>
      <c r="AS127" s="3631"/>
      <c r="BC127" s="3673"/>
      <c r="BE127" s="3684"/>
      <c r="BF127" s="3684"/>
      <c r="BG127" s="3684"/>
      <c r="BH127" s="3684"/>
      <c r="BI127" s="3684"/>
      <c r="BJ127" s="3684"/>
      <c r="BK127" s="3684"/>
      <c r="BL127" s="3684"/>
      <c r="BM127" s="3684"/>
      <c r="BN127" s="3684"/>
      <c r="BO127" s="3684"/>
      <c r="BP127" s="3684"/>
      <c r="BQ127" s="3684"/>
      <c r="BR127" s="3684"/>
      <c r="BS127" s="3684"/>
      <c r="BT127" s="3684"/>
      <c r="BU127" s="3684"/>
      <c r="BV127" s="3684"/>
      <c r="BW127" s="3684"/>
      <c r="BX127" s="3684"/>
      <c r="BY127" s="3684"/>
      <c r="BZ127" s="3684"/>
      <c r="CA127" s="3684"/>
      <c r="CB127" s="3683"/>
    </row>
    <row r="128" spans="18:80" ht="15.75" thickBot="1">
      <c r="V128" s="3532"/>
      <c r="W128" s="3532"/>
      <c r="X128" s="3532"/>
      <c r="Y128" s="3532"/>
      <c r="Z128" s="3532"/>
      <c r="AC128" s="3516"/>
      <c r="AG128" s="3564"/>
      <c r="AH128" s="3452" t="s">
        <v>2148</v>
      </c>
      <c r="AI128" s="3632" t="s">
        <v>2149</v>
      </c>
      <c r="AO128" s="3630"/>
      <c r="AP128" s="3631"/>
      <c r="AR128" s="3630"/>
      <c r="AS128" s="3631"/>
      <c r="BC128" s="3673"/>
      <c r="BD128" s="3667" t="s">
        <v>24</v>
      </c>
      <c r="BE128" s="3682">
        <f t="shared" ref="BE128:CB128" si="91">BE126+BE117</f>
        <v>51213.15701773332</v>
      </c>
      <c r="BF128" s="3682">
        <f t="shared" si="91"/>
        <v>46271.297751274644</v>
      </c>
      <c r="BG128" s="3682">
        <f t="shared" si="91"/>
        <v>36539.751343450218</v>
      </c>
      <c r="BH128" s="3682">
        <f t="shared" si="91"/>
        <v>24685.025169203967</v>
      </c>
      <c r="BI128" s="3682">
        <f t="shared" si="91"/>
        <v>15425.878757986575</v>
      </c>
      <c r="BJ128" s="3682">
        <f t="shared" si="91"/>
        <v>11907.50279921917</v>
      </c>
      <c r="BK128" s="3682">
        <f t="shared" si="91"/>
        <v>10480.889664886223</v>
      </c>
      <c r="BL128" s="3682">
        <f t="shared" si="91"/>
        <v>10646.135366516843</v>
      </c>
      <c r="BM128" s="3682">
        <f t="shared" si="91"/>
        <v>12577.23819161467</v>
      </c>
      <c r="BN128" s="3682">
        <f t="shared" si="91"/>
        <v>22981.326296885414</v>
      </c>
      <c r="BO128" s="3682">
        <f t="shared" si="91"/>
        <v>40452.333110022722</v>
      </c>
      <c r="BP128" s="3682">
        <f t="shared" si="91"/>
        <v>61276.965682720671</v>
      </c>
      <c r="BQ128" s="3682">
        <f t="shared" si="91"/>
        <v>57270.592119897832</v>
      </c>
      <c r="BR128" s="3682">
        <f t="shared" si="91"/>
        <v>51726.522808168491</v>
      </c>
      <c r="BS128" s="3682">
        <f t="shared" si="91"/>
        <v>40930.170486768897</v>
      </c>
      <c r="BT128" s="3682">
        <f t="shared" si="91"/>
        <v>27579.015394407128</v>
      </c>
      <c r="BU128" s="3682">
        <f t="shared" si="91"/>
        <v>17228.120608644917</v>
      </c>
      <c r="BV128" s="3682">
        <f t="shared" si="91"/>
        <v>13283.819427721584</v>
      </c>
      <c r="BW128" s="3682">
        <f t="shared" si="91"/>
        <v>11679.945164264318</v>
      </c>
      <c r="BX128" s="3682">
        <f t="shared" si="91"/>
        <v>11759.799177512434</v>
      </c>
      <c r="BY128" s="3682">
        <f t="shared" si="91"/>
        <v>13728.639937879838</v>
      </c>
      <c r="BZ128" s="3682">
        <f t="shared" si="91"/>
        <v>25350.811528479095</v>
      </c>
      <c r="CA128" s="3682">
        <f t="shared" si="91"/>
        <v>44870.995063400078</v>
      </c>
      <c r="CB128" s="3681">
        <f t="shared" si="91"/>
        <v>67776.924474295753</v>
      </c>
    </row>
    <row r="129" spans="19:80" ht="16.5" thickTop="1" thickBot="1">
      <c r="AB129" s="3516"/>
      <c r="AC129" s="3516"/>
      <c r="AG129" s="3564" t="s">
        <v>3133</v>
      </c>
      <c r="AH129" s="3452">
        <v>0.64400000000000002</v>
      </c>
      <c r="AI129" s="3632">
        <v>0</v>
      </c>
      <c r="AO129" s="3633">
        <f>AN123+(AP123/2)</f>
        <v>916810.8159038811</v>
      </c>
      <c r="AP129" s="3585">
        <f>AO123+(AQ123/2)</f>
        <v>278706.76730055112</v>
      </c>
      <c r="AR129" s="3633">
        <f>(AP123+AR123)/2</f>
        <v>830332.4879019158</v>
      </c>
      <c r="AS129" s="3585">
        <f>(AQ123+AS123)/2</f>
        <v>200878.8303093561</v>
      </c>
      <c r="BC129" s="3673"/>
      <c r="CB129" s="3672"/>
    </row>
    <row r="130" spans="19:80">
      <c r="S130" s="3452"/>
      <c r="AB130" s="3634"/>
      <c r="AC130" s="3634"/>
      <c r="AD130" s="3588"/>
      <c r="AE130" s="3635"/>
      <c r="AG130" s="3564" t="s">
        <v>3195</v>
      </c>
      <c r="AH130" s="3452">
        <v>0.66942999999999997</v>
      </c>
      <c r="AI130" s="3632">
        <v>0</v>
      </c>
      <c r="BC130" s="3673"/>
      <c r="BD130" s="3679" t="s">
        <v>3418</v>
      </c>
      <c r="CB130" s="3672"/>
    </row>
    <row r="131" spans="19:80">
      <c r="S131" s="3452"/>
      <c r="U131" s="2141"/>
      <c r="V131" s="2141"/>
      <c r="W131" s="2141"/>
      <c r="AG131" s="3564" t="s">
        <v>839</v>
      </c>
      <c r="AH131" s="3636">
        <v>0.46935076159999994</v>
      </c>
      <c r="AI131" s="3637">
        <f>0.20708*0.71746</f>
        <v>0.1485716168</v>
      </c>
      <c r="AP131" s="3586" t="s">
        <v>3197</v>
      </c>
      <c r="AS131" s="3587" t="s">
        <v>3198</v>
      </c>
      <c r="AT131" s="3586" t="s">
        <v>3413</v>
      </c>
      <c r="BC131" s="3673"/>
      <c r="BD131" s="3679" t="str">
        <f>BD113</f>
        <v>WA101</v>
      </c>
      <c r="CB131" s="3672"/>
    </row>
    <row r="132" spans="19:80" ht="45">
      <c r="S132" s="3452"/>
      <c r="U132" s="2141"/>
      <c r="V132" s="2141"/>
      <c r="W132" s="2141"/>
      <c r="AG132" s="3564" t="s">
        <v>2729</v>
      </c>
      <c r="AH132" s="3636">
        <v>0.51642507920000003</v>
      </c>
      <c r="AI132" s="3637">
        <v>0.1639826576</v>
      </c>
      <c r="AP132" s="3588">
        <f>AO129+AP129</f>
        <v>1195517.5832044322</v>
      </c>
      <c r="AS132" s="3588">
        <f>AR129+AS129</f>
        <v>1031211.3182112719</v>
      </c>
      <c r="AT132" s="3588">
        <f>AP132+AS132</f>
        <v>2226728.9014157038</v>
      </c>
      <c r="BC132" s="3673"/>
      <c r="BD132" s="3678" t="s">
        <v>1046</v>
      </c>
      <c r="BE132" s="3680" t="s">
        <v>3419</v>
      </c>
      <c r="BF132" s="3680" t="s">
        <v>3420</v>
      </c>
      <c r="BG132" s="3680" t="s">
        <v>3421</v>
      </c>
      <c r="CB132" s="3672"/>
    </row>
    <row r="133" spans="19:80">
      <c r="U133" s="2141"/>
      <c r="V133" s="2141"/>
      <c r="W133" s="2141"/>
      <c r="AG133" s="3564" t="s">
        <v>3366</v>
      </c>
      <c r="AH133" s="2845">
        <v>0.77144000000000001</v>
      </c>
      <c r="AI133" s="3638">
        <v>0.22856000000000001</v>
      </c>
      <c r="AN133" s="3639"/>
      <c r="AP133" s="3588"/>
      <c r="AS133" s="3588"/>
      <c r="AT133" s="3588"/>
      <c r="BC133" s="3673"/>
      <c r="BD133" s="3668" t="s">
        <v>3422</v>
      </c>
      <c r="BE133" s="3676">
        <f>SUM(BE117:BP117)</f>
        <v>344457.50115151441</v>
      </c>
      <c r="BF133" s="3674">
        <f>AVERAGE(BE39:BP39)</f>
        <v>643.81559731176583</v>
      </c>
      <c r="BG133" s="3674">
        <f>BE133/BF133</f>
        <v>535.02509505794387</v>
      </c>
      <c r="CB133" s="3672"/>
    </row>
    <row r="134" spans="19:80" ht="18.75">
      <c r="T134" s="3640"/>
      <c r="X134" s="3641"/>
      <c r="Y134" s="3642"/>
      <c r="Z134" s="3642"/>
      <c r="AG134" s="3564" t="s">
        <v>3206</v>
      </c>
      <c r="AH134" s="3452">
        <v>1</v>
      </c>
      <c r="AI134" s="3629">
        <v>0</v>
      </c>
      <c r="AO134" s="3643" t="s">
        <v>3186</v>
      </c>
      <c r="AP134" s="3643" t="s">
        <v>3187</v>
      </c>
      <c r="AQ134" s="3643"/>
      <c r="AR134" s="3643" t="s">
        <v>3188</v>
      </c>
      <c r="AS134" s="3643" t="s">
        <v>3189</v>
      </c>
      <c r="BC134" s="3673"/>
      <c r="BD134" s="3668" t="s">
        <v>3423</v>
      </c>
      <c r="BE134" s="3676">
        <f>SUM(BQ117:CB117)</f>
        <v>383185.35619144031</v>
      </c>
      <c r="BF134" s="3674">
        <f>AVERAGE(BQ39:CB39)</f>
        <v>716.09466707920365</v>
      </c>
      <c r="BG134" s="3674">
        <f>BE134/BF134</f>
        <v>535.10432880944506</v>
      </c>
      <c r="CB134" s="3672"/>
    </row>
    <row r="135" spans="19:80">
      <c r="W135" s="3644"/>
      <c r="X135" s="3645"/>
      <c r="Y135" s="3645"/>
      <c r="Z135" s="3645"/>
      <c r="AG135" s="3564" t="s">
        <v>3414</v>
      </c>
      <c r="AH135" s="3452">
        <v>0</v>
      </c>
      <c r="AI135" s="3629">
        <v>1</v>
      </c>
      <c r="AM135" s="3530"/>
      <c r="AN135" s="3644" t="s">
        <v>3415</v>
      </c>
      <c r="AO135" s="3524">
        <f>+SUMIF($AM$6:$AM$122,AG129,AN6:AN122)+(SUMIF($AM$6:$AM$122,AG129,AP6:AP122)/2)</f>
        <v>141319.12008415372</v>
      </c>
      <c r="AP135" s="3524">
        <f>+SUMIF($AM$6:$AM$122,AG129,AO6:AO122)+(SUMIF($AM$6:$AM$122,AG129,AQ6:AQ122)/2)</f>
        <v>0</v>
      </c>
      <c r="AQ135" s="3644"/>
      <c r="AR135" s="3524">
        <f>(SUMIF($AM$6:$AM$122,AG129,AR6:AR122)/2)</f>
        <v>108927.66579760262</v>
      </c>
      <c r="AS135" s="3524">
        <f>(SUMIF($AM$6:$AM$122,AG129,AS6:AS122)/2)</f>
        <v>0</v>
      </c>
      <c r="BC135" s="3673"/>
      <c r="BE135" s="3674">
        <f>SUM(BE133:BE134)-SUM(BE117:CB117)</f>
        <v>0</v>
      </c>
      <c r="BF135" s="3674"/>
      <c r="BG135" s="3674"/>
      <c r="CB135" s="3672"/>
    </row>
    <row r="136" spans="19:80">
      <c r="S136" s="2141"/>
      <c r="V136" s="3524"/>
      <c r="X136" s="3588"/>
      <c r="Y136" s="3588"/>
      <c r="Z136" s="3588"/>
      <c r="AA136" s="3588"/>
      <c r="AD136" s="3646"/>
      <c r="AG136" s="3564" t="s">
        <v>3253</v>
      </c>
      <c r="AH136" s="3452">
        <v>0</v>
      </c>
      <c r="AI136" s="3629">
        <v>0.69035000000000002</v>
      </c>
      <c r="AM136" s="3530"/>
      <c r="AN136" s="3644" t="s">
        <v>3416</v>
      </c>
      <c r="AO136" s="3524">
        <f>SUMIF($AM$6:$AM$122,AG134,AN$6:AN$122)+SUMIF($AM$6:$AM$122,AG130,AN$6:AN$122)+(SUMIF($AM$6:$AM$122,AG134,AP$6:AP$122)/2)+(SUMIF($AM$6:$AM$122,AG130,AP$6:AP$122)/2)</f>
        <v>496210.40005456761</v>
      </c>
      <c r="AP136" s="3524">
        <f>SUMIF($AM$6:$AM$122,AG134,AO$6:AO$122)+SUMIF($AM$6:$AM$122,AG130,AO$6:AO$122)+(SUMIF($AM$6:$AM$122,AG134,AQ$6:AQ$122)/2)+(SUMIF($AM$6:$AM$122,AG130,AQ$6:AQ$122)/2)</f>
        <v>0</v>
      </c>
      <c r="AQ136" s="3644"/>
      <c r="AR136" s="3524">
        <f>+(SUMIF($AM$6:$AM$122,AG134,AR$6:AR$122)/2)+(SUMIF($AM$6:$AM$122,AG130,AR$6:AR$122)/2)</f>
        <v>241238.6011871798</v>
      </c>
      <c r="AS136" s="3524">
        <f>+(SUMIF($AM$6:$AM$122,AG134,AS$6:AS$122)/2)+(SUMIF($AM$6:$AM$122,AG130,AS$6:AS$122)/2)</f>
        <v>0</v>
      </c>
      <c r="AX136" s="2141"/>
      <c r="BC136" s="3673"/>
      <c r="BD136" s="3679" t="str">
        <f>BD119</f>
        <v>WA111</v>
      </c>
      <c r="BE136" s="3674"/>
      <c r="BF136" s="3674"/>
      <c r="BG136" s="3674"/>
      <c r="CB136" s="3672"/>
    </row>
    <row r="137" spans="19:80" ht="45">
      <c r="S137" s="2141"/>
      <c r="T137" s="3647"/>
      <c r="U137" s="3644"/>
      <c r="V137" s="3524"/>
      <c r="X137" s="3588"/>
      <c r="Y137" s="3588"/>
      <c r="Z137" s="3588"/>
      <c r="AA137" s="3588"/>
      <c r="AD137" s="3646"/>
      <c r="AG137" s="3648" t="s">
        <v>3152</v>
      </c>
      <c r="AH137" s="3649">
        <v>0</v>
      </c>
      <c r="AI137" s="3650">
        <v>0</v>
      </c>
      <c r="AN137" s="3644" t="s">
        <v>3417</v>
      </c>
      <c r="AO137" s="3524">
        <f>SUMIF($AM$6:$AM$122,AG135,AN$6:AN$122)+SUMIF($AM$6:$AM$122,AG136,AN$6:AN$122)+(SUMIF($AM$6:$AM$122,AG135,AP$6:AP$122)/2)+(SUMIF($AM$6:$AM$122,AG136,AP$6:AP$122)/2)</f>
        <v>0</v>
      </c>
      <c r="AP137" s="3524">
        <f>SUMIF($AM$6:$AM$122,AG135,AO$6:AO$122)+SUMIF($AM$6:$AM$122,AG136,AO$6:AO$122)+(SUMIF($AM$6:$AM$122,AG135,AQ$6:AQ$122)/2)+(SUMIF($AM$6:$AM$122,AG136,AQ$6:AQ$122)/2)</f>
        <v>190311.74223066663</v>
      </c>
      <c r="AQ137" s="3644"/>
      <c r="AR137" s="3524">
        <f>(SUMIF($AM$6:$AM$122,AG135,AR$6:AR$122)/2)+(SUMIF($AM$6:$AM$122,AG136,AR$6:AR$122)/2)</f>
        <v>0</v>
      </c>
      <c r="AS137" s="3524">
        <f>(SUMIF($AM$6:$AM$122,AG135,AS$6:AS$122)/2)+(SUMIF($AM$6:$AM$122,AG136,AS$6:AS$122)/2)</f>
        <v>70044.168103423348</v>
      </c>
      <c r="AX137" s="2141"/>
      <c r="BC137" s="3673"/>
      <c r="BD137" s="3678" t="s">
        <v>1046</v>
      </c>
      <c r="BE137" s="3677" t="s">
        <v>3419</v>
      </c>
      <c r="BF137" s="3677" t="s">
        <v>3425</v>
      </c>
      <c r="BG137" s="3677" t="s">
        <v>3421</v>
      </c>
      <c r="CB137" s="3672"/>
    </row>
    <row r="138" spans="19:80">
      <c r="S138" s="2141"/>
      <c r="V138" s="3651"/>
      <c r="W138" s="3652"/>
      <c r="X138" s="3652"/>
      <c r="Y138" s="3651"/>
      <c r="Z138" s="3651"/>
      <c r="AN138" s="3644" t="s">
        <v>1712</v>
      </c>
      <c r="AO138" s="3653">
        <f>AO129-AO135-AO136-AO137</f>
        <v>279281.29576515977</v>
      </c>
      <c r="AP138" s="3653">
        <f>AP129-AP137</f>
        <v>88395.02506988449</v>
      </c>
      <c r="AQ138" s="3644"/>
      <c r="AR138" s="3653">
        <f>AR129-AR135-AR136-AR137</f>
        <v>480166.22091713338</v>
      </c>
      <c r="AS138" s="3653">
        <f>AS129-AS135-AS136-AS137</f>
        <v>130834.66220593275</v>
      </c>
      <c r="AX138" s="2141"/>
      <c r="BC138" s="3673"/>
      <c r="BD138" s="3668" t="str">
        <f>BD133</f>
        <v>12 ME 12.2025</v>
      </c>
      <c r="BE138" s="3676">
        <f>SUM(BE126:BP126)</f>
        <v>0</v>
      </c>
      <c r="BF138" s="3674">
        <f>AVERAGE(BE40:BP40)</f>
        <v>0</v>
      </c>
      <c r="BG138" s="3674" t="e">
        <f>BE138/BF138</f>
        <v>#DIV/0!</v>
      </c>
      <c r="CB138" s="3672"/>
    </row>
    <row r="139" spans="19:80">
      <c r="S139" s="2141"/>
      <c r="V139" s="3651"/>
      <c r="W139" s="3651"/>
      <c r="X139" s="3654"/>
      <c r="Y139" s="3655"/>
      <c r="Z139" s="3655"/>
      <c r="AA139" s="3516"/>
      <c r="AO139" s="3524">
        <f>SUM(AO135:AO138)</f>
        <v>916810.8159038811</v>
      </c>
      <c r="AP139" s="3524">
        <f>SUM(AP135:AP138)</f>
        <v>278706.76730055112</v>
      </c>
      <c r="AR139" s="3524">
        <f>SUM(AR135:AR138)</f>
        <v>830332.4879019158</v>
      </c>
      <c r="AS139" s="3524">
        <f>SUM(AS135:AS138)</f>
        <v>200878.8303093561</v>
      </c>
      <c r="AX139" s="2141"/>
      <c r="BC139" s="3673"/>
      <c r="BD139" s="3668" t="str">
        <f>BD134</f>
        <v>12 ME 12.2026</v>
      </c>
      <c r="BE139" s="3676">
        <f>SUM(BQ126:CB126)</f>
        <v>0</v>
      </c>
      <c r="BF139" s="3674">
        <f>AVERAGE(BQ40:CB40)</f>
        <v>0</v>
      </c>
      <c r="BG139" s="3674" t="e">
        <f>BE139/BF139</f>
        <v>#DIV/0!</v>
      </c>
      <c r="CB139" s="3672"/>
    </row>
    <row r="140" spans="19:80">
      <c r="S140" s="2141"/>
      <c r="V140" s="3651"/>
      <c r="W140" s="3656"/>
      <c r="X140" s="3657"/>
      <c r="Y140" s="3657"/>
      <c r="Z140" s="3657"/>
      <c r="AO140" s="3524"/>
      <c r="AX140" s="2141"/>
      <c r="BC140" s="3673"/>
      <c r="BE140" s="3674">
        <f>SUM(BE138:BE139)-SUM(BE126:CB126)</f>
        <v>0</v>
      </c>
      <c r="BF140" s="3674"/>
      <c r="BG140" s="3674"/>
      <c r="CB140" s="3672"/>
    </row>
    <row r="141" spans="19:80">
      <c r="S141" s="2141"/>
      <c r="V141" s="3652"/>
      <c r="W141" s="3651"/>
      <c r="X141" s="3658"/>
      <c r="Y141" s="3658"/>
      <c r="Z141" s="3659"/>
      <c r="AA141" s="3660"/>
      <c r="AB141" s="3524"/>
      <c r="AC141" s="3524"/>
      <c r="AO141" s="3661"/>
      <c r="AP141" s="3661"/>
      <c r="AQ141" s="3458"/>
      <c r="AR141" s="3662"/>
      <c r="AS141" s="3661"/>
      <c r="AX141" s="2141"/>
      <c r="BC141" s="3673"/>
      <c r="BD141" s="3679" t="s">
        <v>3424</v>
      </c>
      <c r="BE141" s="3674"/>
      <c r="BF141" s="3674"/>
      <c r="BG141" s="3674"/>
      <c r="CB141" s="3672"/>
    </row>
    <row r="142" spans="19:80" ht="45">
      <c r="S142" s="2141"/>
      <c r="V142" s="3652"/>
      <c r="W142" s="3651"/>
      <c r="X142" s="3658"/>
      <c r="Y142" s="3658"/>
      <c r="Z142" s="3659"/>
      <c r="AA142" s="3524"/>
      <c r="AB142" s="3524"/>
      <c r="AC142" s="3524"/>
      <c r="AO142" s="3458"/>
      <c r="AP142" s="3458"/>
      <c r="AQ142" s="3458"/>
      <c r="AR142" s="3663"/>
      <c r="AS142" s="3458"/>
      <c r="AX142" s="2141"/>
      <c r="BC142" s="3673"/>
      <c r="BD142" s="3678" t="s">
        <v>1046</v>
      </c>
      <c r="BE142" s="3677" t="s">
        <v>3419</v>
      </c>
      <c r="BF142" s="3674"/>
      <c r="BG142" s="3674"/>
      <c r="CB142" s="3672"/>
    </row>
    <row r="143" spans="19:80">
      <c r="S143" s="2141"/>
      <c r="V143" s="3652"/>
      <c r="W143" s="3651"/>
      <c r="X143" s="3658"/>
      <c r="Y143" s="3658"/>
      <c r="Z143" s="3659"/>
      <c r="AA143" s="3524"/>
      <c r="AB143" s="3524"/>
      <c r="AC143" s="3524"/>
      <c r="AO143" s="3458"/>
      <c r="AP143" s="3458"/>
      <c r="AQ143" s="3458"/>
      <c r="AR143" s="3663"/>
      <c r="AS143" s="3458"/>
      <c r="AX143" s="2141"/>
      <c r="BC143" s="3673"/>
      <c r="BD143" s="3668" t="str">
        <f>BD133</f>
        <v>12 ME 12.2025</v>
      </c>
      <c r="BE143" s="3676">
        <f>BE133+BE138</f>
        <v>344457.50115151441</v>
      </c>
      <c r="BF143" s="3675" t="s">
        <v>2518</v>
      </c>
      <c r="BG143" s="3674"/>
      <c r="CB143" s="3672"/>
    </row>
    <row r="144" spans="19:80">
      <c r="S144" s="2141"/>
      <c r="V144" s="3652"/>
      <c r="W144" s="3651"/>
      <c r="X144" s="3658"/>
      <c r="Y144" s="3658"/>
      <c r="Z144" s="3659"/>
      <c r="AA144" s="3524"/>
      <c r="AB144" s="3524"/>
      <c r="AC144" s="3524"/>
      <c r="AO144" s="3664"/>
      <c r="AP144" s="3661"/>
      <c r="AQ144" s="3458"/>
      <c r="AR144" s="3661"/>
      <c r="AS144" s="3661"/>
      <c r="AX144" s="2141"/>
      <c r="BC144" s="3673"/>
      <c r="BD144" s="3668" t="str">
        <f>BD134</f>
        <v>12 ME 12.2026</v>
      </c>
      <c r="BE144" s="3676">
        <f>BE134+BE139</f>
        <v>383185.35619144031</v>
      </c>
      <c r="BF144" s="3675">
        <f>BE144-BE143</f>
        <v>38727.855039925897</v>
      </c>
      <c r="BG144" s="3674"/>
      <c r="CB144" s="3672"/>
    </row>
    <row r="145" spans="19:80" ht="18.75">
      <c r="S145" s="2141"/>
      <c r="T145" s="3640"/>
      <c r="U145" s="2141"/>
      <c r="V145" s="3651"/>
      <c r="W145" s="3651"/>
      <c r="X145" s="3651"/>
      <c r="Y145" s="3651"/>
      <c r="Z145" s="3651"/>
      <c r="AO145" s="3661"/>
      <c r="AP145" s="3661"/>
      <c r="AQ145" s="3458"/>
      <c r="AR145" s="3661"/>
      <c r="AS145" s="3661"/>
      <c r="AX145" s="2141"/>
      <c r="BC145" s="3673"/>
      <c r="CB145" s="3672"/>
    </row>
    <row r="146" spans="19:80" ht="15.75" thickBot="1">
      <c r="S146" s="2141"/>
      <c r="T146" s="2141"/>
      <c r="AX146" s="2141"/>
      <c r="BC146" s="3671"/>
      <c r="BD146" s="3670"/>
      <c r="BE146" s="3670"/>
      <c r="BF146" s="3670"/>
      <c r="BG146" s="3670"/>
      <c r="BH146" s="3670"/>
      <c r="BI146" s="3670"/>
      <c r="BJ146" s="3670"/>
      <c r="BK146" s="3670"/>
      <c r="BL146" s="3670"/>
      <c r="BM146" s="3670"/>
      <c r="BN146" s="3670"/>
      <c r="BO146" s="3670"/>
      <c r="BP146" s="3670"/>
      <c r="BQ146" s="3670"/>
      <c r="BR146" s="3670"/>
      <c r="BS146" s="3670"/>
      <c r="BT146" s="3670"/>
      <c r="BU146" s="3670"/>
      <c r="BV146" s="3670"/>
      <c r="BW146" s="3670"/>
      <c r="BX146" s="3670"/>
      <c r="BY146" s="3670"/>
      <c r="BZ146" s="3670"/>
      <c r="CA146" s="3670"/>
      <c r="CB146" s="3669"/>
    </row>
    <row r="147" spans="19:80">
      <c r="S147" s="2141"/>
      <c r="T147" s="2141"/>
      <c r="U147" s="2141"/>
      <c r="V147" s="3644"/>
      <c r="W147" s="3644"/>
      <c r="Y147" s="3665"/>
      <c r="Z147" s="3665"/>
      <c r="AA147" s="3665"/>
      <c r="AX147" s="2141"/>
    </row>
    <row r="148" spans="19:80">
      <c r="S148" s="2141"/>
      <c r="T148" s="2141"/>
      <c r="U148" s="2141"/>
      <c r="V148" s="3644"/>
      <c r="W148" s="3644"/>
      <c r="Y148" s="3641"/>
      <c r="Z148" s="3641"/>
      <c r="AA148" s="3666"/>
      <c r="AO148" s="3458">
        <v>916810.8159038811</v>
      </c>
      <c r="AP148" s="3458">
        <v>278706.76730055112</v>
      </c>
      <c r="AQ148" s="3458"/>
      <c r="AR148" s="3458">
        <v>830332.4879019158</v>
      </c>
      <c r="AS148" s="3458">
        <v>200878.8303093561</v>
      </c>
      <c r="AX148" s="2141"/>
    </row>
    <row r="149" spans="19:80">
      <c r="S149" s="2141"/>
      <c r="T149" s="2141"/>
      <c r="U149" s="2141"/>
      <c r="V149" s="3524"/>
      <c r="W149" s="3524"/>
      <c r="Y149" s="3588"/>
      <c r="Z149" s="3588"/>
      <c r="AA149" s="3588"/>
      <c r="AB149" s="3588"/>
      <c r="AC149" s="3588"/>
      <c r="AX149" s="2141"/>
    </row>
    <row r="150" spans="19:80">
      <c r="S150" s="2141"/>
      <c r="T150" s="2141"/>
      <c r="U150" s="2141"/>
      <c r="V150" s="3524"/>
      <c r="W150" s="3524"/>
      <c r="Y150" s="3588"/>
      <c r="Z150" s="3588"/>
      <c r="AA150" s="3588"/>
      <c r="AB150" s="3588"/>
      <c r="AC150" s="3588"/>
      <c r="AX150" s="2141"/>
    </row>
    <row r="151" spans="19:80">
      <c r="S151" s="2141"/>
      <c r="T151" s="2141"/>
      <c r="U151" s="2141"/>
      <c r="X151" s="3524"/>
      <c r="Y151" s="3524"/>
      <c r="Z151" s="3524"/>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X66:Z66"/>
    <mergeCell ref="S124:W124"/>
    <mergeCell ref="A25:C25"/>
    <mergeCell ref="D25:E25"/>
    <mergeCell ref="F25:G25"/>
    <mergeCell ref="A26:C26"/>
    <mergeCell ref="D26:E26"/>
    <mergeCell ref="F26:G26"/>
    <mergeCell ref="A5:B5"/>
    <mergeCell ref="D7:I7"/>
    <mergeCell ref="A12:J12"/>
    <mergeCell ref="A13:F13"/>
    <mergeCell ref="G13:J13"/>
    <mergeCell ref="D8:D9"/>
    <mergeCell ref="E8:E9"/>
    <mergeCell ref="F8:F9"/>
    <mergeCell ref="AF3:AG3"/>
    <mergeCell ref="AH3:AI3"/>
    <mergeCell ref="N4:O4"/>
    <mergeCell ref="AN3:AS3"/>
    <mergeCell ref="AT3:AW3"/>
    <mergeCell ref="D4:D5"/>
    <mergeCell ref="E4:E5"/>
    <mergeCell ref="F4:F5"/>
    <mergeCell ref="G4:I4"/>
    <mergeCell ref="J4:K4"/>
    <mergeCell ref="L4:M4"/>
    <mergeCell ref="AD3:AE3"/>
    <mergeCell ref="AN4:AS4"/>
    <mergeCell ref="AT4:AW4"/>
    <mergeCell ref="S1:T1"/>
    <mergeCell ref="A2:A3"/>
    <mergeCell ref="U3:W3"/>
    <mergeCell ref="X3:Z3"/>
    <mergeCell ref="AA3:AC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2578125" defaultRowHeight="12.75" outlineLevelRow="1"/>
  <cols>
    <col min="1" max="1" width="8.5703125" style="478" customWidth="1"/>
    <col min="2" max="2" width="33" style="478" customWidth="1"/>
    <col min="3" max="3" width="4.42578125" style="478" customWidth="1"/>
    <col min="4" max="4" width="3.28515625" style="478" customWidth="1"/>
    <col min="5" max="5" width="12.42578125" style="478" customWidth="1"/>
    <col min="6" max="6" width="11.42578125" style="478" customWidth="1"/>
    <col min="7" max="7" width="4.42578125" style="478" customWidth="1"/>
    <col min="8" max="9" width="11.42578125" style="478" customWidth="1"/>
    <col min="10" max="10" width="4.7109375" style="478" customWidth="1"/>
    <col min="11" max="12" width="11.42578125" style="478"/>
    <col min="13" max="13" width="4.42578125" style="11" customWidth="1"/>
    <col min="14" max="15" width="11.42578125" style="11"/>
    <col min="16" max="16" width="11.42578125" style="250"/>
    <col min="17" max="17" width="5.7109375" style="60" bestFit="1" customWidth="1"/>
    <col min="18" max="18" width="8.28515625" style="250" customWidth="1"/>
    <col min="19" max="19" width="12.5703125" style="226" customWidth="1"/>
    <col min="20" max="20" width="11.42578125" style="226"/>
    <col min="21" max="21" width="11.42578125" style="395"/>
    <col min="22" max="28" width="11.42578125" style="247"/>
    <col min="29" max="16384" width="11.42578125" style="11"/>
  </cols>
  <sheetData>
    <row r="1" spans="1:28" ht="18.75">
      <c r="A1" s="3992" t="s">
        <v>434</v>
      </c>
      <c r="B1" s="3992"/>
      <c r="C1" s="3992"/>
      <c r="D1" s="3992"/>
      <c r="E1" s="3992"/>
      <c r="F1" s="3992"/>
      <c r="G1" s="3992"/>
      <c r="H1" s="3992"/>
      <c r="I1" s="3992"/>
      <c r="J1" s="3992"/>
      <c r="K1" s="3992"/>
      <c r="L1" s="3992"/>
      <c r="M1" s="3992"/>
      <c r="N1" s="3992"/>
      <c r="O1" s="3992"/>
      <c r="P1" s="208"/>
    </row>
    <row r="2" spans="1:28" ht="18.75">
      <c r="A2" s="3992" t="s">
        <v>111</v>
      </c>
      <c r="B2" s="3992"/>
      <c r="C2" s="3992"/>
      <c r="D2" s="3992"/>
      <c r="E2" s="3992"/>
      <c r="F2" s="3992"/>
      <c r="G2" s="3992"/>
      <c r="H2" s="3992"/>
      <c r="I2" s="3992"/>
      <c r="J2" s="3992"/>
      <c r="K2" s="3992"/>
      <c r="L2" s="3992"/>
      <c r="M2" s="3992"/>
      <c r="N2" s="3992"/>
      <c r="O2" s="3992"/>
      <c r="P2" s="208"/>
    </row>
    <row r="3" spans="1:28" ht="18.75">
      <c r="A3" s="3992" t="s">
        <v>162</v>
      </c>
      <c r="B3" s="3992"/>
      <c r="C3" s="3992"/>
      <c r="D3" s="3992"/>
      <c r="E3" s="3992"/>
      <c r="F3" s="3992"/>
      <c r="G3" s="3992"/>
      <c r="H3" s="3992"/>
      <c r="I3" s="3992"/>
      <c r="J3" s="3992"/>
      <c r="K3" s="3992"/>
      <c r="L3" s="3992"/>
      <c r="M3" s="3992"/>
      <c r="N3" s="3992"/>
      <c r="O3" s="3992"/>
      <c r="P3" s="208"/>
    </row>
    <row r="4" spans="1:28" s="18" customFormat="1" ht="18.75">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4.25">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753" t="s">
        <v>156</v>
      </c>
      <c r="M7" s="3753"/>
      <c r="N7" s="3753"/>
      <c r="P7" s="231"/>
      <c r="Q7" s="59"/>
      <c r="R7" s="231"/>
      <c r="S7" s="231"/>
      <c r="T7" s="231"/>
      <c r="U7" s="396"/>
      <c r="V7" s="231"/>
      <c r="W7" s="231"/>
      <c r="X7" s="231"/>
      <c r="Y7" s="231"/>
      <c r="Z7" s="231"/>
      <c r="AA7" s="226"/>
      <c r="AB7" s="226"/>
    </row>
    <row r="8" spans="1:28" s="18" customFormat="1">
      <c r="A8" s="478"/>
      <c r="B8" s="478"/>
      <c r="C8" s="478"/>
      <c r="D8" s="478"/>
      <c r="E8" s="3993" t="s">
        <v>541</v>
      </c>
      <c r="F8" s="3993"/>
      <c r="G8" s="19"/>
      <c r="H8" s="3993"/>
      <c r="I8" s="3993"/>
      <c r="J8" s="478"/>
      <c r="K8" s="3753" t="s">
        <v>157</v>
      </c>
      <c r="L8" s="3753"/>
      <c r="N8" s="3753" t="s">
        <v>158</v>
      </c>
      <c r="O8" s="3753"/>
      <c r="P8" s="231"/>
      <c r="Q8" s="59"/>
      <c r="R8" s="231"/>
      <c r="S8" s="231"/>
      <c r="T8" s="231"/>
      <c r="U8" s="396"/>
      <c r="V8" s="231"/>
      <c r="W8" s="231"/>
      <c r="X8" s="231"/>
      <c r="Y8" s="231"/>
      <c r="Z8" s="231"/>
      <c r="AA8" s="226"/>
      <c r="AB8" s="226"/>
    </row>
    <row r="9" spans="1:28" s="18" customFormat="1">
      <c r="A9" s="462"/>
      <c r="B9" s="478"/>
      <c r="C9" s="478"/>
      <c r="D9" s="478"/>
      <c r="E9" s="3756" t="s">
        <v>68</v>
      </c>
      <c r="F9" s="3756"/>
      <c r="G9" s="20"/>
      <c r="H9" s="3756" t="s">
        <v>68</v>
      </c>
      <c r="I9" s="3756"/>
      <c r="J9" s="478"/>
      <c r="K9" s="3756" t="s">
        <v>68</v>
      </c>
      <c r="L9" s="3756"/>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5"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5" thickBot="1">
      <c r="A63" s="571"/>
      <c r="B63" s="229"/>
      <c r="D63" s="229"/>
      <c r="E63" s="229"/>
      <c r="F63" s="463"/>
      <c r="H63" s="229"/>
      <c r="J63" s="462"/>
      <c r="N63" s="69" t="s">
        <v>161</v>
      </c>
      <c r="O63" s="82">
        <f>SUM(O61:O62)</f>
        <v>0</v>
      </c>
      <c r="P63" s="231"/>
      <c r="Q63" s="59"/>
      <c r="R63" s="84"/>
      <c r="S63" s="231"/>
      <c r="V63" s="226"/>
    </row>
    <row r="64" spans="1:28" ht="13.5" thickTop="1">
      <c r="A64" s="572"/>
      <c r="B64" s="229"/>
      <c r="D64" s="229"/>
      <c r="E64" s="229"/>
      <c r="F64" s="463"/>
      <c r="H64" s="229"/>
      <c r="J64" s="462"/>
      <c r="N64" s="69" t="s">
        <v>544</v>
      </c>
      <c r="O64" s="256">
        <v>17293</v>
      </c>
      <c r="P64" s="231"/>
      <c r="Q64" s="59"/>
      <c r="R64" s="231"/>
      <c r="S64" s="231"/>
      <c r="V64" s="226"/>
    </row>
    <row r="65" spans="1:22" ht="13.5" thickBot="1">
      <c r="A65" s="572"/>
      <c r="B65" s="229"/>
      <c r="D65" s="229"/>
      <c r="E65" s="229"/>
      <c r="F65" s="463"/>
      <c r="H65" s="229"/>
      <c r="J65" s="462"/>
      <c r="N65" s="69" t="s">
        <v>163</v>
      </c>
      <c r="O65" s="26">
        <f>O64+O63</f>
        <v>17293</v>
      </c>
      <c r="P65" s="231"/>
      <c r="Q65" s="59"/>
      <c r="R65" s="231"/>
      <c r="S65" s="231"/>
      <c r="V65" s="226"/>
    </row>
    <row r="66" spans="1:22" ht="13.5"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5"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5" thickTop="1">
      <c r="N79" s="477"/>
      <c r="O79" s="481">
        <f>N78+O78</f>
        <v>0</v>
      </c>
    </row>
    <row r="80" spans="1:22">
      <c r="N80" s="486" t="s">
        <v>543</v>
      </c>
      <c r="O80" s="492"/>
    </row>
    <row r="81" spans="14:16" ht="13.5" thickBot="1">
      <c r="N81" s="486" t="s">
        <v>161</v>
      </c>
      <c r="O81" s="490">
        <f>SUM(O79:O80)</f>
        <v>0</v>
      </c>
    </row>
    <row r="82" spans="14:16" ht="13.5" thickTop="1">
      <c r="N82" s="487" t="s">
        <v>544</v>
      </c>
      <c r="O82" s="573">
        <v>4564</v>
      </c>
    </row>
    <row r="83" spans="14:16" ht="13.5" thickBot="1">
      <c r="N83" s="488" t="s">
        <v>163</v>
      </c>
      <c r="O83" s="489">
        <f>O81+O82</f>
        <v>4564</v>
      </c>
    </row>
    <row r="84" spans="14:16" ht="13.5"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703125" defaultRowHeight="12"/>
  <cols>
    <col min="1" max="1" width="5.5703125" style="116" customWidth="1"/>
    <col min="2" max="3" width="1.5703125" style="92" customWidth="1"/>
    <col min="4" max="4" width="28.5703125" style="92" customWidth="1"/>
    <col min="5" max="5" width="17.42578125" style="94" customWidth="1"/>
    <col min="6" max="56" width="20.42578125" style="94" customWidth="1"/>
    <col min="57" max="16384" width="10.570312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7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75"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75"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149999999999999"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149999999999999"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75"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ED74394C-C1FB-4BB3-8BF7-ED6C1C8B74B5}"/>
</file>

<file path=customXml/itemProps2.xml><?xml version="1.0" encoding="utf-8"?>
<ds:datastoreItem xmlns:ds="http://schemas.openxmlformats.org/officeDocument/2006/customXml" ds:itemID="{EBB08126-29CC-4A95-A9CA-E6B1EA16C374}"/>
</file>

<file path=customXml/itemProps3.xml><?xml version="1.0" encoding="utf-8"?>
<ds:datastoreItem xmlns:ds="http://schemas.openxmlformats.org/officeDocument/2006/customXml" ds:itemID="{D707E977-B7EF-49DA-A655-F0701CC36EC9}"/>
</file>

<file path=customXml/itemProps4.xml><?xml version="1.0" encoding="utf-8"?>
<ds:datastoreItem xmlns:ds="http://schemas.openxmlformats.org/officeDocument/2006/customXml" ds:itemID="{47C8A403-31F9-4615-8830-DB91FCB4D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2024-01-04T17:48:09Z</cp:lastPrinted>
  <dcterms:created xsi:type="dcterms:W3CDTF">1997-05-15T21:41:44Z</dcterms:created>
  <dcterms:modified xsi:type="dcterms:W3CDTF">2024-01-25T21:03:40Z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