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492" windowWidth="17496" windowHeight="8328" firstSheet="10" activeTab="13"/>
  </bookViews>
  <sheets>
    <sheet name="Tariff Charge Summary===&gt;" sheetId="32" r:id="rId1"/>
    <sheet name="Tariff Summary" sheetId="30" r:id="rId2"/>
    <sheet name="Tariff Summary Lights" sheetId="31" r:id="rId3"/>
    <sheet name="Rate Spread-Design====&gt;" sheetId="33" r:id="rId4"/>
    <sheet name="Rate Spread" sheetId="19" r:id="rId5"/>
    <sheet name="Rate Design Summary" sheetId="37" r:id="rId6"/>
    <sheet name="Proforma-Proposed" sheetId="1" r:id="rId7"/>
    <sheet name="Residential Rate Design" sheetId="2" r:id="rId8"/>
    <sheet name="Secondary Voltage Rate Design" sheetId="13" r:id="rId9"/>
    <sheet name="Primary Voltage Rate Design" sheetId="14" r:id="rId10"/>
    <sheet name="Campus Rate Design" sheetId="16" r:id="rId11"/>
    <sheet name="High Voltage Rate Design" sheetId="15" r:id="rId12"/>
    <sheet name="Transportation Rate Design" sheetId="18" r:id="rId13"/>
    <sheet name="Lighting Rate Design" sheetId="17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0" localSheetId="10">[1]Jan!#REF!</definedName>
    <definedName name="\0" localSheetId="11">[1]Jan!#REF!</definedName>
    <definedName name="\0" localSheetId="13">[1]Jan!#REF!</definedName>
    <definedName name="\0" localSheetId="9">[1]Jan!#REF!</definedName>
    <definedName name="\0" localSheetId="7">[1]Jan!#REF!</definedName>
    <definedName name="\0" localSheetId="8">[1]Jan!#REF!</definedName>
    <definedName name="\0" localSheetId="12">[1]Jan!#REF!</definedName>
    <definedName name="\0">[1]Jan!#REF!</definedName>
    <definedName name="\A" localSheetId="10">#REF!</definedName>
    <definedName name="\A" localSheetId="11">#REF!</definedName>
    <definedName name="\A" localSheetId="13">#REF!</definedName>
    <definedName name="\A" localSheetId="9">#REF!</definedName>
    <definedName name="\A" localSheetId="7">#REF!</definedName>
    <definedName name="\A" localSheetId="8">#REF!</definedName>
    <definedName name="\A" localSheetId="12">#REF!</definedName>
    <definedName name="\A">#REF!</definedName>
    <definedName name="\B" localSheetId="10">#REF!</definedName>
    <definedName name="\B" localSheetId="11">#REF!</definedName>
    <definedName name="\B" localSheetId="13">#REF!</definedName>
    <definedName name="\B" localSheetId="9">#REF!</definedName>
    <definedName name="\B" localSheetId="7">#REF!</definedName>
    <definedName name="\B" localSheetId="8">#REF!</definedName>
    <definedName name="\B" localSheetId="12">#REF!</definedName>
    <definedName name="\B">#REF!</definedName>
    <definedName name="\BACK1" localSheetId="10">#REF!</definedName>
    <definedName name="\BACK1" localSheetId="11">#REF!</definedName>
    <definedName name="\BACK1" localSheetId="13">#REF!</definedName>
    <definedName name="\BACK1" localSheetId="9">#REF!</definedName>
    <definedName name="\BACK1" localSheetId="7">#REF!</definedName>
    <definedName name="\BACK1" localSheetId="8">#REF!</definedName>
    <definedName name="\BACK1" localSheetId="12">#REF!</definedName>
    <definedName name="\BACK1">#REF!</definedName>
    <definedName name="\BLOCK" localSheetId="10">#REF!</definedName>
    <definedName name="\BLOCK" localSheetId="11">#REF!</definedName>
    <definedName name="\BLOCK" localSheetId="13">#REF!</definedName>
    <definedName name="\BLOCK" localSheetId="9">#REF!</definedName>
    <definedName name="\BLOCK" localSheetId="7">#REF!</definedName>
    <definedName name="\BLOCK" localSheetId="8">#REF!</definedName>
    <definedName name="\BLOCK" localSheetId="12">#REF!</definedName>
    <definedName name="\BLOCK">#REF!</definedName>
    <definedName name="\BLOCKT" localSheetId="10">#REF!</definedName>
    <definedName name="\BLOCKT" localSheetId="11">#REF!</definedName>
    <definedName name="\BLOCKT" localSheetId="13">#REF!</definedName>
    <definedName name="\BLOCKT" localSheetId="9">#REF!</definedName>
    <definedName name="\BLOCKT" localSheetId="7">#REF!</definedName>
    <definedName name="\BLOCKT" localSheetId="8">#REF!</definedName>
    <definedName name="\BLOCKT" localSheetId="12">#REF!</definedName>
    <definedName name="\BLOCKT">#REF!</definedName>
    <definedName name="\C" localSheetId="10">#REF!</definedName>
    <definedName name="\C" localSheetId="11">#REF!</definedName>
    <definedName name="\C" localSheetId="13">#REF!</definedName>
    <definedName name="\C" localSheetId="9">#REF!</definedName>
    <definedName name="\C" localSheetId="7">#REF!</definedName>
    <definedName name="\C" localSheetId="8">#REF!</definedName>
    <definedName name="\C" localSheetId="12">#REF!</definedName>
    <definedName name="\C">#REF!</definedName>
    <definedName name="\COMP" localSheetId="10">#REF!</definedName>
    <definedName name="\COMP" localSheetId="11">#REF!</definedName>
    <definedName name="\COMP" localSheetId="13">#REF!</definedName>
    <definedName name="\COMP" localSheetId="9">#REF!</definedName>
    <definedName name="\COMP" localSheetId="7">#REF!</definedName>
    <definedName name="\COMP" localSheetId="8">#REF!</definedName>
    <definedName name="\COMP" localSheetId="12">#REF!</definedName>
    <definedName name="\COMP">#REF!</definedName>
    <definedName name="\COMPT" localSheetId="10">#REF!</definedName>
    <definedName name="\COMPT" localSheetId="11">#REF!</definedName>
    <definedName name="\COMPT" localSheetId="13">#REF!</definedName>
    <definedName name="\COMPT" localSheetId="9">#REF!</definedName>
    <definedName name="\COMPT" localSheetId="7">#REF!</definedName>
    <definedName name="\COMPT" localSheetId="8">#REF!</definedName>
    <definedName name="\COMPT" localSheetId="12">#REF!</definedName>
    <definedName name="\COMPT">#REF!</definedName>
    <definedName name="\G" localSheetId="10">#REF!</definedName>
    <definedName name="\G" localSheetId="11">#REF!</definedName>
    <definedName name="\G" localSheetId="13">#REF!</definedName>
    <definedName name="\G" localSheetId="9">#REF!</definedName>
    <definedName name="\G" localSheetId="7">#REF!</definedName>
    <definedName name="\G" localSheetId="8">#REF!</definedName>
    <definedName name="\G" localSheetId="12">#REF!</definedName>
    <definedName name="\G">#REF!</definedName>
    <definedName name="\I" localSheetId="10">#REF!</definedName>
    <definedName name="\I" localSheetId="11">#REF!</definedName>
    <definedName name="\I" localSheetId="13">#REF!</definedName>
    <definedName name="\I" localSheetId="9">#REF!</definedName>
    <definedName name="\I" localSheetId="7">#REF!</definedName>
    <definedName name="\I" localSheetId="8">#REF!</definedName>
    <definedName name="\I" localSheetId="12">#REF!</definedName>
    <definedName name="\I">#REF!</definedName>
    <definedName name="\K" localSheetId="10">#REF!</definedName>
    <definedName name="\K" localSheetId="11">#REF!</definedName>
    <definedName name="\K" localSheetId="13">#REF!</definedName>
    <definedName name="\K" localSheetId="9">#REF!</definedName>
    <definedName name="\K" localSheetId="7">#REF!</definedName>
    <definedName name="\K" localSheetId="8">#REF!</definedName>
    <definedName name="\K" localSheetId="12">#REF!</definedName>
    <definedName name="\K">#REF!</definedName>
    <definedName name="\L" localSheetId="10">#REF!</definedName>
    <definedName name="\L" localSheetId="11">#REF!</definedName>
    <definedName name="\L" localSheetId="13">#REF!</definedName>
    <definedName name="\L" localSheetId="9">#REF!</definedName>
    <definedName name="\L" localSheetId="7">#REF!</definedName>
    <definedName name="\L" localSheetId="8">#REF!</definedName>
    <definedName name="\L" localSheetId="12">#REF!</definedName>
    <definedName name="\L">#REF!</definedName>
    <definedName name="\M" localSheetId="10">#REF!</definedName>
    <definedName name="\M" localSheetId="11">#REF!</definedName>
    <definedName name="\M" localSheetId="13">#REF!</definedName>
    <definedName name="\M" localSheetId="9">#REF!</definedName>
    <definedName name="\M" localSheetId="7">#REF!</definedName>
    <definedName name="\M" localSheetId="8">#REF!</definedName>
    <definedName name="\M" localSheetId="12">#REF!</definedName>
    <definedName name="\M">#REF!</definedName>
    <definedName name="\P" localSheetId="10">#REF!</definedName>
    <definedName name="\P" localSheetId="11">#REF!</definedName>
    <definedName name="\P" localSheetId="13">#REF!</definedName>
    <definedName name="\P" localSheetId="9">#REF!</definedName>
    <definedName name="\P" localSheetId="7">#REF!</definedName>
    <definedName name="\P" localSheetId="8">#REF!</definedName>
    <definedName name="\P" localSheetId="12">#REF!</definedName>
    <definedName name="\P">#REF!</definedName>
    <definedName name="\Q" localSheetId="10">[2]Actual!#REF!</definedName>
    <definedName name="\Q" localSheetId="11">[2]Actual!#REF!</definedName>
    <definedName name="\Q" localSheetId="13">[2]Actual!#REF!</definedName>
    <definedName name="\Q" localSheetId="9">[2]Actual!#REF!</definedName>
    <definedName name="\Q" localSheetId="7">[2]Actual!#REF!</definedName>
    <definedName name="\Q" localSheetId="8">[2]Actual!#REF!</definedName>
    <definedName name="\Q" localSheetId="12">[2]Actual!#REF!</definedName>
    <definedName name="\Q">[2]Actual!#REF!</definedName>
    <definedName name="\R" localSheetId="10">#REF!</definedName>
    <definedName name="\R" localSheetId="11">#REF!</definedName>
    <definedName name="\R" localSheetId="13">#REF!</definedName>
    <definedName name="\R" localSheetId="9">#REF!</definedName>
    <definedName name="\R" localSheetId="7">#REF!</definedName>
    <definedName name="\R" localSheetId="8">#REF!</definedName>
    <definedName name="\R" localSheetId="12">#REF!</definedName>
    <definedName name="\R">#REF!</definedName>
    <definedName name="\S" localSheetId="10">#REF!</definedName>
    <definedName name="\S" localSheetId="11">#REF!</definedName>
    <definedName name="\S" localSheetId="13">#REF!</definedName>
    <definedName name="\S" localSheetId="9">#REF!</definedName>
    <definedName name="\S" localSheetId="7">#REF!</definedName>
    <definedName name="\S" localSheetId="8">#REF!</definedName>
    <definedName name="\S" localSheetId="12">#REF!</definedName>
    <definedName name="\S">#REF!</definedName>
    <definedName name="\TABLE1" localSheetId="10">#REF!</definedName>
    <definedName name="\TABLE1" localSheetId="11">#REF!</definedName>
    <definedName name="\TABLE1" localSheetId="13">#REF!</definedName>
    <definedName name="\TABLE1" localSheetId="9">#REF!</definedName>
    <definedName name="\TABLE1" localSheetId="7">#REF!</definedName>
    <definedName name="\TABLE1" localSheetId="8">#REF!</definedName>
    <definedName name="\TABLE1" localSheetId="12">#REF!</definedName>
    <definedName name="\TABLE1">#REF!</definedName>
    <definedName name="\TABLE2" localSheetId="10">#REF!</definedName>
    <definedName name="\TABLE2" localSheetId="11">#REF!</definedName>
    <definedName name="\TABLE2" localSheetId="13">#REF!</definedName>
    <definedName name="\TABLE2" localSheetId="9">#REF!</definedName>
    <definedName name="\TABLE2" localSheetId="7">#REF!</definedName>
    <definedName name="\TABLE2" localSheetId="8">#REF!</definedName>
    <definedName name="\TABLE2" localSheetId="12">#REF!</definedName>
    <definedName name="\TABLE2">#REF!</definedName>
    <definedName name="\TABLEA" localSheetId="10">#REF!</definedName>
    <definedName name="\TABLEA" localSheetId="11">#REF!</definedName>
    <definedName name="\TABLEA" localSheetId="13">#REF!</definedName>
    <definedName name="\TABLEA" localSheetId="9">#REF!</definedName>
    <definedName name="\TABLEA" localSheetId="7">#REF!</definedName>
    <definedName name="\TABLEA" localSheetId="8">#REF!</definedName>
    <definedName name="\TABLEA" localSheetId="12">#REF!</definedName>
    <definedName name="\TABLEA">#REF!</definedName>
    <definedName name="\TBL2" localSheetId="10">#REF!</definedName>
    <definedName name="\TBL2" localSheetId="11">#REF!</definedName>
    <definedName name="\TBL2" localSheetId="13">#REF!</definedName>
    <definedName name="\TBL2" localSheetId="9">#REF!</definedName>
    <definedName name="\TBL2" localSheetId="7">#REF!</definedName>
    <definedName name="\TBL2" localSheetId="8">#REF!</definedName>
    <definedName name="\TBL2" localSheetId="12">#REF!</definedName>
    <definedName name="\TBL2">#REF!</definedName>
    <definedName name="\TBL3" localSheetId="10">#REF!</definedName>
    <definedName name="\TBL3" localSheetId="11">#REF!</definedName>
    <definedName name="\TBL3" localSheetId="13">#REF!</definedName>
    <definedName name="\TBL3" localSheetId="9">#REF!</definedName>
    <definedName name="\TBL3" localSheetId="7">#REF!</definedName>
    <definedName name="\TBL3" localSheetId="8">#REF!</definedName>
    <definedName name="\TBL3" localSheetId="12">#REF!</definedName>
    <definedName name="\TBL3">#REF!</definedName>
    <definedName name="\TBL4" localSheetId="10">#REF!</definedName>
    <definedName name="\TBL4" localSheetId="11">#REF!</definedName>
    <definedName name="\TBL4" localSheetId="13">#REF!</definedName>
    <definedName name="\TBL4" localSheetId="9">#REF!</definedName>
    <definedName name="\TBL4" localSheetId="7">#REF!</definedName>
    <definedName name="\TBL4" localSheetId="8">#REF!</definedName>
    <definedName name="\TBL4" localSheetId="12">#REF!</definedName>
    <definedName name="\TBL4">#REF!</definedName>
    <definedName name="\TBL5" localSheetId="10">#REF!</definedName>
    <definedName name="\TBL5" localSheetId="11">#REF!</definedName>
    <definedName name="\TBL5" localSheetId="13">#REF!</definedName>
    <definedName name="\TBL5" localSheetId="9">#REF!</definedName>
    <definedName name="\TBL5" localSheetId="7">#REF!</definedName>
    <definedName name="\TBL5" localSheetId="8">#REF!</definedName>
    <definedName name="\TBL5" localSheetId="12">#REF!</definedName>
    <definedName name="\TBL5">#REF!</definedName>
    <definedName name="\W" localSheetId="10">#REF!</definedName>
    <definedName name="\W" localSheetId="11">#REF!</definedName>
    <definedName name="\W" localSheetId="13">#REF!</definedName>
    <definedName name="\W" localSheetId="9">#REF!</definedName>
    <definedName name="\W" localSheetId="7">#REF!</definedName>
    <definedName name="\W" localSheetId="8">#REF!</definedName>
    <definedName name="\W" localSheetId="12">#REF!</definedName>
    <definedName name="\W">#REF!</definedName>
    <definedName name="\WORK1" localSheetId="10">#REF!</definedName>
    <definedName name="\WORK1" localSheetId="11">#REF!</definedName>
    <definedName name="\WORK1" localSheetId="13">#REF!</definedName>
    <definedName name="\WORK1" localSheetId="9">#REF!</definedName>
    <definedName name="\WORK1" localSheetId="7">#REF!</definedName>
    <definedName name="\WORK1" localSheetId="8">#REF!</definedName>
    <definedName name="\WORK1" localSheetId="12">#REF!</definedName>
    <definedName name="\WORK1">#REF!</definedName>
    <definedName name="\X" localSheetId="10">#REF!</definedName>
    <definedName name="\X" localSheetId="11">#REF!</definedName>
    <definedName name="\X" localSheetId="13">#REF!</definedName>
    <definedName name="\X" localSheetId="9">#REF!</definedName>
    <definedName name="\X" localSheetId="7">#REF!</definedName>
    <definedName name="\X" localSheetId="8">#REF!</definedName>
    <definedName name="\X" localSheetId="12">#REF!</definedName>
    <definedName name="\X">#REF!</definedName>
    <definedName name="\Z" localSheetId="10">#REF!</definedName>
    <definedName name="\Z" localSheetId="11">#REF!</definedName>
    <definedName name="\Z" localSheetId="13">#REF!</definedName>
    <definedName name="\Z" localSheetId="9">#REF!</definedName>
    <definedName name="\Z" localSheetId="7">#REF!</definedName>
    <definedName name="\Z" localSheetId="8">#REF!</definedName>
    <definedName name="\Z" localSheetId="12">#REF!</definedName>
    <definedName name="\Z">#REF!</definedName>
    <definedName name="__123Graph_A" localSheetId="10" hidden="1">[3]Inputs!#REF!</definedName>
    <definedName name="__123Graph_A" localSheetId="11" hidden="1">[3]Inputs!#REF!</definedName>
    <definedName name="__123Graph_A" localSheetId="13" hidden="1">[3]Inputs!#REF!</definedName>
    <definedName name="__123Graph_A" localSheetId="9" hidden="1">[3]Inputs!#REF!</definedName>
    <definedName name="__123Graph_A" localSheetId="6" hidden="1">[4]Inputs!#REF!</definedName>
    <definedName name="__123Graph_A" localSheetId="7" hidden="1">[3]Inputs!#REF!</definedName>
    <definedName name="__123Graph_A" localSheetId="8" hidden="1">[3]Inputs!#REF!</definedName>
    <definedName name="__123Graph_A" localSheetId="12" hidden="1">[3]Inputs!#REF!</definedName>
    <definedName name="__123Graph_A" hidden="1">[5]Inputs!#REF!</definedName>
    <definedName name="__123Graph_B" localSheetId="10" hidden="1">[3]Inputs!#REF!</definedName>
    <definedName name="__123Graph_B" localSheetId="11" hidden="1">[3]Inputs!#REF!</definedName>
    <definedName name="__123Graph_B" localSheetId="13" hidden="1">[3]Inputs!#REF!</definedName>
    <definedName name="__123Graph_B" localSheetId="9" hidden="1">[3]Inputs!#REF!</definedName>
    <definedName name="__123Graph_B" localSheetId="6" hidden="1">[4]Inputs!#REF!</definedName>
    <definedName name="__123Graph_B" localSheetId="7" hidden="1">[3]Inputs!#REF!</definedName>
    <definedName name="__123Graph_B" localSheetId="8" hidden="1">[3]Inputs!#REF!</definedName>
    <definedName name="__123Graph_B" localSheetId="12" hidden="1">[3]Inputs!#REF!</definedName>
    <definedName name="__123Graph_B" hidden="1">[5]Inputs!#REF!</definedName>
    <definedName name="__123Graph_D" localSheetId="10" hidden="1">[3]Inputs!#REF!</definedName>
    <definedName name="__123Graph_D" localSheetId="11" hidden="1">[3]Inputs!#REF!</definedName>
    <definedName name="__123Graph_D" localSheetId="13" hidden="1">[3]Inputs!#REF!</definedName>
    <definedName name="__123Graph_D" localSheetId="9" hidden="1">[3]Inputs!#REF!</definedName>
    <definedName name="__123Graph_D" localSheetId="6" hidden="1">[4]Inputs!#REF!</definedName>
    <definedName name="__123Graph_D" localSheetId="7" hidden="1">[3]Inputs!#REF!</definedName>
    <definedName name="__123Graph_D" localSheetId="8" hidden="1">[3]Inputs!#REF!</definedName>
    <definedName name="__123Graph_D" localSheetId="12" hidden="1">[3]Inputs!#REF!</definedName>
    <definedName name="__123Graph_D" hidden="1">[5]Inputs!#REF!</definedName>
    <definedName name="_1Price_Ta" localSheetId="10">#REF!</definedName>
    <definedName name="_1Price_Ta" localSheetId="11">#REF!</definedName>
    <definedName name="_1Price_Ta" localSheetId="13">#REF!</definedName>
    <definedName name="_1Price_Ta" localSheetId="9">#REF!</definedName>
    <definedName name="_1Price_Ta" localSheetId="7">#REF!</definedName>
    <definedName name="_1Price_Ta" localSheetId="8">#REF!</definedName>
    <definedName name="_1Price_Ta" localSheetId="12">#REF!</definedName>
    <definedName name="_1Price_Ta">#REF!</definedName>
    <definedName name="_2Price_Ta" localSheetId="10">#REF!</definedName>
    <definedName name="_2Price_Ta" localSheetId="11">#REF!</definedName>
    <definedName name="_2Price_Ta" localSheetId="13">#REF!</definedName>
    <definedName name="_2Price_Ta" localSheetId="9">#REF!</definedName>
    <definedName name="_2Price_Ta" localSheetId="7">#REF!</definedName>
    <definedName name="_2Price_Ta" localSheetId="8">#REF!</definedName>
    <definedName name="_2Price_Ta" localSheetId="12">#REF!</definedName>
    <definedName name="_2Price_Ta">#REF!</definedName>
    <definedName name="_B" localSheetId="10">'[6]Rate Design'!#REF!</definedName>
    <definedName name="_B" localSheetId="11">'[6]Rate Design'!#REF!</definedName>
    <definedName name="_B" localSheetId="13">'[6]Rate Design'!#REF!</definedName>
    <definedName name="_B" localSheetId="9">'[6]Rate Design'!#REF!</definedName>
    <definedName name="_B" localSheetId="7">'[6]Rate Design'!#REF!</definedName>
    <definedName name="_B" localSheetId="8">'[6]Rate Design'!#REF!</definedName>
    <definedName name="_B" localSheetId="12">'[6]Rate Design'!#REF!</definedName>
    <definedName name="_B">'[6]Rate Design'!#REF!</definedName>
    <definedName name="_Fill" localSheetId="10" hidden="1">#REF!</definedName>
    <definedName name="_Fill" localSheetId="11" hidden="1">#REF!</definedName>
    <definedName name="_Fill" localSheetId="13" hidden="1">#REF!</definedName>
    <definedName name="_Fill" localSheetId="9" hidden="1">#REF!</definedName>
    <definedName name="_Fill" localSheetId="7" hidden="1">#REF!</definedName>
    <definedName name="_Fill" localSheetId="8" hidden="1">#REF!</definedName>
    <definedName name="_Fill" localSheetId="12" hidden="1">#REF!</definedName>
    <definedName name="_Fill" hidden="1">#REF!</definedName>
    <definedName name="_Key1" localSheetId="10" hidden="1">#REF!</definedName>
    <definedName name="_Key1" localSheetId="11" hidden="1">#REF!</definedName>
    <definedName name="_Key1" localSheetId="13" hidden="1">#REF!</definedName>
    <definedName name="_Key1" localSheetId="9" hidden="1">#REF!</definedName>
    <definedName name="_Key1" localSheetId="7" hidden="1">#REF!</definedName>
    <definedName name="_Key1" localSheetId="8" hidden="1">#REF!</definedName>
    <definedName name="_Key1" localSheetId="12" hidden="1">#REF!</definedName>
    <definedName name="_Key1" hidden="1">#REF!</definedName>
    <definedName name="_Key2" localSheetId="10" hidden="1">#REF!</definedName>
    <definedName name="_Key2" localSheetId="11" hidden="1">#REF!</definedName>
    <definedName name="_Key2" localSheetId="13" hidden="1">#REF!</definedName>
    <definedName name="_Key2" localSheetId="9" hidden="1">#REF!</definedName>
    <definedName name="_Key2" localSheetId="7" hidden="1">#REF!</definedName>
    <definedName name="_Key2" localSheetId="8" hidden="1">#REF!</definedName>
    <definedName name="_Key2" localSheetId="12" hidden="1">#REF!</definedName>
    <definedName name="_Key2" hidden="1">#REF!</definedName>
    <definedName name="_MEN2" localSheetId="10">[1]Jan!#REF!</definedName>
    <definedName name="_MEN2" localSheetId="11">[1]Jan!#REF!</definedName>
    <definedName name="_MEN2" localSheetId="13">[1]Jan!#REF!</definedName>
    <definedName name="_MEN2" localSheetId="9">[1]Jan!#REF!</definedName>
    <definedName name="_MEN2" localSheetId="7">[1]Jan!#REF!</definedName>
    <definedName name="_MEN2" localSheetId="8">[1]Jan!#REF!</definedName>
    <definedName name="_MEN2" localSheetId="12">[1]Jan!#REF!</definedName>
    <definedName name="_MEN2">[1]Jan!#REF!</definedName>
    <definedName name="_MEN3" localSheetId="10">[1]Jan!#REF!</definedName>
    <definedName name="_MEN3" localSheetId="11">[1]Jan!#REF!</definedName>
    <definedName name="_MEN3" localSheetId="13">[1]Jan!#REF!</definedName>
    <definedName name="_MEN3" localSheetId="9">[1]Jan!#REF!</definedName>
    <definedName name="_MEN3" localSheetId="7">[1]Jan!#REF!</definedName>
    <definedName name="_MEN3" localSheetId="8">[1]Jan!#REF!</definedName>
    <definedName name="_MEN3" localSheetId="12">[1]Jan!#REF!</definedName>
    <definedName name="_MEN3">[1]Jan!#REF!</definedName>
    <definedName name="_Order1" hidden="1">0</definedName>
    <definedName name="_Order2" hidden="1">0</definedName>
    <definedName name="_P" localSheetId="10">#REF!</definedName>
    <definedName name="_P" localSheetId="11">#REF!</definedName>
    <definedName name="_P" localSheetId="13">#REF!</definedName>
    <definedName name="_P" localSheetId="9">#REF!</definedName>
    <definedName name="_P" localSheetId="7">#REF!</definedName>
    <definedName name="_P" localSheetId="8">#REF!</definedName>
    <definedName name="_P" localSheetId="12">#REF!</definedName>
    <definedName name="_P">#REF!</definedName>
    <definedName name="_Sort" localSheetId="10" hidden="1">#REF!</definedName>
    <definedName name="_Sort" localSheetId="11" hidden="1">#REF!</definedName>
    <definedName name="_Sort" localSheetId="13" hidden="1">#REF!</definedName>
    <definedName name="_Sort" localSheetId="9" hidden="1">#REF!</definedName>
    <definedName name="_Sort" localSheetId="7" hidden="1">#REF!</definedName>
    <definedName name="_Sort" localSheetId="8" hidden="1">#REF!</definedName>
    <definedName name="_Sort" localSheetId="12" hidden="1">#REF!</definedName>
    <definedName name="_Sort" hidden="1">#REF!</definedName>
    <definedName name="_TOP1" localSheetId="10">[1]Jan!#REF!</definedName>
    <definedName name="_TOP1" localSheetId="11">[1]Jan!#REF!</definedName>
    <definedName name="_TOP1" localSheetId="13">[1]Jan!#REF!</definedName>
    <definedName name="_TOP1" localSheetId="9">[1]Jan!#REF!</definedName>
    <definedName name="_TOP1" localSheetId="7">[1]Jan!#REF!</definedName>
    <definedName name="_TOP1" localSheetId="8">[1]Jan!#REF!</definedName>
    <definedName name="_TOP1" localSheetId="12">[1]Jan!#REF!</definedName>
    <definedName name="_TOP1">[1]Jan!#REF!</definedName>
    <definedName name="a" localSheetId="10" hidden="1">#REF!</definedName>
    <definedName name="a" localSheetId="11" hidden="1">#REF!</definedName>
    <definedName name="a" localSheetId="13" hidden="1">#REF!</definedName>
    <definedName name="a" localSheetId="9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localSheetId="12" hidden="1">#REF!</definedName>
    <definedName name="a" hidden="1">'[5]DSM Output'!$J$21:$J$23</definedName>
    <definedName name="AccessDatabase" hidden="1">"I:\COMTREL\FINICLE\TradeSummary.mdb"</definedName>
    <definedName name="Acct108364" localSheetId="10">'[7]Func Study'!#REF!</definedName>
    <definedName name="Acct108364" localSheetId="11">'[7]Func Study'!#REF!</definedName>
    <definedName name="Acct108364" localSheetId="13">'[7]Func Study'!#REF!</definedName>
    <definedName name="Acct108364" localSheetId="9">'[7]Func Study'!#REF!</definedName>
    <definedName name="Acct108364" localSheetId="7">'[7]Func Study'!#REF!</definedName>
    <definedName name="Acct108364" localSheetId="8">'[7]Func Study'!#REF!</definedName>
    <definedName name="Acct108364" localSheetId="12">'[7]Func Study'!#REF!</definedName>
    <definedName name="Acct108364">'[7]Func Study'!#REF!</definedName>
    <definedName name="Acct108364S" localSheetId="10">'[7]Func Study'!#REF!</definedName>
    <definedName name="Acct108364S" localSheetId="11">'[7]Func Study'!#REF!</definedName>
    <definedName name="Acct108364S" localSheetId="13">'[7]Func Study'!#REF!</definedName>
    <definedName name="Acct108364S" localSheetId="9">'[7]Func Study'!#REF!</definedName>
    <definedName name="Acct108364S" localSheetId="7">'[7]Func Study'!#REF!</definedName>
    <definedName name="Acct108364S" localSheetId="8">'[7]Func Study'!#REF!</definedName>
    <definedName name="Acct108364S" localSheetId="12">'[7]Func Study'!#REF!</definedName>
    <definedName name="Acct108364S">'[7]Func Study'!#REF!</definedName>
    <definedName name="Acct228.42TROJD" localSheetId="10">'[8]Func Study'!#REF!</definedName>
    <definedName name="Acct228.42TROJD" localSheetId="11">'[8]Func Study'!#REF!</definedName>
    <definedName name="Acct228.42TROJD" localSheetId="13">'[8]Func Study'!#REF!</definedName>
    <definedName name="Acct228.42TROJD" localSheetId="9">'[8]Func Study'!#REF!</definedName>
    <definedName name="Acct228.42TROJD" localSheetId="7">'[8]Func Study'!#REF!</definedName>
    <definedName name="Acct228.42TROJD" localSheetId="8">'[8]Func Study'!#REF!</definedName>
    <definedName name="Acct228.42TROJD" localSheetId="12">'[8]Func Study'!#REF!</definedName>
    <definedName name="Acct228.42TROJD">'[8]Func Study'!#REF!</definedName>
    <definedName name="Acct2281SO">'[9]Func Study'!$H$2190</definedName>
    <definedName name="Acct2283SO">'[9]Func Study'!$H$2198</definedName>
    <definedName name="Acct22842TROJD" localSheetId="10">'[8]Func Study'!#REF!</definedName>
    <definedName name="Acct22842TROJD" localSheetId="11">'[8]Func Study'!#REF!</definedName>
    <definedName name="Acct22842TROJD" localSheetId="13">'[8]Func Study'!#REF!</definedName>
    <definedName name="Acct22842TROJD" localSheetId="9">'[8]Func Study'!#REF!</definedName>
    <definedName name="Acct22842TROJD" localSheetId="7">'[8]Func Study'!#REF!</definedName>
    <definedName name="Acct22842TROJD" localSheetId="8">'[8]Func Study'!#REF!</definedName>
    <definedName name="Acct22842TROJD" localSheetId="12">'[8]Func Study'!#REF!</definedName>
    <definedName name="Acct22842TROJD">'[8]Func Study'!#REF!</definedName>
    <definedName name="Acct228SO">'[9]Func Study'!$H$2194</definedName>
    <definedName name="Acct350">'[9]Func Study'!$H$1628</definedName>
    <definedName name="Acct352">'[9]Func Study'!$H$1635</definedName>
    <definedName name="Acct353">'[9]Func Study'!$H$1641</definedName>
    <definedName name="Acct354">'[9]Func Study'!$H$1647</definedName>
    <definedName name="Acct355">'[9]Func Study'!$H$1654</definedName>
    <definedName name="Acct356">'[9]Func Study'!$H$1660</definedName>
    <definedName name="Acct357">'[9]Func Study'!$H$1666</definedName>
    <definedName name="Acct358">'[9]Func Study'!$H$1672</definedName>
    <definedName name="Acct359">'[9]Func Study'!$H$1678</definedName>
    <definedName name="Acct360">'[9]Func Study'!$H$1698</definedName>
    <definedName name="Acct361">'[9]Func Study'!$H$1704</definedName>
    <definedName name="Acct362">'[9]Func Study'!$H$1710</definedName>
    <definedName name="Acct364">'[9]Func Study'!$H$1717</definedName>
    <definedName name="Acct365">'[9]Func Study'!$H$1724</definedName>
    <definedName name="Acct366">'[9]Func Study'!$H$1731</definedName>
    <definedName name="Acct367">'[9]Func Study'!$H$1738</definedName>
    <definedName name="Acct368">'[9]Func Study'!$H$1744</definedName>
    <definedName name="Acct369">'[9]Func Study'!$H$1751</definedName>
    <definedName name="Acct370">'[9]Func Study'!$H$1762</definedName>
    <definedName name="Acct371">'[9]Func Study'!$H$1769</definedName>
    <definedName name="Acct372">'[9]Func Study'!$H$1776</definedName>
    <definedName name="Acct372A">'[9]Func Study'!$H$1775</definedName>
    <definedName name="Acct372DP">'[9]Func Study'!$H$1773</definedName>
    <definedName name="Acct372DS">'[9]Func Study'!$H$1774</definedName>
    <definedName name="Acct373">'[9]Func Study'!$H$1782</definedName>
    <definedName name="Acct41011" localSheetId="10">'[10]Functional Study'!#REF!</definedName>
    <definedName name="Acct41011" localSheetId="11">'[10]Functional Study'!#REF!</definedName>
    <definedName name="Acct41011" localSheetId="13">'[10]Functional Study'!#REF!</definedName>
    <definedName name="Acct41011" localSheetId="9">'[10]Functional Study'!#REF!</definedName>
    <definedName name="Acct41011" localSheetId="7">'[10]Functional Study'!#REF!</definedName>
    <definedName name="Acct41011" localSheetId="8">'[10]Functional Study'!#REF!</definedName>
    <definedName name="Acct41011" localSheetId="12">'[10]Functional Study'!#REF!</definedName>
    <definedName name="Acct41011">'[10]Functional Study'!#REF!</definedName>
    <definedName name="Acct41011BADDEBT" localSheetId="10">'[10]Functional Study'!#REF!</definedName>
    <definedName name="Acct41011BADDEBT" localSheetId="11">'[10]Functional Study'!#REF!</definedName>
    <definedName name="Acct41011BADDEBT" localSheetId="13">'[10]Functional Study'!#REF!</definedName>
    <definedName name="Acct41011BADDEBT" localSheetId="9">'[10]Functional Study'!#REF!</definedName>
    <definedName name="Acct41011BADDEBT" localSheetId="7">'[10]Functional Study'!#REF!</definedName>
    <definedName name="Acct41011BADDEBT" localSheetId="8">'[10]Functional Study'!#REF!</definedName>
    <definedName name="Acct41011BADDEBT" localSheetId="12">'[10]Functional Study'!#REF!</definedName>
    <definedName name="Acct41011BADDEBT">'[10]Functional Study'!#REF!</definedName>
    <definedName name="Acct41011DITEXP" localSheetId="10">'[10]Functional Study'!#REF!</definedName>
    <definedName name="Acct41011DITEXP" localSheetId="11">'[10]Functional Study'!#REF!</definedName>
    <definedName name="Acct41011DITEXP" localSheetId="13">'[10]Functional Study'!#REF!</definedName>
    <definedName name="Acct41011DITEXP" localSheetId="9">'[10]Functional Study'!#REF!</definedName>
    <definedName name="Acct41011DITEXP" localSheetId="7">'[10]Functional Study'!#REF!</definedName>
    <definedName name="Acct41011DITEXP" localSheetId="8">'[10]Functional Study'!#REF!</definedName>
    <definedName name="Acct41011DITEXP" localSheetId="12">'[10]Functional Study'!#REF!</definedName>
    <definedName name="Acct41011DITEXP">'[10]Functional Study'!#REF!</definedName>
    <definedName name="Acct41011S" localSheetId="10">'[10]Functional Study'!#REF!</definedName>
    <definedName name="Acct41011S" localSheetId="11">'[10]Functional Study'!#REF!</definedName>
    <definedName name="Acct41011S" localSheetId="13">'[10]Functional Study'!#REF!</definedName>
    <definedName name="Acct41011S" localSheetId="9">'[10]Functional Study'!#REF!</definedName>
    <definedName name="Acct41011S" localSheetId="7">'[10]Functional Study'!#REF!</definedName>
    <definedName name="Acct41011S" localSheetId="8">'[10]Functional Study'!#REF!</definedName>
    <definedName name="Acct41011S" localSheetId="12">'[10]Functional Study'!#REF!</definedName>
    <definedName name="Acct41011S">'[10]Functional Study'!#REF!</definedName>
    <definedName name="Acct41011SE" localSheetId="10">'[10]Functional Study'!#REF!</definedName>
    <definedName name="Acct41011SE" localSheetId="11">'[10]Functional Study'!#REF!</definedName>
    <definedName name="Acct41011SE" localSheetId="13">'[10]Functional Study'!#REF!</definedName>
    <definedName name="Acct41011SE" localSheetId="9">'[10]Functional Study'!#REF!</definedName>
    <definedName name="Acct41011SE" localSheetId="7">'[10]Functional Study'!#REF!</definedName>
    <definedName name="Acct41011SE" localSheetId="8">'[10]Functional Study'!#REF!</definedName>
    <definedName name="Acct41011SE" localSheetId="12">'[10]Functional Study'!#REF!</definedName>
    <definedName name="Acct41011SE">'[10]Functional Study'!#REF!</definedName>
    <definedName name="Acct41011SG1" localSheetId="10">'[10]Functional Study'!#REF!</definedName>
    <definedName name="Acct41011SG1" localSheetId="11">'[10]Functional Study'!#REF!</definedName>
    <definedName name="Acct41011SG1" localSheetId="13">'[10]Functional Study'!#REF!</definedName>
    <definedName name="Acct41011SG1" localSheetId="9">'[10]Functional Study'!#REF!</definedName>
    <definedName name="Acct41011SG1" localSheetId="7">'[10]Functional Study'!#REF!</definedName>
    <definedName name="Acct41011SG1" localSheetId="8">'[10]Functional Study'!#REF!</definedName>
    <definedName name="Acct41011SG1" localSheetId="12">'[10]Functional Study'!#REF!</definedName>
    <definedName name="Acct41011SG1">'[10]Functional Study'!#REF!</definedName>
    <definedName name="Acct41011SG2" localSheetId="10">'[10]Functional Study'!#REF!</definedName>
    <definedName name="Acct41011SG2" localSheetId="11">'[10]Functional Study'!#REF!</definedName>
    <definedName name="Acct41011SG2" localSheetId="13">'[10]Functional Study'!#REF!</definedName>
    <definedName name="Acct41011SG2" localSheetId="9">'[10]Functional Study'!#REF!</definedName>
    <definedName name="Acct41011SG2" localSheetId="7">'[10]Functional Study'!#REF!</definedName>
    <definedName name="Acct41011SG2" localSheetId="8">'[10]Functional Study'!#REF!</definedName>
    <definedName name="Acct41011SG2" localSheetId="12">'[10]Functional Study'!#REF!</definedName>
    <definedName name="Acct41011SG2">'[10]Functional Study'!#REF!</definedName>
    <definedName name="ACCT41011SGCT" localSheetId="10">'[10]Functional Study'!#REF!</definedName>
    <definedName name="ACCT41011SGCT" localSheetId="11">'[10]Functional Study'!#REF!</definedName>
    <definedName name="ACCT41011SGCT" localSheetId="13">'[10]Functional Study'!#REF!</definedName>
    <definedName name="ACCT41011SGCT" localSheetId="9">'[10]Functional Study'!#REF!</definedName>
    <definedName name="ACCT41011SGCT" localSheetId="7">'[10]Functional Study'!#REF!</definedName>
    <definedName name="ACCT41011SGCT" localSheetId="8">'[10]Functional Study'!#REF!</definedName>
    <definedName name="ACCT41011SGCT" localSheetId="12">'[10]Functional Study'!#REF!</definedName>
    <definedName name="ACCT41011SGCT">'[10]Functional Study'!#REF!</definedName>
    <definedName name="Acct41011SGPP" localSheetId="10">'[10]Functional Study'!#REF!</definedName>
    <definedName name="Acct41011SGPP" localSheetId="11">'[10]Functional Study'!#REF!</definedName>
    <definedName name="Acct41011SGPP" localSheetId="13">'[10]Functional Study'!#REF!</definedName>
    <definedName name="Acct41011SGPP" localSheetId="9">'[10]Functional Study'!#REF!</definedName>
    <definedName name="Acct41011SGPP" localSheetId="7">'[10]Functional Study'!#REF!</definedName>
    <definedName name="Acct41011SGPP" localSheetId="8">'[10]Functional Study'!#REF!</definedName>
    <definedName name="Acct41011SGPP" localSheetId="12">'[10]Functional Study'!#REF!</definedName>
    <definedName name="Acct41011SGPP">'[10]Functional Study'!#REF!</definedName>
    <definedName name="Acct41011SNP" localSheetId="10">'[10]Functional Study'!#REF!</definedName>
    <definedName name="Acct41011SNP" localSheetId="11">'[10]Functional Study'!#REF!</definedName>
    <definedName name="Acct41011SNP" localSheetId="13">'[10]Functional Study'!#REF!</definedName>
    <definedName name="Acct41011SNP" localSheetId="9">'[10]Functional Study'!#REF!</definedName>
    <definedName name="Acct41011SNP" localSheetId="7">'[10]Functional Study'!#REF!</definedName>
    <definedName name="Acct41011SNP" localSheetId="8">'[10]Functional Study'!#REF!</definedName>
    <definedName name="Acct41011SNP" localSheetId="12">'[10]Functional Study'!#REF!</definedName>
    <definedName name="Acct41011SNP">'[10]Functional Study'!#REF!</definedName>
    <definedName name="ACCT41011SNPD" localSheetId="10">'[10]Functional Study'!#REF!</definedName>
    <definedName name="ACCT41011SNPD" localSheetId="11">'[10]Functional Study'!#REF!</definedName>
    <definedName name="ACCT41011SNPD" localSheetId="13">'[10]Functional Study'!#REF!</definedName>
    <definedName name="ACCT41011SNPD" localSheetId="9">'[10]Functional Study'!#REF!</definedName>
    <definedName name="ACCT41011SNPD" localSheetId="7">'[10]Functional Study'!#REF!</definedName>
    <definedName name="ACCT41011SNPD" localSheetId="8">'[10]Functional Study'!#REF!</definedName>
    <definedName name="ACCT41011SNPD" localSheetId="12">'[10]Functional Study'!#REF!</definedName>
    <definedName name="ACCT41011SNPD">'[10]Functional Study'!#REF!</definedName>
    <definedName name="Acct41011SO" localSheetId="10">'[10]Functional Study'!#REF!</definedName>
    <definedName name="Acct41011SO" localSheetId="11">'[10]Functional Study'!#REF!</definedName>
    <definedName name="Acct41011SO" localSheetId="13">'[10]Functional Study'!#REF!</definedName>
    <definedName name="Acct41011SO" localSheetId="9">'[10]Functional Study'!#REF!</definedName>
    <definedName name="Acct41011SO" localSheetId="7">'[10]Functional Study'!#REF!</definedName>
    <definedName name="Acct41011SO" localSheetId="8">'[10]Functional Study'!#REF!</definedName>
    <definedName name="Acct41011SO" localSheetId="12">'[10]Functional Study'!#REF!</definedName>
    <definedName name="Acct41011SO">'[10]Functional Study'!#REF!</definedName>
    <definedName name="Acct41011TROJP" localSheetId="10">'[10]Functional Study'!#REF!</definedName>
    <definedName name="Acct41011TROJP" localSheetId="11">'[10]Functional Study'!#REF!</definedName>
    <definedName name="Acct41011TROJP" localSheetId="13">'[10]Functional Study'!#REF!</definedName>
    <definedName name="Acct41011TROJP" localSheetId="9">'[10]Functional Study'!#REF!</definedName>
    <definedName name="Acct41011TROJP" localSheetId="7">'[10]Functional Study'!#REF!</definedName>
    <definedName name="Acct41011TROJP" localSheetId="8">'[10]Functional Study'!#REF!</definedName>
    <definedName name="Acct41011TROJP" localSheetId="12">'[10]Functional Study'!#REF!</definedName>
    <definedName name="Acct41011TROJP">'[10]Functional Study'!#REF!</definedName>
    <definedName name="Acct41111" localSheetId="10">'[10]Functional Study'!#REF!</definedName>
    <definedName name="Acct41111" localSheetId="11">'[10]Functional Study'!#REF!</definedName>
    <definedName name="Acct41111" localSheetId="13">'[10]Functional Study'!#REF!</definedName>
    <definedName name="Acct41111" localSheetId="9">'[10]Functional Study'!#REF!</definedName>
    <definedName name="Acct41111" localSheetId="7">'[10]Functional Study'!#REF!</definedName>
    <definedName name="Acct41111" localSheetId="8">'[10]Functional Study'!#REF!</definedName>
    <definedName name="Acct41111" localSheetId="12">'[10]Functional Study'!#REF!</definedName>
    <definedName name="Acct41111">'[10]Functional Study'!#REF!</definedName>
    <definedName name="Acct41111BADDEBT" localSheetId="10">'[10]Functional Study'!#REF!</definedName>
    <definedName name="Acct41111BADDEBT" localSheetId="11">'[10]Functional Study'!#REF!</definedName>
    <definedName name="Acct41111BADDEBT" localSheetId="13">'[10]Functional Study'!#REF!</definedName>
    <definedName name="Acct41111BADDEBT" localSheetId="9">'[10]Functional Study'!#REF!</definedName>
    <definedName name="Acct41111BADDEBT" localSheetId="7">'[10]Functional Study'!#REF!</definedName>
    <definedName name="Acct41111BADDEBT" localSheetId="8">'[10]Functional Study'!#REF!</definedName>
    <definedName name="Acct41111BADDEBT" localSheetId="12">'[10]Functional Study'!#REF!</definedName>
    <definedName name="Acct41111BADDEBT">'[10]Functional Study'!#REF!</definedName>
    <definedName name="Acct41111DITEXP" localSheetId="10">'[10]Functional Study'!#REF!</definedName>
    <definedName name="Acct41111DITEXP" localSheetId="11">'[10]Functional Study'!#REF!</definedName>
    <definedName name="Acct41111DITEXP" localSheetId="13">'[10]Functional Study'!#REF!</definedName>
    <definedName name="Acct41111DITEXP" localSheetId="9">'[10]Functional Study'!#REF!</definedName>
    <definedName name="Acct41111DITEXP" localSheetId="7">'[10]Functional Study'!#REF!</definedName>
    <definedName name="Acct41111DITEXP" localSheetId="8">'[10]Functional Study'!#REF!</definedName>
    <definedName name="Acct41111DITEXP" localSheetId="12">'[10]Functional Study'!#REF!</definedName>
    <definedName name="Acct41111DITEXP">'[10]Functional Study'!#REF!</definedName>
    <definedName name="Acct41111S" localSheetId="10">'[10]Functional Study'!#REF!</definedName>
    <definedName name="Acct41111S" localSheetId="11">'[10]Functional Study'!#REF!</definedName>
    <definedName name="Acct41111S" localSheetId="13">'[10]Functional Study'!#REF!</definedName>
    <definedName name="Acct41111S" localSheetId="9">'[10]Functional Study'!#REF!</definedName>
    <definedName name="Acct41111S" localSheetId="7">'[10]Functional Study'!#REF!</definedName>
    <definedName name="Acct41111S" localSheetId="8">'[10]Functional Study'!#REF!</definedName>
    <definedName name="Acct41111S" localSheetId="12">'[10]Functional Study'!#REF!</definedName>
    <definedName name="Acct41111S">'[10]Functional Study'!#REF!</definedName>
    <definedName name="Acct41111SE" localSheetId="10">'[10]Functional Study'!#REF!</definedName>
    <definedName name="Acct41111SE" localSheetId="11">'[10]Functional Study'!#REF!</definedName>
    <definedName name="Acct41111SE" localSheetId="13">'[10]Functional Study'!#REF!</definedName>
    <definedName name="Acct41111SE" localSheetId="9">'[10]Functional Study'!#REF!</definedName>
    <definedName name="Acct41111SE" localSheetId="7">'[10]Functional Study'!#REF!</definedName>
    <definedName name="Acct41111SE" localSheetId="8">'[10]Functional Study'!#REF!</definedName>
    <definedName name="Acct41111SE" localSheetId="12">'[10]Functional Study'!#REF!</definedName>
    <definedName name="Acct41111SE">'[10]Functional Study'!#REF!</definedName>
    <definedName name="Acct41111SG1" localSheetId="10">'[10]Functional Study'!#REF!</definedName>
    <definedName name="Acct41111SG1" localSheetId="11">'[10]Functional Study'!#REF!</definedName>
    <definedName name="Acct41111SG1" localSheetId="13">'[10]Functional Study'!#REF!</definedName>
    <definedName name="Acct41111SG1" localSheetId="9">'[10]Functional Study'!#REF!</definedName>
    <definedName name="Acct41111SG1" localSheetId="7">'[10]Functional Study'!#REF!</definedName>
    <definedName name="Acct41111SG1" localSheetId="8">'[10]Functional Study'!#REF!</definedName>
    <definedName name="Acct41111SG1" localSheetId="12">'[10]Functional Study'!#REF!</definedName>
    <definedName name="Acct41111SG1">'[10]Functional Study'!#REF!</definedName>
    <definedName name="Acct41111SG2" localSheetId="10">'[10]Functional Study'!#REF!</definedName>
    <definedName name="Acct41111SG2" localSheetId="11">'[10]Functional Study'!#REF!</definedName>
    <definedName name="Acct41111SG2" localSheetId="13">'[10]Functional Study'!#REF!</definedName>
    <definedName name="Acct41111SG2" localSheetId="9">'[10]Functional Study'!#REF!</definedName>
    <definedName name="Acct41111SG2" localSheetId="7">'[10]Functional Study'!#REF!</definedName>
    <definedName name="Acct41111SG2" localSheetId="8">'[10]Functional Study'!#REF!</definedName>
    <definedName name="Acct41111SG2" localSheetId="12">'[10]Functional Study'!#REF!</definedName>
    <definedName name="Acct41111SG2">'[10]Functional Study'!#REF!</definedName>
    <definedName name="Acct41111SG3" localSheetId="10">'[10]Functional Study'!#REF!</definedName>
    <definedName name="Acct41111SG3" localSheetId="11">'[10]Functional Study'!#REF!</definedName>
    <definedName name="Acct41111SG3" localSheetId="13">'[10]Functional Study'!#REF!</definedName>
    <definedName name="Acct41111SG3" localSheetId="9">'[10]Functional Study'!#REF!</definedName>
    <definedName name="Acct41111SG3" localSheetId="7">'[10]Functional Study'!#REF!</definedName>
    <definedName name="Acct41111SG3" localSheetId="8">'[10]Functional Study'!#REF!</definedName>
    <definedName name="Acct41111SG3" localSheetId="12">'[10]Functional Study'!#REF!</definedName>
    <definedName name="Acct41111SG3">'[10]Functional Study'!#REF!</definedName>
    <definedName name="Acct41111SGPP" localSheetId="10">'[10]Functional Study'!#REF!</definedName>
    <definedName name="Acct41111SGPP" localSheetId="11">'[10]Functional Study'!#REF!</definedName>
    <definedName name="Acct41111SGPP" localSheetId="13">'[10]Functional Study'!#REF!</definedName>
    <definedName name="Acct41111SGPP" localSheetId="9">'[10]Functional Study'!#REF!</definedName>
    <definedName name="Acct41111SGPP" localSheetId="7">'[10]Functional Study'!#REF!</definedName>
    <definedName name="Acct41111SGPP" localSheetId="8">'[10]Functional Study'!#REF!</definedName>
    <definedName name="Acct41111SGPP" localSheetId="12">'[10]Functional Study'!#REF!</definedName>
    <definedName name="Acct41111SGPP">'[10]Functional Study'!#REF!</definedName>
    <definedName name="Acct41111SNP" localSheetId="10">'[10]Functional Study'!#REF!</definedName>
    <definedName name="Acct41111SNP" localSheetId="11">'[10]Functional Study'!#REF!</definedName>
    <definedName name="Acct41111SNP" localSheetId="13">'[10]Functional Study'!#REF!</definedName>
    <definedName name="Acct41111SNP" localSheetId="9">'[10]Functional Study'!#REF!</definedName>
    <definedName name="Acct41111SNP" localSheetId="7">'[10]Functional Study'!#REF!</definedName>
    <definedName name="Acct41111SNP" localSheetId="8">'[10]Functional Study'!#REF!</definedName>
    <definedName name="Acct41111SNP" localSheetId="12">'[10]Functional Study'!#REF!</definedName>
    <definedName name="Acct41111SNP">'[10]Functional Study'!#REF!</definedName>
    <definedName name="Acct41111SNTP" localSheetId="10">'[10]Functional Study'!#REF!</definedName>
    <definedName name="Acct41111SNTP" localSheetId="11">'[10]Functional Study'!#REF!</definedName>
    <definedName name="Acct41111SNTP" localSheetId="13">'[10]Functional Study'!#REF!</definedName>
    <definedName name="Acct41111SNTP" localSheetId="9">'[10]Functional Study'!#REF!</definedName>
    <definedName name="Acct41111SNTP" localSheetId="7">'[10]Functional Study'!#REF!</definedName>
    <definedName name="Acct41111SNTP" localSheetId="8">'[10]Functional Study'!#REF!</definedName>
    <definedName name="Acct41111SNTP" localSheetId="12">'[10]Functional Study'!#REF!</definedName>
    <definedName name="Acct41111SNTP">'[10]Functional Study'!#REF!</definedName>
    <definedName name="Acct41111SO" localSheetId="10">'[10]Functional Study'!#REF!</definedName>
    <definedName name="Acct41111SO" localSheetId="11">'[10]Functional Study'!#REF!</definedName>
    <definedName name="Acct41111SO" localSheetId="13">'[10]Functional Study'!#REF!</definedName>
    <definedName name="Acct41111SO" localSheetId="9">'[10]Functional Study'!#REF!</definedName>
    <definedName name="Acct41111SO" localSheetId="7">'[10]Functional Study'!#REF!</definedName>
    <definedName name="Acct41111SO" localSheetId="8">'[10]Functional Study'!#REF!</definedName>
    <definedName name="Acct41111SO" localSheetId="12">'[10]Functional Study'!#REF!</definedName>
    <definedName name="Acct41111SO">'[10]Functional Study'!#REF!</definedName>
    <definedName name="Acct41111TROJP" localSheetId="10">'[10]Functional Study'!#REF!</definedName>
    <definedName name="Acct41111TROJP" localSheetId="11">'[10]Functional Study'!#REF!</definedName>
    <definedName name="Acct41111TROJP" localSheetId="13">'[10]Functional Study'!#REF!</definedName>
    <definedName name="Acct41111TROJP" localSheetId="9">'[10]Functional Study'!#REF!</definedName>
    <definedName name="Acct41111TROJP" localSheetId="7">'[10]Functional Study'!#REF!</definedName>
    <definedName name="Acct41111TROJP" localSheetId="8">'[10]Functional Study'!#REF!</definedName>
    <definedName name="Acct41111TROJP" localSheetId="12">'[10]Functional Study'!#REF!</definedName>
    <definedName name="Acct41111TROJP">'[10]Functional Study'!#REF!</definedName>
    <definedName name="Acct411BADDEBT" localSheetId="10">'[10]Functional Study'!#REF!</definedName>
    <definedName name="Acct411BADDEBT" localSheetId="11">'[10]Functional Study'!#REF!</definedName>
    <definedName name="Acct411BADDEBT" localSheetId="13">'[10]Functional Study'!#REF!</definedName>
    <definedName name="Acct411BADDEBT" localSheetId="9">'[10]Functional Study'!#REF!</definedName>
    <definedName name="Acct411BADDEBT" localSheetId="7">'[10]Functional Study'!#REF!</definedName>
    <definedName name="Acct411BADDEBT" localSheetId="8">'[10]Functional Study'!#REF!</definedName>
    <definedName name="Acct411BADDEBT" localSheetId="12">'[10]Functional Study'!#REF!</definedName>
    <definedName name="Acct411BADDEBT">'[10]Functional Study'!#REF!</definedName>
    <definedName name="Acct411DGP" localSheetId="10">'[10]Functional Study'!#REF!</definedName>
    <definedName name="Acct411DGP" localSheetId="11">'[10]Functional Study'!#REF!</definedName>
    <definedName name="Acct411DGP" localSheetId="13">'[10]Functional Study'!#REF!</definedName>
    <definedName name="Acct411DGP" localSheetId="9">'[10]Functional Study'!#REF!</definedName>
    <definedName name="Acct411DGP" localSheetId="7">'[10]Functional Study'!#REF!</definedName>
    <definedName name="Acct411DGP" localSheetId="8">'[10]Functional Study'!#REF!</definedName>
    <definedName name="Acct411DGP" localSheetId="12">'[10]Functional Study'!#REF!</definedName>
    <definedName name="Acct411DGP">'[10]Functional Study'!#REF!</definedName>
    <definedName name="Acct411DGU" localSheetId="10">'[10]Functional Study'!#REF!</definedName>
    <definedName name="Acct411DGU" localSheetId="11">'[10]Functional Study'!#REF!</definedName>
    <definedName name="Acct411DGU" localSheetId="13">'[10]Functional Study'!#REF!</definedName>
    <definedName name="Acct411DGU" localSheetId="9">'[10]Functional Study'!#REF!</definedName>
    <definedName name="Acct411DGU" localSheetId="7">'[10]Functional Study'!#REF!</definedName>
    <definedName name="Acct411DGU" localSheetId="8">'[10]Functional Study'!#REF!</definedName>
    <definedName name="Acct411DGU" localSheetId="12">'[10]Functional Study'!#REF!</definedName>
    <definedName name="Acct411DGU">'[10]Functional Study'!#REF!</definedName>
    <definedName name="Acct411DITEXP" localSheetId="10">'[10]Functional Study'!#REF!</definedName>
    <definedName name="Acct411DITEXP" localSheetId="11">'[10]Functional Study'!#REF!</definedName>
    <definedName name="Acct411DITEXP" localSheetId="13">'[10]Functional Study'!#REF!</definedName>
    <definedName name="Acct411DITEXP" localSheetId="9">'[10]Functional Study'!#REF!</definedName>
    <definedName name="Acct411DITEXP" localSheetId="7">'[10]Functional Study'!#REF!</definedName>
    <definedName name="Acct411DITEXP" localSheetId="8">'[10]Functional Study'!#REF!</definedName>
    <definedName name="Acct411DITEXP" localSheetId="12">'[10]Functional Study'!#REF!</definedName>
    <definedName name="Acct411DITEXP">'[10]Functional Study'!#REF!</definedName>
    <definedName name="Acct411DNPP" localSheetId="10">'[10]Functional Study'!#REF!</definedName>
    <definedName name="Acct411DNPP" localSheetId="11">'[10]Functional Study'!#REF!</definedName>
    <definedName name="Acct411DNPP" localSheetId="13">'[10]Functional Study'!#REF!</definedName>
    <definedName name="Acct411DNPP" localSheetId="9">'[10]Functional Study'!#REF!</definedName>
    <definedName name="Acct411DNPP" localSheetId="7">'[10]Functional Study'!#REF!</definedName>
    <definedName name="Acct411DNPP" localSheetId="8">'[10]Functional Study'!#REF!</definedName>
    <definedName name="Acct411DNPP" localSheetId="12">'[10]Functional Study'!#REF!</definedName>
    <definedName name="Acct411DNPP">'[10]Functional Study'!#REF!</definedName>
    <definedName name="Acct411DNPTP" localSheetId="10">'[10]Functional Study'!#REF!</definedName>
    <definedName name="Acct411DNPTP" localSheetId="11">'[10]Functional Study'!#REF!</definedName>
    <definedName name="Acct411DNPTP" localSheetId="13">'[10]Functional Study'!#REF!</definedName>
    <definedName name="Acct411DNPTP" localSheetId="9">'[10]Functional Study'!#REF!</definedName>
    <definedName name="Acct411DNPTP" localSheetId="7">'[10]Functional Study'!#REF!</definedName>
    <definedName name="Acct411DNPTP" localSheetId="8">'[10]Functional Study'!#REF!</definedName>
    <definedName name="Acct411DNPTP" localSheetId="12">'[10]Functional Study'!#REF!</definedName>
    <definedName name="Acct411DNPTP">'[10]Functional Study'!#REF!</definedName>
    <definedName name="Acct411S" localSheetId="10">'[10]Functional Study'!#REF!</definedName>
    <definedName name="Acct411S" localSheetId="11">'[10]Functional Study'!#REF!</definedName>
    <definedName name="Acct411S" localSheetId="13">'[10]Functional Study'!#REF!</definedName>
    <definedName name="Acct411S" localSheetId="9">'[10]Functional Study'!#REF!</definedName>
    <definedName name="Acct411S" localSheetId="7">'[10]Functional Study'!#REF!</definedName>
    <definedName name="Acct411S" localSheetId="8">'[10]Functional Study'!#REF!</definedName>
    <definedName name="Acct411S" localSheetId="12">'[10]Functional Study'!#REF!</definedName>
    <definedName name="Acct411S">'[10]Functional Study'!#REF!</definedName>
    <definedName name="Acct411SE" localSheetId="10">'[10]Functional Study'!#REF!</definedName>
    <definedName name="Acct411SE" localSheetId="11">'[10]Functional Study'!#REF!</definedName>
    <definedName name="Acct411SE" localSheetId="13">'[10]Functional Study'!#REF!</definedName>
    <definedName name="Acct411SE" localSheetId="9">'[10]Functional Study'!#REF!</definedName>
    <definedName name="Acct411SE" localSheetId="7">'[10]Functional Study'!#REF!</definedName>
    <definedName name="Acct411SE" localSheetId="8">'[10]Functional Study'!#REF!</definedName>
    <definedName name="Acct411SE" localSheetId="12">'[10]Functional Study'!#REF!</definedName>
    <definedName name="Acct411SE">'[10]Functional Study'!#REF!</definedName>
    <definedName name="Acct411SG" localSheetId="10">'[10]Functional Study'!#REF!</definedName>
    <definedName name="Acct411SG" localSheetId="11">'[10]Functional Study'!#REF!</definedName>
    <definedName name="Acct411SG" localSheetId="13">'[10]Functional Study'!#REF!</definedName>
    <definedName name="Acct411SG" localSheetId="9">'[10]Functional Study'!#REF!</definedName>
    <definedName name="Acct411SG" localSheetId="7">'[10]Functional Study'!#REF!</definedName>
    <definedName name="Acct411SG" localSheetId="8">'[10]Functional Study'!#REF!</definedName>
    <definedName name="Acct411SG" localSheetId="12">'[10]Functional Study'!#REF!</definedName>
    <definedName name="Acct411SG">'[10]Functional Study'!#REF!</definedName>
    <definedName name="Acct411SGPP" localSheetId="10">'[10]Functional Study'!#REF!</definedName>
    <definedName name="Acct411SGPP" localSheetId="11">'[10]Functional Study'!#REF!</definedName>
    <definedName name="Acct411SGPP" localSheetId="13">'[10]Functional Study'!#REF!</definedName>
    <definedName name="Acct411SGPP" localSheetId="9">'[10]Functional Study'!#REF!</definedName>
    <definedName name="Acct411SGPP" localSheetId="7">'[10]Functional Study'!#REF!</definedName>
    <definedName name="Acct411SGPP" localSheetId="8">'[10]Functional Study'!#REF!</definedName>
    <definedName name="Acct411SGPP" localSheetId="12">'[10]Functional Study'!#REF!</definedName>
    <definedName name="Acct411SGPP">'[10]Functional Study'!#REF!</definedName>
    <definedName name="Acct411SO" localSheetId="10">'[10]Functional Study'!#REF!</definedName>
    <definedName name="Acct411SO" localSheetId="11">'[10]Functional Study'!#REF!</definedName>
    <definedName name="Acct411SO" localSheetId="13">'[10]Functional Study'!#REF!</definedName>
    <definedName name="Acct411SO" localSheetId="9">'[10]Functional Study'!#REF!</definedName>
    <definedName name="Acct411SO" localSheetId="7">'[10]Functional Study'!#REF!</definedName>
    <definedName name="Acct411SO" localSheetId="8">'[10]Functional Study'!#REF!</definedName>
    <definedName name="Acct411SO" localSheetId="12">'[10]Functional Study'!#REF!</definedName>
    <definedName name="Acct411SO">'[10]Functional Study'!#REF!</definedName>
    <definedName name="Acct411TROJP" localSheetId="10">'[10]Functional Study'!#REF!</definedName>
    <definedName name="Acct411TROJP" localSheetId="11">'[10]Functional Study'!#REF!</definedName>
    <definedName name="Acct411TROJP" localSheetId="13">'[10]Functional Study'!#REF!</definedName>
    <definedName name="Acct411TROJP" localSheetId="9">'[10]Functional Study'!#REF!</definedName>
    <definedName name="Acct411TROJP" localSheetId="7">'[10]Functional Study'!#REF!</definedName>
    <definedName name="Acct411TROJP" localSheetId="8">'[10]Functional Study'!#REF!</definedName>
    <definedName name="Acct411TROJP" localSheetId="12">'[10]Functional Study'!#REF!</definedName>
    <definedName name="Acct411TROJP">'[10]Functional Study'!#REF!</definedName>
    <definedName name="Acct447DGU" localSheetId="10">'[8]Func Study'!#REF!</definedName>
    <definedName name="Acct447DGU" localSheetId="11">'[8]Func Study'!#REF!</definedName>
    <definedName name="Acct447DGU" localSheetId="13">'[8]Func Study'!#REF!</definedName>
    <definedName name="Acct447DGU" localSheetId="9">'[8]Func Study'!#REF!</definedName>
    <definedName name="Acct447DGU" localSheetId="7">'[8]Func Study'!#REF!</definedName>
    <definedName name="Acct447DGU" localSheetId="8">'[8]Func Study'!#REF!</definedName>
    <definedName name="Acct447DGU" localSheetId="12">'[8]Func Study'!#REF!</definedName>
    <definedName name="Acct447DGU">'[8]Func Study'!#REF!</definedName>
    <definedName name="Acct448S">'[9]Func Study'!$H$274</definedName>
    <definedName name="Acct450S">'[9]Func Study'!$H$302</definedName>
    <definedName name="Acct451S">'[9]Func Study'!$H$307</definedName>
    <definedName name="Acct454S">'[9]Func Study'!$H$318</definedName>
    <definedName name="Acct456S">'[9]Func Study'!$H$325</definedName>
    <definedName name="Acct510" localSheetId="10">'[9]Func Study'!#REF!</definedName>
    <definedName name="Acct510" localSheetId="11">'[9]Func Study'!#REF!</definedName>
    <definedName name="Acct510" localSheetId="13">'[9]Func Study'!#REF!</definedName>
    <definedName name="Acct510" localSheetId="9">'[9]Func Study'!#REF!</definedName>
    <definedName name="Acct510" localSheetId="7">'[9]Func Study'!#REF!</definedName>
    <definedName name="Acct510" localSheetId="8">'[9]Func Study'!#REF!</definedName>
    <definedName name="Acct510" localSheetId="12">'[9]Func Study'!#REF!</definedName>
    <definedName name="Acct510">'[9]Func Study'!#REF!</definedName>
    <definedName name="Acct510DNPPSU" localSheetId="10">'[9]Func Study'!#REF!</definedName>
    <definedName name="Acct510DNPPSU" localSheetId="11">'[9]Func Study'!#REF!</definedName>
    <definedName name="Acct510DNPPSU" localSheetId="13">'[9]Func Study'!#REF!</definedName>
    <definedName name="Acct510DNPPSU" localSheetId="9">'[9]Func Study'!#REF!</definedName>
    <definedName name="Acct510DNPPSU" localSheetId="7">'[9]Func Study'!#REF!</definedName>
    <definedName name="Acct510DNPPSU" localSheetId="8">'[9]Func Study'!#REF!</definedName>
    <definedName name="Acct510DNPPSU" localSheetId="12">'[9]Func Study'!#REF!</definedName>
    <definedName name="Acct510DNPPSU">'[9]Func Study'!#REF!</definedName>
    <definedName name="ACCT510JBG" localSheetId="10">'[9]Func Study'!#REF!</definedName>
    <definedName name="ACCT510JBG" localSheetId="11">'[9]Func Study'!#REF!</definedName>
    <definedName name="ACCT510JBG" localSheetId="13">'[9]Func Study'!#REF!</definedName>
    <definedName name="ACCT510JBG" localSheetId="9">'[9]Func Study'!#REF!</definedName>
    <definedName name="ACCT510JBG" localSheetId="7">'[9]Func Study'!#REF!</definedName>
    <definedName name="ACCT510JBG" localSheetId="8">'[9]Func Study'!#REF!</definedName>
    <definedName name="ACCT510JBG" localSheetId="12">'[9]Func Study'!#REF!</definedName>
    <definedName name="ACCT510JBG">'[9]Func Study'!#REF!</definedName>
    <definedName name="ACCT510SSGCH" localSheetId="10">'[9]Func Study'!#REF!</definedName>
    <definedName name="ACCT510SSGCH" localSheetId="11">'[9]Func Study'!#REF!</definedName>
    <definedName name="ACCT510SSGCH" localSheetId="13">'[9]Func Study'!#REF!</definedName>
    <definedName name="ACCT510SSGCH" localSheetId="9">'[9]Func Study'!#REF!</definedName>
    <definedName name="ACCT510SSGCH" localSheetId="7">'[9]Func Study'!#REF!</definedName>
    <definedName name="ACCT510SSGCH" localSheetId="8">'[9]Func Study'!#REF!</definedName>
    <definedName name="ACCT510SSGCH" localSheetId="12">'[9]Func Study'!#REF!</definedName>
    <definedName name="ACCT510SSGCH">'[9]Func Study'!#REF!</definedName>
    <definedName name="ACCT557CAGE">'[9]Func Study'!$H$683</definedName>
    <definedName name="Acct557CT">'[9]Func Study'!$H$681</definedName>
    <definedName name="Acct580">'[9]Func Study'!$H$791</definedName>
    <definedName name="Acct581">'[9]Func Study'!$H$796</definedName>
    <definedName name="Acct582">'[9]Func Study'!$H$801</definedName>
    <definedName name="Acct583">'[9]Func Study'!$H$806</definedName>
    <definedName name="Acct584">'[9]Func Study'!$H$811</definedName>
    <definedName name="Acct585">'[9]Func Study'!$H$816</definedName>
    <definedName name="Acct586">'[9]Func Study'!$H$821</definedName>
    <definedName name="Acct587">'[9]Func Study'!$H$826</definedName>
    <definedName name="Acct588">'[9]Func Study'!$H$831</definedName>
    <definedName name="Acct589">'[9]Func Study'!$H$836</definedName>
    <definedName name="Acct590">'[9]Func Study'!$H$841</definedName>
    <definedName name="Acct591">'[9]Func Study'!$H$846</definedName>
    <definedName name="Acct592">'[9]Func Study'!$H$851</definedName>
    <definedName name="Acct593">'[9]Func Study'!$H$856</definedName>
    <definedName name="Acct594">'[9]Func Study'!$H$861</definedName>
    <definedName name="Acct595">'[9]Func Study'!$H$866</definedName>
    <definedName name="Acct596">'[9]Func Study'!$H$876</definedName>
    <definedName name="Acct597">'[9]Func Study'!$H$881</definedName>
    <definedName name="Acct598">'[9]Func Study'!$H$886</definedName>
    <definedName name="ACCT904SG" localSheetId="10">'[11]Functional Study'!#REF!</definedName>
    <definedName name="ACCT904SG" localSheetId="11">'[11]Functional Study'!#REF!</definedName>
    <definedName name="ACCT904SG" localSheetId="13">'[11]Functional Study'!#REF!</definedName>
    <definedName name="ACCT904SG" localSheetId="9">'[11]Functional Study'!#REF!</definedName>
    <definedName name="ACCT904SG" localSheetId="7">'[11]Functional Study'!#REF!</definedName>
    <definedName name="ACCT904SG" localSheetId="8">'[11]Functional Study'!#REF!</definedName>
    <definedName name="ACCT904SG" localSheetId="12">'[11]Functional Study'!#REF!</definedName>
    <definedName name="ACCT904SG">'[11]Functional Study'!#REF!</definedName>
    <definedName name="AcctAGA">'[9]Func Study'!$H$296</definedName>
    <definedName name="AcctDFAD" localSheetId="10">'[9]Func Study'!#REF!</definedName>
    <definedName name="AcctDFAD" localSheetId="11">'[9]Func Study'!#REF!</definedName>
    <definedName name="AcctDFAD" localSheetId="13">'[9]Func Study'!#REF!</definedName>
    <definedName name="AcctDFAD" localSheetId="9">'[9]Func Study'!#REF!</definedName>
    <definedName name="AcctDFAD" localSheetId="7">'[9]Func Study'!#REF!</definedName>
    <definedName name="AcctDFAD" localSheetId="8">'[9]Func Study'!#REF!</definedName>
    <definedName name="AcctDFAD" localSheetId="12">'[9]Func Study'!#REF!</definedName>
    <definedName name="AcctDFAD">'[9]Func Study'!#REF!</definedName>
    <definedName name="AcctDFAP" localSheetId="10">'[9]Func Study'!#REF!</definedName>
    <definedName name="AcctDFAP" localSheetId="11">'[9]Func Study'!#REF!</definedName>
    <definedName name="AcctDFAP" localSheetId="13">'[9]Func Study'!#REF!</definedName>
    <definedName name="AcctDFAP" localSheetId="9">'[9]Func Study'!#REF!</definedName>
    <definedName name="AcctDFAP" localSheetId="7">'[9]Func Study'!#REF!</definedName>
    <definedName name="AcctDFAP" localSheetId="8">'[9]Func Study'!#REF!</definedName>
    <definedName name="AcctDFAP" localSheetId="12">'[9]Func Study'!#REF!</definedName>
    <definedName name="AcctDFAP">'[9]Func Study'!#REF!</definedName>
    <definedName name="AcctDFAT" localSheetId="10">'[9]Func Study'!#REF!</definedName>
    <definedName name="AcctDFAT" localSheetId="11">'[9]Func Study'!#REF!</definedName>
    <definedName name="AcctDFAT" localSheetId="13">'[9]Func Study'!#REF!</definedName>
    <definedName name="AcctDFAT" localSheetId="9">'[9]Func Study'!#REF!</definedName>
    <definedName name="AcctDFAT" localSheetId="7">'[9]Func Study'!#REF!</definedName>
    <definedName name="AcctDFAT" localSheetId="8">'[9]Func Study'!#REF!</definedName>
    <definedName name="AcctDFAT" localSheetId="12">'[9]Func Study'!#REF!</definedName>
    <definedName name="AcctDFAT">'[9]Func Study'!#REF!</definedName>
    <definedName name="AcctTable">[12]Variables!$AK$42:$AK$396</definedName>
    <definedName name="AcctTS0">'[9]Func Study'!$H$1686</definedName>
    <definedName name="ActualROR">'[8]G+T+D+R+M'!$H$61</definedName>
    <definedName name="Adjs2avg">[13]Inputs!$L$255:'[13]Inputs'!$T$505</definedName>
    <definedName name="APR" localSheetId="10">#REF!</definedName>
    <definedName name="APR" localSheetId="11">#REF!</definedName>
    <definedName name="APR" localSheetId="13">#REF!</definedName>
    <definedName name="APR" localSheetId="9">#REF!</definedName>
    <definedName name="APR" localSheetId="7">#REF!</definedName>
    <definedName name="APR" localSheetId="8">#REF!</definedName>
    <definedName name="APR" localSheetId="12">#REF!</definedName>
    <definedName name="APR">[14]Backup!#REF!</definedName>
    <definedName name="APRT" localSheetId="10">#REF!</definedName>
    <definedName name="APRT" localSheetId="11">#REF!</definedName>
    <definedName name="APRT" localSheetId="13">#REF!</definedName>
    <definedName name="APRT" localSheetId="9">#REF!</definedName>
    <definedName name="APRT" localSheetId="7">#REF!</definedName>
    <definedName name="APRT" localSheetId="8">#REF!</definedName>
    <definedName name="APRT" localSheetId="12">#REF!</definedName>
    <definedName name="APRT">#REF!</definedName>
    <definedName name="AUG" localSheetId="10">#REF!</definedName>
    <definedName name="AUG" localSheetId="11">#REF!</definedName>
    <definedName name="AUG" localSheetId="13">#REF!</definedName>
    <definedName name="AUG" localSheetId="9">#REF!</definedName>
    <definedName name="AUG" localSheetId="7">#REF!</definedName>
    <definedName name="AUG" localSheetId="8">#REF!</definedName>
    <definedName name="AUG" localSheetId="12">#REF!</definedName>
    <definedName name="AUG">[14]Backup!#REF!</definedName>
    <definedName name="AUGT" localSheetId="10">#REF!</definedName>
    <definedName name="AUGT" localSheetId="11">#REF!</definedName>
    <definedName name="AUGT" localSheetId="13">#REF!</definedName>
    <definedName name="AUGT" localSheetId="9">#REF!</definedName>
    <definedName name="AUGT" localSheetId="7">#REF!</definedName>
    <definedName name="AUGT" localSheetId="8">#REF!</definedName>
    <definedName name="AUGT" localSheetId="12">#REF!</definedName>
    <definedName name="AUGT">#REF!</definedName>
    <definedName name="AvgFactors">[12]Factors!$B$3:$P$99</definedName>
    <definedName name="b" hidden="1">{#N/A,#N/A,FALSE,"Coversheet";#N/A,#N/A,FALSE,"QA"}</definedName>
    <definedName name="BACK1" localSheetId="10">#REF!</definedName>
    <definedName name="BACK1" localSheetId="11">#REF!</definedName>
    <definedName name="BACK1" localSheetId="13">#REF!</definedName>
    <definedName name="BACK1" localSheetId="9">#REF!</definedName>
    <definedName name="BACK1" localSheetId="7">#REF!</definedName>
    <definedName name="BACK1" localSheetId="8">#REF!</definedName>
    <definedName name="BACK1" localSheetId="12">#REF!</definedName>
    <definedName name="BACK1">#REF!</definedName>
    <definedName name="BACK2" localSheetId="10">#REF!</definedName>
    <definedName name="BACK2" localSheetId="11">#REF!</definedName>
    <definedName name="BACK2" localSheetId="13">#REF!</definedName>
    <definedName name="BACK2" localSheetId="9">#REF!</definedName>
    <definedName name="BACK2" localSheetId="7">#REF!</definedName>
    <definedName name="BACK2" localSheetId="8">#REF!</definedName>
    <definedName name="BACK2" localSheetId="12">#REF!</definedName>
    <definedName name="BACK2">#REF!</definedName>
    <definedName name="BACK3" localSheetId="10">#REF!</definedName>
    <definedName name="BACK3" localSheetId="11">#REF!</definedName>
    <definedName name="BACK3" localSheetId="13">#REF!</definedName>
    <definedName name="BACK3" localSheetId="9">#REF!</definedName>
    <definedName name="BACK3" localSheetId="7">#REF!</definedName>
    <definedName name="BACK3" localSheetId="8">#REF!</definedName>
    <definedName name="BACK3" localSheetId="12">#REF!</definedName>
    <definedName name="BACK3">#REF!</definedName>
    <definedName name="BACKUP1" localSheetId="10">#REF!</definedName>
    <definedName name="BACKUP1" localSheetId="11">#REF!</definedName>
    <definedName name="BACKUP1" localSheetId="13">#REF!</definedName>
    <definedName name="BACKUP1" localSheetId="9">#REF!</definedName>
    <definedName name="BACKUP1" localSheetId="7">#REF!</definedName>
    <definedName name="BACKUP1" localSheetId="8">#REF!</definedName>
    <definedName name="BACKUP1" localSheetId="12">#REF!</definedName>
    <definedName name="BACKUP1">#REF!</definedName>
    <definedName name="BOOKADJ" localSheetId="10">#REF!</definedName>
    <definedName name="BOOKADJ" localSheetId="11">#REF!</definedName>
    <definedName name="BOOKADJ" localSheetId="13">#REF!</definedName>
    <definedName name="BOOKADJ" localSheetId="9">#REF!</definedName>
    <definedName name="BOOKADJ" localSheetId="7">#REF!</definedName>
    <definedName name="BOOKADJ" localSheetId="8">#REF!</definedName>
    <definedName name="BOOKADJ" localSheetId="12">#REF!</definedName>
    <definedName name="BOOKADJ">#REF!</definedName>
    <definedName name="cap">[15]Readings!$B$2</definedName>
    <definedName name="Check" localSheetId="10">#REF!</definedName>
    <definedName name="Check" localSheetId="11">#REF!</definedName>
    <definedName name="Check" localSheetId="13">#REF!</definedName>
    <definedName name="Check" localSheetId="9">#REF!</definedName>
    <definedName name="Check" localSheetId="7">#REF!</definedName>
    <definedName name="Check" localSheetId="8">#REF!</definedName>
    <definedName name="Check" localSheetId="12">#REF!</definedName>
    <definedName name="Check">#REF!</definedName>
    <definedName name="Classification">'[9]Func Study'!$AB$251</definedName>
    <definedName name="COMADJ" localSheetId="10">#REF!</definedName>
    <definedName name="COMADJ" localSheetId="11">#REF!</definedName>
    <definedName name="COMADJ" localSheetId="13">#REF!</definedName>
    <definedName name="COMADJ" localSheetId="9">#REF!</definedName>
    <definedName name="COMADJ" localSheetId="7">#REF!</definedName>
    <definedName name="COMADJ" localSheetId="8">#REF!</definedName>
    <definedName name="COMADJ" localSheetId="12">#REF!</definedName>
    <definedName name="COMADJ">#REF!</definedName>
    <definedName name="COMP" localSheetId="10">#REF!</definedName>
    <definedName name="COMP" localSheetId="11">#REF!</definedName>
    <definedName name="COMP" localSheetId="13">#REF!</definedName>
    <definedName name="COMP" localSheetId="9">#REF!</definedName>
    <definedName name="COMP" localSheetId="7">#REF!</definedName>
    <definedName name="COMP" localSheetId="8">#REF!</definedName>
    <definedName name="COMP" localSheetId="12">#REF!</definedName>
    <definedName name="COMP">#REF!</definedName>
    <definedName name="COMPACTUAL" localSheetId="10">#REF!</definedName>
    <definedName name="COMPACTUAL" localSheetId="11">#REF!</definedName>
    <definedName name="COMPACTUAL" localSheetId="13">#REF!</definedName>
    <definedName name="COMPACTUAL" localSheetId="9">#REF!</definedName>
    <definedName name="COMPACTUAL" localSheetId="7">#REF!</definedName>
    <definedName name="COMPACTUAL" localSheetId="8">#REF!</definedName>
    <definedName name="COMPACTUAL" localSheetId="12">#REF!</definedName>
    <definedName name="COMPACTUAL">#REF!</definedName>
    <definedName name="COMPT" localSheetId="10">#REF!</definedName>
    <definedName name="COMPT" localSheetId="11">#REF!</definedName>
    <definedName name="COMPT" localSheetId="13">#REF!</definedName>
    <definedName name="COMPT" localSheetId="9">#REF!</definedName>
    <definedName name="COMPT" localSheetId="7">#REF!</definedName>
    <definedName name="COMPT" localSheetId="8">#REF!</definedName>
    <definedName name="COMPT" localSheetId="12">#REF!</definedName>
    <definedName name="COMPT">#REF!</definedName>
    <definedName name="COMPWEATHER" localSheetId="10">#REF!</definedName>
    <definedName name="COMPWEATHER" localSheetId="11">#REF!</definedName>
    <definedName name="COMPWEATHER" localSheetId="13">#REF!</definedName>
    <definedName name="COMPWEATHER" localSheetId="9">#REF!</definedName>
    <definedName name="COMPWEATHER" localSheetId="7">#REF!</definedName>
    <definedName name="COMPWEATHER" localSheetId="8">#REF!</definedName>
    <definedName name="COMPWEATHER" localSheetId="12">#REF!</definedName>
    <definedName name="COMPWEATHER">#REF!</definedName>
    <definedName name="COSFacVal">[9]Inputs!$R$5</definedName>
    <definedName name="_xlnm.Database" localSheetId="10">[16]Invoice!#REF!</definedName>
    <definedName name="_xlnm.Database" localSheetId="11">[16]Invoice!#REF!</definedName>
    <definedName name="_xlnm.Database" localSheetId="13">[16]Invoice!#REF!</definedName>
    <definedName name="_xlnm.Database" localSheetId="9">[16]Invoice!#REF!</definedName>
    <definedName name="_xlnm.Database" localSheetId="7">[16]Invoice!#REF!</definedName>
    <definedName name="_xlnm.Database" localSheetId="8">[16]Invoice!#REF!</definedName>
    <definedName name="_xlnm.Database" localSheetId="12">[16]Invoice!#REF!</definedName>
    <definedName name="_xlnm.Database">[16]Invoice!#REF!</definedName>
    <definedName name="DATE" localSheetId="10">[17]Jan!#REF!</definedName>
    <definedName name="DATE" localSheetId="11">[17]Jan!#REF!</definedName>
    <definedName name="DATE" localSheetId="13">[17]Jan!#REF!</definedName>
    <definedName name="DATE" localSheetId="9">[17]Jan!#REF!</definedName>
    <definedName name="DATE" localSheetId="7">[17]Jan!#REF!</definedName>
    <definedName name="DATE" localSheetId="8">[17]Jan!#REF!</definedName>
    <definedName name="DATE" localSheetId="12">[17]Jan!#REF!</definedName>
    <definedName name="DATE">[17]Jan!#REF!</definedName>
    <definedName name="DEC" localSheetId="10">#REF!</definedName>
    <definedName name="DEC" localSheetId="11">#REF!</definedName>
    <definedName name="DEC" localSheetId="13">#REF!</definedName>
    <definedName name="DEC" localSheetId="9">#REF!</definedName>
    <definedName name="DEC" localSheetId="7">#REF!</definedName>
    <definedName name="DEC" localSheetId="8">#REF!</definedName>
    <definedName name="DEC" localSheetId="12">#REF!</definedName>
    <definedName name="DEC">[14]Backup!#REF!</definedName>
    <definedName name="DECT" localSheetId="10">#REF!</definedName>
    <definedName name="DECT" localSheetId="11">#REF!</definedName>
    <definedName name="DECT" localSheetId="13">#REF!</definedName>
    <definedName name="DECT" localSheetId="9">#REF!</definedName>
    <definedName name="DECT" localSheetId="7">#REF!</definedName>
    <definedName name="DECT" localSheetId="8">#REF!</definedName>
    <definedName name="DECT" localSheetId="12">#REF!</definedName>
    <definedName name="DECT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emand">[8]Inputs!$D$8</definedName>
    <definedName name="Demand2">[18]Inputs!$D$11</definedName>
    <definedName name="DFIT" hidden="1">{#N/A,#N/A,FALSE,"Coversheet";#N/A,#N/A,FALSE,"QA"}</definedName>
    <definedName name="Dis">'[9]Func Study'!$AB$250</definedName>
    <definedName name="DisFac">'[9]Func Dist Factor Table'!$A$11:$G$25</definedName>
    <definedName name="Dist_factor" localSheetId="10">#REF!</definedName>
    <definedName name="Dist_factor" localSheetId="11">#REF!</definedName>
    <definedName name="Dist_factor" localSheetId="13">#REF!</definedName>
    <definedName name="Dist_factor" localSheetId="9">#REF!</definedName>
    <definedName name="Dist_factor" localSheetId="7">#REF!</definedName>
    <definedName name="Dist_factor" localSheetId="8">#REF!</definedName>
    <definedName name="Dist_factor" localSheetId="12">#REF!</definedName>
    <definedName name="Dist_factor">#REF!</definedName>
    <definedName name="DistPeakMethod" localSheetId="10">[11]Inputs!#REF!</definedName>
    <definedName name="DistPeakMethod" localSheetId="11">[11]Inputs!#REF!</definedName>
    <definedName name="DistPeakMethod" localSheetId="13">[11]Inputs!#REF!</definedName>
    <definedName name="DistPeakMethod" localSheetId="9">[11]Inputs!#REF!</definedName>
    <definedName name="DistPeakMethod" localSheetId="7">[11]Inputs!#REF!</definedName>
    <definedName name="DistPeakMethod" localSheetId="8">[11]Inputs!#REF!</definedName>
    <definedName name="DistPeakMethod" localSheetId="12">[11]Inputs!#REF!</definedName>
    <definedName name="DistPeakMethod">[11]Inputs!#REF!</definedName>
    <definedName name="DUDE" localSheetId="10" hidden="1">#REF!</definedName>
    <definedName name="DUDE" localSheetId="11" hidden="1">#REF!</definedName>
    <definedName name="DUDE" localSheetId="13" hidden="1">#REF!</definedName>
    <definedName name="DUDE" localSheetId="9" hidden="1">#REF!</definedName>
    <definedName name="DUDE" localSheetId="7" hidden="1">#REF!</definedName>
    <definedName name="DUDE" localSheetId="8" hidden="1">#REF!</definedName>
    <definedName name="DUDE" localSheetId="12" hidden="1">#REF!</definedName>
    <definedName name="DUDE" hidden="1">#REF!</definedName>
    <definedName name="energy">[15]Readings!$B$3</definedName>
    <definedName name="Engy">[8]Inputs!$D$9</definedName>
    <definedName name="Engy2">[18]Inputs!$D$12</definedName>
    <definedName name="f101top" localSheetId="10">#REF!</definedName>
    <definedName name="f101top" localSheetId="11">#REF!</definedName>
    <definedName name="f101top" localSheetId="13">#REF!</definedName>
    <definedName name="f101top" localSheetId="9">#REF!</definedName>
    <definedName name="f101top" localSheetId="7">#REF!</definedName>
    <definedName name="f101top" localSheetId="8">#REF!</definedName>
    <definedName name="f101top" localSheetId="12">#REF!</definedName>
    <definedName name="f101top">#REF!</definedName>
    <definedName name="f104top" localSheetId="10">#REF!</definedName>
    <definedName name="f104top" localSheetId="11">#REF!</definedName>
    <definedName name="f104top" localSheetId="13">#REF!</definedName>
    <definedName name="f104top" localSheetId="9">#REF!</definedName>
    <definedName name="f104top" localSheetId="7">#REF!</definedName>
    <definedName name="f104top" localSheetId="8">#REF!</definedName>
    <definedName name="f104top" localSheetId="12">#REF!</definedName>
    <definedName name="f104top">#REF!</definedName>
    <definedName name="f138top" localSheetId="10">#REF!</definedName>
    <definedName name="f138top" localSheetId="11">#REF!</definedName>
    <definedName name="f138top" localSheetId="13">#REF!</definedName>
    <definedName name="f138top" localSheetId="9">#REF!</definedName>
    <definedName name="f138top" localSheetId="7">#REF!</definedName>
    <definedName name="f138top" localSheetId="8">#REF!</definedName>
    <definedName name="f138top" localSheetId="12">#REF!</definedName>
    <definedName name="f138top">#REF!</definedName>
    <definedName name="f140top" localSheetId="10">#REF!</definedName>
    <definedName name="f140top" localSheetId="11">#REF!</definedName>
    <definedName name="f140top" localSheetId="13">#REF!</definedName>
    <definedName name="f140top" localSheetId="9">#REF!</definedName>
    <definedName name="f140top" localSheetId="7">#REF!</definedName>
    <definedName name="f140top" localSheetId="8">#REF!</definedName>
    <definedName name="f140top" localSheetId="12">#REF!</definedName>
    <definedName name="f140top">#REF!</definedName>
    <definedName name="Factorck">'[9]COS Factor Table'!$O$15:$O$113</definedName>
    <definedName name="FactorType">[12]Variables!$AK$2:$AL$12</definedName>
    <definedName name="FACTP" localSheetId="10">#REF!</definedName>
    <definedName name="FACTP" localSheetId="11">#REF!</definedName>
    <definedName name="FACTP" localSheetId="13">#REF!</definedName>
    <definedName name="FACTP" localSheetId="9">#REF!</definedName>
    <definedName name="FACTP" localSheetId="7">#REF!</definedName>
    <definedName name="FACTP" localSheetId="8">#REF!</definedName>
    <definedName name="FACTP" localSheetId="12">#REF!</definedName>
    <definedName name="FACTP">#REF!</definedName>
    <definedName name="FactSum">'[9]COS Factor Table'!$A$14:$O$113</definedName>
    <definedName name="FEB" localSheetId="10">#REF!</definedName>
    <definedName name="FEB" localSheetId="11">#REF!</definedName>
    <definedName name="FEB" localSheetId="13">#REF!</definedName>
    <definedName name="FEB" localSheetId="9">#REF!</definedName>
    <definedName name="FEB" localSheetId="7">#REF!</definedName>
    <definedName name="FEB" localSheetId="8">#REF!</definedName>
    <definedName name="FEB" localSheetId="12">#REF!</definedName>
    <definedName name="FEB">[14]Backup!#REF!</definedName>
    <definedName name="FEBT" localSheetId="10">#REF!</definedName>
    <definedName name="FEBT" localSheetId="11">#REF!</definedName>
    <definedName name="FEBT" localSheetId="13">#REF!</definedName>
    <definedName name="FEBT" localSheetId="9">#REF!</definedName>
    <definedName name="FEBT" localSheetId="7">#REF!</definedName>
    <definedName name="FEBT" localSheetId="8">#REF!</definedName>
    <definedName name="FEBT" localSheetId="12">#REF!</definedName>
    <definedName name="FEBT">#REF!</definedName>
    <definedName name="FranchiseTax">[13]Variables!$D$26</definedName>
    <definedName name="Func">'[9]Func Factor Table'!$A$10:$H$77</definedName>
    <definedName name="Func_Ftrs" localSheetId="10">#REF!</definedName>
    <definedName name="Func_Ftrs" localSheetId="11">#REF!</definedName>
    <definedName name="Func_Ftrs" localSheetId="13">#REF!</definedName>
    <definedName name="Func_Ftrs" localSheetId="9">#REF!</definedName>
    <definedName name="Func_Ftrs" localSheetId="7">#REF!</definedName>
    <definedName name="Func_Ftrs" localSheetId="8">#REF!</definedName>
    <definedName name="Func_Ftrs" localSheetId="12">#REF!</definedName>
    <definedName name="Func_Ftrs">#REF!</definedName>
    <definedName name="Func_GTD_Percents" localSheetId="10">#REF!</definedName>
    <definedName name="Func_GTD_Percents" localSheetId="11">#REF!</definedName>
    <definedName name="Func_GTD_Percents" localSheetId="13">#REF!</definedName>
    <definedName name="Func_GTD_Percents" localSheetId="9">#REF!</definedName>
    <definedName name="Func_GTD_Percents" localSheetId="7">#REF!</definedName>
    <definedName name="Func_GTD_Percents" localSheetId="8">#REF!</definedName>
    <definedName name="Func_GTD_Percents" localSheetId="12">#REF!</definedName>
    <definedName name="Func_GTD_Percents">#REF!</definedName>
    <definedName name="Func_MC" localSheetId="10">#REF!</definedName>
    <definedName name="Func_MC" localSheetId="11">#REF!</definedName>
    <definedName name="Func_MC" localSheetId="13">#REF!</definedName>
    <definedName name="Func_MC" localSheetId="9">#REF!</definedName>
    <definedName name="Func_MC" localSheetId="7">#REF!</definedName>
    <definedName name="Func_MC" localSheetId="8">#REF!</definedName>
    <definedName name="Func_MC" localSheetId="12">#REF!</definedName>
    <definedName name="Func_MC">#REF!</definedName>
    <definedName name="Func_Percents" localSheetId="10">#REF!</definedName>
    <definedName name="Func_Percents" localSheetId="11">#REF!</definedName>
    <definedName name="Func_Percents" localSheetId="13">#REF!</definedName>
    <definedName name="Func_Percents" localSheetId="9">#REF!</definedName>
    <definedName name="Func_Percents" localSheetId="7">#REF!</definedName>
    <definedName name="Func_Percents" localSheetId="8">#REF!</definedName>
    <definedName name="Func_Percents" localSheetId="12">#REF!</definedName>
    <definedName name="Func_Percents">#REF!</definedName>
    <definedName name="Func_Rev_Req1" localSheetId="10">#REF!</definedName>
    <definedName name="Func_Rev_Req1" localSheetId="11">#REF!</definedName>
    <definedName name="Func_Rev_Req1" localSheetId="13">#REF!</definedName>
    <definedName name="Func_Rev_Req1" localSheetId="9">#REF!</definedName>
    <definedName name="Func_Rev_Req1" localSheetId="7">#REF!</definedName>
    <definedName name="Func_Rev_Req1" localSheetId="8">#REF!</definedName>
    <definedName name="Func_Rev_Req1" localSheetId="12">#REF!</definedName>
    <definedName name="Func_Rev_Req1">#REF!</definedName>
    <definedName name="Func_Rev_Req2" localSheetId="10">#REF!</definedName>
    <definedName name="Func_Rev_Req2" localSheetId="11">#REF!</definedName>
    <definedName name="Func_Rev_Req2" localSheetId="13">#REF!</definedName>
    <definedName name="Func_Rev_Req2" localSheetId="9">#REF!</definedName>
    <definedName name="Func_Rev_Req2" localSheetId="7">#REF!</definedName>
    <definedName name="Func_Rev_Req2" localSheetId="8">#REF!</definedName>
    <definedName name="Func_Rev_Req2" localSheetId="12">#REF!</definedName>
    <definedName name="Func_Rev_Req2">#REF!</definedName>
    <definedName name="Func_Revenue" localSheetId="10">#REF!</definedName>
    <definedName name="Func_Revenue" localSheetId="11">#REF!</definedName>
    <definedName name="Func_Revenue" localSheetId="13">#REF!</definedName>
    <definedName name="Func_Revenue" localSheetId="9">#REF!</definedName>
    <definedName name="Func_Revenue" localSheetId="7">#REF!</definedName>
    <definedName name="Func_Revenue" localSheetId="8">#REF!</definedName>
    <definedName name="Func_Revenue" localSheetId="12">#REF!</definedName>
    <definedName name="Func_Revenue">#REF!</definedName>
    <definedName name="Function">'[9]Func Study'!$AB$250</definedName>
    <definedName name="GREATER10MW" localSheetId="10">#REF!</definedName>
    <definedName name="GREATER10MW" localSheetId="11">#REF!</definedName>
    <definedName name="GREATER10MW" localSheetId="13">#REF!</definedName>
    <definedName name="GREATER10MW" localSheetId="9">#REF!</definedName>
    <definedName name="GREATER10MW" localSheetId="7">#REF!</definedName>
    <definedName name="GREATER10MW" localSheetId="8">#REF!</definedName>
    <definedName name="GREATER10MW" localSheetId="12">#REF!</definedName>
    <definedName name="GREATER10MW">#REF!</definedName>
    <definedName name="GTD_Percents" localSheetId="10">#REF!</definedName>
    <definedName name="GTD_Percents" localSheetId="11">#REF!</definedName>
    <definedName name="GTD_Percents" localSheetId="13">#REF!</definedName>
    <definedName name="GTD_Percents" localSheetId="9">#REF!</definedName>
    <definedName name="GTD_Percents" localSheetId="7">#REF!</definedName>
    <definedName name="GTD_Percents" localSheetId="8">#REF!</definedName>
    <definedName name="GTD_Percents" localSheetId="12">#REF!</definedName>
    <definedName name="GTD_Percents">#REF!</definedName>
    <definedName name="HEIGHT" localSheetId="10">#REF!</definedName>
    <definedName name="HEIGHT" localSheetId="11">#REF!</definedName>
    <definedName name="HEIGHT" localSheetId="13">#REF!</definedName>
    <definedName name="HEIGHT" localSheetId="9">#REF!</definedName>
    <definedName name="HEIGHT" localSheetId="7">#REF!</definedName>
    <definedName name="HEIGHT" localSheetId="8">#REF!</definedName>
    <definedName name="HEIGHT" localSheetId="12">#REF!</definedName>
    <definedName name="HEIGHT">#REF!</definedName>
    <definedName name="ID_0303_RVN_data" localSheetId="10">#REF!</definedName>
    <definedName name="ID_0303_RVN_data" localSheetId="11">#REF!</definedName>
    <definedName name="ID_0303_RVN_data" localSheetId="13">#REF!</definedName>
    <definedName name="ID_0303_RVN_data" localSheetId="9">#REF!</definedName>
    <definedName name="ID_0303_RVN_data" localSheetId="7">#REF!</definedName>
    <definedName name="ID_0303_RVN_data" localSheetId="8">#REF!</definedName>
    <definedName name="ID_0303_RVN_data" localSheetId="12">#REF!</definedName>
    <definedName name="ID_0303_RVN_data">#REF!</definedName>
    <definedName name="IDcontractsRVN" localSheetId="10">#REF!</definedName>
    <definedName name="IDcontractsRVN" localSheetId="11">#REF!</definedName>
    <definedName name="IDcontractsRVN" localSheetId="13">#REF!</definedName>
    <definedName name="IDcontractsRVN" localSheetId="9">#REF!</definedName>
    <definedName name="IDcontractsRVN" localSheetId="7">#REF!</definedName>
    <definedName name="IDcontractsRVN" localSheetId="8">#REF!</definedName>
    <definedName name="IDcontractsRVN" localSheetId="12">#REF!</definedName>
    <definedName name="IDcontractsRVN">#REF!</definedName>
    <definedName name="INDADJ" localSheetId="10">#REF!</definedName>
    <definedName name="INDADJ" localSheetId="11">#REF!</definedName>
    <definedName name="INDADJ" localSheetId="13">#REF!</definedName>
    <definedName name="INDADJ" localSheetId="9">#REF!</definedName>
    <definedName name="INDADJ" localSheetId="7">#REF!</definedName>
    <definedName name="INDADJ" localSheetId="8">#REF!</definedName>
    <definedName name="INDADJ" localSheetId="12">#REF!</definedName>
    <definedName name="INDADJ">#REF!</definedName>
    <definedName name="INPUT" localSheetId="10">[19]Summary!#REF!</definedName>
    <definedName name="INPUT" localSheetId="11">[19]Summary!#REF!</definedName>
    <definedName name="INPUT" localSheetId="13">[19]Summary!#REF!</definedName>
    <definedName name="INPUT" localSheetId="9">[19]Summary!#REF!</definedName>
    <definedName name="INPUT" localSheetId="7">[19]Summary!#REF!</definedName>
    <definedName name="INPUT" localSheetId="8">[19]Summary!#REF!</definedName>
    <definedName name="INPUT" localSheetId="12">[19]Summary!#REF!</definedName>
    <definedName name="INPUT">[19]Summary!#REF!</definedName>
    <definedName name="Instructions" localSheetId="10">#REF!</definedName>
    <definedName name="Instructions" localSheetId="11">#REF!</definedName>
    <definedName name="Instructions" localSheetId="13">#REF!</definedName>
    <definedName name="Instructions" localSheetId="9">#REF!</definedName>
    <definedName name="Instructions" localSheetId="7">#REF!</definedName>
    <definedName name="Instructions" localSheetId="8">#REF!</definedName>
    <definedName name="Instructions" localSheetId="12">#REF!</definedName>
    <definedName name="Instructions">#REF!</definedName>
    <definedName name="JAN" localSheetId="10">#REF!</definedName>
    <definedName name="JAN" localSheetId="11">#REF!</definedName>
    <definedName name="JAN" localSheetId="13">#REF!</definedName>
    <definedName name="JAN" localSheetId="9">#REF!</definedName>
    <definedName name="JAN" localSheetId="7">#REF!</definedName>
    <definedName name="JAN" localSheetId="8">#REF!</definedName>
    <definedName name="JAN" localSheetId="12">#REF!</definedName>
    <definedName name="JAN">[14]Backup!#REF!</definedName>
    <definedName name="JANT" localSheetId="10">#REF!</definedName>
    <definedName name="JANT" localSheetId="11">#REF!</definedName>
    <definedName name="JANT" localSheetId="13">#REF!</definedName>
    <definedName name="JANT" localSheetId="9">#REF!</definedName>
    <definedName name="JANT" localSheetId="7">#REF!</definedName>
    <definedName name="JANT" localSheetId="8">#REF!</definedName>
    <definedName name="JANT" localSheetId="12">#REF!</definedName>
    <definedName name="JANT">#REF!</definedName>
    <definedName name="jjj">[20]Inputs!$N$18</definedName>
    <definedName name="JUL" localSheetId="10">#REF!</definedName>
    <definedName name="JUL" localSheetId="11">#REF!</definedName>
    <definedName name="JUL" localSheetId="13">#REF!</definedName>
    <definedName name="JUL" localSheetId="9">#REF!</definedName>
    <definedName name="JUL" localSheetId="7">#REF!</definedName>
    <definedName name="JUL" localSheetId="8">#REF!</definedName>
    <definedName name="JUL" localSheetId="12">#REF!</definedName>
    <definedName name="JUL">[14]Backup!#REF!</definedName>
    <definedName name="JULT" localSheetId="10">#REF!</definedName>
    <definedName name="JULT" localSheetId="11">#REF!</definedName>
    <definedName name="JULT" localSheetId="13">#REF!</definedName>
    <definedName name="JULT" localSheetId="9">#REF!</definedName>
    <definedName name="JULT" localSheetId="7">#REF!</definedName>
    <definedName name="JULT" localSheetId="8">#REF!</definedName>
    <definedName name="JULT" localSheetId="12">#REF!</definedName>
    <definedName name="JULT">#REF!</definedName>
    <definedName name="JUN" localSheetId="10">#REF!</definedName>
    <definedName name="JUN" localSheetId="11">#REF!</definedName>
    <definedName name="JUN" localSheetId="13">#REF!</definedName>
    <definedName name="JUN" localSheetId="9">#REF!</definedName>
    <definedName name="JUN" localSheetId="7">#REF!</definedName>
    <definedName name="JUN" localSheetId="8">#REF!</definedName>
    <definedName name="JUN" localSheetId="12">#REF!</definedName>
    <definedName name="JUN">[14]Backup!#REF!</definedName>
    <definedName name="JUNT" localSheetId="10">#REF!</definedName>
    <definedName name="JUNT" localSheetId="11">#REF!</definedName>
    <definedName name="JUNT" localSheetId="13">#REF!</definedName>
    <definedName name="JUNT" localSheetId="9">#REF!</definedName>
    <definedName name="JUNT" localSheetId="7">#REF!</definedName>
    <definedName name="JUNT" localSheetId="8">#REF!</definedName>
    <definedName name="JUNT" localSheetId="12">#REF!</definedName>
    <definedName name="JUNT">#REF!</definedName>
    <definedName name="Jurisdiction">[12]Variables!$AK$15</definedName>
    <definedName name="JurisNumber">[12]Variables!$AL$15</definedName>
    <definedName name="LABORMOD" localSheetId="10">#REF!</definedName>
    <definedName name="LABORMOD" localSheetId="11">#REF!</definedName>
    <definedName name="LABORMOD" localSheetId="13">#REF!</definedName>
    <definedName name="LABORMOD" localSheetId="9">#REF!</definedName>
    <definedName name="LABORMOD" localSheetId="7">#REF!</definedName>
    <definedName name="LABORMOD" localSheetId="8">#REF!</definedName>
    <definedName name="LABORMOD" localSheetId="12">#REF!</definedName>
    <definedName name="LABORMOD">#REF!</definedName>
    <definedName name="LABORROLL" localSheetId="10">#REF!</definedName>
    <definedName name="LABORROLL" localSheetId="11">#REF!</definedName>
    <definedName name="LABORROLL" localSheetId="13">#REF!</definedName>
    <definedName name="LABORROLL" localSheetId="9">#REF!</definedName>
    <definedName name="LABORROLL" localSheetId="7">#REF!</definedName>
    <definedName name="LABORROLL" localSheetId="8">#REF!</definedName>
    <definedName name="LABORROLL" localSheetId="12">#REF!</definedName>
    <definedName name="LABORROLL">#REF!</definedName>
    <definedName name="limcount" hidden="1">1</definedName>
    <definedName name="Line_Ext_Credit" localSheetId="10">#REF!</definedName>
    <definedName name="Line_Ext_Credit" localSheetId="11">#REF!</definedName>
    <definedName name="Line_Ext_Credit" localSheetId="13">#REF!</definedName>
    <definedName name="Line_Ext_Credit" localSheetId="9">#REF!</definedName>
    <definedName name="Line_Ext_Credit" localSheetId="7">#REF!</definedName>
    <definedName name="Line_Ext_Credit" localSheetId="8">#REF!</definedName>
    <definedName name="Line_Ext_Credit" localSheetId="12">#REF!</definedName>
    <definedName name="Line_Ext_Credit">#REF!</definedName>
    <definedName name="LinkCos">'[9]JAM Download'!$K$4</definedName>
    <definedName name="LOG" localSheetId="10">[14]Backup!#REF!</definedName>
    <definedName name="LOG" localSheetId="11">[14]Backup!#REF!</definedName>
    <definedName name="LOG" localSheetId="13">[14]Backup!#REF!</definedName>
    <definedName name="LOG" localSheetId="9">[14]Backup!#REF!</definedName>
    <definedName name="LOG" localSheetId="7">[14]Backup!#REF!</definedName>
    <definedName name="LOG" localSheetId="8">[14]Backup!#REF!</definedName>
    <definedName name="LOG" localSheetId="12">[14]Backup!#REF!</definedName>
    <definedName name="LOG">[14]Backup!#REF!</definedName>
    <definedName name="LOSS" localSheetId="10">[14]Backup!#REF!</definedName>
    <definedName name="LOSS" localSheetId="11">[14]Backup!#REF!</definedName>
    <definedName name="LOSS" localSheetId="13">[14]Backup!#REF!</definedName>
    <definedName name="LOSS" localSheetId="9">[14]Backup!#REF!</definedName>
    <definedName name="LOSS" localSheetId="7">[14]Backup!#REF!</definedName>
    <definedName name="LOSS" localSheetId="8">[14]Backup!#REF!</definedName>
    <definedName name="LOSS" localSheetId="12">[14]Backup!#REF!</definedName>
    <definedName name="LOSS">[14]Backup!#REF!</definedName>
    <definedName name="MACTIT" localSheetId="10">#REF!</definedName>
    <definedName name="MACTIT" localSheetId="11">#REF!</definedName>
    <definedName name="MACTIT" localSheetId="13">#REF!</definedName>
    <definedName name="MACTIT" localSheetId="9">#REF!</definedName>
    <definedName name="MACTIT" localSheetId="7">#REF!</definedName>
    <definedName name="MACTIT" localSheetId="8">#REF!</definedName>
    <definedName name="MACTIT" localSheetId="12">#REF!</definedName>
    <definedName name="MACTIT">#REF!</definedName>
    <definedName name="MAR" localSheetId="10">#REF!</definedName>
    <definedName name="MAR" localSheetId="11">#REF!</definedName>
    <definedName name="MAR" localSheetId="13">#REF!</definedName>
    <definedName name="MAR" localSheetId="9">#REF!</definedName>
    <definedName name="MAR" localSheetId="7">#REF!</definedName>
    <definedName name="MAR" localSheetId="8">#REF!</definedName>
    <definedName name="MAR" localSheetId="12">#REF!</definedName>
    <definedName name="MAR">[14]Backup!#REF!</definedName>
    <definedName name="MART" localSheetId="10">#REF!</definedName>
    <definedName name="MART" localSheetId="11">#REF!</definedName>
    <definedName name="MART" localSheetId="13">#REF!</definedName>
    <definedName name="MART" localSheetId="9">#REF!</definedName>
    <definedName name="MART" localSheetId="7">#REF!</definedName>
    <definedName name="MART" localSheetId="8">#REF!</definedName>
    <definedName name="MART" localSheetId="12">#REF!</definedName>
    <definedName name="MART">#REF!</definedName>
    <definedName name="MAY" localSheetId="10">#REF!</definedName>
    <definedName name="MAY" localSheetId="11">#REF!</definedName>
    <definedName name="MAY" localSheetId="13">#REF!</definedName>
    <definedName name="MAY" localSheetId="9">#REF!</definedName>
    <definedName name="MAY" localSheetId="7">#REF!</definedName>
    <definedName name="MAY" localSheetId="8">#REF!</definedName>
    <definedName name="MAY" localSheetId="12">#REF!</definedName>
    <definedName name="MAY">[14]Backup!#REF!</definedName>
    <definedName name="MAYT" localSheetId="10">#REF!</definedName>
    <definedName name="MAYT" localSheetId="11">#REF!</definedName>
    <definedName name="MAYT" localSheetId="13">#REF!</definedName>
    <definedName name="MAYT" localSheetId="9">#REF!</definedName>
    <definedName name="MAYT" localSheetId="7">#REF!</definedName>
    <definedName name="MAYT" localSheetId="8">#REF!</definedName>
    <definedName name="MAYT" localSheetId="12">#REF!</definedName>
    <definedName name="MAYT">#REF!</definedName>
    <definedName name="MCtoREV" localSheetId="10">#REF!</definedName>
    <definedName name="MCtoREV" localSheetId="11">#REF!</definedName>
    <definedName name="MCtoREV" localSheetId="13">#REF!</definedName>
    <definedName name="MCtoREV" localSheetId="9">#REF!</definedName>
    <definedName name="MCtoREV" localSheetId="7">#REF!</definedName>
    <definedName name="MCtoREV" localSheetId="8">#REF!</definedName>
    <definedName name="MCtoREV" localSheetId="12">#REF!</definedName>
    <definedName name="MCtoREV">#REF!</definedName>
    <definedName name="MEN" localSheetId="10">[1]Jan!#REF!</definedName>
    <definedName name="MEN" localSheetId="11">[1]Jan!#REF!</definedName>
    <definedName name="MEN" localSheetId="13">[1]Jan!#REF!</definedName>
    <definedName name="MEN" localSheetId="9">[1]Jan!#REF!</definedName>
    <definedName name="MEN" localSheetId="7">[1]Jan!#REF!</definedName>
    <definedName name="MEN" localSheetId="8">[1]Jan!#REF!</definedName>
    <definedName name="MEN" localSheetId="12">[1]Jan!#REF!</definedName>
    <definedName name="MEN">[1]Jan!#REF!</definedName>
    <definedName name="Menu_Begin" localSheetId="10">#REF!</definedName>
    <definedName name="Menu_Begin" localSheetId="11">#REF!</definedName>
    <definedName name="Menu_Begin" localSheetId="13">#REF!</definedName>
    <definedName name="Menu_Begin" localSheetId="9">#REF!</definedName>
    <definedName name="Menu_Begin" localSheetId="7">#REF!</definedName>
    <definedName name="Menu_Begin" localSheetId="8">#REF!</definedName>
    <definedName name="Menu_Begin" localSheetId="12">#REF!</definedName>
    <definedName name="Menu_Begin">#REF!</definedName>
    <definedName name="Menu_Caption" localSheetId="10">#REF!</definedName>
    <definedName name="Menu_Caption" localSheetId="11">#REF!</definedName>
    <definedName name="Menu_Caption" localSheetId="13">#REF!</definedName>
    <definedName name="Menu_Caption" localSheetId="9">#REF!</definedName>
    <definedName name="Menu_Caption" localSheetId="7">#REF!</definedName>
    <definedName name="Menu_Caption" localSheetId="8">#REF!</definedName>
    <definedName name="Menu_Caption" localSheetId="12">#REF!</definedName>
    <definedName name="Menu_Caption">#REF!</definedName>
    <definedName name="Menu_Large" localSheetId="10">#REF!</definedName>
    <definedName name="Menu_Large" localSheetId="11">#REF!</definedName>
    <definedName name="Menu_Large" localSheetId="13">#REF!</definedName>
    <definedName name="Menu_Large" localSheetId="9">#REF!</definedName>
    <definedName name="Menu_Large" localSheetId="7">#REF!</definedName>
    <definedName name="Menu_Large" localSheetId="8">#REF!</definedName>
    <definedName name="Menu_Large" localSheetId="12">#REF!</definedName>
    <definedName name="Menu_Large">#REF!</definedName>
    <definedName name="Menu_Name" localSheetId="10">#REF!</definedName>
    <definedName name="Menu_Name" localSheetId="11">#REF!</definedName>
    <definedName name="Menu_Name" localSheetId="13">#REF!</definedName>
    <definedName name="Menu_Name" localSheetId="9">#REF!</definedName>
    <definedName name="Menu_Name" localSheetId="7">#REF!</definedName>
    <definedName name="Menu_Name" localSheetId="8">#REF!</definedName>
    <definedName name="Menu_Name" localSheetId="12">#REF!</definedName>
    <definedName name="Menu_Name">#REF!</definedName>
    <definedName name="Menu_OnAction" localSheetId="10">#REF!</definedName>
    <definedName name="Menu_OnAction" localSheetId="11">#REF!</definedName>
    <definedName name="Menu_OnAction" localSheetId="13">#REF!</definedName>
    <definedName name="Menu_OnAction" localSheetId="9">#REF!</definedName>
    <definedName name="Menu_OnAction" localSheetId="7">#REF!</definedName>
    <definedName name="Menu_OnAction" localSheetId="8">#REF!</definedName>
    <definedName name="Menu_OnAction" localSheetId="12">#REF!</definedName>
    <definedName name="Menu_OnAction">#REF!</definedName>
    <definedName name="Menu_Parent" localSheetId="10">#REF!</definedName>
    <definedName name="Menu_Parent" localSheetId="11">#REF!</definedName>
    <definedName name="Menu_Parent" localSheetId="13">#REF!</definedName>
    <definedName name="Menu_Parent" localSheetId="9">#REF!</definedName>
    <definedName name="Menu_Parent" localSheetId="7">#REF!</definedName>
    <definedName name="Menu_Parent" localSheetId="8">#REF!</definedName>
    <definedName name="Menu_Parent" localSheetId="12">#REF!</definedName>
    <definedName name="Menu_Parent">#REF!</definedName>
    <definedName name="Menu_Small" localSheetId="10">#REF!</definedName>
    <definedName name="Menu_Small" localSheetId="11">#REF!</definedName>
    <definedName name="Menu_Small" localSheetId="13">#REF!</definedName>
    <definedName name="Menu_Small" localSheetId="9">#REF!</definedName>
    <definedName name="Menu_Small" localSheetId="7">#REF!</definedName>
    <definedName name="Menu_Small" localSheetId="8">#REF!</definedName>
    <definedName name="Menu_Small" localSheetId="12">#REF!</definedName>
    <definedName name="Menu_Small">#REF!</definedName>
    <definedName name="Method">[8]Inputs!$C$6</definedName>
    <definedName name="MONTH" localSheetId="10">[14]Backup!#REF!</definedName>
    <definedName name="MONTH" localSheetId="11">[14]Backup!#REF!</definedName>
    <definedName name="MONTH" localSheetId="13">[14]Backup!#REF!</definedName>
    <definedName name="MONTH" localSheetId="9">[14]Backup!#REF!</definedName>
    <definedName name="MONTH" localSheetId="7">[14]Backup!#REF!</definedName>
    <definedName name="MONTH" localSheetId="8">[14]Backup!#REF!</definedName>
    <definedName name="MONTH" localSheetId="12">[14]Backup!#REF!</definedName>
    <definedName name="MONTH">[14]Backup!#REF!</definedName>
    <definedName name="monthlist">[21]Table!$R$2:$S$13</definedName>
    <definedName name="monthtotals">'[21]WA SBC'!$D$40:$O$40</definedName>
    <definedName name="MTKWH" localSheetId="10">#REF!</definedName>
    <definedName name="MTKWH" localSheetId="11">#REF!</definedName>
    <definedName name="MTKWH" localSheetId="13">#REF!</definedName>
    <definedName name="MTKWH" localSheetId="9">#REF!</definedName>
    <definedName name="MTKWH" localSheetId="7">#REF!</definedName>
    <definedName name="MTKWH" localSheetId="8">#REF!</definedName>
    <definedName name="MTKWH" localSheetId="12">#REF!</definedName>
    <definedName name="MTKWH">#REF!</definedName>
    <definedName name="MTR_YR3">[22]Variables!$E$14</definedName>
    <definedName name="MTREV" localSheetId="10">#REF!</definedName>
    <definedName name="MTREV" localSheetId="11">#REF!</definedName>
    <definedName name="MTREV" localSheetId="13">#REF!</definedName>
    <definedName name="MTREV" localSheetId="9">#REF!</definedName>
    <definedName name="MTREV" localSheetId="7">#REF!</definedName>
    <definedName name="MTREV" localSheetId="8">#REF!</definedName>
    <definedName name="MTREV" localSheetId="12">#REF!</definedName>
    <definedName name="MTREV">#REF!</definedName>
    <definedName name="MULT" localSheetId="10">#REF!</definedName>
    <definedName name="MULT" localSheetId="11">#REF!</definedName>
    <definedName name="MULT" localSheetId="13">#REF!</definedName>
    <definedName name="MULT" localSheetId="9">#REF!</definedName>
    <definedName name="MULT" localSheetId="7">#REF!</definedName>
    <definedName name="MULT" localSheetId="8">#REF!</definedName>
    <definedName name="MULT" localSheetId="12">#REF!</definedName>
    <definedName name="MULT">#REF!</definedName>
    <definedName name="Net_to_Gross_Factor">[9]Inputs!$G$8</definedName>
    <definedName name="NetToGross">[13]Variables!$D$23</definedName>
    <definedName name="NEWMO1" localSheetId="10">[1]Jan!#REF!</definedName>
    <definedName name="NEWMO1" localSheetId="11">[1]Jan!#REF!</definedName>
    <definedName name="NEWMO1" localSheetId="13">[1]Jan!#REF!</definedName>
    <definedName name="NEWMO1" localSheetId="9">[1]Jan!#REF!</definedName>
    <definedName name="NEWMO1" localSheetId="7">[1]Jan!#REF!</definedName>
    <definedName name="NEWMO1" localSheetId="8">[1]Jan!#REF!</definedName>
    <definedName name="NEWMO1" localSheetId="12">[1]Jan!#REF!</definedName>
    <definedName name="NEWMO1">[1]Jan!#REF!</definedName>
    <definedName name="NEWMO2" localSheetId="10">[1]Jan!#REF!</definedName>
    <definedName name="NEWMO2" localSheetId="11">[1]Jan!#REF!</definedName>
    <definedName name="NEWMO2" localSheetId="13">[1]Jan!#REF!</definedName>
    <definedName name="NEWMO2" localSheetId="9">[1]Jan!#REF!</definedName>
    <definedName name="NEWMO2" localSheetId="7">[1]Jan!#REF!</definedName>
    <definedName name="NEWMO2" localSheetId="8">[1]Jan!#REF!</definedName>
    <definedName name="NEWMO2" localSheetId="12">[1]Jan!#REF!</definedName>
    <definedName name="NEWMO2">[1]Jan!#REF!</definedName>
    <definedName name="NEWMONTH" localSheetId="10">[1]Jan!#REF!</definedName>
    <definedName name="NEWMONTH" localSheetId="11">[1]Jan!#REF!</definedName>
    <definedName name="NEWMONTH" localSheetId="13">[1]Jan!#REF!</definedName>
    <definedName name="NEWMONTH" localSheetId="9">[1]Jan!#REF!</definedName>
    <definedName name="NEWMONTH" localSheetId="7">[1]Jan!#REF!</definedName>
    <definedName name="NEWMONTH" localSheetId="8">[1]Jan!#REF!</definedName>
    <definedName name="NEWMONTH" localSheetId="12">[1]Jan!#REF!</definedName>
    <definedName name="NEWMONTH">[1]Jan!#REF!</definedName>
    <definedName name="NORMALIZE" localSheetId="10">#REF!</definedName>
    <definedName name="NORMALIZE" localSheetId="11">#REF!</definedName>
    <definedName name="NORMALIZE" localSheetId="13">#REF!</definedName>
    <definedName name="NORMALIZE" localSheetId="9">#REF!</definedName>
    <definedName name="NORMALIZE" localSheetId="7">#REF!</definedName>
    <definedName name="NORMALIZE" localSheetId="8">#REF!</definedName>
    <definedName name="NORMALIZE" localSheetId="12">#REF!</definedName>
    <definedName name="NORMALIZE">#REF!</definedName>
    <definedName name="NOV" localSheetId="10">#REF!</definedName>
    <definedName name="NOV" localSheetId="11">#REF!</definedName>
    <definedName name="NOV" localSheetId="13">#REF!</definedName>
    <definedName name="NOV" localSheetId="9">#REF!</definedName>
    <definedName name="NOV" localSheetId="7">#REF!</definedName>
    <definedName name="NOV" localSheetId="8">#REF!</definedName>
    <definedName name="NOV" localSheetId="12">#REF!</definedName>
    <definedName name="NOV">[14]Backup!#REF!</definedName>
    <definedName name="NOVT" localSheetId="10">#REF!</definedName>
    <definedName name="NOVT" localSheetId="11">#REF!</definedName>
    <definedName name="NOVT" localSheetId="13">#REF!</definedName>
    <definedName name="NOVT" localSheetId="9">#REF!</definedName>
    <definedName name="NOVT" localSheetId="7">#REF!</definedName>
    <definedName name="NOVT" localSheetId="8">#REF!</definedName>
    <definedName name="NOVT" localSheetId="12">#REF!</definedName>
    <definedName name="NOVT">#REF!</definedName>
    <definedName name="NPC">[11]Inputs!$N$18</definedName>
    <definedName name="NUM" localSheetId="10">#REF!</definedName>
    <definedName name="NUM" localSheetId="11">#REF!</definedName>
    <definedName name="NUM" localSheetId="13">#REF!</definedName>
    <definedName name="NUM" localSheetId="9">#REF!</definedName>
    <definedName name="NUM" localSheetId="7">#REF!</definedName>
    <definedName name="NUM" localSheetId="8">#REF!</definedName>
    <definedName name="NUM" localSheetId="12">#REF!</definedName>
    <definedName name="NUM">#REF!</definedName>
    <definedName name="OCT" localSheetId="10">#REF!</definedName>
    <definedName name="OCT" localSheetId="11">#REF!</definedName>
    <definedName name="OCT" localSheetId="13">#REF!</definedName>
    <definedName name="OCT" localSheetId="9">#REF!</definedName>
    <definedName name="OCT" localSheetId="7">#REF!</definedName>
    <definedName name="OCT" localSheetId="8">#REF!</definedName>
    <definedName name="OCT" localSheetId="12">#REF!</definedName>
    <definedName name="OCT">[14]Backup!#REF!</definedName>
    <definedName name="OCTT" localSheetId="10">#REF!</definedName>
    <definedName name="OCTT" localSheetId="11">#REF!</definedName>
    <definedName name="OCTT" localSheetId="13">#REF!</definedName>
    <definedName name="OCTT" localSheetId="9">#REF!</definedName>
    <definedName name="OCTT" localSheetId="7">#REF!</definedName>
    <definedName name="OCTT" localSheetId="8">#REF!</definedName>
    <definedName name="OCTT" localSheetId="12">#REF!</definedName>
    <definedName name="OCTT">#REF!</definedName>
    <definedName name="ONE" localSheetId="10">[1]Jan!#REF!</definedName>
    <definedName name="ONE" localSheetId="11">[1]Jan!#REF!</definedName>
    <definedName name="ONE" localSheetId="13">[1]Jan!#REF!</definedName>
    <definedName name="ONE" localSheetId="9">[1]Jan!#REF!</definedName>
    <definedName name="ONE" localSheetId="7">[1]Jan!#REF!</definedName>
    <definedName name="ONE" localSheetId="8">[1]Jan!#REF!</definedName>
    <definedName name="ONE" localSheetId="12">[1]Jan!#REF!</definedName>
    <definedName name="ONE">[1]Jan!#REF!</definedName>
    <definedName name="option">'[23]Dist Misc'!$F$120</definedName>
    <definedName name="Page1" localSheetId="10">#REF!</definedName>
    <definedName name="Page1" localSheetId="11">#REF!</definedName>
    <definedName name="Page1" localSheetId="13">#REF!</definedName>
    <definedName name="Page1" localSheetId="9">#REF!</definedName>
    <definedName name="Page1" localSheetId="7">#REF!</definedName>
    <definedName name="Page1" localSheetId="8">#REF!</definedName>
    <definedName name="Page1" localSheetId="12">#REF!</definedName>
    <definedName name="Page1">#REF!</definedName>
    <definedName name="Page110" localSheetId="10">#REF!</definedName>
    <definedName name="Page110" localSheetId="11">#REF!</definedName>
    <definedName name="Page110" localSheetId="13">#REF!</definedName>
    <definedName name="Page110" localSheetId="9">#REF!</definedName>
    <definedName name="Page110" localSheetId="7">#REF!</definedName>
    <definedName name="Page110" localSheetId="8">#REF!</definedName>
    <definedName name="Page110" localSheetId="12">#REF!</definedName>
    <definedName name="Page110">#REF!</definedName>
    <definedName name="Page120" localSheetId="10">#REF!</definedName>
    <definedName name="Page120" localSheetId="11">#REF!</definedName>
    <definedName name="Page120" localSheetId="13">#REF!</definedName>
    <definedName name="Page120" localSheetId="9">#REF!</definedName>
    <definedName name="Page120" localSheetId="7">#REF!</definedName>
    <definedName name="Page120" localSheetId="8">#REF!</definedName>
    <definedName name="Page120" localSheetId="12">#REF!</definedName>
    <definedName name="Page120">#REF!</definedName>
    <definedName name="Page2" localSheetId="10">#REF!</definedName>
    <definedName name="Page2" localSheetId="11">#REF!</definedName>
    <definedName name="Page2" localSheetId="13">#REF!</definedName>
    <definedName name="Page2" localSheetId="9">#REF!</definedName>
    <definedName name="Page2" localSheetId="7">#REF!</definedName>
    <definedName name="Page2" localSheetId="8">#REF!</definedName>
    <definedName name="Page2" localSheetId="12">#REF!</definedName>
    <definedName name="Page2">#REF!</definedName>
    <definedName name="PAGE3" localSheetId="10">#REF!</definedName>
    <definedName name="PAGE3" localSheetId="11">#REF!</definedName>
    <definedName name="PAGE3" localSheetId="13">#REF!</definedName>
    <definedName name="PAGE3" localSheetId="9">#REF!</definedName>
    <definedName name="PAGE3" localSheetId="7">#REF!</definedName>
    <definedName name="PAGE3" localSheetId="8">#REF!</definedName>
    <definedName name="PAGE3" localSheetId="12">#REF!</definedName>
    <definedName name="PAGE3">#REF!</definedName>
    <definedName name="Page4" localSheetId="10">#REF!</definedName>
    <definedName name="Page4" localSheetId="11">#REF!</definedName>
    <definedName name="Page4" localSheetId="13">#REF!</definedName>
    <definedName name="Page4" localSheetId="9">#REF!</definedName>
    <definedName name="Page4" localSheetId="7">#REF!</definedName>
    <definedName name="Page4" localSheetId="8">#REF!</definedName>
    <definedName name="Page4" localSheetId="12">#REF!</definedName>
    <definedName name="Page4">#REF!</definedName>
    <definedName name="Page5" localSheetId="10">#REF!</definedName>
    <definedName name="Page5" localSheetId="11">#REF!</definedName>
    <definedName name="Page5" localSheetId="13">#REF!</definedName>
    <definedName name="Page5" localSheetId="9">#REF!</definedName>
    <definedName name="Page5" localSheetId="7">#REF!</definedName>
    <definedName name="Page5" localSheetId="8">#REF!</definedName>
    <definedName name="Page5" localSheetId="12">#REF!</definedName>
    <definedName name="Page5">#REF!</definedName>
    <definedName name="Page6" localSheetId="10">#REF!</definedName>
    <definedName name="Page6" localSheetId="11">#REF!</definedName>
    <definedName name="Page6" localSheetId="13">#REF!</definedName>
    <definedName name="Page6" localSheetId="9">#REF!</definedName>
    <definedName name="Page6" localSheetId="7">#REF!</definedName>
    <definedName name="Page6" localSheetId="8">#REF!</definedName>
    <definedName name="Page6" localSheetId="12">#REF!</definedName>
    <definedName name="Page6">#REF!</definedName>
    <definedName name="Page62" localSheetId="10">[24]TransInvest!#REF!</definedName>
    <definedName name="Page62" localSheetId="11">[24]TransInvest!#REF!</definedName>
    <definedName name="Page62" localSheetId="13">[24]TransInvest!#REF!</definedName>
    <definedName name="Page62" localSheetId="9">[24]TransInvest!#REF!</definedName>
    <definedName name="Page62" localSheetId="7">[24]TransInvest!#REF!</definedName>
    <definedName name="Page62" localSheetId="8">[24]TransInvest!#REF!</definedName>
    <definedName name="Page62" localSheetId="12">[24]TransInvest!#REF!</definedName>
    <definedName name="Page62">[24]TransInvest!#REF!</definedName>
    <definedName name="page65" localSheetId="10">#REF!</definedName>
    <definedName name="page65" localSheetId="11">#REF!</definedName>
    <definedName name="page65" localSheetId="13">#REF!</definedName>
    <definedName name="page65" localSheetId="9">#REF!</definedName>
    <definedName name="page65" localSheetId="7">#REF!</definedName>
    <definedName name="page65" localSheetId="8">#REF!</definedName>
    <definedName name="page65" localSheetId="12">#REF!</definedName>
    <definedName name="page65">#REF!</definedName>
    <definedName name="page66" localSheetId="10">#REF!</definedName>
    <definedName name="page66" localSheetId="11">#REF!</definedName>
    <definedName name="page66" localSheetId="13">#REF!</definedName>
    <definedName name="page66" localSheetId="9">#REF!</definedName>
    <definedName name="page66" localSheetId="7">#REF!</definedName>
    <definedName name="page66" localSheetId="8">#REF!</definedName>
    <definedName name="page66" localSheetId="12">#REF!</definedName>
    <definedName name="page66">#REF!</definedName>
    <definedName name="page67" localSheetId="10">#REF!</definedName>
    <definedName name="page67" localSheetId="11">#REF!</definedName>
    <definedName name="page67" localSheetId="13">#REF!</definedName>
    <definedName name="page67" localSheetId="9">#REF!</definedName>
    <definedName name="page67" localSheetId="7">#REF!</definedName>
    <definedName name="page67" localSheetId="8">#REF!</definedName>
    <definedName name="page67" localSheetId="12">#REF!</definedName>
    <definedName name="page67">#REF!</definedName>
    <definedName name="page68" localSheetId="10">#REF!</definedName>
    <definedName name="page68" localSheetId="11">#REF!</definedName>
    <definedName name="page68" localSheetId="13">#REF!</definedName>
    <definedName name="page68" localSheetId="9">#REF!</definedName>
    <definedName name="page68" localSheetId="7">#REF!</definedName>
    <definedName name="page68" localSheetId="8">#REF!</definedName>
    <definedName name="page68" localSheetId="12">#REF!</definedName>
    <definedName name="page68">#REF!</definedName>
    <definedName name="page69" localSheetId="10">#REF!</definedName>
    <definedName name="page69" localSheetId="11">#REF!</definedName>
    <definedName name="page69" localSheetId="13">#REF!</definedName>
    <definedName name="page69" localSheetId="9">#REF!</definedName>
    <definedName name="page69" localSheetId="7">#REF!</definedName>
    <definedName name="page69" localSheetId="8">#REF!</definedName>
    <definedName name="page69" localSheetId="12">#REF!</definedName>
    <definedName name="page69">#REF!</definedName>
    <definedName name="Page7" localSheetId="10">#REF!</definedName>
    <definedName name="Page7" localSheetId="11">#REF!</definedName>
    <definedName name="Page7" localSheetId="13">#REF!</definedName>
    <definedName name="Page7" localSheetId="9">#REF!</definedName>
    <definedName name="Page7" localSheetId="7">#REF!</definedName>
    <definedName name="Page7" localSheetId="8">#REF!</definedName>
    <definedName name="Page7" localSheetId="12">#REF!</definedName>
    <definedName name="Page7">#REF!</definedName>
    <definedName name="page8" localSheetId="10">#REF!</definedName>
    <definedName name="page8" localSheetId="11">#REF!</definedName>
    <definedName name="page8" localSheetId="13">#REF!</definedName>
    <definedName name="page8" localSheetId="9">#REF!</definedName>
    <definedName name="page8" localSheetId="7">#REF!</definedName>
    <definedName name="page8" localSheetId="8">#REF!</definedName>
    <definedName name="page8" localSheetId="12">#REF!</definedName>
    <definedName name="page8">#REF!</definedName>
    <definedName name="PALL" localSheetId="10">#REF!</definedName>
    <definedName name="PALL" localSheetId="11">#REF!</definedName>
    <definedName name="PALL" localSheetId="13">#REF!</definedName>
    <definedName name="PALL" localSheetId="9">#REF!</definedName>
    <definedName name="PALL" localSheetId="7">#REF!</definedName>
    <definedName name="PALL" localSheetId="8">#REF!</definedName>
    <definedName name="PALL" localSheetId="12">#REF!</definedName>
    <definedName name="PALL">#REF!</definedName>
    <definedName name="PBLOCK" localSheetId="10">#REF!</definedName>
    <definedName name="PBLOCK" localSheetId="11">#REF!</definedName>
    <definedName name="PBLOCK" localSheetId="13">#REF!</definedName>
    <definedName name="PBLOCK" localSheetId="9">#REF!</definedName>
    <definedName name="PBLOCK" localSheetId="7">#REF!</definedName>
    <definedName name="PBLOCK" localSheetId="8">#REF!</definedName>
    <definedName name="PBLOCK" localSheetId="12">#REF!</definedName>
    <definedName name="PBLOCK">#REF!</definedName>
    <definedName name="PBLOCKWZ" localSheetId="10">#REF!</definedName>
    <definedName name="PBLOCKWZ" localSheetId="11">#REF!</definedName>
    <definedName name="PBLOCKWZ" localSheetId="13">#REF!</definedName>
    <definedName name="PBLOCKWZ" localSheetId="9">#REF!</definedName>
    <definedName name="PBLOCKWZ" localSheetId="7">#REF!</definedName>
    <definedName name="PBLOCKWZ" localSheetId="8">#REF!</definedName>
    <definedName name="PBLOCKWZ" localSheetId="12">#REF!</definedName>
    <definedName name="PBLOCKWZ">#REF!</definedName>
    <definedName name="PCOMP" localSheetId="10">#REF!</definedName>
    <definedName name="PCOMP" localSheetId="11">#REF!</definedName>
    <definedName name="PCOMP" localSheetId="13">#REF!</definedName>
    <definedName name="PCOMP" localSheetId="9">#REF!</definedName>
    <definedName name="PCOMP" localSheetId="7">#REF!</definedName>
    <definedName name="PCOMP" localSheetId="8">#REF!</definedName>
    <definedName name="PCOMP" localSheetId="12">#REF!</definedName>
    <definedName name="PCOMP">#REF!</definedName>
    <definedName name="PCOMPOSITES" localSheetId="10">#REF!</definedName>
    <definedName name="PCOMPOSITES" localSheetId="11">#REF!</definedName>
    <definedName name="PCOMPOSITES" localSheetId="13">#REF!</definedName>
    <definedName name="PCOMPOSITES" localSheetId="9">#REF!</definedName>
    <definedName name="PCOMPOSITES" localSheetId="7">#REF!</definedName>
    <definedName name="PCOMPOSITES" localSheetId="8">#REF!</definedName>
    <definedName name="PCOMPOSITES" localSheetId="12">#REF!</definedName>
    <definedName name="PCOMPOSITES">#REF!</definedName>
    <definedName name="PCOMPWZ" localSheetId="10">#REF!</definedName>
    <definedName name="PCOMPWZ" localSheetId="11">#REF!</definedName>
    <definedName name="PCOMPWZ" localSheetId="13">#REF!</definedName>
    <definedName name="PCOMPWZ" localSheetId="9">#REF!</definedName>
    <definedName name="PCOMPWZ" localSheetId="7">#REF!</definedName>
    <definedName name="PCOMPWZ" localSheetId="8">#REF!</definedName>
    <definedName name="PCOMPWZ" localSheetId="12">#REF!</definedName>
    <definedName name="PCOMPWZ">#REF!</definedName>
    <definedName name="PeakMethod">[8]Inputs!$T$5</definedName>
    <definedName name="PMAC" localSheetId="10">[14]Backup!#REF!</definedName>
    <definedName name="PMAC" localSheetId="11">[14]Backup!#REF!</definedName>
    <definedName name="PMAC" localSheetId="13">[14]Backup!#REF!</definedName>
    <definedName name="PMAC" localSheetId="9">[14]Backup!#REF!</definedName>
    <definedName name="PMAC" localSheetId="7">[14]Backup!#REF!</definedName>
    <definedName name="PMAC" localSheetId="8">[14]Backup!#REF!</definedName>
    <definedName name="PMAC" localSheetId="12">[14]Backup!#REF!</definedName>
    <definedName name="PMAC">[14]Backup!#REF!</definedName>
    <definedName name="PRESENT" localSheetId="10">#REF!</definedName>
    <definedName name="PRESENT" localSheetId="11">#REF!</definedName>
    <definedName name="PRESENT" localSheetId="13">#REF!</definedName>
    <definedName name="PRESENT" localSheetId="9">#REF!</definedName>
    <definedName name="PRESENT" localSheetId="7">#REF!</definedName>
    <definedName name="PRESENT" localSheetId="8">#REF!</definedName>
    <definedName name="PRESENT" localSheetId="12">#REF!</definedName>
    <definedName name="PRESENT">#REF!</definedName>
    <definedName name="PRICCHNG" localSheetId="10">#REF!</definedName>
    <definedName name="PRICCHNG" localSheetId="11">#REF!</definedName>
    <definedName name="PRICCHNG" localSheetId="13">#REF!</definedName>
    <definedName name="PRICCHNG" localSheetId="9">#REF!</definedName>
    <definedName name="PRICCHNG" localSheetId="7">#REF!</definedName>
    <definedName name="PRICCHNG" localSheetId="8">#REF!</definedName>
    <definedName name="PRICCHNG" localSheetId="12">#REF!</definedName>
    <definedName name="PRICCHNG">#REF!</definedName>
    <definedName name="_xlnm.Print_Area" localSheetId="10">'Campus Rate Design'!$A$1:$O$81</definedName>
    <definedName name="_xlnm.Print_Area" localSheetId="11">'High Voltage Rate Design'!$A$1:$N$40</definedName>
    <definedName name="_xlnm.Print_Area" localSheetId="13">'Lighting Rate Design'!$A$1:$R$44,'Lighting Rate Design'!$A$46:$J$530</definedName>
    <definedName name="_xlnm.Print_Area" localSheetId="9">'Primary Voltage Rate Design'!$A$1:$N$74</definedName>
    <definedName name="_xlnm.Print_Area" localSheetId="6">'Proforma-Proposed'!$A$1:$Q$49</definedName>
    <definedName name="_xlnm.Print_Area" localSheetId="4">'Rate Spread'!$A$1:$K$39</definedName>
    <definedName name="_xlnm.Print_Area" localSheetId="7">'Residential Rate Design'!$B$1:$N$42</definedName>
    <definedName name="_xlnm.Print_Area" localSheetId="8">'Secondary Voltage Rate Design'!$A$1:$N$126</definedName>
    <definedName name="_xlnm.Print_Area" localSheetId="1">'Tariff Summary'!$A$1:$J$180</definedName>
    <definedName name="_xlnm.Print_Area" localSheetId="2">'Tariff Summary Lights'!$A$1:$G$424</definedName>
    <definedName name="_xlnm.Print_Area" localSheetId="12">'Transportation Rate Design'!$A$1:$N$48</definedName>
    <definedName name="_xlnm.Print_Titles" localSheetId="10">'Campus Rate Design'!$1:$11</definedName>
    <definedName name="_xlnm.Print_Titles" localSheetId="11">'High Voltage Rate Design'!$1:$11</definedName>
    <definedName name="_xlnm.Print_Titles" localSheetId="13">'Lighting Rate Design'!$1:$11</definedName>
    <definedName name="_xlnm.Print_Titles" localSheetId="9">'Primary Voltage Rate Design'!$1:$11</definedName>
    <definedName name="_xlnm.Print_Titles" localSheetId="7">'Residential Rate Design'!$1:$11</definedName>
    <definedName name="_xlnm.Print_Titles" localSheetId="8">'Secondary Voltage Rate Design'!$1:$11</definedName>
    <definedName name="_xlnm.Print_Titles" localSheetId="1">'Tariff Summary'!$1:$6</definedName>
    <definedName name="_xlnm.Print_Titles" localSheetId="2">'Tariff Summary Lights'!$1:$5</definedName>
    <definedName name="_xlnm.Print_Titles" localSheetId="12">'Transportation Rate Design'!$1:$11</definedName>
    <definedName name="PTABLES" localSheetId="10">#REF!</definedName>
    <definedName name="PTABLES" localSheetId="11">#REF!</definedName>
    <definedName name="PTABLES" localSheetId="13">#REF!</definedName>
    <definedName name="PTABLES" localSheetId="9">#REF!</definedName>
    <definedName name="PTABLES" localSheetId="7">#REF!</definedName>
    <definedName name="PTABLES" localSheetId="8">#REF!</definedName>
    <definedName name="PTABLES" localSheetId="12">#REF!</definedName>
    <definedName name="PTABLES">#REF!</definedName>
    <definedName name="PTDMOD" localSheetId="10">#REF!</definedName>
    <definedName name="PTDMOD" localSheetId="11">#REF!</definedName>
    <definedName name="PTDMOD" localSheetId="13">#REF!</definedName>
    <definedName name="PTDMOD" localSheetId="9">#REF!</definedName>
    <definedName name="PTDMOD" localSheetId="7">#REF!</definedName>
    <definedName name="PTDMOD" localSheetId="8">#REF!</definedName>
    <definedName name="PTDMOD" localSheetId="12">#REF!</definedName>
    <definedName name="PTDMOD">#REF!</definedName>
    <definedName name="PTDROLL" localSheetId="10">#REF!</definedName>
    <definedName name="PTDROLL" localSheetId="11">#REF!</definedName>
    <definedName name="PTDROLL" localSheetId="13">#REF!</definedName>
    <definedName name="PTDROLL" localSheetId="9">#REF!</definedName>
    <definedName name="PTDROLL" localSheetId="7">#REF!</definedName>
    <definedName name="PTDROLL" localSheetId="8">#REF!</definedName>
    <definedName name="PTDROLL" localSheetId="12">#REF!</definedName>
    <definedName name="PTDROLL">#REF!</definedName>
    <definedName name="PTMOD" localSheetId="10">#REF!</definedName>
    <definedName name="PTMOD" localSheetId="11">#REF!</definedName>
    <definedName name="PTMOD" localSheetId="13">#REF!</definedName>
    <definedName name="PTMOD" localSheetId="9">#REF!</definedName>
    <definedName name="PTMOD" localSheetId="7">#REF!</definedName>
    <definedName name="PTMOD" localSheetId="8">#REF!</definedName>
    <definedName name="PTMOD" localSheetId="12">#REF!</definedName>
    <definedName name="PTMOD">#REF!</definedName>
    <definedName name="PTROLL" localSheetId="10">#REF!</definedName>
    <definedName name="PTROLL" localSheetId="11">#REF!</definedName>
    <definedName name="PTROLL" localSheetId="13">#REF!</definedName>
    <definedName name="PTROLL" localSheetId="9">#REF!</definedName>
    <definedName name="PTROLL" localSheetId="7">#REF!</definedName>
    <definedName name="PTROLL" localSheetId="8">#REF!</definedName>
    <definedName name="PTROLL" localSheetId="12">#REF!</definedName>
    <definedName name="PTROLL">#REF!</definedName>
    <definedName name="PWORKBACK" localSheetId="10">#REF!</definedName>
    <definedName name="PWORKBACK" localSheetId="11">#REF!</definedName>
    <definedName name="PWORKBACK" localSheetId="13">#REF!</definedName>
    <definedName name="PWORKBACK" localSheetId="9">#REF!</definedName>
    <definedName name="PWORKBACK" localSheetId="7">#REF!</definedName>
    <definedName name="PWORKBACK" localSheetId="8">#REF!</definedName>
    <definedName name="PWORKBACK" localSheetId="12">#REF!</definedName>
    <definedName name="PWORKBACK">#REF!</definedName>
    <definedName name="Query1" localSheetId="10">#REF!</definedName>
    <definedName name="Query1" localSheetId="11">#REF!</definedName>
    <definedName name="Query1" localSheetId="13">#REF!</definedName>
    <definedName name="Query1" localSheetId="9">#REF!</definedName>
    <definedName name="Query1" localSheetId="7">#REF!</definedName>
    <definedName name="Query1" localSheetId="8">#REF!</definedName>
    <definedName name="Query1" localSheetId="12">#REF!</definedName>
    <definedName name="Query1">#REF!</definedName>
    <definedName name="Rates">[25]Codes!$A$1:$C$500</definedName>
    <definedName name="RC_ADJ" localSheetId="10">#REF!</definedName>
    <definedName name="RC_ADJ" localSheetId="11">#REF!</definedName>
    <definedName name="RC_ADJ" localSheetId="13">#REF!</definedName>
    <definedName name="RC_ADJ" localSheetId="9">#REF!</definedName>
    <definedName name="RC_ADJ" localSheetId="7">#REF!</definedName>
    <definedName name="RC_ADJ" localSheetId="8">#REF!</definedName>
    <definedName name="RC_ADJ" localSheetId="12">#REF!</definedName>
    <definedName name="RC_ADJ">#REF!</definedName>
    <definedName name="RESADJ" localSheetId="10">#REF!</definedName>
    <definedName name="RESADJ" localSheetId="11">#REF!</definedName>
    <definedName name="RESADJ" localSheetId="13">#REF!</definedName>
    <definedName name="RESADJ" localSheetId="9">#REF!</definedName>
    <definedName name="RESADJ" localSheetId="7">#REF!</definedName>
    <definedName name="RESADJ" localSheetId="8">#REF!</definedName>
    <definedName name="RESADJ" localSheetId="12">#REF!</definedName>
    <definedName name="RESADJ">#REF!</definedName>
    <definedName name="ResourceSupplier">[13]Variables!$D$28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10">#REF!</definedName>
    <definedName name="REV_SCHD" localSheetId="11">#REF!</definedName>
    <definedName name="REV_SCHD" localSheetId="13">#REF!</definedName>
    <definedName name="REV_SCHD" localSheetId="9">#REF!</definedName>
    <definedName name="REV_SCHD" localSheetId="7">#REF!</definedName>
    <definedName name="REV_SCHD" localSheetId="8">#REF!</definedName>
    <definedName name="REV_SCHD" localSheetId="12">#REF!</definedName>
    <definedName name="REV_SCHD">#REF!</definedName>
    <definedName name="RevClass">[25]Codes!$F$2:$G$10</definedName>
    <definedName name="Revenue_by_month_take_2" localSheetId="10">#REF!</definedName>
    <definedName name="Revenue_by_month_take_2" localSheetId="11">#REF!</definedName>
    <definedName name="Revenue_by_month_take_2" localSheetId="13">#REF!</definedName>
    <definedName name="Revenue_by_month_take_2" localSheetId="9">#REF!</definedName>
    <definedName name="Revenue_by_month_take_2" localSheetId="7">#REF!</definedName>
    <definedName name="Revenue_by_month_take_2" localSheetId="8">#REF!</definedName>
    <definedName name="Revenue_by_month_take_2" localSheetId="12">#REF!</definedName>
    <definedName name="Revenue_by_month_take_2">#REF!</definedName>
    <definedName name="RevenueCheck" localSheetId="10">#REF!</definedName>
    <definedName name="RevenueCheck" localSheetId="11">#REF!</definedName>
    <definedName name="RevenueCheck" localSheetId="13">#REF!</definedName>
    <definedName name="RevenueCheck" localSheetId="9">#REF!</definedName>
    <definedName name="RevenueCheck" localSheetId="7">#REF!</definedName>
    <definedName name="RevenueCheck" localSheetId="8">#REF!</definedName>
    <definedName name="RevenueCheck" localSheetId="12">#REF!</definedName>
    <definedName name="RevenueCheck">#REF!</definedName>
    <definedName name="RevReqSettle" localSheetId="10">#REF!</definedName>
    <definedName name="RevReqSettle" localSheetId="11">#REF!</definedName>
    <definedName name="RevReqSettle" localSheetId="13">#REF!</definedName>
    <definedName name="RevReqSettle" localSheetId="9">#REF!</definedName>
    <definedName name="RevReqSettle" localSheetId="7">#REF!</definedName>
    <definedName name="RevReqSettle" localSheetId="8">#REF!</definedName>
    <definedName name="RevReqSettle" localSheetId="12">#REF!</definedName>
    <definedName name="RevReqSettle">#REF!</definedName>
    <definedName name="REVVSTRS" localSheetId="10">#REF!</definedName>
    <definedName name="REVVSTRS" localSheetId="11">#REF!</definedName>
    <definedName name="REVVSTRS" localSheetId="13">#REF!</definedName>
    <definedName name="REVVSTRS" localSheetId="9">#REF!</definedName>
    <definedName name="REVVSTRS" localSheetId="7">#REF!</definedName>
    <definedName name="REVVSTRS" localSheetId="8">#REF!</definedName>
    <definedName name="REVVSTRS" localSheetId="12">#REF!</definedName>
    <definedName name="REVVSTRS">#REF!</definedName>
    <definedName name="RISFORM" localSheetId="10">#REF!</definedName>
    <definedName name="RISFORM" localSheetId="11">#REF!</definedName>
    <definedName name="RISFORM" localSheetId="13">#REF!</definedName>
    <definedName name="RISFORM" localSheetId="9">#REF!</definedName>
    <definedName name="RISFORM" localSheetId="7">#REF!</definedName>
    <definedName name="RISFORM" localSheetId="8">#REF!</definedName>
    <definedName name="RISFORM" localSheetId="12">#REF!</definedName>
    <definedName name="RISFORM">#REF!</definedName>
    <definedName name="SCH33CUSTS" localSheetId="10">#REF!</definedName>
    <definedName name="SCH33CUSTS" localSheetId="11">#REF!</definedName>
    <definedName name="SCH33CUSTS" localSheetId="13">#REF!</definedName>
    <definedName name="SCH33CUSTS" localSheetId="9">#REF!</definedName>
    <definedName name="SCH33CUSTS" localSheetId="7">#REF!</definedName>
    <definedName name="SCH33CUSTS" localSheetId="8">#REF!</definedName>
    <definedName name="SCH33CUSTS" localSheetId="12">#REF!</definedName>
    <definedName name="SCH33CUSTS">#REF!</definedName>
    <definedName name="SCH48ADJ" localSheetId="10">#REF!</definedName>
    <definedName name="SCH48ADJ" localSheetId="11">#REF!</definedName>
    <definedName name="SCH48ADJ" localSheetId="13">#REF!</definedName>
    <definedName name="SCH48ADJ" localSheetId="9">#REF!</definedName>
    <definedName name="SCH48ADJ" localSheetId="7">#REF!</definedName>
    <definedName name="SCH48ADJ" localSheetId="8">#REF!</definedName>
    <definedName name="SCH48ADJ" localSheetId="12">#REF!</definedName>
    <definedName name="SCH48ADJ">#REF!</definedName>
    <definedName name="SCH98NOR" localSheetId="10">#REF!</definedName>
    <definedName name="SCH98NOR" localSheetId="11">#REF!</definedName>
    <definedName name="SCH98NOR" localSheetId="13">#REF!</definedName>
    <definedName name="SCH98NOR" localSheetId="9">#REF!</definedName>
    <definedName name="SCH98NOR" localSheetId="7">#REF!</definedName>
    <definedName name="SCH98NOR" localSheetId="8">#REF!</definedName>
    <definedName name="SCH98NOR" localSheetId="12">#REF!</definedName>
    <definedName name="SCH98NOR">#REF!</definedName>
    <definedName name="SCHED47" localSheetId="10">#REF!</definedName>
    <definedName name="SCHED47" localSheetId="11">#REF!</definedName>
    <definedName name="SCHED47" localSheetId="13">#REF!</definedName>
    <definedName name="SCHED47" localSheetId="9">#REF!</definedName>
    <definedName name="SCHED47" localSheetId="7">#REF!</definedName>
    <definedName name="SCHED47" localSheetId="8">#REF!</definedName>
    <definedName name="SCHED47" localSheetId="12">#REF!</definedName>
    <definedName name="SCHED47">#REF!</definedName>
    <definedName name="Schedule">[11]Inputs!$N$14</definedName>
    <definedName name="se" localSheetId="10">#REF!</definedName>
    <definedName name="se" localSheetId="11">#REF!</definedName>
    <definedName name="se" localSheetId="13">#REF!</definedName>
    <definedName name="se" localSheetId="9">#REF!</definedName>
    <definedName name="se" localSheetId="7">#REF!</definedName>
    <definedName name="se" localSheetId="8">#REF!</definedName>
    <definedName name="se" localSheetId="12">#REF!</definedName>
    <definedName name="se">#REF!</definedName>
    <definedName name="SECOND" localSheetId="10">[1]Jan!#REF!</definedName>
    <definedName name="SECOND" localSheetId="11">[1]Jan!#REF!</definedName>
    <definedName name="SECOND" localSheetId="13">[1]Jan!#REF!</definedName>
    <definedName name="SECOND" localSheetId="9">[1]Jan!#REF!</definedName>
    <definedName name="SECOND" localSheetId="7">[1]Jan!#REF!</definedName>
    <definedName name="SECOND" localSheetId="8">[1]Jan!#REF!</definedName>
    <definedName name="SECOND" localSheetId="12">[1]Jan!#REF!</definedName>
    <definedName name="SECOND">[1]Jan!#REF!</definedName>
    <definedName name="SEP" localSheetId="10">#REF!</definedName>
    <definedName name="SEP" localSheetId="11">#REF!</definedName>
    <definedName name="SEP" localSheetId="13">#REF!</definedName>
    <definedName name="SEP" localSheetId="9">#REF!</definedName>
    <definedName name="SEP" localSheetId="7">#REF!</definedName>
    <definedName name="SEP" localSheetId="8">#REF!</definedName>
    <definedName name="SEP" localSheetId="12">#REF!</definedName>
    <definedName name="SEP">[14]Backup!#REF!</definedName>
    <definedName name="SEPT" localSheetId="10">#REF!</definedName>
    <definedName name="SEPT" localSheetId="11">#REF!</definedName>
    <definedName name="SEPT" localSheetId="13">#REF!</definedName>
    <definedName name="SEPT" localSheetId="9">#REF!</definedName>
    <definedName name="SEPT" localSheetId="7">#REF!</definedName>
    <definedName name="SEPT" localSheetId="8">#REF!</definedName>
    <definedName name="SEPT" localSheetId="12">#REF!</definedName>
    <definedName name="SEPT">#REF!</definedName>
    <definedName name="SERVICES_3" localSheetId="10">#REF!</definedName>
    <definedName name="SERVICES_3" localSheetId="11">#REF!</definedName>
    <definedName name="SERVICES_3" localSheetId="13">#REF!</definedName>
    <definedName name="SERVICES_3" localSheetId="9">#REF!</definedName>
    <definedName name="SERVICES_3" localSheetId="7">#REF!</definedName>
    <definedName name="SERVICES_3" localSheetId="8">#REF!</definedName>
    <definedName name="SERVICES_3" localSheetId="12">#REF!</definedName>
    <definedName name="SERVICES_3">#REF!</definedName>
    <definedName name="sg" localSheetId="10">#REF!</definedName>
    <definedName name="sg" localSheetId="11">#REF!</definedName>
    <definedName name="sg" localSheetId="13">#REF!</definedName>
    <definedName name="sg" localSheetId="9">#REF!</definedName>
    <definedName name="sg" localSheetId="7">#REF!</definedName>
    <definedName name="sg" localSheetId="8">#REF!</definedName>
    <definedName name="sg" localSheetId="12">#REF!</definedName>
    <definedName name="sg">#REF!</definedName>
    <definedName name="START" localSheetId="10">[1]Jan!#REF!</definedName>
    <definedName name="START" localSheetId="11">[1]Jan!#REF!</definedName>
    <definedName name="START" localSheetId="13">[1]Jan!#REF!</definedName>
    <definedName name="START" localSheetId="9">[1]Jan!#REF!</definedName>
    <definedName name="START" localSheetId="7">[1]Jan!#REF!</definedName>
    <definedName name="START" localSheetId="8">[1]Jan!#REF!</definedName>
    <definedName name="START" localSheetId="12">[1]Jan!#REF!</definedName>
    <definedName name="START">[1]Jan!#REF!</definedName>
    <definedName name="SUM_TAB1" localSheetId="10">#REF!</definedName>
    <definedName name="SUM_TAB1" localSheetId="11">#REF!</definedName>
    <definedName name="SUM_TAB1" localSheetId="13">#REF!</definedName>
    <definedName name="SUM_TAB1" localSheetId="9">#REF!</definedName>
    <definedName name="SUM_TAB1" localSheetId="7">#REF!</definedName>
    <definedName name="SUM_TAB1" localSheetId="8">#REF!</definedName>
    <definedName name="SUM_TAB1" localSheetId="12">#REF!</definedName>
    <definedName name="SUM_TAB1">#REF!</definedName>
    <definedName name="SUM_TAB2" localSheetId="10">#REF!</definedName>
    <definedName name="SUM_TAB2" localSheetId="11">#REF!</definedName>
    <definedName name="SUM_TAB2" localSheetId="13">#REF!</definedName>
    <definedName name="SUM_TAB2" localSheetId="9">#REF!</definedName>
    <definedName name="SUM_TAB2" localSheetId="7">#REF!</definedName>
    <definedName name="SUM_TAB2" localSheetId="8">#REF!</definedName>
    <definedName name="SUM_TAB2" localSheetId="12">#REF!</definedName>
    <definedName name="SUM_TAB2">#REF!</definedName>
    <definedName name="SUM_TAB3" localSheetId="10">#REF!</definedName>
    <definedName name="SUM_TAB3" localSheetId="11">#REF!</definedName>
    <definedName name="SUM_TAB3" localSheetId="13">#REF!</definedName>
    <definedName name="SUM_TAB3" localSheetId="9">#REF!</definedName>
    <definedName name="SUM_TAB3" localSheetId="7">#REF!</definedName>
    <definedName name="SUM_TAB3" localSheetId="8">#REF!</definedName>
    <definedName name="SUM_TAB3" localSheetId="12">#REF!</definedName>
    <definedName name="SUM_TAB3">#REF!</definedName>
    <definedName name="TABLE_1" localSheetId="10">#REF!</definedName>
    <definedName name="TABLE_1" localSheetId="11">#REF!</definedName>
    <definedName name="TABLE_1" localSheetId="13">#REF!</definedName>
    <definedName name="TABLE_1" localSheetId="9">#REF!</definedName>
    <definedName name="TABLE_1" localSheetId="7">#REF!</definedName>
    <definedName name="TABLE_1" localSheetId="8">#REF!</definedName>
    <definedName name="TABLE_1" localSheetId="12">#REF!</definedName>
    <definedName name="TABLE_1">#REF!</definedName>
    <definedName name="TABLE_2" localSheetId="10">#REF!</definedName>
    <definedName name="TABLE_2" localSheetId="11">#REF!</definedName>
    <definedName name="TABLE_2" localSheetId="13">#REF!</definedName>
    <definedName name="TABLE_2" localSheetId="9">#REF!</definedName>
    <definedName name="TABLE_2" localSheetId="7">#REF!</definedName>
    <definedName name="TABLE_2" localSheetId="8">#REF!</definedName>
    <definedName name="TABLE_2" localSheetId="12">#REF!</definedName>
    <definedName name="TABLE_2">#REF!</definedName>
    <definedName name="TABLE_3" localSheetId="10">#REF!</definedName>
    <definedName name="TABLE_3" localSheetId="11">#REF!</definedName>
    <definedName name="TABLE_3" localSheetId="13">#REF!</definedName>
    <definedName name="TABLE_3" localSheetId="9">#REF!</definedName>
    <definedName name="TABLE_3" localSheetId="7">#REF!</definedName>
    <definedName name="TABLE_3" localSheetId="8">#REF!</definedName>
    <definedName name="TABLE_3" localSheetId="12">#REF!</definedName>
    <definedName name="TABLE_3">#REF!</definedName>
    <definedName name="TABLE_4" localSheetId="10">#REF!</definedName>
    <definedName name="TABLE_4" localSheetId="11">#REF!</definedName>
    <definedName name="TABLE_4" localSheetId="13">#REF!</definedName>
    <definedName name="TABLE_4" localSheetId="9">#REF!</definedName>
    <definedName name="TABLE_4" localSheetId="7">#REF!</definedName>
    <definedName name="TABLE_4" localSheetId="8">#REF!</definedName>
    <definedName name="TABLE_4" localSheetId="12">#REF!</definedName>
    <definedName name="TABLE_4">#REF!</definedName>
    <definedName name="TABLE_4_A" localSheetId="10">#REF!</definedName>
    <definedName name="TABLE_4_A" localSheetId="11">#REF!</definedName>
    <definedName name="TABLE_4_A" localSheetId="13">#REF!</definedName>
    <definedName name="TABLE_4_A" localSheetId="9">#REF!</definedName>
    <definedName name="TABLE_4_A" localSheetId="7">#REF!</definedName>
    <definedName name="TABLE_4_A" localSheetId="8">#REF!</definedName>
    <definedName name="TABLE_4_A" localSheetId="12">#REF!</definedName>
    <definedName name="TABLE_4_A">#REF!</definedName>
    <definedName name="TABLE_5" localSheetId="10">#REF!</definedName>
    <definedName name="TABLE_5" localSheetId="11">#REF!</definedName>
    <definedName name="TABLE_5" localSheetId="13">#REF!</definedName>
    <definedName name="TABLE_5" localSheetId="9">#REF!</definedName>
    <definedName name="TABLE_5" localSheetId="7">#REF!</definedName>
    <definedName name="TABLE_5" localSheetId="8">#REF!</definedName>
    <definedName name="TABLE_5" localSheetId="12">#REF!</definedName>
    <definedName name="TABLE_5">#REF!</definedName>
    <definedName name="TABLE_6" localSheetId="10">#REF!</definedName>
    <definedName name="TABLE_6" localSheetId="11">#REF!</definedName>
    <definedName name="TABLE_6" localSheetId="13">#REF!</definedName>
    <definedName name="TABLE_6" localSheetId="9">#REF!</definedName>
    <definedName name="TABLE_6" localSheetId="7">#REF!</definedName>
    <definedName name="TABLE_6" localSheetId="8">#REF!</definedName>
    <definedName name="TABLE_6" localSheetId="12">#REF!</definedName>
    <definedName name="TABLE_6">#REF!</definedName>
    <definedName name="TABLE_7" localSheetId="10">#REF!</definedName>
    <definedName name="TABLE_7" localSheetId="11">#REF!</definedName>
    <definedName name="TABLE_7" localSheetId="13">#REF!</definedName>
    <definedName name="TABLE_7" localSheetId="9">#REF!</definedName>
    <definedName name="TABLE_7" localSheetId="7">#REF!</definedName>
    <definedName name="TABLE_7" localSheetId="8">#REF!</definedName>
    <definedName name="TABLE_7" localSheetId="12">#REF!</definedName>
    <definedName name="TABLE_7">#REF!</definedName>
    <definedName name="TABLE1" localSheetId="10">#REF!</definedName>
    <definedName name="TABLE1" localSheetId="11">#REF!</definedName>
    <definedName name="TABLE1" localSheetId="13">#REF!</definedName>
    <definedName name="TABLE1" localSheetId="9">#REF!</definedName>
    <definedName name="TABLE1" localSheetId="7">#REF!</definedName>
    <definedName name="TABLE1" localSheetId="8">#REF!</definedName>
    <definedName name="TABLE1" localSheetId="12">#REF!</definedName>
    <definedName name="TABLE1">#REF!</definedName>
    <definedName name="TABLE2" localSheetId="10">#REF!</definedName>
    <definedName name="TABLE2" localSheetId="11">#REF!</definedName>
    <definedName name="TABLE2" localSheetId="13">#REF!</definedName>
    <definedName name="TABLE2" localSheetId="9">#REF!</definedName>
    <definedName name="TABLE2" localSheetId="7">#REF!</definedName>
    <definedName name="TABLE2" localSheetId="8">#REF!</definedName>
    <definedName name="TABLE2" localSheetId="12">#REF!</definedName>
    <definedName name="TABLE2">#REF!</definedName>
    <definedName name="TABLEA" localSheetId="10">#REF!</definedName>
    <definedName name="TABLEA" localSheetId="11">#REF!</definedName>
    <definedName name="TABLEA" localSheetId="13">#REF!</definedName>
    <definedName name="TABLEA" localSheetId="9">#REF!</definedName>
    <definedName name="TABLEA" localSheetId="6">'Proforma-Proposed'!$A$3:$S$49</definedName>
    <definedName name="TABLEA" localSheetId="7">#REF!</definedName>
    <definedName name="TABLEA" localSheetId="8">#REF!</definedName>
    <definedName name="TABLEA" localSheetId="12">#REF!</definedName>
    <definedName name="TABLEA">#REF!</definedName>
    <definedName name="TABLEONE" localSheetId="10">#REF!</definedName>
    <definedName name="TABLEONE" localSheetId="11">#REF!</definedName>
    <definedName name="TABLEONE" localSheetId="13">#REF!</definedName>
    <definedName name="TABLEONE" localSheetId="9">#REF!</definedName>
    <definedName name="TABLEONE" localSheetId="7">#REF!</definedName>
    <definedName name="TABLEONE" localSheetId="8">#REF!</definedName>
    <definedName name="TABLEONE" localSheetId="12">#REF!</definedName>
    <definedName name="TABLEONE">#REF!</definedName>
    <definedName name="TargetROR">[8]Inputs!$G$29</definedName>
    <definedName name="TDMOD" localSheetId="10">#REF!</definedName>
    <definedName name="TDMOD" localSheetId="11">#REF!</definedName>
    <definedName name="TDMOD" localSheetId="13">#REF!</definedName>
    <definedName name="TDMOD" localSheetId="9">#REF!</definedName>
    <definedName name="TDMOD" localSheetId="7">#REF!</definedName>
    <definedName name="TDMOD" localSheetId="8">#REF!</definedName>
    <definedName name="TDMOD" localSheetId="12">#REF!</definedName>
    <definedName name="TDMOD">#REF!</definedName>
    <definedName name="TDROLL" localSheetId="10">#REF!</definedName>
    <definedName name="TDROLL" localSheetId="11">#REF!</definedName>
    <definedName name="TDROLL" localSheetId="13">#REF!</definedName>
    <definedName name="TDROLL" localSheetId="9">#REF!</definedName>
    <definedName name="TDROLL" localSheetId="7">#REF!</definedName>
    <definedName name="TDROLL" localSheetId="8">#REF!</definedName>
    <definedName name="TDROLL" localSheetId="12">#REF!</definedName>
    <definedName name="TDROLL">#REF!</definedName>
    <definedName name="TEMPADJ" localSheetId="10">#REF!</definedName>
    <definedName name="TEMPADJ" localSheetId="11">#REF!</definedName>
    <definedName name="TEMPADJ" localSheetId="13">#REF!</definedName>
    <definedName name="TEMPADJ" localSheetId="9">#REF!</definedName>
    <definedName name="TEMPADJ" localSheetId="7">#REF!</definedName>
    <definedName name="TEMPADJ" localSheetId="8">#REF!</definedName>
    <definedName name="TEMPADJ" localSheetId="12">#REF!</definedName>
    <definedName name="TEMPADJ">#REF!</definedName>
    <definedName name="Test" localSheetId="10">#REF!</definedName>
    <definedName name="Test" localSheetId="11">#REF!</definedName>
    <definedName name="Test" localSheetId="13">#REF!</definedName>
    <definedName name="Test" localSheetId="9">#REF!</definedName>
    <definedName name="Test" localSheetId="7">#REF!</definedName>
    <definedName name="Test" localSheetId="8">#REF!</definedName>
    <definedName name="Test" localSheetId="12">#REF!</definedName>
    <definedName name="Test">#REF!</definedName>
    <definedName name="Test1" localSheetId="10">#REF!</definedName>
    <definedName name="Test1" localSheetId="11">#REF!</definedName>
    <definedName name="Test1" localSheetId="13">#REF!</definedName>
    <definedName name="Test1" localSheetId="9">#REF!</definedName>
    <definedName name="Test1" localSheetId="7">#REF!</definedName>
    <definedName name="Test1" localSheetId="8">#REF!</definedName>
    <definedName name="Test1" localSheetId="12">#REF!</definedName>
    <definedName name="Test1">#REF!</definedName>
    <definedName name="Test2" localSheetId="10">#REF!</definedName>
    <definedName name="Test2" localSheetId="11">#REF!</definedName>
    <definedName name="Test2" localSheetId="13">#REF!</definedName>
    <definedName name="Test2" localSheetId="9">#REF!</definedName>
    <definedName name="Test2" localSheetId="7">#REF!</definedName>
    <definedName name="Test2" localSheetId="8">#REF!</definedName>
    <definedName name="Test2" localSheetId="12">#REF!</definedName>
    <definedName name="Test2">#REF!</definedName>
    <definedName name="Test3" localSheetId="10">#REF!</definedName>
    <definedName name="Test3" localSheetId="11">#REF!</definedName>
    <definedName name="Test3" localSheetId="13">#REF!</definedName>
    <definedName name="Test3" localSheetId="9">#REF!</definedName>
    <definedName name="Test3" localSheetId="7">#REF!</definedName>
    <definedName name="Test3" localSheetId="8">#REF!</definedName>
    <definedName name="Test3" localSheetId="12">#REF!</definedName>
    <definedName name="Test3">#REF!</definedName>
    <definedName name="Test4" localSheetId="10">#REF!</definedName>
    <definedName name="Test4" localSheetId="11">#REF!</definedName>
    <definedName name="Test4" localSheetId="13">#REF!</definedName>
    <definedName name="Test4" localSheetId="9">#REF!</definedName>
    <definedName name="Test4" localSheetId="7">#REF!</definedName>
    <definedName name="Test4" localSheetId="8">#REF!</definedName>
    <definedName name="Test4" localSheetId="12">#REF!</definedName>
    <definedName name="Test4">#REF!</definedName>
    <definedName name="Test5" localSheetId="10">#REF!</definedName>
    <definedName name="Test5" localSheetId="11">#REF!</definedName>
    <definedName name="Test5" localSheetId="13">#REF!</definedName>
    <definedName name="Test5" localSheetId="9">#REF!</definedName>
    <definedName name="Test5" localSheetId="7">#REF!</definedName>
    <definedName name="Test5" localSheetId="8">#REF!</definedName>
    <definedName name="Test5" localSheetId="12">#REF!</definedName>
    <definedName name="Test5">#REF!</definedName>
    <definedName name="TestPeriod">[9]Inputs!$C$5</definedName>
    <definedName name="TotalRateBase">'[9]G+T+D+R+M'!$H$58</definedName>
    <definedName name="TRANSM_2">[26]Transm2!$A$1:$M$461:'[26]10 Yr FC'!$M$47</definedName>
    <definedName name="UAACT115S" localSheetId="10">'[11]Functional Study'!#REF!</definedName>
    <definedName name="UAACT115S" localSheetId="11">'[11]Functional Study'!#REF!</definedName>
    <definedName name="UAACT115S" localSheetId="13">'[11]Functional Study'!#REF!</definedName>
    <definedName name="UAACT115S" localSheetId="9">'[11]Functional Study'!#REF!</definedName>
    <definedName name="UAACT115S" localSheetId="7">'[11]Functional Study'!#REF!</definedName>
    <definedName name="UAACT115S" localSheetId="8">'[11]Functional Study'!#REF!</definedName>
    <definedName name="UAACT115S" localSheetId="12">'[11]Functional Study'!#REF!</definedName>
    <definedName name="UAACT115S">'[11]Functional Study'!#REF!</definedName>
    <definedName name="UAcct103">'[9]Func Study'!$AB$1613</definedName>
    <definedName name="UAcct105Dnpg">'[9]Func Study'!$AB$2010</definedName>
    <definedName name="UAcct105S">'[9]Func Study'!$AB$2005</definedName>
    <definedName name="UAcct105Seu">'[9]Func Study'!$AB$2009</definedName>
    <definedName name="UAcct105Snppo">'[9]Func Study'!$AB$2008</definedName>
    <definedName name="UAcct105Snpps">'[9]Func Study'!$AB$2006</definedName>
    <definedName name="UAcct105Snpt">'[9]Func Study'!$AB$2007</definedName>
    <definedName name="UAcct1081390">'[9]Func Study'!$AB$2451</definedName>
    <definedName name="UAcct1081390Rcl">'[9]Func Study'!$AB$2450</definedName>
    <definedName name="UAcct1081399">'[9]Func Study'!$AB$2459</definedName>
    <definedName name="UAcct1081399Rcl">'[9]Func Study'!$AB$2458</definedName>
    <definedName name="UAcct108360">'[9]Func Study'!$AB$2355</definedName>
    <definedName name="UAcct108361">'[9]Func Study'!$AB$2359</definedName>
    <definedName name="UAcct108362">'[9]Func Study'!$AB$2363</definedName>
    <definedName name="UAcct108364">'[9]Func Study'!$AB$2367</definedName>
    <definedName name="UAcct108365">'[9]Func Study'!$AB$2371</definedName>
    <definedName name="UAcct108366">'[9]Func Study'!$AB$2375</definedName>
    <definedName name="UAcct108367">'[9]Func Study'!$AB$2379</definedName>
    <definedName name="UAcct108368">'[9]Func Study'!$AB$2383</definedName>
    <definedName name="UAcct108369">'[9]Func Study'!$AB$2387</definedName>
    <definedName name="UAcct108370">'[9]Func Study'!$AB$2391</definedName>
    <definedName name="UAcct108371">'[9]Func Study'!$AB$2395</definedName>
    <definedName name="UAcct108372">'[9]Func Study'!$AB$2399</definedName>
    <definedName name="UAcct108373">'[9]Func Study'!$AB$2403</definedName>
    <definedName name="UAcct108D">'[9]Func Study'!$AB$2415</definedName>
    <definedName name="UAcct108D00">'[9]Func Study'!$AB$2407</definedName>
    <definedName name="UAcct108Ds">'[9]Func Study'!$AB$2411</definedName>
    <definedName name="UAcct108Ep">'[9]Func Study'!$AB$2327</definedName>
    <definedName name="UAcct108Gpcn">'[9]Func Study'!$AB$2429</definedName>
    <definedName name="UAcct108Gps">'[9]Func Study'!$AB$2425</definedName>
    <definedName name="UAcct108Gpse">'[9]Func Study'!$AB$2431</definedName>
    <definedName name="UAcct108Gpsg">'[9]Func Study'!$AB$2428</definedName>
    <definedName name="UAcct108Gpsgp">'[9]Func Study'!$AB$2426</definedName>
    <definedName name="UAcct108Gpsgu">'[9]Func Study'!$AB$2427</definedName>
    <definedName name="UAcct108Gpso">'[9]Func Study'!$AB$2430</definedName>
    <definedName name="UACCT108GPSSGCH">'[9]Func Study'!$AB$2434</definedName>
    <definedName name="UACCT108GPSSGCT">'[9]Func Study'!$AB$2433</definedName>
    <definedName name="UAcct108Hp">'[9]Func Study'!$AB$2313</definedName>
    <definedName name="UAcct108Mp">'[9]Func Study'!$AB$2444</definedName>
    <definedName name="UAcct108Np">'[9]Func Study'!$AB$2305</definedName>
    <definedName name="UAcct108Op">'[9]Func Study'!$AB$2322</definedName>
    <definedName name="UACCT108OPSSCCT">'[9]Func Study'!$AB$2321</definedName>
    <definedName name="UAcct108Sp">'[9]Func Study'!$AB$2299</definedName>
    <definedName name="UACCT108SPSSGCH">'[9]Func Study'!$AB$2298</definedName>
    <definedName name="UAcct108Tp">'[9]Func Study'!$AB$2346</definedName>
    <definedName name="UAcct111Clg">'[9]Func Study'!$AB$2487</definedName>
    <definedName name="UAcct111Clgsou">'[9]Func Study'!$AB$2485</definedName>
    <definedName name="UAcct111Clh">'[9]Func Study'!$AB$2493</definedName>
    <definedName name="UAcct111Cls">'[9]Func Study'!$AB$2478</definedName>
    <definedName name="UAcct111Ipcn">'[9]Func Study'!$AB$2502</definedName>
    <definedName name="UAcct111Ips">'[9]Func Study'!$AB$2497</definedName>
    <definedName name="UAcct111Ipse">'[9]Func Study'!$AB$2500</definedName>
    <definedName name="UAcct111Ipsg">'[9]Func Study'!$AB$2501</definedName>
    <definedName name="UAcct111Ipsgp">'[9]Func Study'!$AB$2498</definedName>
    <definedName name="UAcct111Ipsgu">'[9]Func Study'!$AB$2499</definedName>
    <definedName name="UAcct111Ipso">'[9]Func Study'!$AB$2506</definedName>
    <definedName name="UACCT111IPSSGCH">'[9]Func Study'!$AB$2505</definedName>
    <definedName name="UACCT111IPSSGCT">'[9]Func Study'!$AB$2504</definedName>
    <definedName name="UAcct114">'[9]Func Study'!$AB$2017</definedName>
    <definedName name="UACCT115" localSheetId="10">'[11]Functional Study'!#REF!</definedName>
    <definedName name="UACCT115" localSheetId="11">'[11]Functional Study'!#REF!</definedName>
    <definedName name="UACCT115" localSheetId="13">'[11]Functional Study'!#REF!</definedName>
    <definedName name="UACCT115" localSheetId="9">'[11]Functional Study'!#REF!</definedName>
    <definedName name="UACCT115" localSheetId="7">'[11]Functional Study'!#REF!</definedName>
    <definedName name="UACCT115" localSheetId="8">'[11]Functional Study'!#REF!</definedName>
    <definedName name="UACCT115" localSheetId="12">'[11]Functional Study'!#REF!</definedName>
    <definedName name="UACCT115">'[11]Functional Study'!#REF!</definedName>
    <definedName name="UACCT115DGP" localSheetId="10">'[11]Functional Study'!#REF!</definedName>
    <definedName name="UACCT115DGP" localSheetId="11">'[11]Functional Study'!#REF!</definedName>
    <definedName name="UACCT115DGP" localSheetId="13">'[11]Functional Study'!#REF!</definedName>
    <definedName name="UACCT115DGP" localSheetId="9">'[11]Functional Study'!#REF!</definedName>
    <definedName name="UACCT115DGP" localSheetId="7">'[11]Functional Study'!#REF!</definedName>
    <definedName name="UACCT115DGP" localSheetId="8">'[11]Functional Study'!#REF!</definedName>
    <definedName name="UACCT115DGP" localSheetId="12">'[11]Functional Study'!#REF!</definedName>
    <definedName name="UACCT115DGP">'[11]Functional Study'!#REF!</definedName>
    <definedName name="UACCT115SG" localSheetId="10">'[11]Functional Study'!#REF!</definedName>
    <definedName name="UACCT115SG" localSheetId="11">'[11]Functional Study'!#REF!</definedName>
    <definedName name="UACCT115SG" localSheetId="13">'[11]Functional Study'!#REF!</definedName>
    <definedName name="UACCT115SG" localSheetId="9">'[11]Functional Study'!#REF!</definedName>
    <definedName name="UACCT115SG" localSheetId="7">'[11]Functional Study'!#REF!</definedName>
    <definedName name="UACCT115SG" localSheetId="8">'[11]Functional Study'!#REF!</definedName>
    <definedName name="UACCT115SG" localSheetId="12">'[11]Functional Study'!#REF!</definedName>
    <definedName name="UACCT115SG">'[11]Functional Study'!#REF!</definedName>
    <definedName name="UAcct120">'[9]Func Study'!$AB$2021</definedName>
    <definedName name="UAcct124">'[9]Func Study'!$AB$2026</definedName>
    <definedName name="UAcct141">'[9]Func Study'!$AB$2173</definedName>
    <definedName name="UAcct151">'[9]Func Study'!$AB$2049</definedName>
    <definedName name="Uacct151SSECT">'[9]Func Study'!$AB$2047</definedName>
    <definedName name="UAcct154">'[9]Func Study'!$AB$2083</definedName>
    <definedName name="Uacct154SSGCT">'[9]Func Study'!$AB$2080</definedName>
    <definedName name="UAcct163">'[9]Func Study'!$AB$2093</definedName>
    <definedName name="UAcct165">'[9]Func Study'!$AB$2108</definedName>
    <definedName name="UAcct165Gps">'[9]Func Study'!$AB$2104</definedName>
    <definedName name="UAcct182">'[9]Func Study'!$AB$2033</definedName>
    <definedName name="UAcct18222">'[9]Func Study'!$AB$2163</definedName>
    <definedName name="UAcct182M">'[9]Func Study'!$AB$2118</definedName>
    <definedName name="UAcct182MSSGCH">'[9]Func Study'!$AB$2113</definedName>
    <definedName name="UAcct186">'[9]Func Study'!$AB$2041</definedName>
    <definedName name="UAcct1869">'[9]Func Study'!$AB$2168</definedName>
    <definedName name="UAcct186M">'[9]Func Study'!$AB$2129</definedName>
    <definedName name="UAcct190">'[9]Func Study'!$AB$2243</definedName>
    <definedName name="UAcct190Baddebt">'[9]Func Study'!$AB$2237</definedName>
    <definedName name="UAcct190Dop">'[9]Func Study'!$AB$2235</definedName>
    <definedName name="UAcct2281">'[9]Func Study'!$AB$2191</definedName>
    <definedName name="UAcct2282">'[9]Func Study'!$AB$2195</definedName>
    <definedName name="UAcct2283">'[9]Func Study'!$AB$2200</definedName>
    <definedName name="UACCT22841SG">'[9]Func Study'!$AB$2205</definedName>
    <definedName name="UAcct22842">'[9]Func Study'!$AB$2211</definedName>
    <definedName name="UAcct22842Trojd" localSheetId="10">'[8]Func Study'!#REF!</definedName>
    <definedName name="UAcct22842Trojd" localSheetId="11">'[8]Func Study'!#REF!</definedName>
    <definedName name="UAcct22842Trojd" localSheetId="13">'[8]Func Study'!#REF!</definedName>
    <definedName name="UAcct22842Trojd" localSheetId="9">'[8]Func Study'!#REF!</definedName>
    <definedName name="UAcct22842Trojd" localSheetId="7">'[8]Func Study'!#REF!</definedName>
    <definedName name="UAcct22842Trojd" localSheetId="8">'[8]Func Study'!#REF!</definedName>
    <definedName name="UAcct22842Trojd" localSheetId="12">'[8]Func Study'!#REF!</definedName>
    <definedName name="UAcct22842Trojd">'[8]Func Study'!#REF!</definedName>
    <definedName name="UAcct235">'[9]Func Study'!$AB$2187</definedName>
    <definedName name="UACCT235CN">'[9]Func Study'!$AB$2186</definedName>
    <definedName name="UAcct252">'[9]Func Study'!$AB$2219</definedName>
    <definedName name="UAcct25316">'[9]Func Study'!$AB$2057</definedName>
    <definedName name="UAcct25317">'[9]Func Study'!$AB$2061</definedName>
    <definedName name="UAcct25318">'[9]Func Study'!$AB$2098</definedName>
    <definedName name="UAcct25319">'[9]Func Study'!$AB$2065</definedName>
    <definedName name="uacct25398">'[9]Func Study'!$AB$2222</definedName>
    <definedName name="UAcct25399">'[9]Func Study'!$AB$2230</definedName>
    <definedName name="UACCT254SO">'[9]Func Study'!$AB$2202</definedName>
    <definedName name="UAcct255">'[9]Func Study'!$AB$2284</definedName>
    <definedName name="UAcct281">'[9]Func Study'!$AB$2249</definedName>
    <definedName name="UAcct282">'[9]Func Study'!$AB$2259</definedName>
    <definedName name="UAcct282Cn">'[9]Func Study'!$AB$2256</definedName>
    <definedName name="UAcct282So">'[9]Func Study'!$AB$2255</definedName>
    <definedName name="UAcct283">'[9]Func Study'!$AB$2271</definedName>
    <definedName name="UAcct283So">'[9]Func Study'!$AB$2265</definedName>
    <definedName name="UAcct301S">'[9]Func Study'!$AB$1964</definedName>
    <definedName name="UAcct301Sg">'[9]Func Study'!$AB$1966</definedName>
    <definedName name="UAcct301So">'[9]Func Study'!$AB$1965</definedName>
    <definedName name="UAcct302S">'[9]Func Study'!$AB$1969</definedName>
    <definedName name="UAcct302Sg">'[9]Func Study'!$AB$1970</definedName>
    <definedName name="UAcct302Sgp">'[9]Func Study'!$AB$1971</definedName>
    <definedName name="UAcct302Sgu">'[9]Func Study'!$AB$1972</definedName>
    <definedName name="UAcct303Cn">'[9]Func Study'!$AB$1980</definedName>
    <definedName name="UAcct303S">'[9]Func Study'!$AB$1976</definedName>
    <definedName name="UAcct303Se">'[9]Func Study'!$AB$1979</definedName>
    <definedName name="UAcct303Sg">'[9]Func Study'!$AB$1977</definedName>
    <definedName name="UAcct303Sgu">'[9]Func Study'!$AB$1981</definedName>
    <definedName name="UAcct303So">'[9]Func Study'!$AB$1978</definedName>
    <definedName name="UACCT303SSGCH">'[9]Func Study'!$AB$1983</definedName>
    <definedName name="UAcct310">'[9]Func Study'!$AB$1414</definedName>
    <definedName name="UAcct310JBG">'[9]Func Study'!$AB$1413</definedName>
    <definedName name="UAcct311">'[9]Func Study'!$AB$1421</definedName>
    <definedName name="UAcct311JBG">'[9]Func Study'!$AB$1420</definedName>
    <definedName name="UAcct312">'[9]Func Study'!$AB$1428</definedName>
    <definedName name="UAcct312JBG">'[9]Func Study'!$AB$1427</definedName>
    <definedName name="UAcct314">'[9]Func Study'!$AB$1435</definedName>
    <definedName name="UAcct314JBG">'[9]Func Study'!$AB$1434</definedName>
    <definedName name="UAcct315">'[9]Func Study'!$AB$1442</definedName>
    <definedName name="UAcct315JBG">'[9]Func Study'!$AB$1441</definedName>
    <definedName name="UAcct316">'[9]Func Study'!$AB$1450</definedName>
    <definedName name="UAcct316JBG">'[9]Func Study'!$AB$1449</definedName>
    <definedName name="UAcct320">'[9]Func Study'!$AB$1466</definedName>
    <definedName name="UAcct321">'[9]Func Study'!$AB$1471</definedName>
    <definedName name="UAcct322">'[9]Func Study'!$AB$1476</definedName>
    <definedName name="UAcct323">'[9]Func Study'!$AB$1481</definedName>
    <definedName name="UAcct324">'[9]Func Study'!$AB$1486</definedName>
    <definedName name="UAcct325">'[9]Func Study'!$AB$1491</definedName>
    <definedName name="UAcct33">'[9]Func Study'!$AB$295</definedName>
    <definedName name="UAcct330">'[9]Func Study'!$AB$1508</definedName>
    <definedName name="UAcct331">'[9]Func Study'!$AB$1513</definedName>
    <definedName name="UAcct332">'[9]Func Study'!$AB$1518</definedName>
    <definedName name="UAcct333">'[9]Func Study'!$AB$1523</definedName>
    <definedName name="UAcct334">'[9]Func Study'!$AB$1528</definedName>
    <definedName name="UAcct335">'[9]Func Study'!$AB$1533</definedName>
    <definedName name="UAcct336">'[9]Func Study'!$AB$1539</definedName>
    <definedName name="UAcct340Dgu">'[9]Func Study'!$AB$1564</definedName>
    <definedName name="UAcct340Sgu">'[9]Func Study'!$AB$1565</definedName>
    <definedName name="UAcct341Dgu">'[9]Func Study'!$AB$1569</definedName>
    <definedName name="UAcct341Sgu">'[9]Func Study'!$AB$1570</definedName>
    <definedName name="UAcct342Dgu">'[9]Func Study'!$AB$1574</definedName>
    <definedName name="UAcct342Sgu">'[9]Func Study'!$AB$1575</definedName>
    <definedName name="UAcct343">'[9]Func Study'!$AB$1584</definedName>
    <definedName name="UAcct344S">'[9]Func Study'!$AB$1587</definedName>
    <definedName name="UAcct344Sgp">'[9]Func Study'!$AB$1588</definedName>
    <definedName name="UAcct345Dgu">'[9]Func Study'!$AB$1594</definedName>
    <definedName name="UAcct345Sgu">'[9]Func Study'!$AB$1595</definedName>
    <definedName name="UAcct346">'[9]Func Study'!$AB$1601</definedName>
    <definedName name="UAcct350">'[9]Func Study'!$AB$1628</definedName>
    <definedName name="UAcct352">'[9]Func Study'!$AB$1635</definedName>
    <definedName name="UAcct353">'[9]Func Study'!$AB$1641</definedName>
    <definedName name="UAcct354">'[9]Func Study'!$AB$1647</definedName>
    <definedName name="UAcct355">'[9]Func Study'!$AB$1654</definedName>
    <definedName name="UAcct356">'[9]Func Study'!$AB$1660</definedName>
    <definedName name="UAcct357">'[9]Func Study'!$AB$1666</definedName>
    <definedName name="UAcct358">'[9]Func Study'!$AB$1672</definedName>
    <definedName name="UAcct359">'[9]Func Study'!$AB$1678</definedName>
    <definedName name="UAcct360">'[9]Func Study'!$AB$1698</definedName>
    <definedName name="UAcct361">'[9]Func Study'!$AB$1704</definedName>
    <definedName name="UAcct362">'[9]Func Study'!$AB$1710</definedName>
    <definedName name="UAcct368">'[9]Func Study'!$AB$1744</definedName>
    <definedName name="UAcct369">'[9]Func Study'!$AB$1751</definedName>
    <definedName name="UAcct370">'[9]Func Study'!$AB$1762</definedName>
    <definedName name="UAcct372A">'[9]Func Study'!$AB$1775</definedName>
    <definedName name="UAcct372Dp">'[9]Func Study'!$AB$1773</definedName>
    <definedName name="UAcct372Ds">'[9]Func Study'!$AB$1774</definedName>
    <definedName name="UAcct373">'[9]Func Study'!$AB$1782</definedName>
    <definedName name="UAcct389Cn">'[9]Func Study'!$AB$1800</definedName>
    <definedName name="UAcct389S">'[9]Func Study'!$AB$1799</definedName>
    <definedName name="UAcct389Sg">'[9]Func Study'!$AB$1802</definedName>
    <definedName name="UAcct389Sgu">'[9]Func Study'!$AB$1801</definedName>
    <definedName name="UAcct389So">'[9]Func Study'!$AB$1803</definedName>
    <definedName name="UAcct390Cn">'[9]Func Study'!$AB$1810</definedName>
    <definedName name="UAcct390JBG">'[9]Func Study'!$AB$1812</definedName>
    <definedName name="UAcct390L">'[9]Func Study'!$AB$1927</definedName>
    <definedName name="UACCT390LRCL">'[9]Func Study'!$AB$1929</definedName>
    <definedName name="UAcct390S">'[9]Func Study'!$AB$1807</definedName>
    <definedName name="UAcct390Sgp">'[9]Func Study'!$AB$1808</definedName>
    <definedName name="UAcct390Sgu">'[9]Func Study'!$AB$1809</definedName>
    <definedName name="UAcct390Sop">'[9]Func Study'!$AB$1811</definedName>
    <definedName name="UAcct390Sou">'[9]Func Study'!$AB$1813</definedName>
    <definedName name="UAcct391Cn">'[9]Func Study'!$AB$1820</definedName>
    <definedName name="UACCT391JBE">'[9]Func Study'!$AB$1825</definedName>
    <definedName name="UAcct391S">'[9]Func Study'!$AB$1817</definedName>
    <definedName name="UAcct391Sg">'[9]Func Study'!$AB$1821</definedName>
    <definedName name="UAcct391Sgp">'[9]Func Study'!$AB$1818</definedName>
    <definedName name="UAcct391Sgu">'[9]Func Study'!$AB$1819</definedName>
    <definedName name="UAcct391So">'[9]Func Study'!$AB$1823</definedName>
    <definedName name="UACCT391SSGCH">'[9]Func Study'!$AB$1824</definedName>
    <definedName name="UAcct392Cn">'[9]Func Study'!$AB$1832</definedName>
    <definedName name="UAcct392L">'[9]Func Study'!$AB$1935</definedName>
    <definedName name="UAcct392Lrcl">'[9]Func Study'!$AB$1937</definedName>
    <definedName name="UAcct392S">'[9]Func Study'!$AB$1829</definedName>
    <definedName name="UAcct392Se">'[9]Func Study'!$AB$1834</definedName>
    <definedName name="UAcct392Sg">'[9]Func Study'!$AB$1831</definedName>
    <definedName name="UAcct392Sgp">'[9]Func Study'!$AB$1835</definedName>
    <definedName name="UAcct392Sgu">'[9]Func Study'!$AB$1833</definedName>
    <definedName name="UAcct392So">'[9]Func Study'!$AB$1830</definedName>
    <definedName name="UACCT392SSGCH">'[9]Func Study'!$AB$1836</definedName>
    <definedName name="UAcct393S">'[9]Func Study'!$AB$1841</definedName>
    <definedName name="UAcct393Sg">'[9]Func Study'!$AB$1845</definedName>
    <definedName name="UAcct393Sgp">'[9]Func Study'!$AB$1842</definedName>
    <definedName name="UAcct393Sgu">'[9]Func Study'!$AB$1843</definedName>
    <definedName name="UAcct393So">'[9]Func Study'!$AB$1844</definedName>
    <definedName name="UACCT393SSGCT">'[9]Func Study'!$AB$1846</definedName>
    <definedName name="UAcct394S">'[9]Func Study'!$AB$1850</definedName>
    <definedName name="UAcct394Se">'[9]Func Study'!$AB$1854</definedName>
    <definedName name="UAcct394Sg">'[9]Func Study'!$AB$1855</definedName>
    <definedName name="UAcct394Sgp">'[9]Func Study'!$AB$1851</definedName>
    <definedName name="UAcct394Sgu">'[9]Func Study'!$AB$1852</definedName>
    <definedName name="UAcct394So">'[9]Func Study'!$AB$1853</definedName>
    <definedName name="UACCT394SSGCH">'[9]Func Study'!$AB$1856</definedName>
    <definedName name="UAcct395S">'[9]Func Study'!$AB$1861</definedName>
    <definedName name="UAcct395Se">'[9]Func Study'!$AB$1865</definedName>
    <definedName name="UAcct395Sg">'[9]Func Study'!$AB$1866</definedName>
    <definedName name="UAcct395Sgp">'[9]Func Study'!$AB$1862</definedName>
    <definedName name="UAcct395Sgu">'[9]Func Study'!$AB$1863</definedName>
    <definedName name="UAcct395So">'[9]Func Study'!$AB$1864</definedName>
    <definedName name="UACCT395SSGCH">'[9]Func Study'!$AB$1867</definedName>
    <definedName name="UAcct396S">'[9]Func Study'!$AB$1872</definedName>
    <definedName name="UAcct396Se">'[9]Func Study'!$AB$1877</definedName>
    <definedName name="UAcct396Sg">'[9]Func Study'!$AB$1874</definedName>
    <definedName name="UAcct396Sgp">'[9]Func Study'!$AB$1873</definedName>
    <definedName name="UAcct396Sgu">'[9]Func Study'!$AB$1876</definedName>
    <definedName name="UAcct396So">'[9]Func Study'!$AB$1875</definedName>
    <definedName name="UACCT396SSGCH">'[9]Func Study'!$AB$1879</definedName>
    <definedName name="UACCT396SSGCT">'[9]Func Study'!$AB$1878</definedName>
    <definedName name="UAcct397Cn">'[9]Func Study'!$AB$1890</definedName>
    <definedName name="UAcct397JBG">'[9]Func Study'!$AB$1893</definedName>
    <definedName name="UAcct397S">'[9]Func Study'!$AB$1886</definedName>
    <definedName name="UAcct397Se">'[9]Func Study'!$AB$1892</definedName>
    <definedName name="UAcct397Sg">'[9]Func Study'!$AB$1891</definedName>
    <definedName name="UAcct397Sgp">'[9]Func Study'!$AB$1887</definedName>
    <definedName name="UAcct397Sgu">'[9]Func Study'!$AB$1888</definedName>
    <definedName name="UAcct397So">'[9]Func Study'!$AB$1889</definedName>
    <definedName name="UAcct398Cn">'[9]Func Study'!$AB$1902</definedName>
    <definedName name="UAcct398S">'[9]Func Study'!$AB$1899</definedName>
    <definedName name="UAcct398Se">'[9]Func Study'!$AB$1904</definedName>
    <definedName name="UAcct398Sg">'[9]Func Study'!$AB$1905</definedName>
    <definedName name="UAcct398Sgp">'[9]Func Study'!$AB$1900</definedName>
    <definedName name="UAcct398Sgu">'[9]Func Study'!$AB$1901</definedName>
    <definedName name="UAcct398So">'[9]Func Study'!$AB$1903</definedName>
    <definedName name="UACCT398SSGCT">'[9]Func Study'!$AB$1906</definedName>
    <definedName name="UAcct399">'[9]Func Study'!$AB$1913</definedName>
    <definedName name="UAcct399G">'[9]Func Study'!$AB$1955</definedName>
    <definedName name="UAcct399L">'[9]Func Study'!$AB$1917</definedName>
    <definedName name="UAcct399Lrcl">'[9]Func Study'!$AB$1919</definedName>
    <definedName name="UAcct403360">'[9]Func Study'!$AB$1090</definedName>
    <definedName name="UAcct403361">'[9]Func Study'!$AB$1091</definedName>
    <definedName name="UAcct403362">'[9]Func Study'!$AB$1092</definedName>
    <definedName name="UAcct403364">'[9]Func Study'!$AB$1094</definedName>
    <definedName name="UAcct403365">'[9]Func Study'!$AB$1095</definedName>
    <definedName name="UAcct403366">'[9]Func Study'!$AB$1096</definedName>
    <definedName name="UAcct403367">'[9]Func Study'!$AB$1097</definedName>
    <definedName name="UAcct403368">'[9]Func Study'!$AB$1098</definedName>
    <definedName name="UAcct403369">'[9]Func Study'!$AB$1099</definedName>
    <definedName name="UAcct403370">'[9]Func Study'!$AB$1100</definedName>
    <definedName name="UAcct403371">'[9]Func Study'!$AB$1101</definedName>
    <definedName name="UAcct403372">'[9]Func Study'!$AB$1102</definedName>
    <definedName name="UAcct403373">'[9]Func Study'!$AB$1103</definedName>
    <definedName name="UAcct403Ep">'[9]Func Study'!$AB$1130</definedName>
    <definedName name="UAcct403Gpcn">'[9]Func Study'!$AB$1111</definedName>
    <definedName name="UAcct403GPDGP">'[9]Func Study'!$AB$1108</definedName>
    <definedName name="UAcct403GPDGU">'[9]Func Study'!$AB$1109</definedName>
    <definedName name="UAcct403GPJBG">'[9]Func Study'!$AB$1115</definedName>
    <definedName name="UAcct403Gps">'[9]Func Study'!$AB$1107</definedName>
    <definedName name="UAcct403Gpsg">'[9]Func Study'!$AB$1112</definedName>
    <definedName name="UAcct403Gpso">'[9]Func Study'!$AB$1113</definedName>
    <definedName name="UAcct403Gv0">'[9]Func Study'!$AB$1121</definedName>
    <definedName name="UAcct403Hp">'[9]Func Study'!$AB$1072</definedName>
    <definedName name="UACCT403JBE">'[9]Func Study'!$AB$1116</definedName>
    <definedName name="UAcct403Mp">'[9]Func Study'!$AB$1125</definedName>
    <definedName name="UAcct403Np">'[9]Func Study'!$AB$1065</definedName>
    <definedName name="UAcct403Op">'[9]Func Study'!$AB$1080</definedName>
    <definedName name="UAcct403OPCAGE">'[9]Func Study'!$AB$1078</definedName>
    <definedName name="UAcct403Sp">'[9]Func Study'!$AB$1061</definedName>
    <definedName name="UAcct403SPJBG">'[9]Func Study'!$AB$1058</definedName>
    <definedName name="UAcct403Tp">'[9]Func Study'!$AB$1087</definedName>
    <definedName name="UAcct404330">'[9]Func Study'!$AB$1177</definedName>
    <definedName name="UACCT404GP">'[9]Func Study'!$AB$1146</definedName>
    <definedName name="UACCT404GPCN">'[9]Func Study'!$AB$1143</definedName>
    <definedName name="UACCT404GPSO">'[9]Func Study'!$AB$1141</definedName>
    <definedName name="UAcct404Ipcn">'[9]Func Study'!$AB$1158</definedName>
    <definedName name="UAcct404IPJBG">'[9]Func Study'!$AB$1163</definedName>
    <definedName name="UAcct404Ips">'[9]Func Study'!$AB$1154</definedName>
    <definedName name="UAcct404Ipse">'[9]Func Study'!$AB$1155</definedName>
    <definedName name="UAcct404Ipsg">'[9]Func Study'!$AB$1156</definedName>
    <definedName name="UAcct404Ipsg1">'[9]Func Study'!$AB$1159</definedName>
    <definedName name="UAcct404Ipsg2">'[9]Func Study'!$AB$1160</definedName>
    <definedName name="UAcct404Ipso">'[9]Func Study'!$AB$1157</definedName>
    <definedName name="UAcct404M">'[9]Func Study'!$AB$1168</definedName>
    <definedName name="UACCT404OP">'[9]Func Study'!$AB$1172</definedName>
    <definedName name="UACCT404SP">'[9]Func Study'!$AB$1151</definedName>
    <definedName name="UAcct405">'[9]Func Study'!$AB$1185</definedName>
    <definedName name="UAcct406">'[9]Func Study'!$AB$1193</definedName>
    <definedName name="UAcct407">'[9]Func Study'!$AB$1202</definedName>
    <definedName name="UAcct408">'[9]Func Study'!$AB$1221</definedName>
    <definedName name="UAcct408S">'[9]Func Study'!$AB$1213</definedName>
    <definedName name="UAcct41010">'[9]Func Study'!$AB$1294</definedName>
    <definedName name="UAcct41011">'[9]Func Study'!$AB$1309</definedName>
    <definedName name="UACCT41020" localSheetId="10">'[10]Functional Study'!#REF!</definedName>
    <definedName name="UACCT41020" localSheetId="11">'[10]Functional Study'!#REF!</definedName>
    <definedName name="UACCT41020" localSheetId="13">'[10]Functional Study'!#REF!</definedName>
    <definedName name="UACCT41020" localSheetId="9">'[10]Functional Study'!#REF!</definedName>
    <definedName name="UACCT41020" localSheetId="7">'[10]Functional Study'!#REF!</definedName>
    <definedName name="UACCT41020" localSheetId="8">'[10]Functional Study'!#REF!</definedName>
    <definedName name="UACCT41020" localSheetId="12">'[10]Functional Study'!#REF!</definedName>
    <definedName name="UACCT41020">'[10]Functional Study'!#REF!</definedName>
    <definedName name="UACCT41020BADDEBT" localSheetId="10">'[10]Functional Study'!#REF!</definedName>
    <definedName name="UACCT41020BADDEBT" localSheetId="11">'[10]Functional Study'!#REF!</definedName>
    <definedName name="UACCT41020BADDEBT" localSheetId="13">'[10]Functional Study'!#REF!</definedName>
    <definedName name="UACCT41020BADDEBT" localSheetId="9">'[10]Functional Study'!#REF!</definedName>
    <definedName name="UACCT41020BADDEBT" localSheetId="7">'[10]Functional Study'!#REF!</definedName>
    <definedName name="UACCT41020BADDEBT" localSheetId="8">'[10]Functional Study'!#REF!</definedName>
    <definedName name="UACCT41020BADDEBT" localSheetId="12">'[10]Functional Study'!#REF!</definedName>
    <definedName name="UACCT41020BADDEBT">'[10]Functional Study'!#REF!</definedName>
    <definedName name="UACCT41020DITEXP" localSheetId="10">'[10]Functional Study'!#REF!</definedName>
    <definedName name="UACCT41020DITEXP" localSheetId="11">'[10]Functional Study'!#REF!</definedName>
    <definedName name="UACCT41020DITEXP" localSheetId="13">'[10]Functional Study'!#REF!</definedName>
    <definedName name="UACCT41020DITEXP" localSheetId="9">'[10]Functional Study'!#REF!</definedName>
    <definedName name="UACCT41020DITEXP" localSheetId="7">'[10]Functional Study'!#REF!</definedName>
    <definedName name="UACCT41020DITEXP" localSheetId="8">'[10]Functional Study'!#REF!</definedName>
    <definedName name="UACCT41020DITEXP" localSheetId="12">'[10]Functional Study'!#REF!</definedName>
    <definedName name="UACCT41020DITEXP">'[10]Functional Study'!#REF!</definedName>
    <definedName name="UACCT41020DNPU" localSheetId="10">'[10]Functional Study'!#REF!</definedName>
    <definedName name="UACCT41020DNPU" localSheetId="11">'[10]Functional Study'!#REF!</definedName>
    <definedName name="UACCT41020DNPU" localSheetId="13">'[10]Functional Study'!#REF!</definedName>
    <definedName name="UACCT41020DNPU" localSheetId="9">'[10]Functional Study'!#REF!</definedName>
    <definedName name="UACCT41020DNPU" localSheetId="7">'[10]Functional Study'!#REF!</definedName>
    <definedName name="UACCT41020DNPU" localSheetId="8">'[10]Functional Study'!#REF!</definedName>
    <definedName name="UACCT41020DNPU" localSheetId="12">'[10]Functional Study'!#REF!</definedName>
    <definedName name="UACCT41020DNPU">'[10]Functional Study'!#REF!</definedName>
    <definedName name="UACCT41020S" localSheetId="10">'[10]Functional Study'!#REF!</definedName>
    <definedName name="UACCT41020S" localSheetId="11">'[10]Functional Study'!#REF!</definedName>
    <definedName name="UACCT41020S" localSheetId="13">'[10]Functional Study'!#REF!</definedName>
    <definedName name="UACCT41020S" localSheetId="9">'[10]Functional Study'!#REF!</definedName>
    <definedName name="UACCT41020S" localSheetId="7">'[10]Functional Study'!#REF!</definedName>
    <definedName name="UACCT41020S" localSheetId="8">'[10]Functional Study'!#REF!</definedName>
    <definedName name="UACCT41020S" localSheetId="12">'[10]Functional Study'!#REF!</definedName>
    <definedName name="UACCT41020S">'[10]Functional Study'!#REF!</definedName>
    <definedName name="UACCT41020SE" localSheetId="10">'[10]Functional Study'!#REF!</definedName>
    <definedName name="UACCT41020SE" localSheetId="11">'[10]Functional Study'!#REF!</definedName>
    <definedName name="UACCT41020SE" localSheetId="13">'[10]Functional Study'!#REF!</definedName>
    <definedName name="UACCT41020SE" localSheetId="9">'[10]Functional Study'!#REF!</definedName>
    <definedName name="UACCT41020SE" localSheetId="7">'[10]Functional Study'!#REF!</definedName>
    <definedName name="UACCT41020SE" localSheetId="8">'[10]Functional Study'!#REF!</definedName>
    <definedName name="UACCT41020SE" localSheetId="12">'[10]Functional Study'!#REF!</definedName>
    <definedName name="UACCT41020SE">'[10]Functional Study'!#REF!</definedName>
    <definedName name="UACCT41020SG" localSheetId="10">'[10]Functional Study'!#REF!</definedName>
    <definedName name="UACCT41020SG" localSheetId="11">'[10]Functional Study'!#REF!</definedName>
    <definedName name="UACCT41020SG" localSheetId="13">'[10]Functional Study'!#REF!</definedName>
    <definedName name="UACCT41020SG" localSheetId="9">'[10]Functional Study'!#REF!</definedName>
    <definedName name="UACCT41020SG" localSheetId="7">'[10]Functional Study'!#REF!</definedName>
    <definedName name="UACCT41020SG" localSheetId="8">'[10]Functional Study'!#REF!</definedName>
    <definedName name="UACCT41020SG" localSheetId="12">'[10]Functional Study'!#REF!</definedName>
    <definedName name="UACCT41020SG">'[10]Functional Study'!#REF!</definedName>
    <definedName name="UACCT41020SGCT" localSheetId="10">'[10]Functional Study'!#REF!</definedName>
    <definedName name="UACCT41020SGCT" localSheetId="11">'[10]Functional Study'!#REF!</definedName>
    <definedName name="UACCT41020SGCT" localSheetId="13">'[10]Functional Study'!#REF!</definedName>
    <definedName name="UACCT41020SGCT" localSheetId="9">'[10]Functional Study'!#REF!</definedName>
    <definedName name="UACCT41020SGCT" localSheetId="7">'[10]Functional Study'!#REF!</definedName>
    <definedName name="UACCT41020SGCT" localSheetId="8">'[10]Functional Study'!#REF!</definedName>
    <definedName name="UACCT41020SGCT" localSheetId="12">'[10]Functional Study'!#REF!</definedName>
    <definedName name="UACCT41020SGCT">'[10]Functional Study'!#REF!</definedName>
    <definedName name="UACCT41020SGPP" localSheetId="10">'[10]Functional Study'!#REF!</definedName>
    <definedName name="UACCT41020SGPP" localSheetId="11">'[10]Functional Study'!#REF!</definedName>
    <definedName name="UACCT41020SGPP" localSheetId="13">'[10]Functional Study'!#REF!</definedName>
    <definedName name="UACCT41020SGPP" localSheetId="9">'[10]Functional Study'!#REF!</definedName>
    <definedName name="UACCT41020SGPP" localSheetId="7">'[10]Functional Study'!#REF!</definedName>
    <definedName name="UACCT41020SGPP" localSheetId="8">'[10]Functional Study'!#REF!</definedName>
    <definedName name="UACCT41020SGPP" localSheetId="12">'[10]Functional Study'!#REF!</definedName>
    <definedName name="UACCT41020SGPP">'[10]Functional Study'!#REF!</definedName>
    <definedName name="UACCT41020SO" localSheetId="10">'[10]Functional Study'!#REF!</definedName>
    <definedName name="UACCT41020SO" localSheetId="11">'[10]Functional Study'!#REF!</definedName>
    <definedName name="UACCT41020SO" localSheetId="13">'[10]Functional Study'!#REF!</definedName>
    <definedName name="UACCT41020SO" localSheetId="9">'[10]Functional Study'!#REF!</definedName>
    <definedName name="UACCT41020SO" localSheetId="7">'[10]Functional Study'!#REF!</definedName>
    <definedName name="UACCT41020SO" localSheetId="8">'[10]Functional Study'!#REF!</definedName>
    <definedName name="UACCT41020SO" localSheetId="12">'[10]Functional Study'!#REF!</definedName>
    <definedName name="UACCT41020SO">'[10]Functional Study'!#REF!</definedName>
    <definedName name="UACCT41020TROJP" localSheetId="10">'[10]Functional Study'!#REF!</definedName>
    <definedName name="UACCT41020TROJP" localSheetId="11">'[10]Functional Study'!#REF!</definedName>
    <definedName name="UACCT41020TROJP" localSheetId="13">'[10]Functional Study'!#REF!</definedName>
    <definedName name="UACCT41020TROJP" localSheetId="9">'[10]Functional Study'!#REF!</definedName>
    <definedName name="UACCT41020TROJP" localSheetId="7">'[10]Functional Study'!#REF!</definedName>
    <definedName name="UACCT41020TROJP" localSheetId="8">'[10]Functional Study'!#REF!</definedName>
    <definedName name="UACCT41020TROJP" localSheetId="12">'[10]Functional Study'!#REF!</definedName>
    <definedName name="UACCT41020TROJP">'[10]Functional Study'!#REF!</definedName>
    <definedName name="UACCT4102SNPD" localSheetId="10">'[10]Functional Study'!#REF!</definedName>
    <definedName name="UACCT4102SNPD" localSheetId="11">'[10]Functional Study'!#REF!</definedName>
    <definedName name="UACCT4102SNPD" localSheetId="13">'[10]Functional Study'!#REF!</definedName>
    <definedName name="UACCT4102SNPD" localSheetId="9">'[10]Functional Study'!#REF!</definedName>
    <definedName name="UACCT4102SNPD" localSheetId="7">'[10]Functional Study'!#REF!</definedName>
    <definedName name="UACCT4102SNPD" localSheetId="8">'[10]Functional Study'!#REF!</definedName>
    <definedName name="UACCT4102SNPD" localSheetId="12">'[10]Functional Study'!#REF!</definedName>
    <definedName name="UACCT4102SNPD">'[10]Functional Study'!#REF!</definedName>
    <definedName name="UAcct41110">'[9]Func Study'!$AB$1325</definedName>
    <definedName name="UAcct41111" localSheetId="10">'[10]Functional Study'!#REF!</definedName>
    <definedName name="UAcct41111" localSheetId="11">'[10]Functional Study'!#REF!</definedName>
    <definedName name="UAcct41111" localSheetId="13">'[10]Functional Study'!#REF!</definedName>
    <definedName name="UAcct41111" localSheetId="9">'[10]Functional Study'!#REF!</definedName>
    <definedName name="UAcct41111" localSheetId="7">'[10]Functional Study'!#REF!</definedName>
    <definedName name="UAcct41111" localSheetId="8">'[10]Functional Study'!#REF!</definedName>
    <definedName name="UAcct41111" localSheetId="12">'[10]Functional Study'!#REF!</definedName>
    <definedName name="UAcct41111">'[10]Functional Study'!#REF!</definedName>
    <definedName name="UAcct41111Baddebt" localSheetId="10">'[10]Functional Study'!#REF!</definedName>
    <definedName name="UAcct41111Baddebt" localSheetId="11">'[10]Functional Study'!#REF!</definedName>
    <definedName name="UAcct41111Baddebt" localSheetId="13">'[10]Functional Study'!#REF!</definedName>
    <definedName name="UAcct41111Baddebt" localSheetId="9">'[10]Functional Study'!#REF!</definedName>
    <definedName name="UAcct41111Baddebt" localSheetId="7">'[10]Functional Study'!#REF!</definedName>
    <definedName name="UAcct41111Baddebt" localSheetId="8">'[10]Functional Study'!#REF!</definedName>
    <definedName name="UAcct41111Baddebt" localSheetId="12">'[10]Functional Study'!#REF!</definedName>
    <definedName name="UAcct41111Baddebt">'[10]Functional Study'!#REF!</definedName>
    <definedName name="UAcct41111Dgp" localSheetId="10">'[10]Functional Study'!#REF!</definedName>
    <definedName name="UAcct41111Dgp" localSheetId="11">'[10]Functional Study'!#REF!</definedName>
    <definedName name="UAcct41111Dgp" localSheetId="13">'[10]Functional Study'!#REF!</definedName>
    <definedName name="UAcct41111Dgp" localSheetId="9">'[10]Functional Study'!#REF!</definedName>
    <definedName name="UAcct41111Dgp" localSheetId="7">'[10]Functional Study'!#REF!</definedName>
    <definedName name="UAcct41111Dgp" localSheetId="8">'[10]Functional Study'!#REF!</definedName>
    <definedName name="UAcct41111Dgp" localSheetId="12">'[10]Functional Study'!#REF!</definedName>
    <definedName name="UAcct41111Dgp">'[10]Functional Study'!#REF!</definedName>
    <definedName name="UAcct41111Dgu" localSheetId="10">'[10]Functional Study'!#REF!</definedName>
    <definedName name="UAcct41111Dgu" localSheetId="11">'[10]Functional Study'!#REF!</definedName>
    <definedName name="UAcct41111Dgu" localSheetId="13">'[10]Functional Study'!#REF!</definedName>
    <definedName name="UAcct41111Dgu" localSheetId="9">'[10]Functional Study'!#REF!</definedName>
    <definedName name="UAcct41111Dgu" localSheetId="7">'[10]Functional Study'!#REF!</definedName>
    <definedName name="UAcct41111Dgu" localSheetId="8">'[10]Functional Study'!#REF!</definedName>
    <definedName name="UAcct41111Dgu" localSheetId="12">'[10]Functional Study'!#REF!</definedName>
    <definedName name="UAcct41111Dgu">'[10]Functional Study'!#REF!</definedName>
    <definedName name="UAcct41111Ditexp" localSheetId="10">'[10]Functional Study'!#REF!</definedName>
    <definedName name="UAcct41111Ditexp" localSheetId="11">'[10]Functional Study'!#REF!</definedName>
    <definedName name="UAcct41111Ditexp" localSheetId="13">'[10]Functional Study'!#REF!</definedName>
    <definedName name="UAcct41111Ditexp" localSheetId="9">'[10]Functional Study'!#REF!</definedName>
    <definedName name="UAcct41111Ditexp" localSheetId="7">'[10]Functional Study'!#REF!</definedName>
    <definedName name="UAcct41111Ditexp" localSheetId="8">'[10]Functional Study'!#REF!</definedName>
    <definedName name="UAcct41111Ditexp" localSheetId="12">'[10]Functional Study'!#REF!</definedName>
    <definedName name="UAcct41111Ditexp">'[10]Functional Study'!#REF!</definedName>
    <definedName name="UAcct41111Dnpp" localSheetId="10">'[10]Functional Study'!#REF!</definedName>
    <definedName name="UAcct41111Dnpp" localSheetId="11">'[10]Functional Study'!#REF!</definedName>
    <definedName name="UAcct41111Dnpp" localSheetId="13">'[10]Functional Study'!#REF!</definedName>
    <definedName name="UAcct41111Dnpp" localSheetId="9">'[10]Functional Study'!#REF!</definedName>
    <definedName name="UAcct41111Dnpp" localSheetId="7">'[10]Functional Study'!#REF!</definedName>
    <definedName name="UAcct41111Dnpp" localSheetId="8">'[10]Functional Study'!#REF!</definedName>
    <definedName name="UAcct41111Dnpp" localSheetId="12">'[10]Functional Study'!#REF!</definedName>
    <definedName name="UAcct41111Dnpp">'[10]Functional Study'!#REF!</definedName>
    <definedName name="UAcct41111Dnptp" localSheetId="10">'[10]Functional Study'!#REF!</definedName>
    <definedName name="UAcct41111Dnptp" localSheetId="11">'[10]Functional Study'!#REF!</definedName>
    <definedName name="UAcct41111Dnptp" localSheetId="13">'[10]Functional Study'!#REF!</definedName>
    <definedName name="UAcct41111Dnptp" localSheetId="9">'[10]Functional Study'!#REF!</definedName>
    <definedName name="UAcct41111Dnptp" localSheetId="7">'[10]Functional Study'!#REF!</definedName>
    <definedName name="UAcct41111Dnptp" localSheetId="8">'[10]Functional Study'!#REF!</definedName>
    <definedName name="UAcct41111Dnptp" localSheetId="12">'[10]Functional Study'!#REF!</definedName>
    <definedName name="UAcct41111Dnptp">'[10]Functional Study'!#REF!</definedName>
    <definedName name="UAcct41111S" localSheetId="10">'[10]Functional Study'!#REF!</definedName>
    <definedName name="UAcct41111S" localSheetId="11">'[10]Functional Study'!#REF!</definedName>
    <definedName name="UAcct41111S" localSheetId="13">'[10]Functional Study'!#REF!</definedName>
    <definedName name="UAcct41111S" localSheetId="9">'[10]Functional Study'!#REF!</definedName>
    <definedName name="UAcct41111S" localSheetId="7">'[10]Functional Study'!#REF!</definedName>
    <definedName name="UAcct41111S" localSheetId="8">'[10]Functional Study'!#REF!</definedName>
    <definedName name="UAcct41111S" localSheetId="12">'[10]Functional Study'!#REF!</definedName>
    <definedName name="UAcct41111S">'[10]Functional Study'!#REF!</definedName>
    <definedName name="UAcct41111Se" localSheetId="10">'[10]Functional Study'!#REF!</definedName>
    <definedName name="UAcct41111Se" localSheetId="11">'[10]Functional Study'!#REF!</definedName>
    <definedName name="UAcct41111Se" localSheetId="13">'[10]Functional Study'!#REF!</definedName>
    <definedName name="UAcct41111Se" localSheetId="9">'[10]Functional Study'!#REF!</definedName>
    <definedName name="UAcct41111Se" localSheetId="7">'[10]Functional Study'!#REF!</definedName>
    <definedName name="UAcct41111Se" localSheetId="8">'[10]Functional Study'!#REF!</definedName>
    <definedName name="UAcct41111Se" localSheetId="12">'[10]Functional Study'!#REF!</definedName>
    <definedName name="UAcct41111Se">'[10]Functional Study'!#REF!</definedName>
    <definedName name="UAcct41111Sg" localSheetId="10">'[10]Functional Study'!#REF!</definedName>
    <definedName name="UAcct41111Sg" localSheetId="11">'[10]Functional Study'!#REF!</definedName>
    <definedName name="UAcct41111Sg" localSheetId="13">'[10]Functional Study'!#REF!</definedName>
    <definedName name="UAcct41111Sg" localSheetId="9">'[10]Functional Study'!#REF!</definedName>
    <definedName name="UAcct41111Sg" localSheetId="7">'[10]Functional Study'!#REF!</definedName>
    <definedName name="UAcct41111Sg" localSheetId="8">'[10]Functional Study'!#REF!</definedName>
    <definedName name="UAcct41111Sg" localSheetId="12">'[10]Functional Study'!#REF!</definedName>
    <definedName name="UAcct41111Sg">'[10]Functional Study'!#REF!</definedName>
    <definedName name="UAcct41111Sgpp" localSheetId="10">'[10]Functional Study'!#REF!</definedName>
    <definedName name="UAcct41111Sgpp" localSheetId="11">'[10]Functional Study'!#REF!</definedName>
    <definedName name="UAcct41111Sgpp" localSheetId="13">'[10]Functional Study'!#REF!</definedName>
    <definedName name="UAcct41111Sgpp" localSheetId="9">'[10]Functional Study'!#REF!</definedName>
    <definedName name="UAcct41111Sgpp" localSheetId="7">'[10]Functional Study'!#REF!</definedName>
    <definedName name="UAcct41111Sgpp" localSheetId="8">'[10]Functional Study'!#REF!</definedName>
    <definedName name="UAcct41111Sgpp" localSheetId="12">'[10]Functional Study'!#REF!</definedName>
    <definedName name="UAcct41111Sgpp">'[10]Functional Study'!#REF!</definedName>
    <definedName name="UAcct41111So" localSheetId="10">'[10]Functional Study'!#REF!</definedName>
    <definedName name="UAcct41111So" localSheetId="11">'[10]Functional Study'!#REF!</definedName>
    <definedName name="UAcct41111So" localSheetId="13">'[10]Functional Study'!#REF!</definedName>
    <definedName name="UAcct41111So" localSheetId="9">'[10]Functional Study'!#REF!</definedName>
    <definedName name="UAcct41111So" localSheetId="7">'[10]Functional Study'!#REF!</definedName>
    <definedName name="UAcct41111So" localSheetId="8">'[10]Functional Study'!#REF!</definedName>
    <definedName name="UAcct41111So" localSheetId="12">'[10]Functional Study'!#REF!</definedName>
    <definedName name="UAcct41111So">'[10]Functional Study'!#REF!</definedName>
    <definedName name="UAcct41111Trojp" localSheetId="10">'[10]Functional Study'!#REF!</definedName>
    <definedName name="UAcct41111Trojp" localSheetId="11">'[10]Functional Study'!#REF!</definedName>
    <definedName name="UAcct41111Trojp" localSheetId="13">'[10]Functional Study'!#REF!</definedName>
    <definedName name="UAcct41111Trojp" localSheetId="9">'[10]Functional Study'!#REF!</definedName>
    <definedName name="UAcct41111Trojp" localSheetId="7">'[10]Functional Study'!#REF!</definedName>
    <definedName name="UAcct41111Trojp" localSheetId="8">'[10]Functional Study'!#REF!</definedName>
    <definedName name="UAcct41111Trojp" localSheetId="12">'[10]Functional Study'!#REF!</definedName>
    <definedName name="UAcct41111Trojp">'[10]Functional Study'!#REF!</definedName>
    <definedName name="UAcct41140">'[9]Func Study'!$AB$1232</definedName>
    <definedName name="UAcct41141">'[9]Func Study'!$AB$1237</definedName>
    <definedName name="UAcct41160">'[9]Func Study'!$AB$369</definedName>
    <definedName name="UAcct41170">'[9]Func Study'!$AB$374</definedName>
    <definedName name="UAcct4118">'[9]Func Study'!$AB$378</definedName>
    <definedName name="UAcct41181">'[9]Func Study'!$AB$381</definedName>
    <definedName name="UAcct4194">'[9]Func Study'!$AB$385</definedName>
    <definedName name="UAcct421">'[9]Func Study'!$AB$394</definedName>
    <definedName name="UAcct4311">'[9]Func Study'!$AB$401</definedName>
    <definedName name="UAcct442Se">'[9]Func Study'!$AB$259</definedName>
    <definedName name="UAcct442Sg">'[9]Func Study'!$AB$260</definedName>
    <definedName name="UAcct447">'[9]Func Study'!$AB$281</definedName>
    <definedName name="UAcct447CAEE" localSheetId="10">'[7]Func Study'!#REF!</definedName>
    <definedName name="UAcct447CAEE" localSheetId="11">'[7]Func Study'!#REF!</definedName>
    <definedName name="UAcct447CAEE" localSheetId="13">'[7]Func Study'!#REF!</definedName>
    <definedName name="UAcct447CAEE" localSheetId="9">'[7]Func Study'!#REF!</definedName>
    <definedName name="UAcct447CAEE" localSheetId="7">'[7]Func Study'!#REF!</definedName>
    <definedName name="UAcct447CAEE" localSheetId="8">'[7]Func Study'!#REF!</definedName>
    <definedName name="UAcct447CAEE" localSheetId="12">'[7]Func Study'!#REF!</definedName>
    <definedName name="UAcct447CAEE">'[7]Func Study'!#REF!</definedName>
    <definedName name="UAcct447CAGE" localSheetId="10">'[7]Func Study'!#REF!</definedName>
    <definedName name="UAcct447CAGE" localSheetId="11">'[7]Func Study'!#REF!</definedName>
    <definedName name="UAcct447CAGE" localSheetId="13">'[7]Func Study'!#REF!</definedName>
    <definedName name="UAcct447CAGE" localSheetId="9">'[7]Func Study'!#REF!</definedName>
    <definedName name="UAcct447CAGE" localSheetId="7">'[7]Func Study'!#REF!</definedName>
    <definedName name="UAcct447CAGE" localSheetId="8">'[7]Func Study'!#REF!</definedName>
    <definedName name="UAcct447CAGE" localSheetId="12">'[7]Func Study'!#REF!</definedName>
    <definedName name="UAcct447CAGE">'[7]Func Study'!#REF!</definedName>
    <definedName name="UAcct447Dgu" localSheetId="10">'[8]Func Study'!#REF!</definedName>
    <definedName name="UAcct447Dgu" localSheetId="11">'[8]Func Study'!#REF!</definedName>
    <definedName name="UAcct447Dgu" localSheetId="13">'[8]Func Study'!#REF!</definedName>
    <definedName name="UAcct447Dgu" localSheetId="9">'[8]Func Study'!#REF!</definedName>
    <definedName name="UAcct447Dgu" localSheetId="7">'[8]Func Study'!#REF!</definedName>
    <definedName name="UAcct447Dgu" localSheetId="8">'[8]Func Study'!#REF!</definedName>
    <definedName name="UAcct447Dgu" localSheetId="12">'[8]Func Study'!#REF!</definedName>
    <definedName name="UAcct447Dgu">'[8]Func Study'!#REF!</definedName>
    <definedName name="UACCT447NPC">'[9]Func Study'!$AB$289</definedName>
    <definedName name="UACCT447NPCCAEW">'[9]Func Study'!$AB$286</definedName>
    <definedName name="UACCT447NPCCAGW">'[9]Func Study'!$AB$287</definedName>
    <definedName name="UACCT447NPCDGP">'[9]Func Study'!$AB$288</definedName>
    <definedName name="UAcct447S">'[9]Func Study'!$AB$280</definedName>
    <definedName name="UAcct448S">'[9]Func Study'!$AB$274</definedName>
    <definedName name="UAcct448So">'[9]Func Study'!$AB$275</definedName>
    <definedName name="UAcct449">'[9]Func Study'!$AB$294</definedName>
    <definedName name="UAcct450">'[9]Func Study'!$AB$304</definedName>
    <definedName name="UAcct450S">'[9]Func Study'!$AB$302</definedName>
    <definedName name="UAcct450So">'[9]Func Study'!$AB$303</definedName>
    <definedName name="UAcct451S">'[9]Func Study'!$AB$307</definedName>
    <definedName name="UAcct451Sg">'[9]Func Study'!$AB$308</definedName>
    <definedName name="UAcct451So">'[9]Func Study'!$AB$309</definedName>
    <definedName name="UAcct453">'[9]Func Study'!$AB$315</definedName>
    <definedName name="UAcct453CAGE" localSheetId="10">'[7]Func Study'!#REF!</definedName>
    <definedName name="UAcct453CAGE" localSheetId="11">'[7]Func Study'!#REF!</definedName>
    <definedName name="UAcct453CAGE" localSheetId="13">'[7]Func Study'!#REF!</definedName>
    <definedName name="UAcct453CAGE" localSheetId="9">'[7]Func Study'!#REF!</definedName>
    <definedName name="UAcct453CAGE" localSheetId="7">'[7]Func Study'!#REF!</definedName>
    <definedName name="UAcct453CAGE" localSheetId="8">'[7]Func Study'!#REF!</definedName>
    <definedName name="UAcct453CAGE" localSheetId="12">'[7]Func Study'!#REF!</definedName>
    <definedName name="UAcct453CAGE">'[7]Func Study'!#REF!</definedName>
    <definedName name="UAcct453CAGW" localSheetId="10">'[7]Func Study'!#REF!</definedName>
    <definedName name="UAcct453CAGW" localSheetId="11">'[7]Func Study'!#REF!</definedName>
    <definedName name="UAcct453CAGW" localSheetId="13">'[7]Func Study'!#REF!</definedName>
    <definedName name="UAcct453CAGW" localSheetId="9">'[7]Func Study'!#REF!</definedName>
    <definedName name="UAcct453CAGW" localSheetId="7">'[7]Func Study'!#REF!</definedName>
    <definedName name="UAcct453CAGW" localSheetId="8">'[7]Func Study'!#REF!</definedName>
    <definedName name="UAcct453CAGW" localSheetId="12">'[7]Func Study'!#REF!</definedName>
    <definedName name="UAcct453CAGW">'[7]Func Study'!#REF!</definedName>
    <definedName name="UAcct454">'[9]Func Study'!$AB$322</definedName>
    <definedName name="UAcct454JBG">'[9]Func Study'!$AB$319</definedName>
    <definedName name="UAcct454S">'[9]Func Study'!$AB$318</definedName>
    <definedName name="UAcct454Sg">'[9]Func Study'!$AB$320</definedName>
    <definedName name="UAcct454So">'[9]Func Study'!$AB$321</definedName>
    <definedName name="UAcct456">'[9]Func Study'!$AB$332</definedName>
    <definedName name="UAcct456CAEW">'[9]Func Study'!$AB$331</definedName>
    <definedName name="UAcct456S">'[9]Func Study'!$AB$325</definedName>
    <definedName name="UAcct456So">'[9]Func Study'!$AB$329</definedName>
    <definedName name="UAcct500">'[9]Func Study'!$AB$416</definedName>
    <definedName name="UAcct500JBG">'[9]Func Study'!$AB$414</definedName>
    <definedName name="UAcct501">'[9]Func Study'!$AB$423</definedName>
    <definedName name="UAcct501CAEW">'[9]Func Study'!$AB$420</definedName>
    <definedName name="UAcct501JBE">'[9]Func Study'!$AB$421</definedName>
    <definedName name="UACCT501NPCCAEW">'[9]Func Study'!$AB$426</definedName>
    <definedName name="UAcct502">'[9]Func Study'!$AB$433</definedName>
    <definedName name="UAcct502CAGE">'[9]Func Study'!$AB$431</definedName>
    <definedName name="UAcct502JBG" localSheetId="10">'[7]Func Study'!#REF!</definedName>
    <definedName name="UAcct502JBG" localSheetId="11">'[7]Func Study'!#REF!</definedName>
    <definedName name="UAcct502JBG" localSheetId="13">'[7]Func Study'!#REF!</definedName>
    <definedName name="UAcct502JBG" localSheetId="9">'[7]Func Study'!#REF!</definedName>
    <definedName name="UAcct502JBG" localSheetId="7">'[7]Func Study'!#REF!</definedName>
    <definedName name="UAcct502JBG" localSheetId="8">'[7]Func Study'!#REF!</definedName>
    <definedName name="UAcct502JBG" localSheetId="12">'[7]Func Study'!#REF!</definedName>
    <definedName name="UAcct502JBG">'[7]Func Study'!#REF!</definedName>
    <definedName name="UAcct503">'[9]Func Study'!$AB$437</definedName>
    <definedName name="UACCT503NPC">'[9]Func Study'!$AB$443</definedName>
    <definedName name="UAcct505">'[9]Func Study'!$AB$449</definedName>
    <definedName name="UAcct505CAGE">'[9]Func Study'!$AB$447</definedName>
    <definedName name="UAcct505JBG" localSheetId="10">'[7]Func Study'!#REF!</definedName>
    <definedName name="UAcct505JBG" localSheetId="11">'[7]Func Study'!#REF!</definedName>
    <definedName name="UAcct505JBG" localSheetId="13">'[7]Func Study'!#REF!</definedName>
    <definedName name="UAcct505JBG" localSheetId="9">'[7]Func Study'!#REF!</definedName>
    <definedName name="UAcct505JBG" localSheetId="7">'[7]Func Study'!#REF!</definedName>
    <definedName name="UAcct505JBG" localSheetId="8">'[7]Func Study'!#REF!</definedName>
    <definedName name="UAcct505JBG" localSheetId="12">'[7]Func Study'!#REF!</definedName>
    <definedName name="UAcct505JBG">'[7]Func Study'!#REF!</definedName>
    <definedName name="UAcct506">'[9]Func Study'!$AB$455</definedName>
    <definedName name="UAcct506CAGE">'[9]Func Study'!$AB$452</definedName>
    <definedName name="UAcct506JBG" localSheetId="10">'[7]Func Study'!#REF!</definedName>
    <definedName name="UAcct506JBG" localSheetId="11">'[7]Func Study'!#REF!</definedName>
    <definedName name="UAcct506JBG" localSheetId="13">'[7]Func Study'!#REF!</definedName>
    <definedName name="UAcct506JBG" localSheetId="9">'[7]Func Study'!#REF!</definedName>
    <definedName name="UAcct506JBG" localSheetId="7">'[7]Func Study'!#REF!</definedName>
    <definedName name="UAcct506JBG" localSheetId="8">'[7]Func Study'!#REF!</definedName>
    <definedName name="UAcct506JBG" localSheetId="12">'[7]Func Study'!#REF!</definedName>
    <definedName name="UAcct506JBG">'[7]Func Study'!#REF!</definedName>
    <definedName name="UAcct507">'[9]Func Study'!$AB$464</definedName>
    <definedName name="UAcct507CAGE">'[9]Func Study'!$AB$462</definedName>
    <definedName name="UAcct507JBG" localSheetId="10">'[7]Func Study'!#REF!</definedName>
    <definedName name="UAcct507JBG" localSheetId="11">'[7]Func Study'!#REF!</definedName>
    <definedName name="UAcct507JBG" localSheetId="13">'[7]Func Study'!#REF!</definedName>
    <definedName name="UAcct507JBG" localSheetId="9">'[7]Func Study'!#REF!</definedName>
    <definedName name="UAcct507JBG" localSheetId="7">'[7]Func Study'!#REF!</definedName>
    <definedName name="UAcct507JBG" localSheetId="8">'[7]Func Study'!#REF!</definedName>
    <definedName name="UAcct507JBG" localSheetId="12">'[7]Func Study'!#REF!</definedName>
    <definedName name="UAcct507JBG">'[7]Func Study'!#REF!</definedName>
    <definedName name="UAcct510">'[9]Func Study'!$AB$469</definedName>
    <definedName name="UAcct510CAGE">'[9]Func Study'!$AB$467</definedName>
    <definedName name="UAcct510JBG" localSheetId="10">'[7]Func Study'!#REF!</definedName>
    <definedName name="UAcct510JBG" localSheetId="11">'[7]Func Study'!#REF!</definedName>
    <definedName name="UAcct510JBG" localSheetId="13">'[7]Func Study'!#REF!</definedName>
    <definedName name="UAcct510JBG" localSheetId="9">'[7]Func Study'!#REF!</definedName>
    <definedName name="UAcct510JBG" localSheetId="7">'[7]Func Study'!#REF!</definedName>
    <definedName name="UAcct510JBG" localSheetId="8">'[7]Func Study'!#REF!</definedName>
    <definedName name="UAcct510JBG" localSheetId="12">'[7]Func Study'!#REF!</definedName>
    <definedName name="UAcct510JBG">'[7]Func Study'!#REF!</definedName>
    <definedName name="UAcct511">'[9]Func Study'!$AB$474</definedName>
    <definedName name="UAcct511CAGE">'[9]Func Study'!$AB$472</definedName>
    <definedName name="UAcct511JBG" localSheetId="10">'[7]Func Study'!#REF!</definedName>
    <definedName name="UAcct511JBG" localSheetId="11">'[7]Func Study'!#REF!</definedName>
    <definedName name="UAcct511JBG" localSheetId="13">'[7]Func Study'!#REF!</definedName>
    <definedName name="UAcct511JBG" localSheetId="9">'[7]Func Study'!#REF!</definedName>
    <definedName name="UAcct511JBG" localSheetId="7">'[7]Func Study'!#REF!</definedName>
    <definedName name="UAcct511JBG" localSheetId="8">'[7]Func Study'!#REF!</definedName>
    <definedName name="UAcct511JBG" localSheetId="12">'[7]Func Study'!#REF!</definedName>
    <definedName name="UAcct511JBG">'[7]Func Study'!#REF!</definedName>
    <definedName name="UAcct512">'[9]Func Study'!$AB$479</definedName>
    <definedName name="UAcct512CAGE">'[9]Func Study'!$AB$477</definedName>
    <definedName name="UAcct512JBG" localSheetId="10">'[7]Func Study'!#REF!</definedName>
    <definedName name="UAcct512JBG" localSheetId="11">'[7]Func Study'!#REF!</definedName>
    <definedName name="UAcct512JBG" localSheetId="13">'[7]Func Study'!#REF!</definedName>
    <definedName name="UAcct512JBG" localSheetId="9">'[7]Func Study'!#REF!</definedName>
    <definedName name="UAcct512JBG" localSheetId="7">'[7]Func Study'!#REF!</definedName>
    <definedName name="UAcct512JBG" localSheetId="8">'[7]Func Study'!#REF!</definedName>
    <definedName name="UAcct512JBG" localSheetId="12">'[7]Func Study'!#REF!</definedName>
    <definedName name="UAcct512JBG">'[7]Func Study'!#REF!</definedName>
    <definedName name="UAcct513">'[9]Func Study'!$AB$484</definedName>
    <definedName name="UAcct513CAGE">'[9]Func Study'!$AB$482</definedName>
    <definedName name="UAcct513JBG" localSheetId="10">'[7]Func Study'!#REF!</definedName>
    <definedName name="UAcct513JBG" localSheetId="11">'[7]Func Study'!#REF!</definedName>
    <definedName name="UAcct513JBG" localSheetId="13">'[7]Func Study'!#REF!</definedName>
    <definedName name="UAcct513JBG" localSheetId="9">'[7]Func Study'!#REF!</definedName>
    <definedName name="UAcct513JBG" localSheetId="7">'[7]Func Study'!#REF!</definedName>
    <definedName name="UAcct513JBG" localSheetId="8">'[7]Func Study'!#REF!</definedName>
    <definedName name="UAcct513JBG" localSheetId="12">'[7]Func Study'!#REF!</definedName>
    <definedName name="UAcct513JBG">'[7]Func Study'!#REF!</definedName>
    <definedName name="UAcct514">'[9]Func Study'!$AB$489</definedName>
    <definedName name="UAcct514CAGE">'[9]Func Study'!$AB$487</definedName>
    <definedName name="UAcct514JBG" localSheetId="10">'[7]Func Study'!#REF!</definedName>
    <definedName name="UAcct514JBG" localSheetId="11">'[7]Func Study'!#REF!</definedName>
    <definedName name="UAcct514JBG" localSheetId="13">'[7]Func Study'!#REF!</definedName>
    <definedName name="UAcct514JBG" localSheetId="9">'[7]Func Study'!#REF!</definedName>
    <definedName name="UAcct514JBG" localSheetId="7">'[7]Func Study'!#REF!</definedName>
    <definedName name="UAcct514JBG" localSheetId="8">'[7]Func Study'!#REF!</definedName>
    <definedName name="UAcct514JBG" localSheetId="12">'[7]Func Study'!#REF!</definedName>
    <definedName name="UAcct514JBG">'[7]Func Study'!#REF!</definedName>
    <definedName name="UAcct517">'[9]Func Study'!$AB$498</definedName>
    <definedName name="UAcct518">'[9]Func Study'!$AB$502</definedName>
    <definedName name="UAcct519">'[9]Func Study'!$AB$507</definedName>
    <definedName name="UAcct520">'[9]Func Study'!$AB$511</definedName>
    <definedName name="UAcct523">'[9]Func Study'!$AB$515</definedName>
    <definedName name="UAcct524">'[9]Func Study'!$AB$519</definedName>
    <definedName name="UAcct528">'[9]Func Study'!$AB$523</definedName>
    <definedName name="UAcct529">'[9]Func Study'!$AB$527</definedName>
    <definedName name="UAcct530">'[9]Func Study'!$AB$531</definedName>
    <definedName name="UAcct531">'[9]Func Study'!$AB$535</definedName>
    <definedName name="UAcct532">'[9]Func Study'!$AB$539</definedName>
    <definedName name="UAcct535">'[9]Func Study'!$AB$551</definedName>
    <definedName name="UAcct536">'[9]Func Study'!$AB$555</definedName>
    <definedName name="UAcct537">'[9]Func Study'!$AB$559</definedName>
    <definedName name="UAcct538">'[9]Func Study'!$AB$563</definedName>
    <definedName name="UAcct539">'[9]Func Study'!$AB$568</definedName>
    <definedName name="UAcct540">'[9]Func Study'!$AB$572</definedName>
    <definedName name="UAcct541">'[9]Func Study'!$AB$576</definedName>
    <definedName name="UAcct542">'[9]Func Study'!$AB$580</definedName>
    <definedName name="UAcct543">'[9]Func Study'!$AB$584</definedName>
    <definedName name="UAcct544">'[9]Func Study'!$AB$588</definedName>
    <definedName name="UAcct545">'[9]Func Study'!$AB$592</definedName>
    <definedName name="UAcct546">'[9]Func Study'!$AB$606</definedName>
    <definedName name="UAcct546CAGE">'[9]Func Study'!$AB$605</definedName>
    <definedName name="UAcct547CAEW">'[9]Func Study'!$AB$610</definedName>
    <definedName name="UACCT547NPCCAEW">'[9]Func Study'!$AB$613</definedName>
    <definedName name="UAcct547Se">'[9]Func Study'!$AB$609</definedName>
    <definedName name="UAcct548">'[9]Func Study'!$AB$621</definedName>
    <definedName name="UACCT548CAGE">'[9]Func Study'!$AB$620</definedName>
    <definedName name="UAcct549">'[9]Func Study'!$AB$626</definedName>
    <definedName name="Uacct549CAGE">'[9]Func Study'!$AB$625</definedName>
    <definedName name="UAcct5506SE" localSheetId="10">'[7]Func Study'!#REF!</definedName>
    <definedName name="UAcct5506SE" localSheetId="11">'[7]Func Study'!#REF!</definedName>
    <definedName name="UAcct5506SE" localSheetId="13">'[7]Func Study'!#REF!</definedName>
    <definedName name="UAcct5506SE" localSheetId="9">'[7]Func Study'!#REF!</definedName>
    <definedName name="UAcct5506SE" localSheetId="7">'[7]Func Study'!#REF!</definedName>
    <definedName name="UAcct5506SE" localSheetId="8">'[7]Func Study'!#REF!</definedName>
    <definedName name="UAcct5506SE" localSheetId="12">'[7]Func Study'!#REF!</definedName>
    <definedName name="UAcct5506SE">'[7]Func Study'!#REF!</definedName>
    <definedName name="UAcct551CAGE">'[9]Func Study'!$AB$634</definedName>
    <definedName name="UACCT551SG">'[9]Func Study'!$AB$635</definedName>
    <definedName name="UACCT552CAGE">'[9]Func Study'!$AB$640</definedName>
    <definedName name="UAcct552SG">'[9]Func Study'!$AB$639</definedName>
    <definedName name="UACCT553CAGE">'[9]Func Study'!$AB$646</definedName>
    <definedName name="UAcct553SG">'[9]Func Study'!$AB$645</definedName>
    <definedName name="UACCT554CAGE">'[9]Func Study'!$AB$651</definedName>
    <definedName name="UAcct554SG">'[9]Func Study'!$AB$650</definedName>
    <definedName name="UAcct555CAEE" localSheetId="10">'[7]Func Study'!#REF!</definedName>
    <definedName name="UAcct555CAEE" localSheetId="11">'[7]Func Study'!#REF!</definedName>
    <definedName name="UAcct555CAEE" localSheetId="13">'[7]Func Study'!#REF!</definedName>
    <definedName name="UAcct555CAEE" localSheetId="9">'[7]Func Study'!#REF!</definedName>
    <definedName name="UAcct555CAEE" localSheetId="7">'[7]Func Study'!#REF!</definedName>
    <definedName name="UAcct555CAEE" localSheetId="8">'[7]Func Study'!#REF!</definedName>
    <definedName name="UAcct555CAEE" localSheetId="12">'[7]Func Study'!#REF!</definedName>
    <definedName name="UAcct555CAEE">'[7]Func Study'!#REF!</definedName>
    <definedName name="UAcct555CAEW">'[9]Func Study'!$AB$665</definedName>
    <definedName name="UAcct555CAGE" localSheetId="10">'[7]Func Study'!#REF!</definedName>
    <definedName name="UAcct555CAGE" localSheetId="11">'[7]Func Study'!#REF!</definedName>
    <definedName name="UAcct555CAGE" localSheetId="13">'[7]Func Study'!#REF!</definedName>
    <definedName name="UAcct555CAGE" localSheetId="9">'[7]Func Study'!#REF!</definedName>
    <definedName name="UAcct555CAGE" localSheetId="7">'[7]Func Study'!#REF!</definedName>
    <definedName name="UAcct555CAGE" localSheetId="8">'[7]Func Study'!#REF!</definedName>
    <definedName name="UAcct555CAGE" localSheetId="12">'[7]Func Study'!#REF!</definedName>
    <definedName name="UAcct555CAGE">'[7]Func Study'!#REF!</definedName>
    <definedName name="UAcct555CAGW">'[9]Func Study'!$AB$664</definedName>
    <definedName name="UACCT555DGP">'[9]Func Study'!$AB$670</definedName>
    <definedName name="UACCT555NPCCAEW">'[9]Func Study'!$AB$669</definedName>
    <definedName name="UACCT555NPCCAGW">'[9]Func Study'!$AB$668</definedName>
    <definedName name="UAcct555S">'[9]Func Study'!$AB$663</definedName>
    <definedName name="UAcct555Se">'[9]Func Study'!$AB$665</definedName>
    <definedName name="UACCT555SG">'[9]Func Study'!$AB$664</definedName>
    <definedName name="UAcct556">'[9]Func Study'!$AB$676</definedName>
    <definedName name="UAcct557">'[9]Func Study'!$AB$685</definedName>
    <definedName name="UAcct560">'[9]Func Study'!$AB$715</definedName>
    <definedName name="UAcct561">'[9]Func Study'!$AB$720</definedName>
    <definedName name="UAcct562">'[9]Func Study'!$AB$726</definedName>
    <definedName name="UAcct563">'[9]Func Study'!$AB$731</definedName>
    <definedName name="UAcct564">'[9]Func Study'!$AB$735</definedName>
    <definedName name="UAcct565">'[9]Func Study'!$AB$739</definedName>
    <definedName name="UACCT565NPC">'[9]Func Study'!$AB$744</definedName>
    <definedName name="UACCT565NPCCAGW">'[9]Func Study'!$AB$742</definedName>
    <definedName name="UAcct566">'[9]Func Study'!$AB$748</definedName>
    <definedName name="UAcct567">'[9]Func Study'!$AB$752</definedName>
    <definedName name="UAcct568">'[9]Func Study'!$AB$756</definedName>
    <definedName name="UAcct569">'[9]Func Study'!$AB$760</definedName>
    <definedName name="UAcct570">'[9]Func Study'!$AB$765</definedName>
    <definedName name="UAcct571">'[9]Func Study'!$AB$770</definedName>
    <definedName name="UAcct572">'[9]Func Study'!$AB$774</definedName>
    <definedName name="UAcct573">'[9]Func Study'!$AB$778</definedName>
    <definedName name="UAcct580">'[9]Func Study'!$AB$791</definedName>
    <definedName name="UAcct581">'[9]Func Study'!$AB$796</definedName>
    <definedName name="UAcct582">'[9]Func Study'!$AB$801</definedName>
    <definedName name="UAcct583">'[9]Func Study'!$AB$806</definedName>
    <definedName name="UAcct584">'[9]Func Study'!$AB$811</definedName>
    <definedName name="UAcct585">'[9]Func Study'!$AB$816</definedName>
    <definedName name="UAcct586">'[9]Func Study'!$AB$821</definedName>
    <definedName name="UAcct587">'[9]Func Study'!$AB$826</definedName>
    <definedName name="UAcct588">'[9]Func Study'!$AB$831</definedName>
    <definedName name="UAcct589">'[9]Func Study'!$AB$836</definedName>
    <definedName name="UAcct590">'[9]Func Study'!$AB$841</definedName>
    <definedName name="UAcct591">'[9]Func Study'!$AB$846</definedName>
    <definedName name="UAcct592">'[9]Func Study'!$AB$851</definedName>
    <definedName name="UAcct593">'[9]Func Study'!$AB$856</definedName>
    <definedName name="UAcct594">'[9]Func Study'!$AB$861</definedName>
    <definedName name="UAcct595">'[9]Func Study'!$AB$866</definedName>
    <definedName name="UAcct596">'[9]Func Study'!$AB$876</definedName>
    <definedName name="UAcct597">'[9]Func Study'!$AB$881</definedName>
    <definedName name="UAcct598">'[9]Func Study'!$AB$886</definedName>
    <definedName name="UAcct901">'[9]Func Study'!$AB$898</definedName>
    <definedName name="UAcct902">'[9]Func Study'!$AB$903</definedName>
    <definedName name="UAcct903">'[9]Func Study'!$AB$908</definedName>
    <definedName name="UAcct904">'[9]Func Study'!$AB$914</definedName>
    <definedName name="Uacct904SG" localSheetId="10">'[11]Functional Study'!#REF!</definedName>
    <definedName name="Uacct904SG" localSheetId="11">'[11]Functional Study'!#REF!</definedName>
    <definedName name="Uacct904SG" localSheetId="13">'[11]Functional Study'!#REF!</definedName>
    <definedName name="Uacct904SG" localSheetId="9">'[11]Functional Study'!#REF!</definedName>
    <definedName name="Uacct904SG" localSheetId="7">'[11]Functional Study'!#REF!</definedName>
    <definedName name="Uacct904SG" localSheetId="8">'[11]Functional Study'!#REF!</definedName>
    <definedName name="Uacct904SG" localSheetId="12">'[11]Functional Study'!#REF!</definedName>
    <definedName name="Uacct904SG">'[11]Functional Study'!#REF!</definedName>
    <definedName name="UAcct905">'[9]Func Study'!$AB$919</definedName>
    <definedName name="UAcct907">'[9]Func Study'!$AB$933</definedName>
    <definedName name="UAcct908">'[9]Func Study'!$AB$938</definedName>
    <definedName name="UAcct909">'[9]Func Study'!$AB$943</definedName>
    <definedName name="UAcct910">'[9]Func Study'!$AB$948</definedName>
    <definedName name="UAcct911">'[9]Func Study'!$AB$959</definedName>
    <definedName name="UAcct912">'[9]Func Study'!$AB$964</definedName>
    <definedName name="UAcct913">'[9]Func Study'!$AB$969</definedName>
    <definedName name="UAcct916">'[9]Func Study'!$AB$974</definedName>
    <definedName name="UAcct920">'[9]Func Study'!$AB$985</definedName>
    <definedName name="UAcct920Cn">'[9]Func Study'!$AB$983</definedName>
    <definedName name="UAcct921">'[9]Func Study'!$AB$991</definedName>
    <definedName name="UAcct921Cn">'[9]Func Study'!$AB$989</definedName>
    <definedName name="UAcct923">'[9]Func Study'!$AB$997</definedName>
    <definedName name="UAcct923CAGW">'[9]Func Study'!$AB$995</definedName>
    <definedName name="UAcct924">'[9]Func Study'!$AB$1001</definedName>
    <definedName name="UAcct925">'[9]Func Study'!$AB$1005</definedName>
    <definedName name="UAcct926">'[9]Func Study'!$AB$1011</definedName>
    <definedName name="UAcct927">'[9]Func Study'!$AB$1016</definedName>
    <definedName name="UAcct928">'[9]Func Study'!$AB$1023</definedName>
    <definedName name="UAcct929">'[9]Func Study'!$AB$1028</definedName>
    <definedName name="UAcct930">'[9]Func Study'!$AB$1034</definedName>
    <definedName name="UAcct931">'[9]Func Study'!$AB$1039</definedName>
    <definedName name="UAcct935">'[9]Func Study'!$AB$1045</definedName>
    <definedName name="UAcctAGA">'[9]Func Study'!$AB$296</definedName>
    <definedName name="UAcctcwc">'[9]Func Study'!$AB$2136</definedName>
    <definedName name="UAcctd00">'[9]Func Study'!$AB$1786</definedName>
    <definedName name="UAcctdfa" localSheetId="10">'[9]Func Study'!#REF!</definedName>
    <definedName name="UAcctdfa" localSheetId="11">'[9]Func Study'!#REF!</definedName>
    <definedName name="UAcctdfa" localSheetId="13">'[9]Func Study'!#REF!</definedName>
    <definedName name="UAcctdfa" localSheetId="9">'[9]Func Study'!#REF!</definedName>
    <definedName name="UAcctdfa" localSheetId="7">'[9]Func Study'!#REF!</definedName>
    <definedName name="UAcctdfa" localSheetId="8">'[9]Func Study'!#REF!</definedName>
    <definedName name="UAcctdfa" localSheetId="12">'[9]Func Study'!#REF!</definedName>
    <definedName name="UAcctdfa">'[9]Func Study'!#REF!</definedName>
    <definedName name="UAcctdfad" localSheetId="10">'[9]Func Study'!#REF!</definedName>
    <definedName name="UAcctdfad" localSheetId="11">'[9]Func Study'!#REF!</definedName>
    <definedName name="UAcctdfad" localSheetId="13">'[9]Func Study'!#REF!</definedName>
    <definedName name="UAcctdfad" localSheetId="9">'[9]Func Study'!#REF!</definedName>
    <definedName name="UAcctdfad" localSheetId="7">'[9]Func Study'!#REF!</definedName>
    <definedName name="UAcctdfad" localSheetId="8">'[9]Func Study'!#REF!</definedName>
    <definedName name="UAcctdfad" localSheetId="12">'[9]Func Study'!#REF!</definedName>
    <definedName name="UAcctdfad">'[9]Func Study'!#REF!</definedName>
    <definedName name="UAcctdfap" localSheetId="10">'[9]Func Study'!#REF!</definedName>
    <definedName name="UAcctdfap" localSheetId="11">'[9]Func Study'!#REF!</definedName>
    <definedName name="UAcctdfap" localSheetId="13">'[9]Func Study'!#REF!</definedName>
    <definedName name="UAcctdfap" localSheetId="9">'[9]Func Study'!#REF!</definedName>
    <definedName name="UAcctdfap" localSheetId="7">'[9]Func Study'!#REF!</definedName>
    <definedName name="UAcctdfap" localSheetId="8">'[9]Func Study'!#REF!</definedName>
    <definedName name="UAcctdfap" localSheetId="12">'[9]Func Study'!#REF!</definedName>
    <definedName name="UAcctdfap">'[9]Func Study'!#REF!</definedName>
    <definedName name="UAcctdfat" localSheetId="10">'[9]Func Study'!#REF!</definedName>
    <definedName name="UAcctdfat" localSheetId="11">'[9]Func Study'!#REF!</definedName>
    <definedName name="UAcctdfat" localSheetId="13">'[9]Func Study'!#REF!</definedName>
    <definedName name="UAcctdfat" localSheetId="9">'[9]Func Study'!#REF!</definedName>
    <definedName name="UAcctdfat" localSheetId="7">'[9]Func Study'!#REF!</definedName>
    <definedName name="UAcctdfat" localSheetId="8">'[9]Func Study'!#REF!</definedName>
    <definedName name="UAcctdfat" localSheetId="12">'[9]Func Study'!#REF!</definedName>
    <definedName name="UAcctdfat">'[9]Func Study'!#REF!</definedName>
    <definedName name="UAcctds0">'[9]Func Study'!$AB$1790</definedName>
    <definedName name="UACCTECDDGP">'[9]Func Study'!$AB$687</definedName>
    <definedName name="UACCTECDMC">'[9]Func Study'!$AB$689</definedName>
    <definedName name="UACCTECDS">'[9]Func Study'!$AB$691</definedName>
    <definedName name="UACCTECDSG1">'[9]Func Study'!$AB$688</definedName>
    <definedName name="UACCTECDSG2">'[9]Func Study'!$AB$690</definedName>
    <definedName name="UACCTECDSG3">'[9]Func Study'!$AB$692</definedName>
    <definedName name="UAcctfit">'[9]Func Study'!$AB$1395</definedName>
    <definedName name="UAcctg00">'[9]Func Study'!$AB$1947</definedName>
    <definedName name="UAccth00">'[9]Func Study'!$AB$1545</definedName>
    <definedName name="UAccti00">'[9]Func Study'!$AB$1993</definedName>
    <definedName name="UAcctn00">'[9]Func Study'!$AB$1496</definedName>
    <definedName name="UAccto00">'[9]Func Study'!$AB$1606</definedName>
    <definedName name="UAcctowc">'[9]Func Study'!$AB$2149</definedName>
    <definedName name="UACCTOWCSSECH">'[9]Func Study'!$AB$2148</definedName>
    <definedName name="UAccts00">'[9]Func Study'!$AB$1455</definedName>
    <definedName name="UAcctsttax">'[9]Func Study'!$AB$1377</definedName>
    <definedName name="UAcctt00">'[9]Func Study'!$AB$1682</definedName>
    <definedName name="UNBILREV" localSheetId="10">#REF!</definedName>
    <definedName name="UNBILREV" localSheetId="11">#REF!</definedName>
    <definedName name="UNBILREV" localSheetId="13">#REF!</definedName>
    <definedName name="UNBILREV" localSheetId="9">#REF!</definedName>
    <definedName name="UNBILREV" localSheetId="7">#REF!</definedName>
    <definedName name="UNBILREV" localSheetId="8">#REF!</definedName>
    <definedName name="UNBILREV" localSheetId="12">#REF!</definedName>
    <definedName name="UNBILREV">#REF!</definedName>
    <definedName name="UncollectibleAccounts">[13]Variables!$D$25</definedName>
    <definedName name="UtGrossReceipts">[13]Variables!$D$29</definedName>
    <definedName name="ValidAccount">[12]Variables!$AK$43:$AK$369</definedName>
    <definedName name="VAR" localSheetId="10">[14]Backup!#REF!</definedName>
    <definedName name="VAR" localSheetId="11">[14]Backup!#REF!</definedName>
    <definedName name="VAR" localSheetId="13">[14]Backup!#REF!</definedName>
    <definedName name="VAR" localSheetId="9">[14]Backup!#REF!</definedName>
    <definedName name="VAR" localSheetId="7">[14]Backup!#REF!</definedName>
    <definedName name="VAR" localSheetId="8">[14]Backup!#REF!</definedName>
    <definedName name="VAR" localSheetId="12">[14]Backup!#REF!</definedName>
    <definedName name="VAR">[14]Backup!#REF!</definedName>
    <definedName name="VARIABLE" localSheetId="10">[19]Summary!#REF!</definedName>
    <definedName name="VARIABLE" localSheetId="11">[19]Summary!#REF!</definedName>
    <definedName name="VARIABLE" localSheetId="13">[19]Summary!#REF!</definedName>
    <definedName name="VARIABLE" localSheetId="9">[19]Summary!#REF!</definedName>
    <definedName name="VARIABLE" localSheetId="7">[19]Summary!#REF!</definedName>
    <definedName name="VARIABLE" localSheetId="8">[19]Summary!#REF!</definedName>
    <definedName name="VARIABLE" localSheetId="12">[19]Summary!#REF!</definedName>
    <definedName name="VARIABLE">[19]Summary!#REF!</definedName>
    <definedName name="VOUCHER" localSheetId="10">#REF!</definedName>
    <definedName name="VOUCHER" localSheetId="11">#REF!</definedName>
    <definedName name="VOUCHER" localSheetId="13">#REF!</definedName>
    <definedName name="VOUCHER" localSheetId="9">#REF!</definedName>
    <definedName name="VOUCHER" localSheetId="7">#REF!</definedName>
    <definedName name="VOUCHER" localSheetId="8">#REF!</definedName>
    <definedName name="VOUCHER" localSheetId="12">#REF!</definedName>
    <definedName name="VOUCHER">#REF!</definedName>
    <definedName name="WaRevenueTax">[13]Variables!$D$27</definedName>
    <definedName name="WEATHER" localSheetId="10">#REF!</definedName>
    <definedName name="WEATHER" localSheetId="11">#REF!</definedName>
    <definedName name="WEATHER" localSheetId="13">#REF!</definedName>
    <definedName name="WEATHER" localSheetId="9">#REF!</definedName>
    <definedName name="WEATHER" localSheetId="7">#REF!</definedName>
    <definedName name="WEATHER" localSheetId="8">#REF!</definedName>
    <definedName name="WEATHER" localSheetId="12">#REF!</definedName>
    <definedName name="WEATHER">#REF!</definedName>
    <definedName name="WEATHRNORM" localSheetId="10">#REF!</definedName>
    <definedName name="WEATHRNORM" localSheetId="11">#REF!</definedName>
    <definedName name="WEATHRNORM" localSheetId="13">#REF!</definedName>
    <definedName name="WEATHRNORM" localSheetId="9">#REF!</definedName>
    <definedName name="WEATHRNORM" localSheetId="7">#REF!</definedName>
    <definedName name="WEATHRNORM" localSheetId="8">#REF!</definedName>
    <definedName name="WEATHRNORM" localSheetId="12">#REF!</definedName>
    <definedName name="WEATHRNORM">#REF!</definedName>
    <definedName name="WIDTH" localSheetId="10">#REF!</definedName>
    <definedName name="WIDTH" localSheetId="11">#REF!</definedName>
    <definedName name="WIDTH" localSheetId="13">#REF!</definedName>
    <definedName name="WIDTH" localSheetId="9">#REF!</definedName>
    <definedName name="WIDTH" localSheetId="7">#REF!</definedName>
    <definedName name="WIDTH" localSheetId="8">#REF!</definedName>
    <definedName name="WIDTH" localSheetId="12">#REF!</definedName>
    <definedName name="WIDTH">#REF!</definedName>
    <definedName name="WinterPeak">'[27]Load Data'!$D$9:$H$12,'[27]Load Data'!$D$20:$H$22</definedName>
    <definedName name="WORK1" localSheetId="10">#REF!</definedName>
    <definedName name="WORK1" localSheetId="11">#REF!</definedName>
    <definedName name="WORK1" localSheetId="13">#REF!</definedName>
    <definedName name="WORK1" localSheetId="9">#REF!</definedName>
    <definedName name="WORK1" localSheetId="7">#REF!</definedName>
    <definedName name="WORK1" localSheetId="8">#REF!</definedName>
    <definedName name="WORK1" localSheetId="12">#REF!</definedName>
    <definedName name="WORK1">#REF!</definedName>
    <definedName name="WORK2" localSheetId="10">#REF!</definedName>
    <definedName name="WORK2" localSheetId="11">#REF!</definedName>
    <definedName name="WORK2" localSheetId="13">#REF!</definedName>
    <definedName name="WORK2" localSheetId="9">#REF!</definedName>
    <definedName name="WORK2" localSheetId="7">#REF!</definedName>
    <definedName name="WORK2" localSheetId="8">#REF!</definedName>
    <definedName name="WORK2" localSheetId="12">#REF!</definedName>
    <definedName name="WORK2">#REF!</definedName>
    <definedName name="WORK3" localSheetId="10">#REF!</definedName>
    <definedName name="WORK3" localSheetId="11">#REF!</definedName>
    <definedName name="WORK3" localSheetId="13">#REF!</definedName>
    <definedName name="WORK3" localSheetId="9">#REF!</definedName>
    <definedName name="WORK3" localSheetId="7">#REF!</definedName>
    <definedName name="WORK3" localSheetId="8">#REF!</definedName>
    <definedName name="WORK3" localSheetId="12">#REF!</definedName>
    <definedName name="WORK3">#REF!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mall._.Tools._.Overhead." hidden="1">{#N/A,#N/A,FALSE,"2002 Small Tool OH";#N/A,#N/A,FALSE,"QA"}</definedName>
    <definedName name="x">'[28]Weather Present'!$K$7</definedName>
    <definedName name="y" localSheetId="10" hidden="1">#REF!</definedName>
    <definedName name="y" localSheetId="11" hidden="1">#REF!</definedName>
    <definedName name="y" localSheetId="13" hidden="1">#REF!</definedName>
    <definedName name="y" localSheetId="9" hidden="1">#REF!</definedName>
    <definedName name="y" localSheetId="6" hidden="1">#REF!</definedName>
    <definedName name="y" localSheetId="7" hidden="1">#REF!</definedName>
    <definedName name="y" localSheetId="8" hidden="1">#REF!</definedName>
    <definedName name="y" localSheetId="12" hidden="1">#REF!</definedName>
    <definedName name="y" hidden="1">'[5]DSM Output'!$B$21:$B$23</definedName>
    <definedName name="Year" localSheetId="10">#REF!</definedName>
    <definedName name="Year" localSheetId="11">#REF!</definedName>
    <definedName name="Year" localSheetId="13">#REF!</definedName>
    <definedName name="Year" localSheetId="9">#REF!</definedName>
    <definedName name="Year" localSheetId="7">#REF!</definedName>
    <definedName name="Year" localSheetId="8">#REF!</definedName>
    <definedName name="Year" localSheetId="12">#REF!</definedName>
    <definedName name="Year">#REF!</definedName>
    <definedName name="YEFactors">[12]Factors!$S$3:$AG$99</definedName>
    <definedName name="z" localSheetId="10" hidden="1">#REF!</definedName>
    <definedName name="z" localSheetId="11" hidden="1">#REF!</definedName>
    <definedName name="z" localSheetId="13" hidden="1">#REF!</definedName>
    <definedName name="z" localSheetId="9" hidden="1">#REF!</definedName>
    <definedName name="z" localSheetId="6" hidden="1">#REF!</definedName>
    <definedName name="z" localSheetId="7" hidden="1">#REF!</definedName>
    <definedName name="z" localSheetId="8" hidden="1">#REF!</definedName>
    <definedName name="z" localSheetId="12" hidden="1">#REF!</definedName>
    <definedName name="z" hidden="1">'[5]DSM Output'!$G$21:$G$23</definedName>
    <definedName name="ZA" localSheetId="10">'[29] annual balance '!#REF!</definedName>
    <definedName name="ZA" localSheetId="11">'[29] annual balance '!#REF!</definedName>
    <definedName name="ZA" localSheetId="13">'[29] annual balance '!#REF!</definedName>
    <definedName name="ZA" localSheetId="9">'[29] annual balance '!#REF!</definedName>
    <definedName name="ZA" localSheetId="7">'[29] annual balance '!#REF!</definedName>
    <definedName name="ZA" localSheetId="8">'[29] annual balance '!#REF!</definedName>
    <definedName name="ZA" localSheetId="12">'[29] annual balance '!#REF!</definedName>
    <definedName name="ZA">'[29] annual balance '!#REF!</definedName>
  </definedNames>
  <calcPr calcId="145621"/>
</workbook>
</file>

<file path=xl/calcChain.xml><?xml version="1.0" encoding="utf-8"?>
<calcChain xmlns="http://schemas.openxmlformats.org/spreadsheetml/2006/main">
  <c r="D13" i="19" l="1"/>
  <c r="D12" i="19"/>
  <c r="D11" i="19"/>
  <c r="A15" i="17" l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14" i="17"/>
  <c r="A13" i="17"/>
  <c r="A48" i="18"/>
  <c r="A15" i="18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14" i="18"/>
  <c r="A13" i="18"/>
  <c r="A14" i="15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13" i="15"/>
  <c r="A14" i="16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13" i="16"/>
  <c r="A14" i="14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13" i="14"/>
  <c r="A14" i="13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3" i="13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13" i="2"/>
  <c r="C530" i="17"/>
  <c r="C529" i="17"/>
  <c r="C528" i="17"/>
  <c r="C526" i="17"/>
  <c r="C524" i="17"/>
  <c r="C523" i="17"/>
  <c r="C521" i="17"/>
  <c r="C520" i="17"/>
  <c r="C519" i="17"/>
  <c r="C518" i="17"/>
  <c r="C517" i="17"/>
  <c r="C516" i="17"/>
  <c r="C515" i="17"/>
  <c r="C514" i="17"/>
  <c r="C513" i="17"/>
  <c r="C512" i="17"/>
  <c r="C511" i="17"/>
  <c r="C510" i="17"/>
  <c r="C509" i="17"/>
  <c r="C508" i="17"/>
  <c r="C507" i="17"/>
  <c r="C506" i="17"/>
  <c r="C505" i="17"/>
  <c r="C504" i="17"/>
  <c r="C503" i="17"/>
  <c r="C502" i="17"/>
  <c r="C501" i="17"/>
  <c r="C500" i="17"/>
  <c r="C499" i="17"/>
  <c r="C498" i="17"/>
  <c r="C497" i="17"/>
  <c r="C496" i="17"/>
  <c r="C495" i="17"/>
  <c r="C494" i="17"/>
  <c r="C493" i="17"/>
  <c r="C492" i="17"/>
  <c r="C491" i="17"/>
  <c r="C490" i="17"/>
  <c r="C489" i="17"/>
  <c r="C488" i="17"/>
  <c r="C487" i="17"/>
  <c r="C486" i="17"/>
  <c r="C485" i="17"/>
  <c r="C484" i="17"/>
  <c r="C483" i="17"/>
  <c r="C482" i="17"/>
  <c r="C481" i="17"/>
  <c r="C480" i="17"/>
  <c r="C479" i="17"/>
  <c r="C478" i="17"/>
  <c r="C477" i="17"/>
  <c r="C476" i="17"/>
  <c r="C475" i="17"/>
  <c r="C474" i="17"/>
  <c r="C473" i="17"/>
  <c r="C472" i="17"/>
  <c r="C471" i="17"/>
  <c r="C470" i="17"/>
  <c r="C469" i="17"/>
  <c r="C468" i="17"/>
  <c r="C467" i="17"/>
  <c r="C466" i="17"/>
  <c r="C465" i="17"/>
  <c r="C464" i="17"/>
  <c r="C463" i="17"/>
  <c r="C462" i="17"/>
  <c r="C461" i="17"/>
  <c r="C460" i="17"/>
  <c r="C459" i="17"/>
  <c r="C457" i="17"/>
  <c r="C456" i="17"/>
  <c r="C454" i="17"/>
  <c r="C453" i="17"/>
  <c r="C452" i="17"/>
  <c r="C451" i="17"/>
  <c r="C450" i="17"/>
  <c r="C448" i="17"/>
  <c r="C447" i="17"/>
  <c r="C446" i="17"/>
  <c r="C445" i="17"/>
  <c r="C443" i="17"/>
  <c r="C442" i="17"/>
  <c r="C441" i="17"/>
  <c r="C440" i="17"/>
  <c r="C439" i="17"/>
  <c r="C438" i="17"/>
  <c r="C432" i="17"/>
  <c r="C431" i="17"/>
  <c r="C430" i="17"/>
  <c r="C428" i="17"/>
  <c r="C426" i="17"/>
  <c r="C425" i="17"/>
  <c r="C424" i="17"/>
  <c r="C418" i="17"/>
  <c r="C417" i="17"/>
  <c r="C416" i="17"/>
  <c r="C414" i="17"/>
  <c r="C411" i="17"/>
  <c r="C410" i="17"/>
  <c r="C408" i="17"/>
  <c r="C407" i="17"/>
  <c r="C406" i="17"/>
  <c r="C405" i="17"/>
  <c r="C404" i="17"/>
  <c r="C403" i="17"/>
  <c r="C402" i="17"/>
  <c r="C401" i="17"/>
  <c r="C400" i="17"/>
  <c r="C399" i="17"/>
  <c r="C398" i="17"/>
  <c r="C397" i="17"/>
  <c r="C396" i="17"/>
  <c r="C395" i="17"/>
  <c r="C394" i="17"/>
  <c r="C393" i="17"/>
  <c r="C392" i="17"/>
  <c r="C391" i="17"/>
  <c r="C390" i="17"/>
  <c r="C389" i="17"/>
  <c r="C388" i="17"/>
  <c r="C386" i="17"/>
  <c r="C384" i="17"/>
  <c r="C383" i="17"/>
  <c r="C382" i="17"/>
  <c r="C381" i="17"/>
  <c r="C380" i="17"/>
  <c r="C379" i="17"/>
  <c r="C373" i="17"/>
  <c r="C372" i="17"/>
  <c r="C371" i="17"/>
  <c r="C369" i="17"/>
  <c r="C367" i="17"/>
  <c r="C366" i="17"/>
  <c r="C365" i="17"/>
  <c r="C364" i="17"/>
  <c r="C363" i="17"/>
  <c r="C362" i="17"/>
  <c r="C361" i="17"/>
  <c r="C360" i="17"/>
  <c r="C359" i="17"/>
  <c r="C358" i="17"/>
  <c r="C357" i="17"/>
  <c r="C356" i="17"/>
  <c r="C355" i="17"/>
  <c r="C354" i="17"/>
  <c r="C353" i="17"/>
  <c r="C352" i="17"/>
  <c r="C351" i="17"/>
  <c r="C350" i="17"/>
  <c r="C349" i="17"/>
  <c r="C348" i="17"/>
  <c r="C347" i="17"/>
  <c r="C346" i="17"/>
  <c r="C345" i="17"/>
  <c r="C344" i="17"/>
  <c r="C343" i="17"/>
  <c r="C342" i="17"/>
  <c r="C341" i="17"/>
  <c r="C340" i="17"/>
  <c r="C339" i="17"/>
  <c r="C338" i="17"/>
  <c r="C337" i="17"/>
  <c r="C336" i="17"/>
  <c r="C335" i="17"/>
  <c r="C334" i="17"/>
  <c r="C333" i="17"/>
  <c r="C332" i="17"/>
  <c r="C331" i="17"/>
  <c r="C330" i="17"/>
  <c r="C329" i="17"/>
  <c r="C328" i="17"/>
  <c r="C327" i="17"/>
  <c r="C326" i="17"/>
  <c r="C325" i="17"/>
  <c r="C324" i="17"/>
  <c r="C323" i="17"/>
  <c r="C322" i="17"/>
  <c r="C321" i="17"/>
  <c r="C320" i="17"/>
  <c r="C319" i="17"/>
  <c r="C318" i="17"/>
  <c r="C317" i="17"/>
  <c r="C316" i="17"/>
  <c r="C315" i="17"/>
  <c r="C314" i="17"/>
  <c r="C313" i="17"/>
  <c r="C311" i="17"/>
  <c r="C310" i="17"/>
  <c r="C309" i="17"/>
  <c r="C308" i="17"/>
  <c r="C307" i="17"/>
  <c r="C306" i="17"/>
  <c r="C305" i="17"/>
  <c r="C304" i="17"/>
  <c r="C303" i="17"/>
  <c r="C295" i="17"/>
  <c r="C294" i="17"/>
  <c r="C293" i="17"/>
  <c r="C291" i="17"/>
  <c r="C289" i="17"/>
  <c r="C288" i="17"/>
  <c r="C287" i="17"/>
  <c r="C286" i="17"/>
  <c r="C285" i="17"/>
  <c r="C284" i="17"/>
  <c r="C283" i="17"/>
  <c r="C282" i="17"/>
  <c r="C281" i="17"/>
  <c r="C280" i="17"/>
  <c r="C279" i="17"/>
  <c r="C278" i="17"/>
  <c r="C277" i="17"/>
  <c r="C276" i="17"/>
  <c r="C275" i="17"/>
  <c r="C274" i="17"/>
  <c r="C273" i="17"/>
  <c r="C272" i="17"/>
  <c r="C271" i="17"/>
  <c r="C270" i="17"/>
  <c r="C269" i="17"/>
  <c r="C268" i="17"/>
  <c r="C267" i="17"/>
  <c r="C266" i="17"/>
  <c r="C265" i="17"/>
  <c r="C264" i="17"/>
  <c r="C263" i="17"/>
  <c r="C262" i="17"/>
  <c r="C261" i="17"/>
  <c r="C260" i="17"/>
  <c r="C259" i="17"/>
  <c r="C258" i="17"/>
  <c r="C257" i="17"/>
  <c r="C256" i="17"/>
  <c r="C255" i="17"/>
  <c r="C254" i="17"/>
  <c r="C253" i="17"/>
  <c r="C252" i="17"/>
  <c r="C251" i="17"/>
  <c r="C250" i="17"/>
  <c r="C249" i="17"/>
  <c r="C248" i="17"/>
  <c r="C247" i="17"/>
  <c r="C246" i="17"/>
  <c r="C245" i="17"/>
  <c r="C244" i="17"/>
  <c r="C243" i="17"/>
  <c r="C242" i="17"/>
  <c r="C241" i="17"/>
  <c r="C240" i="17"/>
  <c r="C239" i="17"/>
  <c r="C238" i="17"/>
  <c r="C237" i="17"/>
  <c r="C236" i="17"/>
  <c r="C235" i="17"/>
  <c r="C233" i="17"/>
  <c r="C232" i="17"/>
  <c r="C231" i="17"/>
  <c r="C230" i="17"/>
  <c r="C229" i="17"/>
  <c r="C228" i="17"/>
  <c r="C226" i="17"/>
  <c r="C225" i="17"/>
  <c r="C224" i="17"/>
  <c r="C223" i="17"/>
  <c r="C222" i="17"/>
  <c r="C221" i="17"/>
  <c r="C220" i="17"/>
  <c r="C219" i="17"/>
  <c r="C218" i="17"/>
  <c r="C216" i="17"/>
  <c r="C215" i="17"/>
  <c r="C214" i="17"/>
  <c r="C213" i="17"/>
  <c r="C212" i="17"/>
  <c r="C211" i="17"/>
  <c r="C210" i="17"/>
  <c r="C209" i="17"/>
  <c r="C208" i="17"/>
  <c r="C207" i="17"/>
  <c r="C206" i="17"/>
  <c r="C205" i="17"/>
  <c r="C204" i="17"/>
  <c r="C203" i="17"/>
  <c r="C202" i="17"/>
  <c r="C201" i="17"/>
  <c r="C200" i="17"/>
  <c r="C199" i="17"/>
  <c r="C198" i="17"/>
  <c r="C197" i="17"/>
  <c r="C196" i="17"/>
  <c r="C195" i="17"/>
  <c r="C194" i="17"/>
  <c r="C193" i="17"/>
  <c r="C192" i="17"/>
  <c r="C191" i="17"/>
  <c r="C190" i="17"/>
  <c r="C189" i="17"/>
  <c r="C188" i="17"/>
  <c r="C187" i="17"/>
  <c r="C186" i="17"/>
  <c r="C185" i="17"/>
  <c r="C184" i="17"/>
  <c r="C183" i="17"/>
  <c r="C182" i="17"/>
  <c r="C181" i="17"/>
  <c r="C180" i="17"/>
  <c r="C179" i="17"/>
  <c r="C178" i="17"/>
  <c r="C177" i="17"/>
  <c r="C176" i="17"/>
  <c r="C175" i="17"/>
  <c r="C174" i="17"/>
  <c r="C173" i="17"/>
  <c r="C172" i="17"/>
  <c r="C171" i="17"/>
  <c r="C170" i="17"/>
  <c r="C169" i="17"/>
  <c r="C168" i="17"/>
  <c r="C167" i="17"/>
  <c r="C166" i="17"/>
  <c r="C165" i="17"/>
  <c r="C164" i="17"/>
  <c r="C163" i="17"/>
  <c r="C161" i="17"/>
  <c r="C160" i="17"/>
  <c r="C159" i="17"/>
  <c r="C158" i="17"/>
  <c r="C157" i="17"/>
  <c r="C155" i="17"/>
  <c r="C154" i="17"/>
  <c r="C153" i="17"/>
  <c r="C152" i="17"/>
  <c r="C151" i="17"/>
  <c r="C150" i="17"/>
  <c r="C149" i="17"/>
  <c r="C148" i="17"/>
  <c r="C147" i="17"/>
  <c r="C142" i="17"/>
  <c r="C141" i="17"/>
  <c r="C140" i="17"/>
  <c r="C138" i="17"/>
  <c r="C136" i="17"/>
  <c r="C134" i="17"/>
  <c r="C133" i="17"/>
  <c r="C131" i="17"/>
  <c r="C130" i="17"/>
  <c r="C129" i="17"/>
  <c r="C128" i="17"/>
  <c r="C127" i="17"/>
  <c r="C126" i="17"/>
  <c r="C125" i="17"/>
  <c r="C123" i="17"/>
  <c r="C122" i="17"/>
  <c r="C121" i="17"/>
  <c r="C120" i="17"/>
  <c r="C119" i="17"/>
  <c r="C118" i="17"/>
  <c r="C117" i="17"/>
  <c r="C116" i="17"/>
  <c r="C112" i="17"/>
  <c r="C111" i="17"/>
  <c r="C110" i="17"/>
  <c r="C108" i="17"/>
  <c r="C106" i="17"/>
  <c r="C104" i="17"/>
  <c r="C103" i="17"/>
  <c r="C101" i="17"/>
  <c r="C100" i="17"/>
  <c r="C99" i="17"/>
  <c r="C98" i="17"/>
  <c r="C97" i="17"/>
  <c r="C96" i="17"/>
  <c r="C95" i="17"/>
  <c r="C94" i="17"/>
  <c r="C93" i="17"/>
  <c r="C92" i="17"/>
  <c r="C91" i="17"/>
  <c r="C90" i="17"/>
  <c r="C89" i="17"/>
  <c r="C88" i="17"/>
  <c r="C87" i="17"/>
  <c r="C86" i="17"/>
  <c r="C85" i="17"/>
  <c r="C84" i="17"/>
  <c r="C83" i="17"/>
  <c r="C82" i="17"/>
  <c r="C81" i="17"/>
  <c r="C80" i="17"/>
  <c r="C79" i="17"/>
  <c r="C78" i="17"/>
  <c r="C77" i="17"/>
  <c r="C76" i="17"/>
  <c r="C75" i="17"/>
  <c r="C74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4" i="17"/>
  <c r="C43" i="17"/>
  <c r="C42" i="17"/>
  <c r="C40" i="17"/>
  <c r="C38" i="17"/>
  <c r="C37" i="17"/>
  <c r="C36" i="17"/>
  <c r="C35" i="17"/>
  <c r="C34" i="17"/>
  <c r="C32" i="17"/>
  <c r="C31" i="17"/>
  <c r="C30" i="17"/>
  <c r="C28" i="17"/>
  <c r="X21" i="17"/>
  <c r="E521" i="17" l="1"/>
  <c r="E510" i="17"/>
  <c r="G510" i="17" s="1"/>
  <c r="E509" i="17"/>
  <c r="G509" i="17" s="1"/>
  <c r="E508" i="17"/>
  <c r="E507" i="17"/>
  <c r="E500" i="17"/>
  <c r="G500" i="17" s="1"/>
  <c r="E499" i="17"/>
  <c r="G499" i="17" s="1"/>
  <c r="E493" i="17"/>
  <c r="E486" i="17"/>
  <c r="E479" i="17"/>
  <c r="G479" i="17" s="1"/>
  <c r="E478" i="17"/>
  <c r="G478" i="17" s="1"/>
  <c r="E476" i="17"/>
  <c r="G476" i="17" s="1"/>
  <c r="E475" i="17"/>
  <c r="E468" i="17"/>
  <c r="G468" i="17" s="1"/>
  <c r="E467" i="17"/>
  <c r="G467" i="17" s="1"/>
  <c r="E408" i="17"/>
  <c r="E407" i="17"/>
  <c r="E406" i="17"/>
  <c r="E405" i="17"/>
  <c r="E404" i="17"/>
  <c r="E403" i="17"/>
  <c r="E402" i="17"/>
  <c r="G422" i="31"/>
  <c r="G410" i="31"/>
  <c r="G409" i="31"/>
  <c r="G401" i="31"/>
  <c r="G378" i="31"/>
  <c r="G377" i="31"/>
  <c r="G369" i="31"/>
  <c r="J521" i="17"/>
  <c r="G521" i="17"/>
  <c r="J510" i="17"/>
  <c r="J509" i="17"/>
  <c r="J508" i="17"/>
  <c r="J507" i="17"/>
  <c r="G508" i="17"/>
  <c r="G507" i="17"/>
  <c r="J500" i="17"/>
  <c r="J499" i="17"/>
  <c r="J493" i="17"/>
  <c r="G493" i="17"/>
  <c r="J486" i="17"/>
  <c r="G486" i="17"/>
  <c r="J479" i="17"/>
  <c r="J478" i="17"/>
  <c r="J476" i="17"/>
  <c r="J475" i="17"/>
  <c r="G475" i="17"/>
  <c r="J468" i="17"/>
  <c r="J467" i="17"/>
  <c r="J459" i="17"/>
  <c r="E459" i="17"/>
  <c r="G459" i="17" s="1"/>
  <c r="A360" i="31"/>
  <c r="A361" i="31" s="1"/>
  <c r="A362" i="31" s="1"/>
  <c r="A363" i="31" s="1"/>
  <c r="A364" i="31" s="1"/>
  <c r="A365" i="31" s="1"/>
  <c r="A366" i="31" s="1"/>
  <c r="A367" i="31" s="1"/>
  <c r="A368" i="31" s="1"/>
  <c r="A369" i="31" s="1"/>
  <c r="A370" i="31" s="1"/>
  <c r="A371" i="31" s="1"/>
  <c r="A372" i="31" s="1"/>
  <c r="A373" i="31" s="1"/>
  <c r="A374" i="31" s="1"/>
  <c r="A375" i="31" s="1"/>
  <c r="A376" i="31" s="1"/>
  <c r="A377" i="31" s="1"/>
  <c r="A378" i="31" s="1"/>
  <c r="A379" i="31" s="1"/>
  <c r="A380" i="31" s="1"/>
  <c r="A381" i="31" s="1"/>
  <c r="A382" i="31" s="1"/>
  <c r="A383" i="31" s="1"/>
  <c r="A384" i="31" s="1"/>
  <c r="A385" i="31" s="1"/>
  <c r="A386" i="31" s="1"/>
  <c r="A387" i="31" s="1"/>
  <c r="A388" i="31" s="1"/>
  <c r="A389" i="31" s="1"/>
  <c r="A390" i="31" s="1"/>
  <c r="A391" i="31" s="1"/>
  <c r="A392" i="31" s="1"/>
  <c r="A393" i="31" s="1"/>
  <c r="A394" i="31" s="1"/>
  <c r="A395" i="31" s="1"/>
  <c r="A396" i="31" s="1"/>
  <c r="A397" i="31" s="1"/>
  <c r="A398" i="31" s="1"/>
  <c r="A399" i="31" s="1"/>
  <c r="A400" i="31" s="1"/>
  <c r="A401" i="31" s="1"/>
  <c r="A402" i="31" s="1"/>
  <c r="A403" i="31" s="1"/>
  <c r="A404" i="31" s="1"/>
  <c r="A405" i="31" s="1"/>
  <c r="A406" i="31" s="1"/>
  <c r="A407" i="31" s="1"/>
  <c r="A408" i="31" s="1"/>
  <c r="A409" i="31" s="1"/>
  <c r="A410" i="31" s="1"/>
  <c r="A411" i="31" s="1"/>
  <c r="A412" i="31" s="1"/>
  <c r="A413" i="31" s="1"/>
  <c r="A414" i="31" s="1"/>
  <c r="A415" i="31" s="1"/>
  <c r="A416" i="31" s="1"/>
  <c r="A417" i="31" s="1"/>
  <c r="A418" i="31" s="1"/>
  <c r="A419" i="31" s="1"/>
  <c r="A420" i="31" s="1"/>
  <c r="A421" i="31" s="1"/>
  <c r="A422" i="31" s="1"/>
  <c r="A423" i="31" s="1"/>
  <c r="A424" i="31" s="1"/>
  <c r="A330" i="31"/>
  <c r="A331" i="31" s="1"/>
  <c r="A332" i="31" s="1"/>
  <c r="A333" i="31" s="1"/>
  <c r="A334" i="31" s="1"/>
  <c r="A335" i="31" s="1"/>
  <c r="A336" i="31" s="1"/>
  <c r="A337" i="31" s="1"/>
  <c r="A338" i="31" s="1"/>
  <c r="A339" i="31" s="1"/>
  <c r="A340" i="31" s="1"/>
  <c r="A341" i="31" s="1"/>
  <c r="A342" i="31" s="1"/>
  <c r="A343" i="31" s="1"/>
  <c r="A344" i="31" s="1"/>
  <c r="A345" i="31" s="1"/>
  <c r="A346" i="31" s="1"/>
  <c r="A347" i="31" s="1"/>
  <c r="A348" i="31" s="1"/>
  <c r="A349" i="31" s="1"/>
  <c r="A350" i="31" s="1"/>
  <c r="A351" i="31" s="1"/>
  <c r="A352" i="31" s="1"/>
  <c r="A353" i="31" s="1"/>
  <c r="A354" i="31" s="1"/>
  <c r="A355" i="31" s="1"/>
  <c r="A356" i="31" s="1"/>
  <c r="A357" i="31" s="1"/>
  <c r="A358" i="31" s="1"/>
  <c r="A359" i="31" s="1"/>
  <c r="B422" i="31"/>
  <c r="B411" i="31"/>
  <c r="B410" i="31"/>
  <c r="B409" i="31"/>
  <c r="B408" i="31"/>
  <c r="B401" i="31"/>
  <c r="B400" i="31"/>
  <c r="B394" i="31"/>
  <c r="B387" i="31"/>
  <c r="B380" i="31"/>
  <c r="B379" i="31"/>
  <c r="B377" i="31"/>
  <c r="B376" i="31"/>
  <c r="G394" i="31" l="1"/>
  <c r="G379" i="31"/>
  <c r="G387" i="31"/>
  <c r="G411" i="31"/>
  <c r="G360" i="31"/>
  <c r="G368" i="31"/>
  <c r="G376" i="31"/>
  <c r="G380" i="31"/>
  <c r="G400" i="31"/>
  <c r="G408" i="31"/>
  <c r="B369" i="31"/>
  <c r="B368" i="31"/>
  <c r="B360" i="31" l="1"/>
  <c r="H39" i="2" l="1"/>
  <c r="A133" i="30" l="1"/>
  <c r="B133" i="30"/>
  <c r="A134" i="30"/>
  <c r="A135" i="30" s="1"/>
  <c r="A136" i="30" s="1"/>
  <c r="A137" i="30" s="1"/>
  <c r="B134" i="30"/>
  <c r="B135" i="30"/>
  <c r="B136" i="30"/>
  <c r="B137" i="30"/>
  <c r="B331" i="31" l="1"/>
  <c r="B330" i="31"/>
  <c r="B329" i="31"/>
  <c r="B328" i="31"/>
  <c r="B327" i="31"/>
  <c r="B326" i="31"/>
  <c r="B325" i="31"/>
  <c r="G331" i="31"/>
  <c r="J407" i="17"/>
  <c r="J406" i="17"/>
  <c r="G328" i="31"/>
  <c r="G327" i="31"/>
  <c r="J403" i="17"/>
  <c r="G325" i="31"/>
  <c r="G408" i="17"/>
  <c r="G407" i="17"/>
  <c r="G406" i="17"/>
  <c r="G405" i="17"/>
  <c r="G404" i="17"/>
  <c r="G403" i="17"/>
  <c r="G402" i="17"/>
  <c r="J404" i="17" l="1"/>
  <c r="J405" i="17"/>
  <c r="G329" i="31"/>
  <c r="J402" i="17"/>
  <c r="J408" i="17"/>
  <c r="G326" i="31"/>
  <c r="G330" i="31"/>
  <c r="M32" i="19" l="1"/>
  <c r="M31" i="19"/>
  <c r="M30" i="19"/>
  <c r="M28" i="19"/>
  <c r="M26" i="19"/>
  <c r="M24" i="19"/>
  <c r="M22" i="19"/>
  <c r="M21" i="19"/>
  <c r="M20" i="19"/>
  <c r="M16" i="19"/>
  <c r="M15" i="19"/>
  <c r="M10" i="19"/>
  <c r="M9" i="19"/>
  <c r="A7" i="37" l="1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G412" i="31" l="1"/>
  <c r="G421" i="31"/>
  <c r="G420" i="31"/>
  <c r="G419" i="31"/>
  <c r="G418" i="31"/>
  <c r="G417" i="31"/>
  <c r="G416" i="31"/>
  <c r="G415" i="31"/>
  <c r="G414" i="31"/>
  <c r="G413" i="31"/>
  <c r="G407" i="31"/>
  <c r="G406" i="31"/>
  <c r="G405" i="31"/>
  <c r="G404" i="31"/>
  <c r="G403" i="31"/>
  <c r="G402" i="31"/>
  <c r="G399" i="31"/>
  <c r="G398" i="31"/>
  <c r="G397" i="31"/>
  <c r="G396" i="31"/>
  <c r="G395" i="31"/>
  <c r="G393" i="31"/>
  <c r="G392" i="31"/>
  <c r="G391" i="31"/>
  <c r="G390" i="31"/>
  <c r="G389" i="31"/>
  <c r="G388" i="31"/>
  <c r="G386" i="31"/>
  <c r="G385" i="31"/>
  <c r="G384" i="31"/>
  <c r="G383" i="31"/>
  <c r="G382" i="31"/>
  <c r="G381" i="31"/>
  <c r="G375" i="31"/>
  <c r="G374" i="31"/>
  <c r="G373" i="31"/>
  <c r="G372" i="31"/>
  <c r="G371" i="31"/>
  <c r="G370" i="31"/>
  <c r="G367" i="31"/>
  <c r="G366" i="31"/>
  <c r="G365" i="31"/>
  <c r="G364" i="31"/>
  <c r="G363" i="31"/>
  <c r="G362" i="31"/>
  <c r="G361" i="31"/>
  <c r="V22" i="17" l="1"/>
  <c r="J31" i="19" l="1"/>
  <c r="F124" i="30" l="1"/>
  <c r="E134" i="17" l="1"/>
  <c r="E133" i="17"/>
  <c r="G75" i="31" l="1"/>
  <c r="G74" i="31"/>
  <c r="H9" i="17" l="1"/>
  <c r="H9" i="18"/>
  <c r="H9" i="15"/>
  <c r="I9" i="16"/>
  <c r="H9" i="14"/>
  <c r="H9" i="13"/>
  <c r="B3" i="17"/>
  <c r="B3" i="18"/>
  <c r="B3" i="15"/>
  <c r="B3" i="16"/>
  <c r="B3" i="14"/>
  <c r="B3" i="13"/>
  <c r="B3" i="2"/>
  <c r="G21" i="17"/>
  <c r="J492" i="17" l="1"/>
  <c r="J491" i="17"/>
  <c r="J490" i="17"/>
  <c r="J489" i="17"/>
  <c r="J488" i="17"/>
  <c r="J487" i="17"/>
  <c r="J485" i="17"/>
  <c r="J484" i="17"/>
  <c r="J483" i="17"/>
  <c r="J482" i="17"/>
  <c r="J481" i="17"/>
  <c r="J480" i="17"/>
  <c r="J477" i="17"/>
  <c r="E494" i="17"/>
  <c r="G494" i="17" s="1"/>
  <c r="E492" i="17"/>
  <c r="G492" i="17" s="1"/>
  <c r="E491" i="17"/>
  <c r="G491" i="17" s="1"/>
  <c r="E490" i="17"/>
  <c r="G490" i="17" s="1"/>
  <c r="E489" i="17"/>
  <c r="G489" i="17" s="1"/>
  <c r="E488" i="17"/>
  <c r="G488" i="17" s="1"/>
  <c r="E487" i="17"/>
  <c r="G487" i="17" s="1"/>
  <c r="E485" i="17"/>
  <c r="G485" i="17" s="1"/>
  <c r="E484" i="17"/>
  <c r="G484" i="17" s="1"/>
  <c r="E483" i="17"/>
  <c r="G483" i="17" s="1"/>
  <c r="E482" i="17"/>
  <c r="G482" i="17" s="1"/>
  <c r="E481" i="17"/>
  <c r="G481" i="17" s="1"/>
  <c r="E480" i="17"/>
  <c r="G480" i="17" s="1"/>
  <c r="E477" i="17"/>
  <c r="G477" i="17" s="1"/>
  <c r="D23" i="18" l="1"/>
  <c r="D60" i="16" l="1"/>
  <c r="D55" i="16"/>
  <c r="D56" i="16"/>
  <c r="D57" i="16"/>
  <c r="A8" i="30"/>
  <c r="B393" i="31" l="1"/>
  <c r="B392" i="31"/>
  <c r="B391" i="31"/>
  <c r="B390" i="31"/>
  <c r="B389" i="31"/>
  <c r="B388" i="31"/>
  <c r="B386" i="31"/>
  <c r="B385" i="31"/>
  <c r="B384" i="31"/>
  <c r="B383" i="31"/>
  <c r="B382" i="31"/>
  <c r="B381" i="31"/>
  <c r="B378" i="31"/>
  <c r="B395" i="31"/>
  <c r="E180" i="30" l="1"/>
  <c r="E177" i="30"/>
  <c r="E176" i="30"/>
  <c r="E111" i="30"/>
  <c r="D59" i="16" s="1"/>
  <c r="E171" i="30" l="1"/>
  <c r="E179" i="30" s="1"/>
  <c r="G314" i="31" l="1"/>
  <c r="G313" i="31"/>
  <c r="G312" i="31"/>
  <c r="G311" i="31"/>
  <c r="F172" i="30"/>
  <c r="F169" i="30"/>
  <c r="F168" i="30"/>
  <c r="F47" i="30" l="1"/>
  <c r="F11" i="30"/>
  <c r="F8" i="30"/>
  <c r="E424" i="31" l="1"/>
  <c r="B424" i="31"/>
  <c r="E520" i="17"/>
  <c r="B421" i="31"/>
  <c r="E519" i="17"/>
  <c r="B420" i="31"/>
  <c r="E518" i="17"/>
  <c r="B419" i="31"/>
  <c r="E517" i="17"/>
  <c r="B418" i="31"/>
  <c r="E516" i="17"/>
  <c r="B417" i="31"/>
  <c r="E515" i="17"/>
  <c r="B416" i="31"/>
  <c r="E514" i="17"/>
  <c r="B415" i="31"/>
  <c r="E513" i="17"/>
  <c r="B414" i="31"/>
  <c r="E512" i="17"/>
  <c r="B413" i="31"/>
  <c r="E511" i="17"/>
  <c r="B412" i="31"/>
  <c r="E506" i="17"/>
  <c r="B407" i="31"/>
  <c r="E505" i="17"/>
  <c r="B406" i="31"/>
  <c r="E504" i="17"/>
  <c r="B405" i="31"/>
  <c r="E503" i="17"/>
  <c r="B404" i="31"/>
  <c r="E502" i="17"/>
  <c r="B403" i="31"/>
  <c r="E501" i="17"/>
  <c r="B402" i="31"/>
  <c r="E498" i="17"/>
  <c r="B399" i="31"/>
  <c r="E497" i="17"/>
  <c r="B398" i="31"/>
  <c r="E496" i="17"/>
  <c r="B397" i="31"/>
  <c r="E495" i="17"/>
  <c r="B396" i="31"/>
  <c r="E474" i="17"/>
  <c r="B375" i="31"/>
  <c r="E473" i="17"/>
  <c r="B374" i="31"/>
  <c r="E472" i="17"/>
  <c r="B373" i="31"/>
  <c r="E471" i="17"/>
  <c r="B372" i="31"/>
  <c r="E470" i="17"/>
  <c r="B371" i="31"/>
  <c r="E469" i="17"/>
  <c r="B370" i="31"/>
  <c r="E466" i="17"/>
  <c r="B367" i="31"/>
  <c r="E465" i="17"/>
  <c r="B366" i="31"/>
  <c r="E464" i="17"/>
  <c r="B365" i="31"/>
  <c r="E463" i="17"/>
  <c r="B364" i="31"/>
  <c r="E462" i="17"/>
  <c r="B363" i="31"/>
  <c r="E461" i="17"/>
  <c r="B362" i="31"/>
  <c r="E460" i="17"/>
  <c r="B361" i="31"/>
  <c r="E457" i="17"/>
  <c r="E358" i="31"/>
  <c r="E361" i="31" s="1"/>
  <c r="E362" i="31" s="1"/>
  <c r="E363" i="31" s="1"/>
  <c r="E364" i="31" s="1"/>
  <c r="E365" i="31" s="1"/>
  <c r="E366" i="31" s="1"/>
  <c r="E367" i="31" s="1"/>
  <c r="E370" i="31" s="1"/>
  <c r="E371" i="31" s="1"/>
  <c r="E372" i="31" s="1"/>
  <c r="E373" i="31" s="1"/>
  <c r="E374" i="31" s="1"/>
  <c r="E375" i="31" s="1"/>
  <c r="B358" i="31"/>
  <c r="E456" i="17"/>
  <c r="E357" i="31"/>
  <c r="B357" i="31"/>
  <c r="E454" i="17"/>
  <c r="E355" i="31"/>
  <c r="B355" i="31"/>
  <c r="E453" i="17"/>
  <c r="E354" i="31"/>
  <c r="B354" i="31"/>
  <c r="E452" i="17"/>
  <c r="E353" i="31"/>
  <c r="B353" i="31"/>
  <c r="E451" i="17"/>
  <c r="E352" i="31"/>
  <c r="B352" i="31"/>
  <c r="E450" i="17"/>
  <c r="E351" i="31"/>
  <c r="B351" i="31"/>
  <c r="E448" i="17"/>
  <c r="E349" i="31"/>
  <c r="B349" i="31"/>
  <c r="E447" i="17"/>
  <c r="E348" i="31"/>
  <c r="B348" i="31"/>
  <c r="E446" i="17"/>
  <c r="E347" i="31"/>
  <c r="B347" i="31"/>
  <c r="E445" i="17"/>
  <c r="E346" i="31"/>
  <c r="B346" i="31"/>
  <c r="E443" i="17"/>
  <c r="E344" i="31"/>
  <c r="B344" i="31"/>
  <c r="E442" i="17"/>
  <c r="E343" i="31"/>
  <c r="B343" i="31"/>
  <c r="E441" i="17"/>
  <c r="E342" i="31"/>
  <c r="B342" i="31"/>
  <c r="E440" i="17"/>
  <c r="E341" i="31"/>
  <c r="B341" i="31"/>
  <c r="E439" i="17"/>
  <c r="E340" i="31"/>
  <c r="B340" i="31"/>
  <c r="E438" i="17"/>
  <c r="E339" i="31"/>
  <c r="E425" i="17"/>
  <c r="E337" i="31"/>
  <c r="B337" i="31"/>
  <c r="E424" i="17"/>
  <c r="E336" i="31"/>
  <c r="E334" i="31"/>
  <c r="B334" i="31"/>
  <c r="E333" i="31"/>
  <c r="B333" i="31"/>
  <c r="E401" i="17"/>
  <c r="B324" i="31"/>
  <c r="E400" i="17"/>
  <c r="B323" i="31"/>
  <c r="E399" i="17"/>
  <c r="B322" i="31"/>
  <c r="E398" i="17"/>
  <c r="B321" i="31"/>
  <c r="E397" i="17"/>
  <c r="B320" i="31"/>
  <c r="E396" i="17"/>
  <c r="B319" i="31"/>
  <c r="E395" i="17"/>
  <c r="B318" i="31"/>
  <c r="E394" i="17"/>
  <c r="B317" i="31"/>
  <c r="E393" i="17"/>
  <c r="B316" i="31"/>
  <c r="E392" i="17"/>
  <c r="B315" i="31"/>
  <c r="E391" i="17"/>
  <c r="B314" i="31"/>
  <c r="E390" i="17"/>
  <c r="B313" i="31"/>
  <c r="E389" i="17"/>
  <c r="B312" i="31"/>
  <c r="E388" i="17"/>
  <c r="B311" i="31"/>
  <c r="E386" i="17"/>
  <c r="E309" i="31"/>
  <c r="B309" i="31"/>
  <c r="E384" i="17"/>
  <c r="E307" i="31"/>
  <c r="B307" i="31"/>
  <c r="E383" i="17"/>
  <c r="E306" i="31"/>
  <c r="E311" i="31" s="1"/>
  <c r="E312" i="31" s="1"/>
  <c r="E313" i="31" s="1"/>
  <c r="E314" i="31" s="1"/>
  <c r="E315" i="31" s="1"/>
  <c r="E316" i="31" s="1"/>
  <c r="E317" i="31" s="1"/>
  <c r="E318" i="31" s="1"/>
  <c r="E319" i="31" s="1"/>
  <c r="E320" i="31" s="1"/>
  <c r="E321" i="31" s="1"/>
  <c r="E322" i="31" s="1"/>
  <c r="E323" i="31" s="1"/>
  <c r="E324" i="31" s="1"/>
  <c r="B306" i="31"/>
  <c r="E382" i="17"/>
  <c r="E305" i="31"/>
  <c r="B305" i="31"/>
  <c r="E381" i="17"/>
  <c r="E304" i="31"/>
  <c r="B304" i="31"/>
  <c r="E380" i="17"/>
  <c r="E303" i="31"/>
  <c r="B303" i="31"/>
  <c r="E379" i="17"/>
  <c r="E302" i="31"/>
  <c r="E366" i="17"/>
  <c r="B300" i="31"/>
  <c r="E365" i="17"/>
  <c r="B299" i="31"/>
  <c r="E364" i="17"/>
  <c r="B298" i="31"/>
  <c r="E363" i="17"/>
  <c r="B297" i="31"/>
  <c r="E362" i="17"/>
  <c r="B296" i="31"/>
  <c r="E361" i="17"/>
  <c r="B295" i="31"/>
  <c r="E360" i="17"/>
  <c r="B294" i="31"/>
  <c r="E359" i="17"/>
  <c r="B293" i="31"/>
  <c r="E358" i="17"/>
  <c r="B292" i="31"/>
  <c r="E357" i="17"/>
  <c r="B291" i="31"/>
  <c r="E356" i="17"/>
  <c r="B290" i="31"/>
  <c r="E355" i="17"/>
  <c r="B289" i="31"/>
  <c r="E354" i="17"/>
  <c r="B288" i="31"/>
  <c r="E353" i="17"/>
  <c r="B287" i="31"/>
  <c r="E352" i="17"/>
  <c r="B286" i="31"/>
  <c r="E351" i="17"/>
  <c r="B285" i="31"/>
  <c r="E350" i="17"/>
  <c r="B284" i="31"/>
  <c r="E349" i="17"/>
  <c r="B283" i="31"/>
  <c r="E348" i="17"/>
  <c r="B282" i="31"/>
  <c r="E347" i="17"/>
  <c r="B281" i="31"/>
  <c r="E346" i="17"/>
  <c r="B280" i="31"/>
  <c r="E345" i="17"/>
  <c r="B279" i="31"/>
  <c r="E344" i="17"/>
  <c r="B278" i="31"/>
  <c r="E343" i="17"/>
  <c r="B277" i="31"/>
  <c r="E342" i="17"/>
  <c r="B276" i="31"/>
  <c r="E341" i="17"/>
  <c r="B275" i="31"/>
  <c r="E340" i="17"/>
  <c r="B274" i="31"/>
  <c r="E339" i="17"/>
  <c r="B273" i="31"/>
  <c r="E338" i="17"/>
  <c r="B272" i="31"/>
  <c r="E337" i="17"/>
  <c r="B271" i="31"/>
  <c r="E336" i="17"/>
  <c r="B270" i="31"/>
  <c r="E335" i="17"/>
  <c r="B269" i="31"/>
  <c r="E334" i="17"/>
  <c r="B268" i="31"/>
  <c r="E333" i="17"/>
  <c r="B267" i="31"/>
  <c r="E332" i="17"/>
  <c r="B266" i="31"/>
  <c r="E331" i="17"/>
  <c r="B265" i="31"/>
  <c r="E330" i="17"/>
  <c r="B264" i="31"/>
  <c r="E329" i="17"/>
  <c r="B263" i="31"/>
  <c r="E328" i="17"/>
  <c r="B262" i="31"/>
  <c r="E327" i="17"/>
  <c r="B261" i="31"/>
  <c r="E326" i="17"/>
  <c r="B260" i="31"/>
  <c r="E325" i="17"/>
  <c r="B259" i="31"/>
  <c r="E324" i="17"/>
  <c r="B258" i="31"/>
  <c r="E323" i="17"/>
  <c r="B257" i="31"/>
  <c r="E322" i="17"/>
  <c r="B256" i="31"/>
  <c r="E321" i="17"/>
  <c r="B255" i="31"/>
  <c r="E320" i="17"/>
  <c r="B254" i="31"/>
  <c r="E319" i="17"/>
  <c r="B253" i="31"/>
  <c r="E318" i="17"/>
  <c r="B252" i="31"/>
  <c r="E317" i="17"/>
  <c r="B251" i="31"/>
  <c r="E316" i="17"/>
  <c r="B250" i="31"/>
  <c r="E315" i="17"/>
  <c r="B249" i="31"/>
  <c r="E314" i="17"/>
  <c r="B248" i="31"/>
  <c r="E313" i="17"/>
  <c r="B247" i="31"/>
  <c r="E311" i="17"/>
  <c r="E245" i="31"/>
  <c r="B245" i="31"/>
  <c r="E310" i="17"/>
  <c r="E244" i="31"/>
  <c r="B244" i="31"/>
  <c r="E309" i="17"/>
  <c r="E243" i="31"/>
  <c r="B243" i="31"/>
  <c r="E308" i="17"/>
  <c r="E242" i="31"/>
  <c r="E247" i="31" s="1"/>
  <c r="E248" i="31" s="1"/>
  <c r="E249" i="31" s="1"/>
  <c r="E250" i="31" s="1"/>
  <c r="E251" i="31" s="1"/>
  <c r="E252" i="31" s="1"/>
  <c r="E253" i="31" s="1"/>
  <c r="E254" i="31" s="1"/>
  <c r="E255" i="31" s="1"/>
  <c r="E256" i="31" s="1"/>
  <c r="E257" i="31" s="1"/>
  <c r="E258" i="31" s="1"/>
  <c r="E259" i="31" s="1"/>
  <c r="E260" i="31" s="1"/>
  <c r="E261" i="31" s="1"/>
  <c r="E262" i="31" s="1"/>
  <c r="E263" i="31" s="1"/>
  <c r="E264" i="31" s="1"/>
  <c r="E265" i="31" s="1"/>
  <c r="E266" i="31" s="1"/>
  <c r="E267" i="31" s="1"/>
  <c r="E268" i="31" s="1"/>
  <c r="E269" i="31" s="1"/>
  <c r="E270" i="31" s="1"/>
  <c r="E271" i="31" s="1"/>
  <c r="E272" i="31" s="1"/>
  <c r="E273" i="31" s="1"/>
  <c r="E274" i="31" s="1"/>
  <c r="E275" i="31" s="1"/>
  <c r="E276" i="31" s="1"/>
  <c r="E277" i="31" s="1"/>
  <c r="E278" i="31" s="1"/>
  <c r="E279" i="31" s="1"/>
  <c r="E280" i="31" s="1"/>
  <c r="E281" i="31" s="1"/>
  <c r="E282" i="31" s="1"/>
  <c r="E283" i="31" s="1"/>
  <c r="E284" i="31" s="1"/>
  <c r="E285" i="31" s="1"/>
  <c r="E286" i="31" s="1"/>
  <c r="E287" i="31" s="1"/>
  <c r="E288" i="31" s="1"/>
  <c r="E289" i="31" s="1"/>
  <c r="E290" i="31" s="1"/>
  <c r="E291" i="31" s="1"/>
  <c r="E292" i="31" s="1"/>
  <c r="E293" i="31" s="1"/>
  <c r="E294" i="31" s="1"/>
  <c r="E295" i="31" s="1"/>
  <c r="E296" i="31" s="1"/>
  <c r="E297" i="31" s="1"/>
  <c r="E298" i="31" s="1"/>
  <c r="E299" i="31" s="1"/>
  <c r="E300" i="31" s="1"/>
  <c r="B242" i="31"/>
  <c r="E307" i="17"/>
  <c r="E241" i="31"/>
  <c r="B241" i="31"/>
  <c r="E306" i="17"/>
  <c r="E240" i="31"/>
  <c r="B240" i="31"/>
  <c r="E305" i="17"/>
  <c r="E239" i="31"/>
  <c r="B239" i="31"/>
  <c r="E304" i="17"/>
  <c r="E238" i="31"/>
  <c r="B238" i="31"/>
  <c r="E303" i="17"/>
  <c r="E237" i="31"/>
  <c r="E288" i="17"/>
  <c r="B235" i="31"/>
  <c r="E287" i="17"/>
  <c r="B234" i="31"/>
  <c r="E286" i="17"/>
  <c r="B233" i="31"/>
  <c r="E285" i="17"/>
  <c r="B232" i="31"/>
  <c r="E284" i="17"/>
  <c r="B231" i="31"/>
  <c r="E283" i="17"/>
  <c r="B230" i="31"/>
  <c r="E282" i="17"/>
  <c r="B229" i="31"/>
  <c r="E281" i="17"/>
  <c r="B228" i="31"/>
  <c r="E280" i="17"/>
  <c r="B227" i="31"/>
  <c r="E279" i="17"/>
  <c r="B226" i="31"/>
  <c r="E278" i="17"/>
  <c r="B225" i="31"/>
  <c r="E277" i="17"/>
  <c r="B224" i="31"/>
  <c r="E276" i="17"/>
  <c r="B223" i="31"/>
  <c r="E275" i="17"/>
  <c r="B222" i="31"/>
  <c r="E274" i="17"/>
  <c r="B221" i="31"/>
  <c r="E273" i="17"/>
  <c r="B220" i="31"/>
  <c r="E272" i="17"/>
  <c r="B219" i="31"/>
  <c r="E271" i="17"/>
  <c r="B218" i="31"/>
  <c r="E270" i="17"/>
  <c r="B217" i="31"/>
  <c r="E269" i="17"/>
  <c r="B216" i="31"/>
  <c r="E268" i="17"/>
  <c r="B215" i="31"/>
  <c r="E267" i="17"/>
  <c r="B214" i="31"/>
  <c r="E266" i="17"/>
  <c r="B213" i="31"/>
  <c r="E265" i="17"/>
  <c r="B212" i="31"/>
  <c r="E264" i="17"/>
  <c r="B211" i="31"/>
  <c r="E263" i="17"/>
  <c r="B210" i="31"/>
  <c r="E262" i="17"/>
  <c r="B209" i="31"/>
  <c r="E261" i="17"/>
  <c r="B208" i="31"/>
  <c r="E260" i="17"/>
  <c r="B207" i="31"/>
  <c r="E259" i="17"/>
  <c r="B206" i="31"/>
  <c r="E258" i="17"/>
  <c r="B205" i="31"/>
  <c r="E257" i="17"/>
  <c r="B204" i="31"/>
  <c r="E256" i="17"/>
  <c r="B203" i="31"/>
  <c r="E255" i="17"/>
  <c r="B202" i="31"/>
  <c r="E254" i="17"/>
  <c r="B201" i="31"/>
  <c r="E253" i="17"/>
  <c r="B200" i="31"/>
  <c r="E252" i="17"/>
  <c r="B199" i="31"/>
  <c r="E251" i="17"/>
  <c r="B198" i="31"/>
  <c r="E250" i="17"/>
  <c r="B197" i="31"/>
  <c r="E249" i="17"/>
  <c r="B196" i="31"/>
  <c r="E248" i="17"/>
  <c r="B195" i="31"/>
  <c r="E247" i="17"/>
  <c r="B194" i="31"/>
  <c r="E246" i="17"/>
  <c r="B193" i="31"/>
  <c r="E245" i="17"/>
  <c r="B192" i="31"/>
  <c r="E244" i="17"/>
  <c r="B191" i="31"/>
  <c r="E243" i="17"/>
  <c r="B190" i="31"/>
  <c r="E242" i="17"/>
  <c r="B189" i="31"/>
  <c r="E241" i="17"/>
  <c r="B188" i="31"/>
  <c r="E240" i="17"/>
  <c r="B187" i="31"/>
  <c r="E239" i="17"/>
  <c r="B186" i="31"/>
  <c r="E238" i="17"/>
  <c r="B185" i="31"/>
  <c r="E237" i="17"/>
  <c r="B184" i="31"/>
  <c r="E236" i="17"/>
  <c r="B183" i="31"/>
  <c r="E235" i="17"/>
  <c r="B182" i="31"/>
  <c r="E233" i="17"/>
  <c r="E180" i="31"/>
  <c r="B180" i="31"/>
  <c r="E232" i="17"/>
  <c r="E179" i="31"/>
  <c r="B179" i="31"/>
  <c r="E231" i="17"/>
  <c r="E178" i="31"/>
  <c r="B178" i="31"/>
  <c r="E230" i="17"/>
  <c r="E177" i="31"/>
  <c r="E182" i="31" s="1"/>
  <c r="E183" i="31" s="1"/>
  <c r="E184" i="31" s="1"/>
  <c r="E185" i="31" s="1"/>
  <c r="E186" i="31" s="1"/>
  <c r="E187" i="31" s="1"/>
  <c r="E188" i="31" s="1"/>
  <c r="E189" i="31" s="1"/>
  <c r="E190" i="31" s="1"/>
  <c r="E191" i="31" s="1"/>
  <c r="E192" i="31" s="1"/>
  <c r="E193" i="31" s="1"/>
  <c r="E194" i="31" s="1"/>
  <c r="E195" i="31" s="1"/>
  <c r="E196" i="31" s="1"/>
  <c r="E197" i="31" s="1"/>
  <c r="E198" i="31" s="1"/>
  <c r="E199" i="31" s="1"/>
  <c r="E200" i="31" s="1"/>
  <c r="E201" i="31" s="1"/>
  <c r="E202" i="31" s="1"/>
  <c r="E203" i="31" s="1"/>
  <c r="E204" i="31" s="1"/>
  <c r="E205" i="31" s="1"/>
  <c r="E206" i="31" s="1"/>
  <c r="E207" i="31" s="1"/>
  <c r="E208" i="31" s="1"/>
  <c r="E209" i="31" s="1"/>
  <c r="E210" i="31" s="1"/>
  <c r="E211" i="31" s="1"/>
  <c r="E212" i="31" s="1"/>
  <c r="E213" i="31" s="1"/>
  <c r="E214" i="31" s="1"/>
  <c r="E215" i="31" s="1"/>
  <c r="E216" i="31" s="1"/>
  <c r="E217" i="31" s="1"/>
  <c r="E218" i="31" s="1"/>
  <c r="E219" i="31" s="1"/>
  <c r="E220" i="31" s="1"/>
  <c r="E221" i="31" s="1"/>
  <c r="E222" i="31" s="1"/>
  <c r="E223" i="31" s="1"/>
  <c r="E224" i="31" s="1"/>
  <c r="E225" i="31" s="1"/>
  <c r="E226" i="31" s="1"/>
  <c r="E227" i="31" s="1"/>
  <c r="E228" i="31" s="1"/>
  <c r="E229" i="31" s="1"/>
  <c r="E230" i="31" s="1"/>
  <c r="E231" i="31" s="1"/>
  <c r="E232" i="31" s="1"/>
  <c r="E233" i="31" s="1"/>
  <c r="E234" i="31" s="1"/>
  <c r="E235" i="31" s="1"/>
  <c r="B177" i="31"/>
  <c r="E229" i="17"/>
  <c r="E176" i="31"/>
  <c r="B176" i="31"/>
  <c r="E228" i="17"/>
  <c r="E175" i="31"/>
  <c r="B175" i="31"/>
  <c r="E226" i="17"/>
  <c r="E173" i="31"/>
  <c r="B173" i="31"/>
  <c r="E225" i="17"/>
  <c r="E172" i="31"/>
  <c r="B172" i="31"/>
  <c r="E224" i="17"/>
  <c r="E171" i="31"/>
  <c r="B171" i="31"/>
  <c r="E223" i="17"/>
  <c r="E170" i="31"/>
  <c r="B170" i="31"/>
  <c r="E222" i="17"/>
  <c r="E169" i="31"/>
  <c r="B169" i="31"/>
  <c r="E221" i="17"/>
  <c r="E168" i="31"/>
  <c r="B168" i="31"/>
  <c r="E220" i="17"/>
  <c r="E167" i="31"/>
  <c r="B167" i="31"/>
  <c r="E219" i="17"/>
  <c r="E166" i="31"/>
  <c r="B166" i="31"/>
  <c r="E218" i="17"/>
  <c r="E165" i="31"/>
  <c r="B165" i="31"/>
  <c r="E216" i="17"/>
  <c r="B163" i="31"/>
  <c r="E215" i="17"/>
  <c r="B162" i="31"/>
  <c r="E214" i="17"/>
  <c r="B161" i="31"/>
  <c r="E213" i="17"/>
  <c r="B160" i="31"/>
  <c r="E212" i="17"/>
  <c r="B159" i="31"/>
  <c r="E211" i="17"/>
  <c r="B158" i="31"/>
  <c r="E210" i="17"/>
  <c r="B157" i="31"/>
  <c r="E209" i="17"/>
  <c r="B156" i="31"/>
  <c r="E208" i="17"/>
  <c r="B155" i="31"/>
  <c r="E207" i="17"/>
  <c r="B154" i="31"/>
  <c r="E206" i="17"/>
  <c r="B153" i="31"/>
  <c r="E205" i="17"/>
  <c r="B152" i="31"/>
  <c r="E204" i="17"/>
  <c r="B151" i="31"/>
  <c r="E203" i="17"/>
  <c r="B150" i="31"/>
  <c r="E202" i="17"/>
  <c r="B149" i="31"/>
  <c r="E201" i="17"/>
  <c r="B148" i="31"/>
  <c r="E200" i="17"/>
  <c r="B147" i="31"/>
  <c r="E199" i="17"/>
  <c r="B146" i="31"/>
  <c r="E198" i="17"/>
  <c r="B145" i="31"/>
  <c r="E197" i="17"/>
  <c r="B144" i="31"/>
  <c r="E196" i="17"/>
  <c r="B143" i="31"/>
  <c r="E195" i="17"/>
  <c r="B142" i="31"/>
  <c r="E194" i="17"/>
  <c r="B141" i="31"/>
  <c r="E193" i="17"/>
  <c r="B140" i="31"/>
  <c r="E192" i="17"/>
  <c r="B139" i="31"/>
  <c r="E191" i="17"/>
  <c r="B138" i="31"/>
  <c r="E190" i="17"/>
  <c r="B137" i="31"/>
  <c r="E189" i="17"/>
  <c r="B136" i="31"/>
  <c r="E188" i="17"/>
  <c r="B135" i="31"/>
  <c r="E187" i="17"/>
  <c r="B134" i="31"/>
  <c r="E186" i="17"/>
  <c r="B133" i="31"/>
  <c r="E185" i="17"/>
  <c r="B132" i="31"/>
  <c r="E184" i="17"/>
  <c r="B131" i="31"/>
  <c r="E183" i="17"/>
  <c r="B130" i="31"/>
  <c r="E182" i="17"/>
  <c r="B129" i="31"/>
  <c r="E181" i="17"/>
  <c r="B128" i="31"/>
  <c r="E180" i="17"/>
  <c r="B127" i="31"/>
  <c r="E179" i="17"/>
  <c r="B126" i="31"/>
  <c r="E178" i="17"/>
  <c r="B125" i="31"/>
  <c r="E177" i="17"/>
  <c r="B124" i="31"/>
  <c r="E176" i="17"/>
  <c r="B123" i="31"/>
  <c r="E175" i="17"/>
  <c r="B122" i="31"/>
  <c r="E174" i="17"/>
  <c r="B121" i="31"/>
  <c r="E173" i="17"/>
  <c r="B120" i="31"/>
  <c r="E172" i="17"/>
  <c r="B119" i="31"/>
  <c r="E171" i="17"/>
  <c r="B118" i="31"/>
  <c r="E170" i="17"/>
  <c r="B117" i="31"/>
  <c r="E169" i="17"/>
  <c r="B116" i="31"/>
  <c r="E168" i="17"/>
  <c r="B115" i="31"/>
  <c r="E167" i="17"/>
  <c r="B114" i="31"/>
  <c r="E166" i="17"/>
  <c r="B113" i="31"/>
  <c r="E165" i="17"/>
  <c r="B112" i="31"/>
  <c r="E164" i="17"/>
  <c r="B111" i="31"/>
  <c r="E163" i="17"/>
  <c r="B110" i="31"/>
  <c r="E161" i="17"/>
  <c r="E108" i="31"/>
  <c r="B108" i="31"/>
  <c r="E160" i="17"/>
  <c r="E107" i="31"/>
  <c r="B107" i="31"/>
  <c r="E159" i="17"/>
  <c r="E106" i="31"/>
  <c r="B106" i="31"/>
  <c r="E158" i="17"/>
  <c r="E105" i="31"/>
  <c r="E110" i="31" s="1"/>
  <c r="E111" i="31" s="1"/>
  <c r="E112" i="31" s="1"/>
  <c r="E113" i="31" s="1"/>
  <c r="E114" i="31" s="1"/>
  <c r="E115" i="31" s="1"/>
  <c r="E116" i="31" s="1"/>
  <c r="E117" i="31" s="1"/>
  <c r="E118" i="31" s="1"/>
  <c r="E119" i="31" s="1"/>
  <c r="E120" i="31" s="1"/>
  <c r="E121" i="31" s="1"/>
  <c r="E122" i="31" s="1"/>
  <c r="E123" i="31" s="1"/>
  <c r="E124" i="31" s="1"/>
  <c r="E125" i="31" s="1"/>
  <c r="E126" i="31" s="1"/>
  <c r="E127" i="31" s="1"/>
  <c r="E128" i="31" s="1"/>
  <c r="E129" i="31" s="1"/>
  <c r="E130" i="31" s="1"/>
  <c r="E131" i="31" s="1"/>
  <c r="E132" i="31" s="1"/>
  <c r="E133" i="31" s="1"/>
  <c r="E134" i="31" s="1"/>
  <c r="E135" i="31" s="1"/>
  <c r="E136" i="31" s="1"/>
  <c r="E137" i="31" s="1"/>
  <c r="E138" i="31" s="1"/>
  <c r="E139" i="31" s="1"/>
  <c r="E140" i="31" s="1"/>
  <c r="E141" i="31" s="1"/>
  <c r="E142" i="31" s="1"/>
  <c r="E143" i="31" s="1"/>
  <c r="E144" i="31" s="1"/>
  <c r="E145" i="31" s="1"/>
  <c r="E146" i="31" s="1"/>
  <c r="E147" i="31" s="1"/>
  <c r="E148" i="31" s="1"/>
  <c r="E149" i="31" s="1"/>
  <c r="E150" i="31" s="1"/>
  <c r="E151" i="31" s="1"/>
  <c r="E152" i="31" s="1"/>
  <c r="E153" i="31" s="1"/>
  <c r="E154" i="31" s="1"/>
  <c r="E155" i="31" s="1"/>
  <c r="E156" i="31" s="1"/>
  <c r="E157" i="31" s="1"/>
  <c r="E158" i="31" s="1"/>
  <c r="E159" i="31" s="1"/>
  <c r="E160" i="31" s="1"/>
  <c r="E161" i="31" s="1"/>
  <c r="E162" i="31" s="1"/>
  <c r="E163" i="31" s="1"/>
  <c r="B105" i="31"/>
  <c r="E157" i="17"/>
  <c r="E104" i="31"/>
  <c r="B104" i="31"/>
  <c r="E155" i="17"/>
  <c r="E102" i="31"/>
  <c r="B102" i="31"/>
  <c r="E154" i="17"/>
  <c r="E101" i="31"/>
  <c r="B101" i="31"/>
  <c r="E153" i="17"/>
  <c r="E100" i="31"/>
  <c r="B100" i="31"/>
  <c r="E152" i="17"/>
  <c r="E99" i="31"/>
  <c r="B99" i="31"/>
  <c r="E151" i="17"/>
  <c r="E98" i="31"/>
  <c r="B98" i="31"/>
  <c r="E150" i="17"/>
  <c r="E97" i="31"/>
  <c r="B97" i="31"/>
  <c r="E149" i="17"/>
  <c r="E96" i="31"/>
  <c r="B96" i="31"/>
  <c r="E148" i="17"/>
  <c r="E95" i="31"/>
  <c r="B95" i="31"/>
  <c r="E147" i="17"/>
  <c r="E94" i="31"/>
  <c r="E131" i="17"/>
  <c r="E92" i="31"/>
  <c r="B92" i="31"/>
  <c r="E130" i="17"/>
  <c r="E91" i="31"/>
  <c r="B91" i="31"/>
  <c r="E129" i="17"/>
  <c r="E90" i="31"/>
  <c r="B90" i="31"/>
  <c r="E128" i="17"/>
  <c r="E89" i="31"/>
  <c r="B89" i="31"/>
  <c r="E127" i="17"/>
  <c r="E88" i="31"/>
  <c r="B88" i="31"/>
  <c r="E126" i="17"/>
  <c r="E87" i="31"/>
  <c r="B87" i="31"/>
  <c r="E125" i="17"/>
  <c r="E86" i="31"/>
  <c r="B86" i="31"/>
  <c r="E123" i="17"/>
  <c r="E84" i="31"/>
  <c r="B84" i="31"/>
  <c r="E122" i="17"/>
  <c r="E83" i="31"/>
  <c r="B83" i="31"/>
  <c r="E121" i="17"/>
  <c r="E82" i="31"/>
  <c r="B82" i="31"/>
  <c r="E120" i="17"/>
  <c r="E81" i="31"/>
  <c r="B81" i="31"/>
  <c r="E119" i="17"/>
  <c r="E80" i="31"/>
  <c r="B80" i="31"/>
  <c r="E118" i="17"/>
  <c r="E79" i="31"/>
  <c r="B79" i="31"/>
  <c r="E117" i="17"/>
  <c r="E78" i="31"/>
  <c r="B78" i="31"/>
  <c r="E116" i="17"/>
  <c r="E77" i="31"/>
  <c r="B77" i="31"/>
  <c r="B75" i="31"/>
  <c r="E101" i="17"/>
  <c r="G101" i="17" s="1"/>
  <c r="B72" i="31"/>
  <c r="E100" i="17"/>
  <c r="G100" i="17" s="1"/>
  <c r="B71" i="31"/>
  <c r="E99" i="17"/>
  <c r="G99" i="17" s="1"/>
  <c r="B70" i="31"/>
  <c r="E98" i="17"/>
  <c r="G98" i="17" s="1"/>
  <c r="B69" i="31"/>
  <c r="E97" i="17"/>
  <c r="G97" i="17" s="1"/>
  <c r="B68" i="31"/>
  <c r="E96" i="17"/>
  <c r="G96" i="17" s="1"/>
  <c r="B67" i="31"/>
  <c r="E95" i="17"/>
  <c r="G95" i="17" s="1"/>
  <c r="B66" i="31"/>
  <c r="E94" i="17"/>
  <c r="G94" i="17" s="1"/>
  <c r="B65" i="31"/>
  <c r="E93" i="17"/>
  <c r="G93" i="17" s="1"/>
  <c r="B64" i="31"/>
  <c r="E92" i="17"/>
  <c r="G92" i="17" s="1"/>
  <c r="B63" i="31"/>
  <c r="E91" i="17"/>
  <c r="G91" i="17" s="1"/>
  <c r="B62" i="31"/>
  <c r="E90" i="17"/>
  <c r="G90" i="17" s="1"/>
  <c r="B61" i="31"/>
  <c r="E89" i="17"/>
  <c r="G89" i="17" s="1"/>
  <c r="B60" i="31"/>
  <c r="E88" i="17"/>
  <c r="G88" i="17" s="1"/>
  <c r="B59" i="31"/>
  <c r="E87" i="17"/>
  <c r="G87" i="17" s="1"/>
  <c r="B58" i="31"/>
  <c r="E86" i="17"/>
  <c r="G86" i="17" s="1"/>
  <c r="B57" i="31"/>
  <c r="E85" i="17"/>
  <c r="G85" i="17" s="1"/>
  <c r="B56" i="31"/>
  <c r="E84" i="17"/>
  <c r="G84" i="17" s="1"/>
  <c r="B55" i="31"/>
  <c r="E83" i="17"/>
  <c r="G83" i="17" s="1"/>
  <c r="B54" i="31"/>
  <c r="E82" i="17"/>
  <c r="G82" i="17" s="1"/>
  <c r="B53" i="31"/>
  <c r="E81" i="17"/>
  <c r="G81" i="17" s="1"/>
  <c r="B52" i="31"/>
  <c r="E80" i="17"/>
  <c r="G80" i="17" s="1"/>
  <c r="B51" i="31"/>
  <c r="E79" i="17"/>
  <c r="G79" i="17" s="1"/>
  <c r="B50" i="31"/>
  <c r="E78" i="17"/>
  <c r="G78" i="17" s="1"/>
  <c r="B49" i="31"/>
  <c r="E77" i="17"/>
  <c r="G77" i="17" s="1"/>
  <c r="B48" i="31"/>
  <c r="E76" i="17"/>
  <c r="G76" i="17" s="1"/>
  <c r="B47" i="31"/>
  <c r="E75" i="17"/>
  <c r="G75" i="17" s="1"/>
  <c r="B46" i="31"/>
  <c r="E74" i="17"/>
  <c r="G74" i="17" s="1"/>
  <c r="B45" i="31"/>
  <c r="E73" i="17"/>
  <c r="G73" i="17" s="1"/>
  <c r="B44" i="31"/>
  <c r="E72" i="17"/>
  <c r="G72" i="17" s="1"/>
  <c r="B43" i="31"/>
  <c r="E71" i="17"/>
  <c r="G71" i="17" s="1"/>
  <c r="B42" i="31"/>
  <c r="E70" i="17"/>
  <c r="G70" i="17" s="1"/>
  <c r="B41" i="31"/>
  <c r="E69" i="17"/>
  <c r="G69" i="17" s="1"/>
  <c r="B40" i="31"/>
  <c r="E68" i="17"/>
  <c r="G68" i="17" s="1"/>
  <c r="B39" i="31"/>
  <c r="E67" i="17"/>
  <c r="G67" i="17" s="1"/>
  <c r="B38" i="31"/>
  <c r="E66" i="17"/>
  <c r="G66" i="17" s="1"/>
  <c r="B37" i="31"/>
  <c r="E65" i="17"/>
  <c r="G65" i="17" s="1"/>
  <c r="B36" i="31"/>
  <c r="E64" i="17"/>
  <c r="G64" i="17" s="1"/>
  <c r="B35" i="31"/>
  <c r="E63" i="17"/>
  <c r="G63" i="17" s="1"/>
  <c r="B34" i="31"/>
  <c r="E62" i="17"/>
  <c r="G62" i="17" s="1"/>
  <c r="B33" i="31"/>
  <c r="E61" i="17"/>
  <c r="G61" i="17" s="1"/>
  <c r="B32" i="31"/>
  <c r="E60" i="17"/>
  <c r="G60" i="17" s="1"/>
  <c r="B31" i="31"/>
  <c r="E59" i="17"/>
  <c r="G59" i="17" s="1"/>
  <c r="B30" i="31"/>
  <c r="E58" i="17"/>
  <c r="G58" i="17" s="1"/>
  <c r="B29" i="31"/>
  <c r="E57" i="17"/>
  <c r="G57" i="17" s="1"/>
  <c r="B28" i="31"/>
  <c r="E56" i="17"/>
  <c r="G56" i="17" s="1"/>
  <c r="B27" i="31"/>
  <c r="E55" i="17"/>
  <c r="B26" i="31"/>
  <c r="E54" i="17"/>
  <c r="B25" i="31"/>
  <c r="E53" i="17"/>
  <c r="B24" i="31"/>
  <c r="E52" i="17"/>
  <c r="B23" i="31"/>
  <c r="E51" i="17"/>
  <c r="B22" i="31"/>
  <c r="E50" i="17"/>
  <c r="B21" i="31"/>
  <c r="E49" i="17"/>
  <c r="B20" i="31"/>
  <c r="E48" i="17"/>
  <c r="B19" i="31"/>
  <c r="E104" i="17"/>
  <c r="B17" i="31"/>
  <c r="E103" i="17"/>
  <c r="E37" i="17"/>
  <c r="E14" i="31"/>
  <c r="E19" i="31" s="1"/>
  <c r="B14" i="31"/>
  <c r="E36" i="17"/>
  <c r="E13" i="31"/>
  <c r="B13" i="31"/>
  <c r="E35" i="17"/>
  <c r="E12" i="31"/>
  <c r="B12" i="31"/>
  <c r="E34" i="17"/>
  <c r="E11" i="31"/>
  <c r="B11" i="31"/>
  <c r="E32" i="17"/>
  <c r="E9" i="31"/>
  <c r="E31" i="17"/>
  <c r="E8" i="31"/>
  <c r="E30" i="17"/>
  <c r="E7" i="31"/>
  <c r="B7" i="31"/>
  <c r="B8" i="31" s="1"/>
  <c r="B9" i="31" s="1"/>
  <c r="A7" i="3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  <c r="A137" i="31" s="1"/>
  <c r="A138" i="31" s="1"/>
  <c r="A139" i="31" s="1"/>
  <c r="A140" i="31" s="1"/>
  <c r="A141" i="31" s="1"/>
  <c r="A142" i="31" s="1"/>
  <c r="A143" i="31" s="1"/>
  <c r="A144" i="31" s="1"/>
  <c r="A145" i="31" s="1"/>
  <c r="A146" i="31" s="1"/>
  <c r="A147" i="31" s="1"/>
  <c r="A148" i="31" s="1"/>
  <c r="A149" i="31" s="1"/>
  <c r="A150" i="31" s="1"/>
  <c r="A151" i="31" s="1"/>
  <c r="A152" i="31" s="1"/>
  <c r="A153" i="31" s="1"/>
  <c r="A154" i="31" s="1"/>
  <c r="A155" i="31" s="1"/>
  <c r="A156" i="31" s="1"/>
  <c r="A157" i="31" s="1"/>
  <c r="A158" i="31" s="1"/>
  <c r="A159" i="31" s="1"/>
  <c r="A160" i="31" s="1"/>
  <c r="A161" i="31" s="1"/>
  <c r="A162" i="31" s="1"/>
  <c r="A163" i="31" s="1"/>
  <c r="A164" i="31" s="1"/>
  <c r="A165" i="31" s="1"/>
  <c r="A166" i="31" s="1"/>
  <c r="A167" i="31" s="1"/>
  <c r="A168" i="31" s="1"/>
  <c r="A169" i="31" s="1"/>
  <c r="A170" i="31" s="1"/>
  <c r="A171" i="31" s="1"/>
  <c r="A172" i="31" s="1"/>
  <c r="A173" i="31" s="1"/>
  <c r="A174" i="31" s="1"/>
  <c r="A175" i="31" s="1"/>
  <c r="A176" i="31" s="1"/>
  <c r="A177" i="31" s="1"/>
  <c r="A178" i="31" s="1"/>
  <c r="A179" i="31" s="1"/>
  <c r="A180" i="31" s="1"/>
  <c r="A181" i="31" s="1"/>
  <c r="A182" i="31" s="1"/>
  <c r="A183" i="31" s="1"/>
  <c r="A184" i="31" s="1"/>
  <c r="A185" i="31" s="1"/>
  <c r="A186" i="31" s="1"/>
  <c r="A187" i="31" s="1"/>
  <c r="A188" i="31" s="1"/>
  <c r="A189" i="31" s="1"/>
  <c r="A190" i="31" s="1"/>
  <c r="A191" i="31" s="1"/>
  <c r="A192" i="31" s="1"/>
  <c r="A193" i="31" s="1"/>
  <c r="A194" i="31" s="1"/>
  <c r="A195" i="31" s="1"/>
  <c r="A196" i="31" s="1"/>
  <c r="A197" i="31" s="1"/>
  <c r="A198" i="31" s="1"/>
  <c r="A199" i="31" s="1"/>
  <c r="A200" i="31" s="1"/>
  <c r="A201" i="31" s="1"/>
  <c r="A202" i="31" s="1"/>
  <c r="A203" i="31" s="1"/>
  <c r="A204" i="31" s="1"/>
  <c r="A205" i="31" s="1"/>
  <c r="A206" i="31" s="1"/>
  <c r="A207" i="31" s="1"/>
  <c r="A208" i="31" s="1"/>
  <c r="A209" i="31" s="1"/>
  <c r="A210" i="31" s="1"/>
  <c r="A211" i="31" s="1"/>
  <c r="A212" i="31" s="1"/>
  <c r="A213" i="31" s="1"/>
  <c r="A214" i="31" s="1"/>
  <c r="A215" i="31" s="1"/>
  <c r="A216" i="31" s="1"/>
  <c r="A217" i="31" s="1"/>
  <c r="A218" i="31" s="1"/>
  <c r="A219" i="31" s="1"/>
  <c r="A220" i="31" s="1"/>
  <c r="A221" i="31" s="1"/>
  <c r="A222" i="31" s="1"/>
  <c r="A223" i="31" s="1"/>
  <c r="A224" i="31" s="1"/>
  <c r="A225" i="31" s="1"/>
  <c r="A226" i="31" s="1"/>
  <c r="A227" i="31" s="1"/>
  <c r="A228" i="31" s="1"/>
  <c r="A229" i="31" s="1"/>
  <c r="A230" i="31" s="1"/>
  <c r="A231" i="31" s="1"/>
  <c r="A232" i="31" s="1"/>
  <c r="A233" i="31" s="1"/>
  <c r="A234" i="31" s="1"/>
  <c r="A235" i="31" s="1"/>
  <c r="A236" i="31" s="1"/>
  <c r="A237" i="31" s="1"/>
  <c r="A238" i="31" s="1"/>
  <c r="A239" i="31" s="1"/>
  <c r="A240" i="31" s="1"/>
  <c r="A241" i="31" s="1"/>
  <c r="A242" i="31" s="1"/>
  <c r="A243" i="31" s="1"/>
  <c r="A244" i="31" s="1"/>
  <c r="A245" i="31" s="1"/>
  <c r="A246" i="31" s="1"/>
  <c r="A247" i="31" s="1"/>
  <c r="A248" i="31" s="1"/>
  <c r="A249" i="31" s="1"/>
  <c r="A250" i="31" s="1"/>
  <c r="A251" i="31" s="1"/>
  <c r="A252" i="31" s="1"/>
  <c r="A253" i="31" s="1"/>
  <c r="A254" i="31" s="1"/>
  <c r="A255" i="31" s="1"/>
  <c r="A256" i="31" s="1"/>
  <c r="A257" i="31" s="1"/>
  <c r="A258" i="31" s="1"/>
  <c r="A259" i="31" s="1"/>
  <c r="A260" i="31" s="1"/>
  <c r="A261" i="31" s="1"/>
  <c r="A262" i="31" s="1"/>
  <c r="A263" i="31" s="1"/>
  <c r="A264" i="31" s="1"/>
  <c r="A265" i="31" s="1"/>
  <c r="A266" i="31" s="1"/>
  <c r="A267" i="31" s="1"/>
  <c r="A268" i="31" s="1"/>
  <c r="A269" i="31" s="1"/>
  <c r="A270" i="31" s="1"/>
  <c r="A271" i="31" s="1"/>
  <c r="A272" i="31" s="1"/>
  <c r="A273" i="31" s="1"/>
  <c r="A274" i="31" s="1"/>
  <c r="A275" i="31" s="1"/>
  <c r="A276" i="31" s="1"/>
  <c r="A277" i="31" s="1"/>
  <c r="A278" i="31" s="1"/>
  <c r="A279" i="31" s="1"/>
  <c r="A280" i="31" s="1"/>
  <c r="A281" i="31" s="1"/>
  <c r="A282" i="31" s="1"/>
  <c r="A283" i="31" s="1"/>
  <c r="A284" i="31" s="1"/>
  <c r="A285" i="31" s="1"/>
  <c r="A286" i="31" s="1"/>
  <c r="A287" i="31" s="1"/>
  <c r="A288" i="31" s="1"/>
  <c r="A289" i="31" s="1"/>
  <c r="A290" i="31" s="1"/>
  <c r="A291" i="31" s="1"/>
  <c r="A292" i="31" s="1"/>
  <c r="A293" i="31" s="1"/>
  <c r="A294" i="31" s="1"/>
  <c r="A295" i="31" s="1"/>
  <c r="A296" i="31" s="1"/>
  <c r="A297" i="31" s="1"/>
  <c r="A298" i="31" s="1"/>
  <c r="A299" i="31" s="1"/>
  <c r="A300" i="31" s="1"/>
  <c r="A301" i="31" s="1"/>
  <c r="A302" i="31" s="1"/>
  <c r="A303" i="31" s="1"/>
  <c r="A304" i="31" s="1"/>
  <c r="A305" i="31" s="1"/>
  <c r="A306" i="31" s="1"/>
  <c r="A307" i="31" s="1"/>
  <c r="A308" i="31" s="1"/>
  <c r="A309" i="31" s="1"/>
  <c r="A310" i="31" s="1"/>
  <c r="A311" i="31" s="1"/>
  <c r="A312" i="31" s="1"/>
  <c r="A313" i="31" s="1"/>
  <c r="A314" i="31" s="1"/>
  <c r="A315" i="31" s="1"/>
  <c r="A316" i="31" s="1"/>
  <c r="A317" i="31" s="1"/>
  <c r="A318" i="31" s="1"/>
  <c r="A319" i="31" s="1"/>
  <c r="A320" i="31" s="1"/>
  <c r="A321" i="31" s="1"/>
  <c r="A322" i="31" s="1"/>
  <c r="A323" i="31" s="1"/>
  <c r="A324" i="31" s="1"/>
  <c r="E28" i="17"/>
  <c r="G4" i="31"/>
  <c r="F4" i="31"/>
  <c r="E4" i="31"/>
  <c r="B180" i="30"/>
  <c r="D179" i="30"/>
  <c r="B179" i="30"/>
  <c r="B178" i="30"/>
  <c r="B177" i="30"/>
  <c r="D176" i="30"/>
  <c r="B176" i="30"/>
  <c r="B175" i="30"/>
  <c r="F180" i="30"/>
  <c r="E22" i="18"/>
  <c r="B172" i="30"/>
  <c r="D171" i="30"/>
  <c r="B171" i="30"/>
  <c r="B170" i="30"/>
  <c r="F177" i="30"/>
  <c r="E21" i="18"/>
  <c r="B169" i="30"/>
  <c r="F176" i="30"/>
  <c r="E14" i="18"/>
  <c r="D168" i="30"/>
  <c r="B168" i="30"/>
  <c r="B167" i="30"/>
  <c r="E37" i="15"/>
  <c r="D164" i="30"/>
  <c r="B164" i="30"/>
  <c r="B163" i="30"/>
  <c r="E32" i="15"/>
  <c r="B162" i="30"/>
  <c r="B159" i="30"/>
  <c r="B158" i="30"/>
  <c r="B157" i="30"/>
  <c r="D156" i="30"/>
  <c r="D158" i="30" s="1"/>
  <c r="B156" i="30"/>
  <c r="B155" i="30"/>
  <c r="B154" i="30"/>
  <c r="D151" i="30"/>
  <c r="B151" i="30"/>
  <c r="D150" i="30"/>
  <c r="B150" i="30"/>
  <c r="D146" i="30"/>
  <c r="B149" i="30"/>
  <c r="D139" i="30"/>
  <c r="B148" i="30"/>
  <c r="D142" i="30"/>
  <c r="B147" i="30"/>
  <c r="D148" i="30"/>
  <c r="B146" i="30"/>
  <c r="D144" i="30"/>
  <c r="B145" i="30"/>
  <c r="D140" i="30"/>
  <c r="B144" i="30"/>
  <c r="D145" i="30"/>
  <c r="B143" i="30"/>
  <c r="D138" i="30"/>
  <c r="B142" i="30"/>
  <c r="D147" i="30"/>
  <c r="B141" i="30"/>
  <c r="D143" i="30"/>
  <c r="B140" i="30"/>
  <c r="D141" i="30"/>
  <c r="B139" i="30"/>
  <c r="D149" i="30"/>
  <c r="B138" i="30"/>
  <c r="D133" i="30"/>
  <c r="D132" i="30"/>
  <c r="B132" i="30"/>
  <c r="D131" i="30"/>
  <c r="B131" i="30"/>
  <c r="B130" i="30"/>
  <c r="B129" i="30"/>
  <c r="B128" i="30"/>
  <c r="B127" i="30"/>
  <c r="B126" i="30"/>
  <c r="B125" i="30"/>
  <c r="B124" i="30"/>
  <c r="B123" i="30"/>
  <c r="B122" i="30"/>
  <c r="B121" i="30"/>
  <c r="F36" i="16"/>
  <c r="D120" i="30"/>
  <c r="B120" i="30"/>
  <c r="D119" i="30"/>
  <c r="B119" i="30"/>
  <c r="B118" i="30"/>
  <c r="B117" i="30"/>
  <c r="D116" i="30"/>
  <c r="B116" i="30"/>
  <c r="F31" i="16"/>
  <c r="D115" i="30"/>
  <c r="B115" i="30"/>
  <c r="F30" i="16"/>
  <c r="D114" i="30"/>
  <c r="B114" i="30"/>
  <c r="B113" i="30"/>
  <c r="B112" i="30"/>
  <c r="B111" i="30"/>
  <c r="F22" i="16"/>
  <c r="B110" i="30"/>
  <c r="B109" i="30"/>
  <c r="F21" i="16"/>
  <c r="B108" i="30"/>
  <c r="B107" i="30"/>
  <c r="B106" i="30"/>
  <c r="F17" i="16"/>
  <c r="B105" i="30"/>
  <c r="F16" i="16"/>
  <c r="B104" i="30"/>
  <c r="F15" i="16"/>
  <c r="D103" i="30"/>
  <c r="B103" i="30"/>
  <c r="B102" i="30"/>
  <c r="E69" i="14"/>
  <c r="D98" i="30"/>
  <c r="B98" i="30"/>
  <c r="B97" i="30"/>
  <c r="D96" i="30"/>
  <c r="B96" i="30"/>
  <c r="B95" i="30"/>
  <c r="E64" i="14"/>
  <c r="D94" i="30"/>
  <c r="B94" i="30"/>
  <c r="B93" i="30"/>
  <c r="E58" i="14"/>
  <c r="D92" i="30"/>
  <c r="D108" i="30" s="1"/>
  <c r="D154" i="30" s="1"/>
  <c r="B92" i="30"/>
  <c r="B91" i="30"/>
  <c r="E56" i="14"/>
  <c r="D90" i="30"/>
  <c r="B90" i="30"/>
  <c r="E49" i="14"/>
  <c r="D87" i="30"/>
  <c r="B87" i="30"/>
  <c r="B86" i="30"/>
  <c r="E46" i="14"/>
  <c r="D85" i="30"/>
  <c r="B85" i="30"/>
  <c r="E45" i="14"/>
  <c r="D84" i="30"/>
  <c r="B84" i="30"/>
  <c r="B83" i="30"/>
  <c r="E39" i="14"/>
  <c r="E41" i="14" s="1"/>
  <c r="B82" i="30"/>
  <c r="B81" i="30"/>
  <c r="E37" i="14"/>
  <c r="D80" i="30"/>
  <c r="D82" i="30" s="1"/>
  <c r="B80" i="30"/>
  <c r="E27" i="14"/>
  <c r="D77" i="30"/>
  <c r="B77" i="30"/>
  <c r="B76" i="30"/>
  <c r="E24" i="14"/>
  <c r="B75" i="30"/>
  <c r="E23" i="14"/>
  <c r="B74" i="30"/>
  <c r="B73" i="30"/>
  <c r="E17" i="14"/>
  <c r="B72" i="30"/>
  <c r="B71" i="30"/>
  <c r="E15" i="14"/>
  <c r="D70" i="30"/>
  <c r="D105" i="30" s="1"/>
  <c r="B70" i="30"/>
  <c r="E124" i="13"/>
  <c r="B67" i="30"/>
  <c r="B66" i="30"/>
  <c r="E121" i="13"/>
  <c r="D65" i="30"/>
  <c r="D67" i="30" s="1"/>
  <c r="B65" i="30"/>
  <c r="E120" i="13"/>
  <c r="D64" i="30"/>
  <c r="B64" i="30"/>
  <c r="D63" i="30"/>
  <c r="B63" i="30"/>
  <c r="B62" i="30"/>
  <c r="E113" i="13"/>
  <c r="B61" i="30"/>
  <c r="E112" i="13"/>
  <c r="B60" i="30"/>
  <c r="E111" i="13"/>
  <c r="D59" i="30"/>
  <c r="D60" i="30" s="1"/>
  <c r="D61" i="30" s="1"/>
  <c r="B59" i="30"/>
  <c r="E110" i="13"/>
  <c r="B58" i="30"/>
  <c r="B57" i="30"/>
  <c r="E107" i="13"/>
  <c r="D56" i="30"/>
  <c r="B56" i="30"/>
  <c r="E106" i="13"/>
  <c r="D55" i="30"/>
  <c r="B55" i="30"/>
  <c r="B52" i="30"/>
  <c r="B51" i="30"/>
  <c r="B50" i="30"/>
  <c r="B49" i="30"/>
  <c r="D48" i="30"/>
  <c r="B48" i="30"/>
  <c r="B47" i="30"/>
  <c r="E88" i="13"/>
  <c r="B46" i="30"/>
  <c r="E76" i="13"/>
  <c r="D45" i="30"/>
  <c r="B45" i="30"/>
  <c r="B44" i="30"/>
  <c r="B43" i="30"/>
  <c r="D42" i="30"/>
  <c r="B42" i="30"/>
  <c r="B41" i="30"/>
  <c r="E64" i="13"/>
  <c r="D40" i="30"/>
  <c r="D46" i="30" s="1"/>
  <c r="D47" i="30" s="1"/>
  <c r="D49" i="30" s="1"/>
  <c r="D50" i="30" s="1"/>
  <c r="D51" i="30" s="1"/>
  <c r="D52" i="30" s="1"/>
  <c r="D72" i="30" s="1"/>
  <c r="D74" i="30" s="1"/>
  <c r="D75" i="30" s="1"/>
  <c r="B40" i="30"/>
  <c r="E63" i="13"/>
  <c r="B39" i="30"/>
  <c r="B38" i="30"/>
  <c r="B37" i="30"/>
  <c r="B36" i="30"/>
  <c r="E55" i="13"/>
  <c r="D35" i="30"/>
  <c r="D104" i="30" s="1"/>
  <c r="B35" i="30"/>
  <c r="E45" i="13"/>
  <c r="D32" i="30"/>
  <c r="B32" i="30"/>
  <c r="B31" i="30"/>
  <c r="E42" i="13"/>
  <c r="D30" i="30"/>
  <c r="B30" i="30"/>
  <c r="E41" i="13"/>
  <c r="D29" i="30"/>
  <c r="B29" i="30"/>
  <c r="D28" i="30"/>
  <c r="B28" i="30"/>
  <c r="B27" i="30"/>
  <c r="E35" i="13"/>
  <c r="B26" i="30"/>
  <c r="E34" i="13"/>
  <c r="D25" i="30"/>
  <c r="D26" i="30" s="1"/>
  <c r="B25" i="30"/>
  <c r="E33" i="13"/>
  <c r="B24" i="30"/>
  <c r="B23" i="30"/>
  <c r="E31" i="13"/>
  <c r="B22" i="30"/>
  <c r="E20" i="13"/>
  <c r="D19" i="30"/>
  <c r="B19" i="30"/>
  <c r="E19" i="13"/>
  <c r="B18" i="30"/>
  <c r="B17" i="30"/>
  <c r="E16" i="13"/>
  <c r="B16" i="30"/>
  <c r="E15" i="13"/>
  <c r="B15" i="30"/>
  <c r="E35" i="2"/>
  <c r="D12" i="30"/>
  <c r="B12" i="30"/>
  <c r="E34" i="2"/>
  <c r="B11" i="30"/>
  <c r="B10" i="30"/>
  <c r="E31" i="2"/>
  <c r="E16" i="2" s="1"/>
  <c r="E30" i="2"/>
  <c r="A9" i="30"/>
  <c r="A10" i="30" s="1"/>
  <c r="A11" i="30" s="1"/>
  <c r="A12" i="30" s="1"/>
  <c r="A325" i="31" l="1"/>
  <c r="A326" i="31" s="1"/>
  <c r="A327" i="31" s="1"/>
  <c r="A328" i="31" s="1"/>
  <c r="A329" i="31" s="1"/>
  <c r="E15" i="2"/>
  <c r="E19" i="2"/>
  <c r="E23" i="13"/>
  <c r="H36" i="2"/>
  <c r="A13" i="30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E22" i="13"/>
  <c r="F24" i="16"/>
  <c r="F25" i="16"/>
  <c r="E115" i="13"/>
  <c r="E395" i="31"/>
  <c r="E396" i="31" s="1"/>
  <c r="E397" i="31" s="1"/>
  <c r="E398" i="31" s="1"/>
  <c r="E399" i="31" s="1"/>
  <c r="E402" i="31" s="1"/>
  <c r="E403" i="31" s="1"/>
  <c r="E404" i="31" s="1"/>
  <c r="E405" i="31" s="1"/>
  <c r="E406" i="31" s="1"/>
  <c r="E407" i="31" s="1"/>
  <c r="E412" i="31" s="1"/>
  <c r="E413" i="31" s="1"/>
  <c r="E414" i="31" s="1"/>
  <c r="E415" i="31" s="1"/>
  <c r="E416" i="31" s="1"/>
  <c r="E417" i="31" s="1"/>
  <c r="E418" i="31" s="1"/>
  <c r="E419" i="31" s="1"/>
  <c r="E420" i="31" s="1"/>
  <c r="E421" i="31" s="1"/>
  <c r="E67" i="14"/>
  <c r="G67" i="14" s="1"/>
  <c r="E19" i="14"/>
  <c r="E37" i="13"/>
  <c r="E116" i="13"/>
  <c r="E79" i="16"/>
  <c r="E77" i="16"/>
  <c r="E75" i="16"/>
  <c r="E73" i="16"/>
  <c r="E71" i="16"/>
  <c r="E69" i="16"/>
  <c r="E67" i="16"/>
  <c r="E68" i="16"/>
  <c r="E78" i="16"/>
  <c r="E76" i="16"/>
  <c r="E74" i="16"/>
  <c r="E72" i="16"/>
  <c r="E70" i="16"/>
  <c r="E66" i="16"/>
  <c r="E16" i="15"/>
  <c r="E57" i="13"/>
  <c r="E67" i="13"/>
  <c r="E36" i="2"/>
  <c r="E20" i="2"/>
  <c r="E109" i="30"/>
  <c r="D61" i="16" s="1"/>
  <c r="E48" i="30"/>
  <c r="E49" i="30"/>
  <c r="D159" i="30"/>
  <c r="D162" i="30"/>
  <c r="D169" i="30" s="1"/>
  <c r="E50" i="30"/>
  <c r="D109" i="30"/>
  <c r="D110" i="30" s="1"/>
  <c r="D111" i="30" s="1"/>
  <c r="E74" i="31"/>
  <c r="E75" i="31" s="1"/>
  <c r="E20" i="31"/>
  <c r="E21" i="31" s="1"/>
  <c r="E22" i="31" s="1"/>
  <c r="E23" i="31" s="1"/>
  <c r="E24" i="31" s="1"/>
  <c r="E25" i="31" s="1"/>
  <c r="E26" i="31" s="1"/>
  <c r="E27" i="31" s="1"/>
  <c r="E28" i="31" s="1"/>
  <c r="E29" i="31" s="1"/>
  <c r="E30" i="31" s="1"/>
  <c r="E31" i="31" s="1"/>
  <c r="E32" i="31" s="1"/>
  <c r="E33" i="31" s="1"/>
  <c r="E34" i="31" s="1"/>
  <c r="E35" i="31" s="1"/>
  <c r="E36" i="31" s="1"/>
  <c r="E37" i="31" s="1"/>
  <c r="E38" i="31" s="1"/>
  <c r="E39" i="31" s="1"/>
  <c r="E40" i="31" s="1"/>
  <c r="E41" i="31" s="1"/>
  <c r="E42" i="31" s="1"/>
  <c r="E43" i="31" s="1"/>
  <c r="E44" i="31" s="1"/>
  <c r="E45" i="31" s="1"/>
  <c r="E46" i="31" s="1"/>
  <c r="E47" i="31" s="1"/>
  <c r="E48" i="31" s="1"/>
  <c r="E49" i="31" s="1"/>
  <c r="E50" i="31" s="1"/>
  <c r="E51" i="31" s="1"/>
  <c r="E52" i="31" s="1"/>
  <c r="E53" i="31" s="1"/>
  <c r="E54" i="31" s="1"/>
  <c r="E55" i="31" s="1"/>
  <c r="E56" i="31" s="1"/>
  <c r="E57" i="31" s="1"/>
  <c r="E58" i="31" s="1"/>
  <c r="E59" i="31" s="1"/>
  <c r="E60" i="31" s="1"/>
  <c r="E61" i="31" s="1"/>
  <c r="E62" i="31" s="1"/>
  <c r="E63" i="31" s="1"/>
  <c r="E64" i="31" s="1"/>
  <c r="E65" i="31" s="1"/>
  <c r="E66" i="31" s="1"/>
  <c r="E67" i="31" s="1"/>
  <c r="E68" i="31" s="1"/>
  <c r="E69" i="31" s="1"/>
  <c r="E70" i="31" s="1"/>
  <c r="E71" i="31" s="1"/>
  <c r="E72" i="31" s="1"/>
  <c r="F171" i="30"/>
  <c r="F179" i="30" s="1"/>
  <c r="E37" i="2" l="1"/>
  <c r="A126" i="30"/>
  <c r="A127" i="30" s="1"/>
  <c r="A128" i="30" s="1"/>
  <c r="A129" i="30" s="1"/>
  <c r="A130" i="30" s="1"/>
  <c r="A131" i="30" s="1"/>
  <c r="A132" i="30" s="1"/>
  <c r="E17" i="15"/>
  <c r="E22" i="2"/>
  <c r="E59" i="13"/>
  <c r="D177" i="30"/>
  <c r="D180" i="30" s="1"/>
  <c r="D172" i="30"/>
  <c r="E39" i="2" l="1"/>
  <c r="A138" i="30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A172" i="30" s="1"/>
  <c r="A173" i="30" s="1"/>
  <c r="A174" i="30" s="1"/>
  <c r="A175" i="30" s="1"/>
  <c r="A176" i="30" s="1"/>
  <c r="A177" i="30" s="1"/>
  <c r="A178" i="30" s="1"/>
  <c r="A179" i="30" s="1"/>
  <c r="A180" i="30" s="1"/>
  <c r="T33" i="1" l="1"/>
  <c r="T46" i="1"/>
  <c r="A9" i="19" l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L21" i="17"/>
  <c r="B20" i="17" l="1"/>
  <c r="B19" i="17"/>
  <c r="B18" i="17"/>
  <c r="B17" i="17"/>
  <c r="D15" i="17"/>
  <c r="D16" i="17"/>
  <c r="B16" i="17"/>
  <c r="B15" i="17"/>
  <c r="B14" i="17"/>
  <c r="B13" i="17"/>
  <c r="M20" i="17"/>
  <c r="D20" i="17"/>
  <c r="G424" i="31"/>
  <c r="G520" i="17"/>
  <c r="G358" i="31"/>
  <c r="G357" i="31"/>
  <c r="G355" i="31"/>
  <c r="G354" i="31"/>
  <c r="G353" i="31"/>
  <c r="G352" i="31"/>
  <c r="G351" i="31"/>
  <c r="G349" i="31"/>
  <c r="G348" i="31"/>
  <c r="G347" i="31"/>
  <c r="G346" i="31"/>
  <c r="G344" i="31"/>
  <c r="G343" i="31"/>
  <c r="G342" i="31"/>
  <c r="G341" i="31"/>
  <c r="G340" i="31"/>
  <c r="G339" i="31"/>
  <c r="G518" i="17"/>
  <c r="G512" i="17"/>
  <c r="G506" i="17"/>
  <c r="G502" i="17"/>
  <c r="G498" i="17"/>
  <c r="G496" i="17"/>
  <c r="G473" i="17"/>
  <c r="G471" i="17"/>
  <c r="G469" i="17"/>
  <c r="G463" i="17"/>
  <c r="G439" i="17"/>
  <c r="J518" i="17"/>
  <c r="J517" i="17"/>
  <c r="G516" i="17"/>
  <c r="G514" i="17"/>
  <c r="G504" i="17"/>
  <c r="J501" i="17"/>
  <c r="G465" i="17"/>
  <c r="G460" i="17"/>
  <c r="N19" i="17"/>
  <c r="M19" i="17"/>
  <c r="D19" i="17"/>
  <c r="G336" i="31"/>
  <c r="D426" i="17"/>
  <c r="N18" i="17"/>
  <c r="M18" i="17"/>
  <c r="J494" i="17" l="1"/>
  <c r="J469" i="17"/>
  <c r="J443" i="17"/>
  <c r="J453" i="17"/>
  <c r="J466" i="17"/>
  <c r="J512" i="17"/>
  <c r="J498" i="17"/>
  <c r="J461" i="17"/>
  <c r="J471" i="17"/>
  <c r="J451" i="17"/>
  <c r="J462" i="17"/>
  <c r="J496" i="17"/>
  <c r="J505" i="17"/>
  <c r="J495" i="17"/>
  <c r="J513" i="17"/>
  <c r="J441" i="17"/>
  <c r="J447" i="17"/>
  <c r="J472" i="17"/>
  <c r="J506" i="17"/>
  <c r="J464" i="17"/>
  <c r="J470" i="17"/>
  <c r="J474" i="17"/>
  <c r="J497" i="17"/>
  <c r="J503" i="17"/>
  <c r="J511" i="17"/>
  <c r="J515" i="17"/>
  <c r="J519" i="17"/>
  <c r="J520" i="17"/>
  <c r="J425" i="17"/>
  <c r="G337" i="31"/>
  <c r="J463" i="17"/>
  <c r="J465" i="17"/>
  <c r="J473" i="17"/>
  <c r="J502" i="17"/>
  <c r="J504" i="17"/>
  <c r="J514" i="17"/>
  <c r="J516" i="17"/>
  <c r="J523" i="17"/>
  <c r="D524" i="17"/>
  <c r="J440" i="17"/>
  <c r="J442" i="17"/>
  <c r="J452" i="17"/>
  <c r="J454" i="17"/>
  <c r="J457" i="17"/>
  <c r="J446" i="17"/>
  <c r="J448" i="17"/>
  <c r="L19" i="17"/>
  <c r="D530" i="17"/>
  <c r="N20" i="17"/>
  <c r="L20" i="17" s="1"/>
  <c r="L18" i="17"/>
  <c r="G523" i="17"/>
  <c r="J445" i="17"/>
  <c r="J456" i="17"/>
  <c r="J450" i="17"/>
  <c r="J439" i="17"/>
  <c r="G441" i="17"/>
  <c r="G443" i="17"/>
  <c r="G445" i="17"/>
  <c r="G447" i="17"/>
  <c r="G453" i="17"/>
  <c r="G457" i="17"/>
  <c r="J460" i="17"/>
  <c r="G462" i="17"/>
  <c r="G440" i="17"/>
  <c r="G442" i="17"/>
  <c r="G446" i="17"/>
  <c r="G448" i="17"/>
  <c r="G450" i="17"/>
  <c r="G452" i="17"/>
  <c r="G454" i="17"/>
  <c r="G456" i="17"/>
  <c r="G461" i="17"/>
  <c r="G451" i="17"/>
  <c r="G464" i="17"/>
  <c r="G466" i="17"/>
  <c r="G470" i="17"/>
  <c r="G472" i="17"/>
  <c r="G474" i="17"/>
  <c r="G495" i="17"/>
  <c r="G497" i="17"/>
  <c r="G501" i="17"/>
  <c r="G503" i="17"/>
  <c r="G505" i="17"/>
  <c r="G511" i="17"/>
  <c r="G513" i="17"/>
  <c r="G515" i="17"/>
  <c r="G517" i="17"/>
  <c r="G519" i="17"/>
  <c r="J438" i="17"/>
  <c r="G438" i="17"/>
  <c r="D432" i="17"/>
  <c r="G424" i="17"/>
  <c r="J424" i="17"/>
  <c r="G425" i="17"/>
  <c r="J426" i="17" l="1"/>
  <c r="U19" i="17" s="1"/>
  <c r="T19" i="17" s="1"/>
  <c r="G524" i="17"/>
  <c r="J524" i="17"/>
  <c r="G426" i="17"/>
  <c r="Q19" i="17" s="1"/>
  <c r="U20" i="17" l="1"/>
  <c r="Q20" i="17"/>
  <c r="D18" i="17" l="1"/>
  <c r="G334" i="31" l="1"/>
  <c r="G333" i="31"/>
  <c r="G324" i="31"/>
  <c r="G323" i="31"/>
  <c r="G322" i="31"/>
  <c r="G321" i="31"/>
  <c r="G320" i="31"/>
  <c r="G319" i="31"/>
  <c r="G318" i="31"/>
  <c r="G317" i="31"/>
  <c r="G316" i="31"/>
  <c r="G315" i="31"/>
  <c r="G309" i="31"/>
  <c r="G307" i="31"/>
  <c r="G306" i="31"/>
  <c r="G305" i="31"/>
  <c r="G304" i="31"/>
  <c r="G303" i="31"/>
  <c r="G302" i="31"/>
  <c r="J388" i="17" l="1"/>
  <c r="G388" i="17"/>
  <c r="J389" i="17"/>
  <c r="G389" i="17"/>
  <c r="D412" i="17" l="1"/>
  <c r="J411" i="17"/>
  <c r="G411" i="17"/>
  <c r="J401" i="17"/>
  <c r="J400" i="17"/>
  <c r="G400" i="17"/>
  <c r="J399" i="17"/>
  <c r="G399" i="17"/>
  <c r="J398" i="17"/>
  <c r="G398" i="17"/>
  <c r="J397" i="17"/>
  <c r="G397" i="17"/>
  <c r="J396" i="17"/>
  <c r="G396" i="17"/>
  <c r="J395" i="17"/>
  <c r="G395" i="17"/>
  <c r="J394" i="17"/>
  <c r="G394" i="17"/>
  <c r="J393" i="17"/>
  <c r="J392" i="17"/>
  <c r="G392" i="17"/>
  <c r="J390" i="17"/>
  <c r="J383" i="17"/>
  <c r="J381" i="17"/>
  <c r="G410" i="17" l="1"/>
  <c r="Q21" i="17" s="1"/>
  <c r="D418" i="17"/>
  <c r="G391" i="17"/>
  <c r="G380" i="17"/>
  <c r="G382" i="17"/>
  <c r="G384" i="17"/>
  <c r="G386" i="17"/>
  <c r="J380" i="17"/>
  <c r="J382" i="17"/>
  <c r="J386" i="17"/>
  <c r="J384" i="17"/>
  <c r="J391" i="17"/>
  <c r="J410" i="17"/>
  <c r="U21" i="17" s="1"/>
  <c r="T21" i="17" s="1"/>
  <c r="G379" i="17"/>
  <c r="J379" i="17"/>
  <c r="G381" i="17"/>
  <c r="G390" i="17"/>
  <c r="G393" i="17"/>
  <c r="G383" i="17"/>
  <c r="G401" i="17"/>
  <c r="P21" i="17" l="1"/>
  <c r="G412" i="17"/>
  <c r="Q18" i="17" s="1"/>
  <c r="J412" i="17"/>
  <c r="U18" i="17" s="1"/>
  <c r="T18" i="17" s="1"/>
  <c r="N17" i="17"/>
  <c r="M17" i="17"/>
  <c r="D17" i="17"/>
  <c r="G268" i="31"/>
  <c r="G267" i="31"/>
  <c r="G261" i="31"/>
  <c r="G259" i="31"/>
  <c r="G251" i="31"/>
  <c r="G249" i="31"/>
  <c r="G248" i="31"/>
  <c r="G247" i="31"/>
  <c r="G245" i="31"/>
  <c r="G244" i="31"/>
  <c r="G243" i="31"/>
  <c r="G242" i="31"/>
  <c r="G241" i="31"/>
  <c r="G240" i="31"/>
  <c r="G239" i="31"/>
  <c r="G238" i="31"/>
  <c r="G237" i="31"/>
  <c r="G366" i="17"/>
  <c r="G365" i="17"/>
  <c r="G364" i="17"/>
  <c r="G363" i="17"/>
  <c r="G362" i="17"/>
  <c r="G361" i="17"/>
  <c r="G360" i="17"/>
  <c r="G359" i="17"/>
  <c r="G358" i="17"/>
  <c r="G357" i="17"/>
  <c r="G356" i="17"/>
  <c r="G355" i="17"/>
  <c r="G354" i="17"/>
  <c r="G353" i="17"/>
  <c r="G352" i="17"/>
  <c r="G351" i="17"/>
  <c r="G350" i="17"/>
  <c r="G349" i="17"/>
  <c r="G348" i="17"/>
  <c r="G347" i="17"/>
  <c r="G346" i="17"/>
  <c r="G345" i="17"/>
  <c r="G344" i="17"/>
  <c r="G343" i="17"/>
  <c r="G342" i="17"/>
  <c r="G341" i="17"/>
  <c r="G340" i="17"/>
  <c r="G339" i="17"/>
  <c r="G338" i="17"/>
  <c r="G337" i="17"/>
  <c r="G336" i="17"/>
  <c r="G335" i="17"/>
  <c r="G332" i="17"/>
  <c r="G331" i="17"/>
  <c r="G330" i="17"/>
  <c r="G329" i="17"/>
  <c r="G328" i="17"/>
  <c r="G326" i="17"/>
  <c r="G324" i="17"/>
  <c r="G323" i="17"/>
  <c r="G322" i="17"/>
  <c r="G321" i="17"/>
  <c r="G320" i="17"/>
  <c r="G319" i="17"/>
  <c r="G318" i="17"/>
  <c r="G316" i="17"/>
  <c r="N15" i="17"/>
  <c r="M15" i="17"/>
  <c r="G92" i="31"/>
  <c r="G91" i="31"/>
  <c r="G90" i="31"/>
  <c r="G89" i="31"/>
  <c r="G88" i="31"/>
  <c r="G87" i="31"/>
  <c r="G86" i="31"/>
  <c r="G84" i="31"/>
  <c r="G83" i="31"/>
  <c r="G82" i="31"/>
  <c r="G81" i="31"/>
  <c r="G80" i="31"/>
  <c r="G79" i="31"/>
  <c r="G78" i="31"/>
  <c r="G116" i="17"/>
  <c r="G131" i="17"/>
  <c r="G130" i="17"/>
  <c r="G129" i="17"/>
  <c r="G128" i="17"/>
  <c r="G127" i="17"/>
  <c r="G126" i="17"/>
  <c r="G125" i="17"/>
  <c r="G163" i="17"/>
  <c r="G164" i="17"/>
  <c r="G166" i="17"/>
  <c r="G168" i="17"/>
  <c r="G174" i="17"/>
  <c r="G179" i="17"/>
  <c r="G185" i="17"/>
  <c r="G186" i="17"/>
  <c r="G187" i="17"/>
  <c r="G188" i="17"/>
  <c r="G189" i="17"/>
  <c r="G190" i="17"/>
  <c r="G191" i="17"/>
  <c r="G192" i="17"/>
  <c r="G193" i="17"/>
  <c r="G198" i="17"/>
  <c r="G199" i="17"/>
  <c r="G200" i="17"/>
  <c r="G201" i="17"/>
  <c r="G202" i="17"/>
  <c r="G203" i="17"/>
  <c r="G204" i="17"/>
  <c r="G205" i="17"/>
  <c r="G206" i="17"/>
  <c r="G207" i="17"/>
  <c r="G209" i="17"/>
  <c r="G210" i="17"/>
  <c r="G211" i="17"/>
  <c r="G212" i="17"/>
  <c r="G214" i="17"/>
  <c r="G215" i="17"/>
  <c r="G216" i="17"/>
  <c r="G228" i="17"/>
  <c r="G229" i="17"/>
  <c r="G230" i="17"/>
  <c r="G232" i="17"/>
  <c r="G233" i="17"/>
  <c r="G238" i="17"/>
  <c r="G240" i="17"/>
  <c r="G241" i="17"/>
  <c r="G242" i="17"/>
  <c r="G243" i="17"/>
  <c r="G244" i="17"/>
  <c r="G245" i="17"/>
  <c r="G246" i="17"/>
  <c r="G247" i="17"/>
  <c r="G248" i="17"/>
  <c r="G250" i="17"/>
  <c r="G251" i="17"/>
  <c r="G252" i="17"/>
  <c r="G253" i="17"/>
  <c r="G254" i="17"/>
  <c r="G257" i="17"/>
  <c r="G258" i="17"/>
  <c r="G259" i="17"/>
  <c r="G260" i="17"/>
  <c r="G261" i="17"/>
  <c r="G263" i="17"/>
  <c r="G264" i="17"/>
  <c r="G265" i="17"/>
  <c r="G266" i="17"/>
  <c r="G267" i="17"/>
  <c r="G269" i="17"/>
  <c r="G270" i="17"/>
  <c r="G271" i="17"/>
  <c r="G272" i="17"/>
  <c r="G273" i="17"/>
  <c r="G274" i="17"/>
  <c r="G275" i="17"/>
  <c r="G276" i="17"/>
  <c r="G277" i="17"/>
  <c r="G278" i="17"/>
  <c r="G279" i="17"/>
  <c r="G280" i="17"/>
  <c r="G281" i="17"/>
  <c r="G282" i="17"/>
  <c r="G283" i="17"/>
  <c r="G284" i="17"/>
  <c r="G285" i="17"/>
  <c r="G286" i="17"/>
  <c r="G287" i="17"/>
  <c r="G288" i="17"/>
  <c r="J118" i="17" l="1"/>
  <c r="J122" i="17"/>
  <c r="J120" i="17"/>
  <c r="J317" i="17"/>
  <c r="J327" i="17"/>
  <c r="J306" i="17"/>
  <c r="J310" i="17"/>
  <c r="J315" i="17"/>
  <c r="J308" i="17"/>
  <c r="J325" i="17"/>
  <c r="J304" i="17"/>
  <c r="J313" i="17"/>
  <c r="J333" i="17"/>
  <c r="J116" i="17"/>
  <c r="G77" i="31"/>
  <c r="J316" i="17"/>
  <c r="G250" i="31"/>
  <c r="J318" i="17"/>
  <c r="G252" i="31"/>
  <c r="J320" i="17"/>
  <c r="G254" i="31"/>
  <c r="J322" i="17"/>
  <c r="G256" i="31"/>
  <c r="J324" i="17"/>
  <c r="G258" i="31"/>
  <c r="J326" i="17"/>
  <c r="G260" i="31"/>
  <c r="J328" i="17"/>
  <c r="G262" i="31"/>
  <c r="J330" i="17"/>
  <c r="G264" i="31"/>
  <c r="J332" i="17"/>
  <c r="G266" i="31"/>
  <c r="J336" i="17"/>
  <c r="G270" i="31"/>
  <c r="J338" i="17"/>
  <c r="G272" i="31"/>
  <c r="J340" i="17"/>
  <c r="G274" i="31"/>
  <c r="J342" i="17"/>
  <c r="G276" i="31"/>
  <c r="J344" i="17"/>
  <c r="G278" i="31"/>
  <c r="J346" i="17"/>
  <c r="G280" i="31"/>
  <c r="J348" i="17"/>
  <c r="G282" i="31"/>
  <c r="J350" i="17"/>
  <c r="G284" i="31"/>
  <c r="J352" i="17"/>
  <c r="G286" i="31"/>
  <c r="J354" i="17"/>
  <c r="G288" i="31"/>
  <c r="J356" i="17"/>
  <c r="G290" i="31"/>
  <c r="J358" i="17"/>
  <c r="G292" i="31"/>
  <c r="J360" i="17"/>
  <c r="G294" i="31"/>
  <c r="J362" i="17"/>
  <c r="G296" i="31"/>
  <c r="J364" i="17"/>
  <c r="G298" i="31"/>
  <c r="J366" i="17"/>
  <c r="G300" i="31"/>
  <c r="J288" i="17"/>
  <c r="G235" i="31"/>
  <c r="J287" i="17"/>
  <c r="G234" i="31"/>
  <c r="J286" i="17"/>
  <c r="G233" i="31"/>
  <c r="J285" i="17"/>
  <c r="G232" i="31"/>
  <c r="J284" i="17"/>
  <c r="G231" i="31"/>
  <c r="J283" i="17"/>
  <c r="G230" i="31"/>
  <c r="J282" i="17"/>
  <c r="G229" i="31"/>
  <c r="J281" i="17"/>
  <c r="G228" i="31"/>
  <c r="J280" i="17"/>
  <c r="G227" i="31"/>
  <c r="J279" i="17"/>
  <c r="G226" i="31"/>
  <c r="J278" i="17"/>
  <c r="G225" i="31"/>
  <c r="J277" i="17"/>
  <c r="G224" i="31"/>
  <c r="J276" i="17"/>
  <c r="G223" i="31"/>
  <c r="J275" i="17"/>
  <c r="G222" i="31"/>
  <c r="J274" i="17"/>
  <c r="G221" i="31"/>
  <c r="J273" i="17"/>
  <c r="G220" i="31"/>
  <c r="J272" i="17"/>
  <c r="G219" i="31"/>
  <c r="J271" i="17"/>
  <c r="G218" i="31"/>
  <c r="J270" i="17"/>
  <c r="G217" i="31"/>
  <c r="J269" i="17"/>
  <c r="G216" i="31"/>
  <c r="J268" i="17"/>
  <c r="G215" i="31"/>
  <c r="J267" i="17"/>
  <c r="G214" i="31"/>
  <c r="J266" i="17"/>
  <c r="G213" i="31"/>
  <c r="J265" i="17"/>
  <c r="G212" i="31"/>
  <c r="J264" i="17"/>
  <c r="G211" i="31"/>
  <c r="J263" i="17"/>
  <c r="G210" i="31"/>
  <c r="J262" i="17"/>
  <c r="G209" i="31"/>
  <c r="J261" i="17"/>
  <c r="G208" i="31"/>
  <c r="J260" i="17"/>
  <c r="G207" i="31"/>
  <c r="J259" i="17"/>
  <c r="G206" i="31"/>
  <c r="J258" i="17"/>
  <c r="G205" i="31"/>
  <c r="J257" i="17"/>
  <c r="G204" i="31"/>
  <c r="J256" i="17"/>
  <c r="G203" i="31"/>
  <c r="J255" i="17"/>
  <c r="G202" i="31"/>
  <c r="J254" i="17"/>
  <c r="G201" i="31"/>
  <c r="J253" i="17"/>
  <c r="G200" i="31"/>
  <c r="J252" i="17"/>
  <c r="G199" i="31"/>
  <c r="J251" i="17"/>
  <c r="G198" i="31"/>
  <c r="J250" i="17"/>
  <c r="G197" i="31"/>
  <c r="J249" i="17"/>
  <c r="G196" i="31"/>
  <c r="J248" i="17"/>
  <c r="G195" i="31"/>
  <c r="J247" i="17"/>
  <c r="G194" i="31"/>
  <c r="J246" i="17"/>
  <c r="G193" i="31"/>
  <c r="J245" i="17"/>
  <c r="G192" i="31"/>
  <c r="J244" i="17"/>
  <c r="G191" i="31"/>
  <c r="J243" i="17"/>
  <c r="G190" i="31"/>
  <c r="J242" i="17"/>
  <c r="G189" i="31"/>
  <c r="J241" i="17"/>
  <c r="G188" i="31"/>
  <c r="J240" i="17"/>
  <c r="G187" i="31"/>
  <c r="J239" i="17"/>
  <c r="G186" i="31"/>
  <c r="J238" i="17"/>
  <c r="G185" i="31"/>
  <c r="J237" i="17"/>
  <c r="G184" i="31"/>
  <c r="J236" i="17"/>
  <c r="G183" i="31"/>
  <c r="J235" i="17"/>
  <c r="G182" i="31"/>
  <c r="J233" i="17"/>
  <c r="G180" i="31"/>
  <c r="J232" i="17"/>
  <c r="G179" i="31"/>
  <c r="J231" i="17"/>
  <c r="G178" i="31"/>
  <c r="J230" i="17"/>
  <c r="G177" i="31"/>
  <c r="J229" i="17"/>
  <c r="G176" i="31"/>
  <c r="J228" i="17"/>
  <c r="G175" i="31"/>
  <c r="J226" i="17"/>
  <c r="G173" i="31"/>
  <c r="J225" i="17"/>
  <c r="G172" i="31"/>
  <c r="J224" i="17"/>
  <c r="G171" i="31"/>
  <c r="J223" i="17"/>
  <c r="G170" i="31"/>
  <c r="J222" i="17"/>
  <c r="G169" i="31"/>
  <c r="J221" i="17"/>
  <c r="G168" i="31"/>
  <c r="J220" i="17"/>
  <c r="G167" i="31"/>
  <c r="J219" i="17"/>
  <c r="G166" i="31"/>
  <c r="J218" i="17"/>
  <c r="G165" i="31"/>
  <c r="J216" i="17"/>
  <c r="G163" i="31"/>
  <c r="J215" i="17"/>
  <c r="G162" i="31"/>
  <c r="J214" i="17"/>
  <c r="G161" i="31"/>
  <c r="J213" i="17"/>
  <c r="G160" i="31"/>
  <c r="J212" i="17"/>
  <c r="G159" i="31"/>
  <c r="J211" i="17"/>
  <c r="G158" i="31"/>
  <c r="J210" i="17"/>
  <c r="G157" i="31"/>
  <c r="J209" i="17"/>
  <c r="G156" i="31"/>
  <c r="J208" i="17"/>
  <c r="G155" i="31"/>
  <c r="J207" i="17"/>
  <c r="G154" i="31"/>
  <c r="J206" i="17"/>
  <c r="G153" i="31"/>
  <c r="J205" i="17"/>
  <c r="G152" i="31"/>
  <c r="J204" i="17"/>
  <c r="G151" i="31"/>
  <c r="J203" i="17"/>
  <c r="G150" i="31"/>
  <c r="J202" i="17"/>
  <c r="G149" i="31"/>
  <c r="J201" i="17"/>
  <c r="G148" i="31"/>
  <c r="J200" i="17"/>
  <c r="G147" i="31"/>
  <c r="J199" i="17"/>
  <c r="G146" i="31"/>
  <c r="J198" i="17"/>
  <c r="G145" i="31"/>
  <c r="J197" i="17"/>
  <c r="G144" i="31"/>
  <c r="J196" i="17"/>
  <c r="G143" i="31"/>
  <c r="J195" i="17"/>
  <c r="G142" i="31"/>
  <c r="J194" i="17"/>
  <c r="G141" i="31"/>
  <c r="J193" i="17"/>
  <c r="G140" i="31"/>
  <c r="J192" i="17"/>
  <c r="G139" i="31"/>
  <c r="J191" i="17"/>
  <c r="G138" i="31"/>
  <c r="J190" i="17"/>
  <c r="G137" i="31"/>
  <c r="J189" i="17"/>
  <c r="G136" i="31"/>
  <c r="J188" i="17"/>
  <c r="G135" i="31"/>
  <c r="J187" i="17"/>
  <c r="G134" i="31"/>
  <c r="J186" i="17"/>
  <c r="G133" i="31"/>
  <c r="J185" i="17"/>
  <c r="G132" i="31"/>
  <c r="J184" i="17"/>
  <c r="G131" i="31"/>
  <c r="J183" i="17"/>
  <c r="G130" i="31"/>
  <c r="J182" i="17"/>
  <c r="G129" i="31"/>
  <c r="J181" i="17"/>
  <c r="G128" i="31"/>
  <c r="J180" i="17"/>
  <c r="G127" i="31"/>
  <c r="J179" i="17"/>
  <c r="G126" i="31"/>
  <c r="J178" i="17"/>
  <c r="G125" i="31"/>
  <c r="J177" i="17"/>
  <c r="G124" i="31"/>
  <c r="J176" i="17"/>
  <c r="G123" i="31"/>
  <c r="J175" i="17"/>
  <c r="G122" i="31"/>
  <c r="J174" i="17"/>
  <c r="G121" i="31"/>
  <c r="J173" i="17"/>
  <c r="G120" i="31"/>
  <c r="J172" i="17"/>
  <c r="G119" i="31"/>
  <c r="J171" i="17"/>
  <c r="G118" i="31"/>
  <c r="J170" i="17"/>
  <c r="G117" i="31"/>
  <c r="J169" i="17"/>
  <c r="G116" i="31"/>
  <c r="J168" i="17"/>
  <c r="G115" i="31"/>
  <c r="J167" i="17"/>
  <c r="G114" i="31"/>
  <c r="J166" i="17"/>
  <c r="G113" i="31"/>
  <c r="J165" i="17"/>
  <c r="G112" i="31"/>
  <c r="J164" i="17"/>
  <c r="G111" i="31"/>
  <c r="J163" i="17"/>
  <c r="G110" i="31"/>
  <c r="J319" i="17"/>
  <c r="G253" i="31"/>
  <c r="J321" i="17"/>
  <c r="G255" i="31"/>
  <c r="J323" i="17"/>
  <c r="G257" i="31"/>
  <c r="J329" i="17"/>
  <c r="G263" i="31"/>
  <c r="J331" i="17"/>
  <c r="G265" i="31"/>
  <c r="J335" i="17"/>
  <c r="G269" i="31"/>
  <c r="J337" i="17"/>
  <c r="G271" i="31"/>
  <c r="J339" i="17"/>
  <c r="G273" i="31"/>
  <c r="J341" i="17"/>
  <c r="G275" i="31"/>
  <c r="J343" i="17"/>
  <c r="G277" i="31"/>
  <c r="J345" i="17"/>
  <c r="G279" i="31"/>
  <c r="J347" i="17"/>
  <c r="G281" i="31"/>
  <c r="J349" i="17"/>
  <c r="G283" i="31"/>
  <c r="J351" i="17"/>
  <c r="G285" i="31"/>
  <c r="J353" i="17"/>
  <c r="G287" i="31"/>
  <c r="J355" i="17"/>
  <c r="G289" i="31"/>
  <c r="J357" i="17"/>
  <c r="G291" i="31"/>
  <c r="J359" i="17"/>
  <c r="G293" i="31"/>
  <c r="J361" i="17"/>
  <c r="G295" i="31"/>
  <c r="J363" i="17"/>
  <c r="G297" i="31"/>
  <c r="J365" i="17"/>
  <c r="G299" i="31"/>
  <c r="D136" i="17"/>
  <c r="L15" i="17"/>
  <c r="G262" i="17"/>
  <c r="L17" i="17"/>
  <c r="D289" i="17"/>
  <c r="D367" i="17"/>
  <c r="G255" i="17"/>
  <c r="G239" i="17"/>
  <c r="G236" i="17"/>
  <c r="J303" i="17"/>
  <c r="J305" i="17"/>
  <c r="J307" i="17"/>
  <c r="J309" i="17"/>
  <c r="J311" i="17"/>
  <c r="J314" i="17"/>
  <c r="J334" i="17"/>
  <c r="G303" i="17"/>
  <c r="G305" i="17"/>
  <c r="G307" i="17"/>
  <c r="G309" i="17"/>
  <c r="G311" i="17"/>
  <c r="G314" i="17"/>
  <c r="G334" i="17"/>
  <c r="G317" i="17"/>
  <c r="G327" i="17"/>
  <c r="G304" i="17"/>
  <c r="G306" i="17"/>
  <c r="G308" i="17"/>
  <c r="G310" i="17"/>
  <c r="G313" i="17"/>
  <c r="G315" i="17"/>
  <c r="G325" i="17"/>
  <c r="G333" i="17"/>
  <c r="J125" i="17"/>
  <c r="J127" i="17"/>
  <c r="J129" i="17"/>
  <c r="J131" i="17"/>
  <c r="G119" i="17"/>
  <c r="G121" i="17"/>
  <c r="G123" i="17"/>
  <c r="J117" i="17"/>
  <c r="J119" i="17"/>
  <c r="J121" i="17"/>
  <c r="J123" i="17"/>
  <c r="J126" i="17"/>
  <c r="J128" i="17"/>
  <c r="J130" i="17"/>
  <c r="J133" i="17"/>
  <c r="D373" i="17"/>
  <c r="J134" i="17"/>
  <c r="G226" i="17"/>
  <c r="G224" i="17"/>
  <c r="G222" i="17"/>
  <c r="G220" i="17"/>
  <c r="G218" i="17"/>
  <c r="G208" i="17"/>
  <c r="G196" i="17"/>
  <c r="G194" i="17"/>
  <c r="G183" i="17"/>
  <c r="G181" i="17"/>
  <c r="G178" i="17"/>
  <c r="G176" i="17"/>
  <c r="G173" i="17"/>
  <c r="G171" i="17"/>
  <c r="G169" i="17"/>
  <c r="G165" i="17"/>
  <c r="G117" i="17"/>
  <c r="G133" i="17"/>
  <c r="G268" i="17"/>
  <c r="G256" i="17"/>
  <c r="G249" i="17"/>
  <c r="G118" i="17"/>
  <c r="G120" i="17"/>
  <c r="G122" i="17"/>
  <c r="G134" i="17"/>
  <c r="G237" i="17"/>
  <c r="G235" i="17"/>
  <c r="G231" i="17"/>
  <c r="G225" i="17"/>
  <c r="G223" i="17"/>
  <c r="G221" i="17"/>
  <c r="G219" i="17"/>
  <c r="G213" i="17"/>
  <c r="G197" i="17"/>
  <c r="G195" i="17"/>
  <c r="G184" i="17"/>
  <c r="G182" i="17"/>
  <c r="G180" i="17"/>
  <c r="G177" i="17"/>
  <c r="G175" i="17"/>
  <c r="G172" i="17"/>
  <c r="G170" i="17"/>
  <c r="G167" i="17"/>
  <c r="G136" i="17" l="1"/>
  <c r="J136" i="17"/>
  <c r="U15" i="17" s="1"/>
  <c r="T15" i="17" s="1"/>
  <c r="J367" i="17"/>
  <c r="U17" i="17" s="1"/>
  <c r="T17" i="17" s="1"/>
  <c r="G367" i="17"/>
  <c r="N16" i="17"/>
  <c r="M16" i="17"/>
  <c r="Q17" i="17" l="1"/>
  <c r="Q15" i="17"/>
  <c r="L16" i="17"/>
  <c r="D142" i="17"/>
  <c r="D295" i="17" l="1"/>
  <c r="G101" i="31"/>
  <c r="G100" i="31"/>
  <c r="G99" i="31"/>
  <c r="G98" i="31"/>
  <c r="G97" i="31"/>
  <c r="G96" i="31"/>
  <c r="G95" i="31"/>
  <c r="G94" i="31"/>
  <c r="J155" i="17" l="1"/>
  <c r="G102" i="31"/>
  <c r="J158" i="17"/>
  <c r="G105" i="31"/>
  <c r="J160" i="17"/>
  <c r="G107" i="31"/>
  <c r="J157" i="17"/>
  <c r="G104" i="31"/>
  <c r="J159" i="17"/>
  <c r="G106" i="31"/>
  <c r="J161" i="17"/>
  <c r="G108" i="31"/>
  <c r="G161" i="17"/>
  <c r="G160" i="17"/>
  <c r="G159" i="17"/>
  <c r="G158" i="17"/>
  <c r="G157" i="17"/>
  <c r="G155" i="17"/>
  <c r="G149" i="17" l="1"/>
  <c r="J149" i="17"/>
  <c r="G151" i="17"/>
  <c r="J151" i="17"/>
  <c r="G153" i="17"/>
  <c r="J153" i="17"/>
  <c r="G148" i="17"/>
  <c r="J148" i="17"/>
  <c r="G150" i="17"/>
  <c r="J150" i="17"/>
  <c r="G152" i="17"/>
  <c r="J152" i="17"/>
  <c r="G154" i="17"/>
  <c r="J154" i="17"/>
  <c r="J147" i="17" l="1"/>
  <c r="J289" i="17" s="1"/>
  <c r="U16" i="17" s="1"/>
  <c r="T16" i="17" s="1"/>
  <c r="G147" i="17"/>
  <c r="G289" i="17" s="1"/>
  <c r="Q16" i="17" s="1"/>
  <c r="G17" i="31"/>
  <c r="G16" i="31"/>
  <c r="N14" i="17"/>
  <c r="M14" i="17"/>
  <c r="D14" i="17"/>
  <c r="G19" i="31"/>
  <c r="G55" i="17"/>
  <c r="G54" i="17"/>
  <c r="G53" i="17"/>
  <c r="G51" i="17"/>
  <c r="G50" i="17"/>
  <c r="G49" i="17"/>
  <c r="G9" i="31"/>
  <c r="G8" i="31"/>
  <c r="G7" i="31"/>
  <c r="G6" i="31"/>
  <c r="G14" i="31"/>
  <c r="G13" i="31"/>
  <c r="G12" i="31"/>
  <c r="G11" i="31"/>
  <c r="N13" i="17"/>
  <c r="M13" i="17"/>
  <c r="G21" i="31" l="1"/>
  <c r="J50" i="17"/>
  <c r="G29" i="31"/>
  <c r="J58" i="17"/>
  <c r="G37" i="31"/>
  <c r="J66" i="17"/>
  <c r="G45" i="31"/>
  <c r="J74" i="17"/>
  <c r="G49" i="31"/>
  <c r="J78" i="17"/>
  <c r="G57" i="31"/>
  <c r="J86" i="17"/>
  <c r="G65" i="31"/>
  <c r="J94" i="17"/>
  <c r="G26" i="31"/>
  <c r="J55" i="17"/>
  <c r="G34" i="31"/>
  <c r="J63" i="17"/>
  <c r="G42" i="31"/>
  <c r="J71" i="17"/>
  <c r="G50" i="31"/>
  <c r="J79" i="17"/>
  <c r="G54" i="31"/>
  <c r="J83" i="17"/>
  <c r="G62" i="31"/>
  <c r="J91" i="17"/>
  <c r="G66" i="31"/>
  <c r="J95" i="17"/>
  <c r="G70" i="31"/>
  <c r="J99" i="17"/>
  <c r="G23" i="31"/>
  <c r="J52" i="17"/>
  <c r="G27" i="31"/>
  <c r="J56" i="17"/>
  <c r="G31" i="31"/>
  <c r="J60" i="17"/>
  <c r="G35" i="31"/>
  <c r="J64" i="17"/>
  <c r="G39" i="31"/>
  <c r="J68" i="17"/>
  <c r="G43" i="31"/>
  <c r="J72" i="17"/>
  <c r="G47" i="31"/>
  <c r="J76" i="17"/>
  <c r="G51" i="31"/>
  <c r="J80" i="17"/>
  <c r="G55" i="31"/>
  <c r="J84" i="17"/>
  <c r="G59" i="31"/>
  <c r="J88" i="17"/>
  <c r="G63" i="31"/>
  <c r="J92" i="17"/>
  <c r="G67" i="31"/>
  <c r="J96" i="17"/>
  <c r="G71" i="31"/>
  <c r="J100" i="17"/>
  <c r="G25" i="31"/>
  <c r="J54" i="17"/>
  <c r="G33" i="31"/>
  <c r="J62" i="17"/>
  <c r="G41" i="31"/>
  <c r="J70" i="17"/>
  <c r="G53" i="31"/>
  <c r="J82" i="17"/>
  <c r="G61" i="31"/>
  <c r="J90" i="17"/>
  <c r="G69" i="31"/>
  <c r="J98" i="17"/>
  <c r="G22" i="31"/>
  <c r="J51" i="17"/>
  <c r="G30" i="31"/>
  <c r="J59" i="17"/>
  <c r="G38" i="31"/>
  <c r="J67" i="17"/>
  <c r="G46" i="31"/>
  <c r="J75" i="17"/>
  <c r="G58" i="31"/>
  <c r="J87" i="17"/>
  <c r="G20" i="31"/>
  <c r="J49" i="17"/>
  <c r="G24" i="31"/>
  <c r="J53" i="17"/>
  <c r="G28" i="31"/>
  <c r="J57" i="17"/>
  <c r="G32" i="31"/>
  <c r="J61" i="17"/>
  <c r="G36" i="31"/>
  <c r="J65" i="17"/>
  <c r="G40" i="31"/>
  <c r="J69" i="17"/>
  <c r="G44" i="31"/>
  <c r="J73" i="17"/>
  <c r="G48" i="31"/>
  <c r="J77" i="17"/>
  <c r="G52" i="31"/>
  <c r="J81" i="17"/>
  <c r="G56" i="31"/>
  <c r="J85" i="17"/>
  <c r="G60" i="31"/>
  <c r="J89" i="17"/>
  <c r="G64" i="31"/>
  <c r="J93" i="17"/>
  <c r="G68" i="31"/>
  <c r="J97" i="17"/>
  <c r="G72" i="31"/>
  <c r="J101" i="17"/>
  <c r="N22" i="17"/>
  <c r="J104" i="17"/>
  <c r="J103" i="17"/>
  <c r="J48" i="17"/>
  <c r="D106" i="17"/>
  <c r="G52" i="17"/>
  <c r="L14" i="17"/>
  <c r="M22" i="17"/>
  <c r="L13" i="17"/>
  <c r="D44" i="17"/>
  <c r="G48" i="17"/>
  <c r="G103" i="17"/>
  <c r="G104" i="17"/>
  <c r="D112" i="17"/>
  <c r="L22" i="17" l="1"/>
  <c r="G106" i="17"/>
  <c r="Q14" i="17" s="1"/>
  <c r="J106" i="17"/>
  <c r="U14" i="17" s="1"/>
  <c r="T14" i="17" s="1"/>
  <c r="I42" i="1" l="1"/>
  <c r="D27" i="19" s="1"/>
  <c r="D13" i="17"/>
  <c r="D22" i="17" l="1"/>
  <c r="G42" i="1" s="1"/>
  <c r="D38" i="17"/>
  <c r="J28" i="17"/>
  <c r="J31" i="17"/>
  <c r="J34" i="17"/>
  <c r="J36" i="17"/>
  <c r="J30" i="17"/>
  <c r="J32" i="17"/>
  <c r="J35" i="17"/>
  <c r="J37" i="17"/>
  <c r="H43" i="18"/>
  <c r="H41" i="18"/>
  <c r="E37" i="18"/>
  <c r="H37" i="18" s="1"/>
  <c r="J38" i="17" l="1"/>
  <c r="U13" i="17" s="1"/>
  <c r="U22" i="17" s="1"/>
  <c r="J43" i="18"/>
  <c r="H36" i="18"/>
  <c r="G43" i="18"/>
  <c r="J41" i="18"/>
  <c r="G41" i="18"/>
  <c r="T13" i="17" l="1"/>
  <c r="G46" i="1"/>
  <c r="G37" i="18"/>
  <c r="G36" i="18"/>
  <c r="J36" i="18"/>
  <c r="J25" i="18"/>
  <c r="J14" i="18"/>
  <c r="E38" i="18" l="1"/>
  <c r="G30" i="17"/>
  <c r="G32" i="17"/>
  <c r="G34" i="17"/>
  <c r="G35" i="17"/>
  <c r="G28" i="17"/>
  <c r="G31" i="17"/>
  <c r="G36" i="17"/>
  <c r="G37" i="17"/>
  <c r="G14" i="18"/>
  <c r="G40" i="1"/>
  <c r="J37" i="18"/>
  <c r="D39" i="18"/>
  <c r="G22" i="18"/>
  <c r="G21" i="18"/>
  <c r="G17" i="18"/>
  <c r="D19" i="18"/>
  <c r="G16" i="18"/>
  <c r="I40" i="1" l="1"/>
  <c r="D25" i="19" s="1"/>
  <c r="I46" i="1"/>
  <c r="D31" i="19" s="1"/>
  <c r="G38" i="17"/>
  <c r="Q13" i="17" s="1"/>
  <c r="G38" i="18"/>
  <c r="G39" i="18" s="1"/>
  <c r="G47" i="18" s="1"/>
  <c r="H38" i="18"/>
  <c r="J38" i="18" s="1"/>
  <c r="J39" i="18" s="1"/>
  <c r="J47" i="18" s="1"/>
  <c r="G23" i="18"/>
  <c r="M46" i="1" l="1"/>
  <c r="M47" i="18"/>
  <c r="Q22" i="17"/>
  <c r="E18" i="18"/>
  <c r="G18" i="18" s="1"/>
  <c r="G19" i="18" s="1"/>
  <c r="G27" i="18" s="1"/>
  <c r="K46" i="1"/>
  <c r="E31" i="19" s="1"/>
  <c r="I31" i="19" s="1"/>
  <c r="K40" i="1" l="1"/>
  <c r="E25" i="19" s="1"/>
  <c r="R19" i="17"/>
  <c r="G431" i="17" s="1"/>
  <c r="E431" i="17" s="1"/>
  <c r="R20" i="17"/>
  <c r="G529" i="17" s="1"/>
  <c r="E529" i="17" s="1"/>
  <c r="R18" i="17"/>
  <c r="G417" i="17" s="1"/>
  <c r="E417" i="17" s="1"/>
  <c r="R15" i="17"/>
  <c r="G141" i="17" s="1"/>
  <c r="E141" i="17" s="1"/>
  <c r="R17" i="17"/>
  <c r="G372" i="17" s="1"/>
  <c r="E372" i="17" s="1"/>
  <c r="R16" i="17"/>
  <c r="G294" i="17" s="1"/>
  <c r="E294" i="17" s="1"/>
  <c r="R14" i="17"/>
  <c r="G111" i="17" s="1"/>
  <c r="E111" i="17" s="1"/>
  <c r="R13" i="17"/>
  <c r="G43" i="17" s="1"/>
  <c r="E43" i="17" s="1"/>
  <c r="K31" i="19"/>
  <c r="M48" i="18"/>
  <c r="N47" i="18"/>
  <c r="J22" i="18"/>
  <c r="J21" i="18" l="1"/>
  <c r="J23" i="18" s="1"/>
  <c r="H18" i="18" s="1"/>
  <c r="J17" i="18" l="1"/>
  <c r="J16" i="18"/>
  <c r="G37" i="1" l="1"/>
  <c r="F26" i="15"/>
  <c r="F25" i="15"/>
  <c r="G36" i="1"/>
  <c r="D19" i="15" l="1"/>
  <c r="D35" i="15"/>
  <c r="E33" i="15"/>
  <c r="G33" i="15" s="1"/>
  <c r="G37" i="15"/>
  <c r="E25" i="15"/>
  <c r="G32" i="15"/>
  <c r="I37" i="1" l="1"/>
  <c r="I36" i="1"/>
  <c r="E34" i="15"/>
  <c r="G34" i="15" l="1"/>
  <c r="G35" i="15" s="1"/>
  <c r="G39" i="15" s="1"/>
  <c r="K37" i="1" l="1"/>
  <c r="I72" i="16"/>
  <c r="F72" i="16" s="1"/>
  <c r="J144" i="30" s="1"/>
  <c r="G16" i="15"/>
  <c r="G28" i="1"/>
  <c r="D18" i="14"/>
  <c r="G29" i="1"/>
  <c r="D40" i="14"/>
  <c r="G41" i="14"/>
  <c r="G56" i="14"/>
  <c r="D59" i="14"/>
  <c r="G41" i="13"/>
  <c r="G45" i="13"/>
  <c r="D58" i="13"/>
  <c r="G59" i="13"/>
  <c r="G55" i="13"/>
  <c r="G57" i="13"/>
  <c r="G58" i="13" s="1"/>
  <c r="G64" i="13"/>
  <c r="E91" i="13"/>
  <c r="E92" i="13" s="1"/>
  <c r="G67" i="13"/>
  <c r="D92" i="13"/>
  <c r="E86" i="13"/>
  <c r="E87" i="13"/>
  <c r="D81" i="13"/>
  <c r="D84" i="13" s="1"/>
  <c r="E79" i="13"/>
  <c r="E75" i="13"/>
  <c r="M100" i="13"/>
  <c r="M101" i="13" s="1"/>
  <c r="J82" i="13"/>
  <c r="H35" i="2"/>
  <c r="D15" i="2"/>
  <c r="D16" i="2"/>
  <c r="G16" i="2" s="1"/>
  <c r="O46" i="1"/>
  <c r="U46" i="1" s="1"/>
  <c r="I38" i="1"/>
  <c r="D23" i="19" s="1"/>
  <c r="G38" i="1"/>
  <c r="R46" i="1"/>
  <c r="A18" i="1"/>
  <c r="A21" i="1" s="1"/>
  <c r="D23" i="2"/>
  <c r="F144" i="30" l="1"/>
  <c r="G30" i="1"/>
  <c r="G31" i="1" s="1"/>
  <c r="D122" i="13"/>
  <c r="G63" i="13"/>
  <c r="G65" i="13" s="1"/>
  <c r="E60" i="13" s="1"/>
  <c r="G60" i="13" s="1"/>
  <c r="G61" i="13" s="1"/>
  <c r="D80" i="13"/>
  <c r="G58" i="14"/>
  <c r="G59" i="14" s="1"/>
  <c r="G87" i="13"/>
  <c r="D37" i="16"/>
  <c r="E82" i="13"/>
  <c r="G82" i="13" s="1"/>
  <c r="J39" i="2"/>
  <c r="D22" i="2"/>
  <c r="J15" i="2"/>
  <c r="D17" i="2"/>
  <c r="G15" i="2"/>
  <c r="G17" i="2" s="1"/>
  <c r="D47" i="14"/>
  <c r="H35" i="16"/>
  <c r="H22" i="16"/>
  <c r="H17" i="16"/>
  <c r="D18" i="16"/>
  <c r="A22" i="1"/>
  <c r="P46" i="1"/>
  <c r="G111" i="13"/>
  <c r="G106" i="13"/>
  <c r="H24" i="16"/>
  <c r="H16" i="16"/>
  <c r="G23" i="14"/>
  <c r="H15" i="16"/>
  <c r="H31" i="16"/>
  <c r="D32" i="16"/>
  <c r="G19" i="13"/>
  <c r="G116" i="13"/>
  <c r="D65" i="13"/>
  <c r="G31" i="13"/>
  <c r="G121" i="13"/>
  <c r="G39" i="14"/>
  <c r="G40" i="14" s="1"/>
  <c r="G27" i="14"/>
  <c r="G24" i="14"/>
  <c r="H36" i="16"/>
  <c r="D23" i="16"/>
  <c r="D27" i="16" s="1"/>
  <c r="E51" i="16"/>
  <c r="E55" i="16"/>
  <c r="E52" i="16"/>
  <c r="G30" i="2"/>
  <c r="G79" i="13"/>
  <c r="D88" i="13"/>
  <c r="G88" i="13" s="1"/>
  <c r="G92" i="13"/>
  <c r="G124" i="13"/>
  <c r="G69" i="14"/>
  <c r="G64" i="14"/>
  <c r="G65" i="14" s="1"/>
  <c r="G49" i="14"/>
  <c r="G46" i="14"/>
  <c r="G45" i="14"/>
  <c r="G23" i="13"/>
  <c r="D21" i="14"/>
  <c r="J30" i="2"/>
  <c r="G31" i="2"/>
  <c r="G15" i="13"/>
  <c r="G22" i="1"/>
  <c r="D25" i="14"/>
  <c r="D61" i="13"/>
  <c r="G91" i="13"/>
  <c r="G34" i="13"/>
  <c r="G115" i="13"/>
  <c r="G113" i="13"/>
  <c r="G112" i="13"/>
  <c r="D65" i="14"/>
  <c r="E60" i="14"/>
  <c r="G60" i="14" s="1"/>
  <c r="G17" i="14"/>
  <c r="G18" i="14" s="1"/>
  <c r="G15" i="14"/>
  <c r="H30" i="16"/>
  <c r="D17" i="13"/>
  <c r="G16" i="13"/>
  <c r="D62" i="14"/>
  <c r="I151" i="30"/>
  <c r="I148" i="30"/>
  <c r="I146" i="30"/>
  <c r="I144" i="30"/>
  <c r="I142" i="30"/>
  <c r="I140" i="30"/>
  <c r="I138" i="30"/>
  <c r="D79" i="16"/>
  <c r="H151" i="30" s="1"/>
  <c r="D78" i="16"/>
  <c r="H150" i="30" s="1"/>
  <c r="D77" i="16"/>
  <c r="H149" i="30" s="1"/>
  <c r="D76" i="16"/>
  <c r="H148" i="30" s="1"/>
  <c r="D75" i="16"/>
  <c r="H147" i="30" s="1"/>
  <c r="D74" i="16"/>
  <c r="H146" i="30" s="1"/>
  <c r="D73" i="16"/>
  <c r="H145" i="30" s="1"/>
  <c r="D72" i="16"/>
  <c r="H144" i="30" s="1"/>
  <c r="D71" i="16"/>
  <c r="H143" i="30" s="1"/>
  <c r="D70" i="16"/>
  <c r="H142" i="30" s="1"/>
  <c r="D69" i="16"/>
  <c r="H141" i="30" s="1"/>
  <c r="D68" i="16"/>
  <c r="H140" i="30" s="1"/>
  <c r="D67" i="16"/>
  <c r="H139" i="30" s="1"/>
  <c r="D66" i="16"/>
  <c r="H138" i="30" s="1"/>
  <c r="I150" i="30"/>
  <c r="I149" i="30"/>
  <c r="I147" i="30"/>
  <c r="I145" i="30"/>
  <c r="I143" i="30"/>
  <c r="I141" i="30"/>
  <c r="I139" i="30"/>
  <c r="G37" i="13"/>
  <c r="D36" i="13"/>
  <c r="D39" i="13" s="1"/>
  <c r="G120" i="13"/>
  <c r="G110" i="13"/>
  <c r="G37" i="14"/>
  <c r="G19" i="14"/>
  <c r="H25" i="16"/>
  <c r="G17" i="15"/>
  <c r="G39" i="2"/>
  <c r="D114" i="13"/>
  <c r="D118" i="13" s="1"/>
  <c r="D43" i="14"/>
  <c r="D32" i="2"/>
  <c r="G23" i="1"/>
  <c r="G42" i="13"/>
  <c r="G43" i="13" s="1"/>
  <c r="D43" i="13"/>
  <c r="G33" i="13"/>
  <c r="G107" i="13"/>
  <c r="D108" i="13"/>
  <c r="G20" i="13"/>
  <c r="D21" i="13"/>
  <c r="D25" i="13" s="1"/>
  <c r="G22" i="13"/>
  <c r="G75" i="13"/>
  <c r="D76" i="13"/>
  <c r="G76" i="13" s="1"/>
  <c r="G86" i="13"/>
  <c r="D89" i="13"/>
  <c r="G35" i="13"/>
  <c r="H21" i="16"/>
  <c r="I28" i="1" l="1"/>
  <c r="I21" i="1"/>
  <c r="G17" i="1"/>
  <c r="G18" i="1" s="1"/>
  <c r="I30" i="1"/>
  <c r="D18" i="19" s="1"/>
  <c r="I29" i="1"/>
  <c r="I23" i="1"/>
  <c r="G24" i="1"/>
  <c r="I24" i="1"/>
  <c r="I22" i="1"/>
  <c r="G21" i="1"/>
  <c r="I33" i="1"/>
  <c r="D21" i="19" s="1"/>
  <c r="G33" i="1"/>
  <c r="G122" i="13"/>
  <c r="H37" i="16"/>
  <c r="H32" i="16"/>
  <c r="G93" i="13"/>
  <c r="G21" i="13"/>
  <c r="H23" i="16"/>
  <c r="G47" i="14"/>
  <c r="E42" i="14" s="1"/>
  <c r="G42" i="14" s="1"/>
  <c r="G43" i="14" s="1"/>
  <c r="G51" i="14" s="1"/>
  <c r="H18" i="16"/>
  <c r="G22" i="2"/>
  <c r="H16" i="2"/>
  <c r="J16" i="2" s="1"/>
  <c r="J17" i="2" s="1"/>
  <c r="G108" i="13"/>
  <c r="A23" i="1"/>
  <c r="A24" i="1" s="1"/>
  <c r="G25" i="14"/>
  <c r="E20" i="14" s="1"/>
  <c r="G20" i="14" s="1"/>
  <c r="G21" i="14" s="1"/>
  <c r="G29" i="14" s="1"/>
  <c r="G89" i="13"/>
  <c r="E61" i="14"/>
  <c r="G61" i="14" s="1"/>
  <c r="G62" i="14" s="1"/>
  <c r="G71" i="14" s="1"/>
  <c r="G114" i="13"/>
  <c r="G32" i="2"/>
  <c r="H31" i="2"/>
  <c r="E56" i="16"/>
  <c r="E57" i="16"/>
  <c r="G17" i="13"/>
  <c r="G36" i="13"/>
  <c r="E38" i="13" s="1"/>
  <c r="G69" i="13"/>
  <c r="G77" i="13"/>
  <c r="D14" i="19" l="1"/>
  <c r="D17" i="19"/>
  <c r="D19" i="19" s="1"/>
  <c r="I25" i="1"/>
  <c r="K29" i="1"/>
  <c r="G25" i="1"/>
  <c r="G44" i="1" s="1"/>
  <c r="G48" i="1" s="1"/>
  <c r="I31" i="1"/>
  <c r="F26" i="16"/>
  <c r="E24" i="13"/>
  <c r="G24" i="13" s="1"/>
  <c r="G25" i="13" s="1"/>
  <c r="G38" i="13"/>
  <c r="G39" i="13" s="1"/>
  <c r="G47" i="13" s="1"/>
  <c r="E117" i="13"/>
  <c r="G117" i="13" s="1"/>
  <c r="G118" i="13" s="1"/>
  <c r="G126" i="13" s="1"/>
  <c r="J31" i="2"/>
  <c r="J32" i="2" s="1"/>
  <c r="F9" i="30"/>
  <c r="A25" i="1"/>
  <c r="K28" i="1"/>
  <c r="K30" i="1"/>
  <c r="E18" i="19" s="1"/>
  <c r="E17" i="19" l="1"/>
  <c r="E19" i="19" s="1"/>
  <c r="K22" i="1"/>
  <c r="K21" i="1"/>
  <c r="E11" i="19" s="1"/>
  <c r="H26" i="16"/>
  <c r="H27" i="16" s="1"/>
  <c r="H41" i="16" s="1"/>
  <c r="A28" i="1"/>
  <c r="K24" i="1"/>
  <c r="K31" i="1"/>
  <c r="K33" i="1" l="1"/>
  <c r="E21" i="19" s="1"/>
  <c r="K21" i="19" s="1"/>
  <c r="K43" i="16" s="1"/>
  <c r="E12" i="19"/>
  <c r="A29" i="1"/>
  <c r="I21" i="19" l="1"/>
  <c r="A30" i="1"/>
  <c r="A31" i="1" l="1"/>
  <c r="A33" i="1" s="1"/>
  <c r="A36" i="1" l="1"/>
  <c r="A37" i="1" s="1"/>
  <c r="A38" i="1" s="1"/>
  <c r="A40" i="1" s="1"/>
  <c r="A42" i="1" l="1"/>
  <c r="A44" i="1" s="1"/>
  <c r="A46" i="1" l="1"/>
  <c r="A48" i="1" s="1"/>
  <c r="J18" i="18"/>
  <c r="J19" i="18" s="1"/>
  <c r="J27" i="18" s="1"/>
  <c r="M27" i="18" l="1"/>
  <c r="N27" i="18" s="1"/>
  <c r="M40" i="1"/>
  <c r="J25" i="19"/>
  <c r="M28" i="18" l="1"/>
  <c r="M25" i="19"/>
  <c r="T40" i="1"/>
  <c r="I25" i="19"/>
  <c r="O40" i="1"/>
  <c r="R40" i="1"/>
  <c r="K25" i="19"/>
  <c r="U40" i="1" l="1"/>
  <c r="P40" i="1"/>
  <c r="E80" i="13" l="1"/>
  <c r="G80" i="13" s="1"/>
  <c r="G81" i="13" s="1"/>
  <c r="E83" i="13" l="1"/>
  <c r="G83" i="13" s="1"/>
  <c r="G84" i="13" s="1"/>
  <c r="G95" i="13" s="1"/>
  <c r="K23" i="1" l="1"/>
  <c r="K25" i="1" s="1"/>
  <c r="E13" i="19" l="1"/>
  <c r="E14" i="19" s="1"/>
  <c r="E21" i="15"/>
  <c r="E26" i="15" l="1"/>
  <c r="G21" i="15"/>
  <c r="E18" i="15" l="1"/>
  <c r="G18" i="15" s="1"/>
  <c r="G19" i="15" s="1"/>
  <c r="G23" i="15" s="1"/>
  <c r="K36" i="1" l="1"/>
  <c r="K38" i="1" s="1"/>
  <c r="E23" i="19" s="1"/>
  <c r="G295" i="17" l="1"/>
  <c r="G16" i="17" s="1"/>
  <c r="P16" i="17"/>
  <c r="G418" i="17"/>
  <c r="G18" i="17" s="1"/>
  <c r="P18" i="17"/>
  <c r="G44" i="17"/>
  <c r="G13" i="17" s="1"/>
  <c r="G112" i="17"/>
  <c r="G14" i="17" s="1"/>
  <c r="P14" i="17"/>
  <c r="P15" i="17"/>
  <c r="G142" i="17"/>
  <c r="G15" i="17" s="1"/>
  <c r="P17" i="17"/>
  <c r="G373" i="17"/>
  <c r="G17" i="17" s="1"/>
  <c r="P20" i="17"/>
  <c r="G530" i="17"/>
  <c r="G20" i="17" s="1"/>
  <c r="P19" i="17"/>
  <c r="G432" i="17"/>
  <c r="G19" i="17" s="1"/>
  <c r="G22" i="17" l="1"/>
  <c r="P13" i="17"/>
  <c r="P22" i="17" s="1"/>
  <c r="K42" i="1" l="1"/>
  <c r="E27" i="19" s="1"/>
  <c r="G34" i="2" l="1"/>
  <c r="D19" i="2"/>
  <c r="J34" i="2"/>
  <c r="G19" i="2" l="1"/>
  <c r="J19" i="2"/>
  <c r="J37" i="2" l="1"/>
  <c r="G37" i="2"/>
  <c r="G36" i="2"/>
  <c r="J36" i="2"/>
  <c r="G35" i="2" l="1"/>
  <c r="G38" i="2" s="1"/>
  <c r="J35" i="2"/>
  <c r="J38" i="2" s="1"/>
  <c r="D20" i="2"/>
  <c r="D38" i="2"/>
  <c r="D41" i="2" s="1"/>
  <c r="I17" i="1" l="1"/>
  <c r="I18" i="1" s="1"/>
  <c r="I44" i="1" s="1"/>
  <c r="I48" i="1" s="1"/>
  <c r="I51" i="1" s="1"/>
  <c r="H40" i="2"/>
  <c r="J40" i="2" s="1"/>
  <c r="J41" i="2" s="1"/>
  <c r="G20" i="2"/>
  <c r="D21" i="2"/>
  <c r="D24" i="2" s="1"/>
  <c r="E40" i="2"/>
  <c r="G40" i="2" s="1"/>
  <c r="G41" i="2" s="1"/>
  <c r="D8" i="19" l="1"/>
  <c r="D29" i="19" s="1"/>
  <c r="D33" i="19" s="1"/>
  <c r="G21" i="2"/>
  <c r="E23" i="2" s="1"/>
  <c r="G23" i="2" s="1"/>
  <c r="G24" i="2" s="1"/>
  <c r="H20" i="2"/>
  <c r="K17" i="1" l="1"/>
  <c r="E8" i="19" s="1"/>
  <c r="E29" i="19" s="1"/>
  <c r="E33" i="19" s="1"/>
  <c r="H22" i="2"/>
  <c r="J22" i="2" s="1"/>
  <c r="F12" i="30"/>
  <c r="J20" i="2"/>
  <c r="J21" i="2" s="1"/>
  <c r="K18" i="1" l="1"/>
  <c r="K44" i="1" s="1"/>
  <c r="K48" i="1" s="1"/>
  <c r="K51" i="1" s="1"/>
  <c r="I36" i="19"/>
  <c r="I37" i="19"/>
  <c r="H23" i="2"/>
  <c r="J23" i="2" s="1"/>
  <c r="J24" i="2" s="1"/>
  <c r="G27" i="19"/>
  <c r="G11" i="19"/>
  <c r="G13" i="19"/>
  <c r="G18" i="19"/>
  <c r="G17" i="19"/>
  <c r="G12" i="19"/>
  <c r="I33" i="19"/>
  <c r="G23" i="19"/>
  <c r="G8" i="19"/>
  <c r="M17" i="1" l="1"/>
  <c r="M18" i="1" s="1"/>
  <c r="R18" i="1" s="1"/>
  <c r="I38" i="19"/>
  <c r="I39" i="19" s="1"/>
  <c r="G33" i="19"/>
  <c r="O17" i="1" l="1"/>
  <c r="O18" i="1" s="1"/>
  <c r="P18" i="1" s="1"/>
  <c r="R17" i="1"/>
  <c r="I13" i="19"/>
  <c r="J13" i="19" s="1"/>
  <c r="I17" i="19"/>
  <c r="J17" i="19" s="1"/>
  <c r="M17" i="19" s="1"/>
  <c r="I8" i="19"/>
  <c r="J8" i="19" s="1"/>
  <c r="I27" i="19"/>
  <c r="Q24" i="17" s="1"/>
  <c r="I12" i="19"/>
  <c r="J12" i="19" s="1"/>
  <c r="I11" i="19"/>
  <c r="J11" i="19" s="1"/>
  <c r="M11" i="19" s="1"/>
  <c r="I18" i="19"/>
  <c r="J18" i="19" s="1"/>
  <c r="I23" i="19"/>
  <c r="J23" i="19" s="1"/>
  <c r="Q25" i="17" l="1"/>
  <c r="Q26" i="17" s="1"/>
  <c r="R24" i="17"/>
  <c r="R25" i="17" s="1"/>
  <c r="R26" i="17" s="1"/>
  <c r="P17" i="1"/>
  <c r="M8" i="19"/>
  <c r="M23" i="19"/>
  <c r="K18" i="19"/>
  <c r="M73" i="14" s="1"/>
  <c r="N73" i="14" s="1"/>
  <c r="H61" i="14" s="1"/>
  <c r="M18" i="19"/>
  <c r="K12" i="19"/>
  <c r="M47" i="13" s="1"/>
  <c r="N47" i="13" s="1"/>
  <c r="H33" i="13" s="1"/>
  <c r="M12" i="19"/>
  <c r="K13" i="19"/>
  <c r="M71" i="13" s="1"/>
  <c r="N71" i="13" s="1"/>
  <c r="H67" i="13" s="1"/>
  <c r="M13" i="19"/>
  <c r="L431" i="17"/>
  <c r="J431" i="17" s="1"/>
  <c r="L529" i="17"/>
  <c r="J529" i="17" s="1"/>
  <c r="W20" i="17" s="1"/>
  <c r="X20" i="17" s="1"/>
  <c r="L372" i="17"/>
  <c r="J372" i="17" s="1"/>
  <c r="L417" i="17"/>
  <c r="J417" i="17" s="1"/>
  <c r="W18" i="17" s="1"/>
  <c r="X18" i="17" s="1"/>
  <c r="L141" i="17"/>
  <c r="J141" i="17" s="1"/>
  <c r="L294" i="17"/>
  <c r="J294" i="17" s="1"/>
  <c r="W16" i="17" s="1"/>
  <c r="X16" i="17" s="1"/>
  <c r="L111" i="17"/>
  <c r="J111" i="17" s="1"/>
  <c r="W14" i="17" s="1"/>
  <c r="X14" i="17" s="1"/>
  <c r="L45" i="17"/>
  <c r="J43" i="17" s="1"/>
  <c r="W13" i="17" s="1"/>
  <c r="J27" i="19"/>
  <c r="T18" i="1"/>
  <c r="U18" i="1" s="1"/>
  <c r="K8" i="19"/>
  <c r="K23" i="19"/>
  <c r="M39" i="15" s="1"/>
  <c r="T38" i="1"/>
  <c r="J14" i="19"/>
  <c r="K11" i="19"/>
  <c r="K17" i="19"/>
  <c r="J19" i="19"/>
  <c r="H431" i="17" l="1"/>
  <c r="W19" i="17"/>
  <c r="X19" i="17" s="1"/>
  <c r="X13" i="17"/>
  <c r="H372" i="17"/>
  <c r="W17" i="17"/>
  <c r="X17" i="17" s="1"/>
  <c r="H141" i="17"/>
  <c r="W15" i="17"/>
  <c r="X15" i="17" s="1"/>
  <c r="J432" i="17"/>
  <c r="J19" i="17" s="1"/>
  <c r="H55" i="13"/>
  <c r="T25" i="1"/>
  <c r="M14" i="19"/>
  <c r="T42" i="1"/>
  <c r="M27" i="19"/>
  <c r="T31" i="1"/>
  <c r="M19" i="19"/>
  <c r="H529" i="17"/>
  <c r="J530" i="17"/>
  <c r="J20" i="17" s="1"/>
  <c r="J373" i="17"/>
  <c r="J17" i="17" s="1"/>
  <c r="H417" i="17"/>
  <c r="J418" i="17"/>
  <c r="J18" i="17" s="1"/>
  <c r="H294" i="17"/>
  <c r="J295" i="17"/>
  <c r="J16" i="17" s="1"/>
  <c r="J142" i="17"/>
  <c r="J15" i="17" s="1"/>
  <c r="H111" i="17"/>
  <c r="J112" i="17"/>
  <c r="J14" i="17" s="1"/>
  <c r="J44" i="17"/>
  <c r="J13" i="17" s="1"/>
  <c r="H43" i="17"/>
  <c r="K27" i="19"/>
  <c r="K19" i="19"/>
  <c r="M31" i="14"/>
  <c r="M24" i="2"/>
  <c r="M41" i="2"/>
  <c r="M25" i="13"/>
  <c r="K14" i="19"/>
  <c r="H45" i="13"/>
  <c r="H42" i="13"/>
  <c r="H106" i="13"/>
  <c r="H34" i="13"/>
  <c r="H121" i="13"/>
  <c r="H124" i="13"/>
  <c r="H110" i="13"/>
  <c r="H112" i="13"/>
  <c r="H41" i="13"/>
  <c r="H107" i="13"/>
  <c r="H111" i="13"/>
  <c r="H35" i="13"/>
  <c r="H113" i="13"/>
  <c r="H31" i="13"/>
  <c r="H120" i="13"/>
  <c r="H91" i="13"/>
  <c r="J91" i="13" s="1"/>
  <c r="F42" i="30"/>
  <c r="F52" i="30" s="1"/>
  <c r="J67" i="13"/>
  <c r="I35" i="16"/>
  <c r="N101" i="13"/>
  <c r="H92" i="13" s="1"/>
  <c r="J92" i="13" s="1"/>
  <c r="J29" i="19"/>
  <c r="N39" i="15"/>
  <c r="H32" i="15" s="1"/>
  <c r="X22" i="17" l="1"/>
  <c r="W22" i="17"/>
  <c r="F35" i="30"/>
  <c r="H75" i="13"/>
  <c r="J75" i="13" s="1"/>
  <c r="J55" i="13"/>
  <c r="I16" i="16"/>
  <c r="T44" i="1"/>
  <c r="T48" i="1" s="1"/>
  <c r="I29" i="19"/>
  <c r="M29" i="19"/>
  <c r="J22" i="17"/>
  <c r="I15" i="16"/>
  <c r="F22" i="30"/>
  <c r="J31" i="13"/>
  <c r="J124" i="13"/>
  <c r="F67" i="30"/>
  <c r="J93" i="13"/>
  <c r="J113" i="13"/>
  <c r="F61" i="30"/>
  <c r="H116" i="13"/>
  <c r="J116" i="13" s="1"/>
  <c r="J41" i="13"/>
  <c r="F29" i="30"/>
  <c r="J33" i="13"/>
  <c r="F24" i="30"/>
  <c r="F30" i="30"/>
  <c r="J42" i="13"/>
  <c r="N24" i="2"/>
  <c r="M25" i="2"/>
  <c r="J106" i="13"/>
  <c r="F55" i="30"/>
  <c r="M42" i="2"/>
  <c r="N41" i="2"/>
  <c r="H21" i="15"/>
  <c r="H37" i="15"/>
  <c r="J33" i="19"/>
  <c r="M33" i="19" s="1"/>
  <c r="F119" i="30"/>
  <c r="K35" i="16"/>
  <c r="H37" i="13"/>
  <c r="J37" i="13" s="1"/>
  <c r="F26" i="30"/>
  <c r="J35" i="13"/>
  <c r="F60" i="30"/>
  <c r="J112" i="13"/>
  <c r="J121" i="13"/>
  <c r="F65" i="30"/>
  <c r="F32" i="30"/>
  <c r="J45" i="13"/>
  <c r="N31" i="14"/>
  <c r="F56" i="30"/>
  <c r="J107" i="13"/>
  <c r="J120" i="13"/>
  <c r="F64" i="30"/>
  <c r="H115" i="13"/>
  <c r="J115" i="13" s="1"/>
  <c r="F59" i="30"/>
  <c r="J111" i="13"/>
  <c r="J110" i="13"/>
  <c r="F58" i="30"/>
  <c r="J34" i="13"/>
  <c r="F25" i="30"/>
  <c r="N25" i="13"/>
  <c r="H19" i="13" s="1"/>
  <c r="K29" i="19"/>
  <c r="K33" i="19" s="1"/>
  <c r="H17" i="14" l="1"/>
  <c r="M42" i="1"/>
  <c r="O42" i="1" s="1"/>
  <c r="U42" i="1" s="1"/>
  <c r="K16" i="16"/>
  <c r="F104" i="30"/>
  <c r="J122" i="13"/>
  <c r="J37" i="15"/>
  <c r="F164" i="30"/>
  <c r="F55" i="16"/>
  <c r="J21" i="15"/>
  <c r="H26" i="15"/>
  <c r="F158" i="30" s="1"/>
  <c r="F156" i="30"/>
  <c r="J108" i="13"/>
  <c r="H20" i="13"/>
  <c r="H15" i="13"/>
  <c r="H16" i="13"/>
  <c r="J114" i="13"/>
  <c r="H39" i="14"/>
  <c r="H69" i="14"/>
  <c r="H20" i="14"/>
  <c r="J20" i="14" s="1"/>
  <c r="H64" i="14"/>
  <c r="H15" i="14"/>
  <c r="H45" i="14"/>
  <c r="H49" i="14"/>
  <c r="J61" i="14"/>
  <c r="H42" i="14"/>
  <c r="J42" i="14" s="1"/>
  <c r="H46" i="14"/>
  <c r="H23" i="14"/>
  <c r="H24" i="14"/>
  <c r="H27" i="14"/>
  <c r="H33" i="15"/>
  <c r="J33" i="15" s="1"/>
  <c r="F162" i="30"/>
  <c r="F59" i="16"/>
  <c r="H16" i="15"/>
  <c r="J32" i="15"/>
  <c r="J36" i="13"/>
  <c r="J43" i="13"/>
  <c r="K15" i="16"/>
  <c r="F103" i="30"/>
  <c r="H57" i="13" l="1"/>
  <c r="R42" i="1"/>
  <c r="P42" i="1"/>
  <c r="H34" i="15"/>
  <c r="J34" i="15" s="1"/>
  <c r="J35" i="15" s="1"/>
  <c r="J39" i="15" s="1"/>
  <c r="H38" i="13"/>
  <c r="J38" i="13" s="1"/>
  <c r="J39" i="13" s="1"/>
  <c r="J47" i="13" s="1"/>
  <c r="F87" i="30"/>
  <c r="J49" i="14"/>
  <c r="J27" i="14"/>
  <c r="I36" i="16"/>
  <c r="F77" i="30"/>
  <c r="F85" i="30"/>
  <c r="J46" i="14"/>
  <c r="H23" i="13"/>
  <c r="J23" i="13" s="1"/>
  <c r="F19" i="30"/>
  <c r="J20" i="13"/>
  <c r="F56" i="16"/>
  <c r="H56" i="16" s="1"/>
  <c r="I31" i="16" s="1"/>
  <c r="H55" i="16"/>
  <c r="F57" i="16"/>
  <c r="H57" i="16" s="1"/>
  <c r="I30" i="16" s="1"/>
  <c r="F84" i="30"/>
  <c r="J45" i="14"/>
  <c r="J69" i="14"/>
  <c r="F98" i="30"/>
  <c r="F18" i="30"/>
  <c r="J19" i="13"/>
  <c r="H22" i="13"/>
  <c r="J22" i="13" s="1"/>
  <c r="F74" i="30"/>
  <c r="H63" i="13"/>
  <c r="J23" i="14"/>
  <c r="H67" i="14"/>
  <c r="F94" i="30"/>
  <c r="J64" i="14"/>
  <c r="J65" i="14" s="1"/>
  <c r="F15" i="30"/>
  <c r="J15" i="13"/>
  <c r="H117" i="13"/>
  <c r="J117" i="13" s="1"/>
  <c r="J118" i="13" s="1"/>
  <c r="J126" i="13" s="1"/>
  <c r="F154" i="30"/>
  <c r="J16" i="15"/>
  <c r="H25" i="15"/>
  <c r="F159" i="30" s="1"/>
  <c r="H17" i="15"/>
  <c r="J17" i="15" s="1"/>
  <c r="H59" i="16"/>
  <c r="H60" i="16"/>
  <c r="I22" i="16" s="1"/>
  <c r="H61" i="16"/>
  <c r="I21" i="16" s="1"/>
  <c r="F72" i="30"/>
  <c r="H19" i="14"/>
  <c r="J19" i="14" s="1"/>
  <c r="J17" i="14"/>
  <c r="J18" i="14" s="1"/>
  <c r="H64" i="13"/>
  <c r="F75" i="30"/>
  <c r="J24" i="14"/>
  <c r="H56" i="14"/>
  <c r="M98" i="13"/>
  <c r="H76" i="13" s="1"/>
  <c r="H37" i="14"/>
  <c r="J15" i="14"/>
  <c r="I17" i="16"/>
  <c r="F70" i="30"/>
  <c r="H41" i="14"/>
  <c r="J41" i="14" s="1"/>
  <c r="F82" i="30"/>
  <c r="J39" i="14"/>
  <c r="J40" i="14" s="1"/>
  <c r="F16" i="30"/>
  <c r="J16" i="13"/>
  <c r="M37" i="1" l="1"/>
  <c r="O37" i="1" s="1"/>
  <c r="P37" i="1" s="1"/>
  <c r="M22" i="1"/>
  <c r="R22" i="1" s="1"/>
  <c r="F116" i="30"/>
  <c r="J21" i="13"/>
  <c r="J37" i="14"/>
  <c r="F80" i="30"/>
  <c r="F110" i="30"/>
  <c r="K22" i="16"/>
  <c r="I25" i="16"/>
  <c r="F96" i="30"/>
  <c r="J67" i="14"/>
  <c r="J43" i="14"/>
  <c r="F45" i="30"/>
  <c r="F48" i="30" s="1"/>
  <c r="J76" i="13"/>
  <c r="J77" i="13" s="1"/>
  <c r="F111" i="30"/>
  <c r="K45" i="16"/>
  <c r="H18" i="15"/>
  <c r="J18" i="15" s="1"/>
  <c r="J19" i="15" s="1"/>
  <c r="J23" i="15" s="1"/>
  <c r="J25" i="14"/>
  <c r="F114" i="30"/>
  <c r="F105" i="30"/>
  <c r="K17" i="16"/>
  <c r="K18" i="16" s="1"/>
  <c r="F90" i="30"/>
  <c r="J56" i="14"/>
  <c r="H58" i="14" s="1"/>
  <c r="H87" i="13"/>
  <c r="J87" i="13" s="1"/>
  <c r="F40" i="30"/>
  <c r="J64" i="13"/>
  <c r="J21" i="14"/>
  <c r="H79" i="13"/>
  <c r="J79" i="13" s="1"/>
  <c r="H59" i="13"/>
  <c r="J59" i="13" s="1"/>
  <c r="F37" i="30"/>
  <c r="F51" i="30" s="1"/>
  <c r="J57" i="13"/>
  <c r="J58" i="13" s="1"/>
  <c r="N100" i="13"/>
  <c r="H80" i="13" s="1"/>
  <c r="J80" i="13" s="1"/>
  <c r="J17" i="13"/>
  <c r="H86" i="13"/>
  <c r="J86" i="13" s="1"/>
  <c r="F39" i="30"/>
  <c r="J63" i="13"/>
  <c r="K21" i="16"/>
  <c r="I24" i="16"/>
  <c r="F108" i="30"/>
  <c r="M24" i="1"/>
  <c r="M48" i="13"/>
  <c r="J47" i="14"/>
  <c r="F115" i="30"/>
  <c r="F120" i="30"/>
  <c r="K36" i="16"/>
  <c r="K37" i="16" s="1"/>
  <c r="K24" i="16" l="1"/>
  <c r="F109" i="30"/>
  <c r="K25" i="16"/>
  <c r="R37" i="1"/>
  <c r="O22" i="1"/>
  <c r="P22" i="1" s="1"/>
  <c r="H24" i="13"/>
  <c r="J24" i="13" s="1"/>
  <c r="J25" i="13" s="1"/>
  <c r="J29" i="14"/>
  <c r="J81" i="13"/>
  <c r="J65" i="13"/>
  <c r="N99" i="13" s="1"/>
  <c r="H88" i="13" s="1"/>
  <c r="J88" i="13" s="1"/>
  <c r="J89" i="13" s="1"/>
  <c r="K23" i="16"/>
  <c r="J51" i="14"/>
  <c r="O24" i="1"/>
  <c r="P24" i="1" s="1"/>
  <c r="R24" i="1"/>
  <c r="J58" i="14"/>
  <c r="J59" i="14" s="1"/>
  <c r="F92" i="30"/>
  <c r="H60" i="14"/>
  <c r="J60" i="14" s="1"/>
  <c r="M36" i="1"/>
  <c r="M40" i="15"/>
  <c r="M29" i="1" l="1"/>
  <c r="O29" i="1" s="1"/>
  <c r="P29" i="1" s="1"/>
  <c r="M21" i="1"/>
  <c r="O21" i="1" s="1"/>
  <c r="M28" i="1"/>
  <c r="R28" i="1" s="1"/>
  <c r="F46" i="30"/>
  <c r="F50" i="30" s="1"/>
  <c r="M26" i="13"/>
  <c r="H60" i="13"/>
  <c r="J60" i="13" s="1"/>
  <c r="J61" i="13" s="1"/>
  <c r="J69" i="13" s="1"/>
  <c r="H83" i="13"/>
  <c r="J83" i="13" s="1"/>
  <c r="J84" i="13" s="1"/>
  <c r="J95" i="13" s="1"/>
  <c r="M32" i="14"/>
  <c r="J62" i="14"/>
  <c r="J71" i="14" s="1"/>
  <c r="R36" i="1"/>
  <c r="O36" i="1"/>
  <c r="M38" i="1"/>
  <c r="O28" i="1" l="1"/>
  <c r="P28" i="1" s="1"/>
  <c r="R21" i="1"/>
  <c r="R29" i="1"/>
  <c r="M74" i="14"/>
  <c r="F49" i="30"/>
  <c r="M72" i="13"/>
  <c r="M23" i="1"/>
  <c r="M30" i="1"/>
  <c r="M31" i="1" s="1"/>
  <c r="R31" i="1" s="1"/>
  <c r="R38" i="1"/>
  <c r="P21" i="1"/>
  <c r="P36" i="1"/>
  <c r="O38" i="1"/>
  <c r="R30" i="1" l="1"/>
  <c r="O23" i="1"/>
  <c r="M25" i="1"/>
  <c r="R25" i="1" s="1"/>
  <c r="R23" i="1"/>
  <c r="O30" i="1"/>
  <c r="P30" i="1" s="1"/>
  <c r="U38" i="1"/>
  <c r="P38" i="1"/>
  <c r="P23" i="1" l="1"/>
  <c r="O25" i="1"/>
  <c r="O31" i="1"/>
  <c r="U25" i="1" l="1"/>
  <c r="P25" i="1"/>
  <c r="P31" i="1"/>
  <c r="U31" i="1"/>
  <c r="T20" i="17" l="1"/>
  <c r="T22" i="17" s="1"/>
  <c r="K31" i="16" l="1"/>
  <c r="E32" i="16" l="1"/>
  <c r="K30" i="16"/>
  <c r="K32" i="16" s="1"/>
  <c r="I68" i="16" l="1"/>
  <c r="F140" i="30" l="1"/>
  <c r="F68" i="16"/>
  <c r="J140" i="30" s="1"/>
  <c r="I76" i="16"/>
  <c r="I77" i="16"/>
  <c r="I74" i="16"/>
  <c r="I71" i="16"/>
  <c r="I70" i="16"/>
  <c r="I79" i="16"/>
  <c r="I73" i="16"/>
  <c r="I75" i="16"/>
  <c r="I69" i="16"/>
  <c r="I67" i="16"/>
  <c r="I78" i="16"/>
  <c r="I66" i="16"/>
  <c r="F69" i="16" l="1"/>
  <c r="J141" i="30" s="1"/>
  <c r="F141" i="30"/>
  <c r="F70" i="16"/>
  <c r="J142" i="30" s="1"/>
  <c r="F142" i="30"/>
  <c r="F148" i="30"/>
  <c r="F76" i="16"/>
  <c r="J148" i="30" s="1"/>
  <c r="F139" i="30"/>
  <c r="F67" i="16"/>
  <c r="J139" i="30" s="1"/>
  <c r="F151" i="30"/>
  <c r="F79" i="16"/>
  <c r="J151" i="30" s="1"/>
  <c r="F143" i="30"/>
  <c r="F71" i="16"/>
  <c r="J143" i="30" s="1"/>
  <c r="F149" i="30"/>
  <c r="F77" i="16"/>
  <c r="J149" i="30" s="1"/>
  <c r="F150" i="30"/>
  <c r="F78" i="16"/>
  <c r="J150" i="30" s="1"/>
  <c r="F73" i="16"/>
  <c r="J145" i="30" s="1"/>
  <c r="F145" i="30"/>
  <c r="F74" i="16"/>
  <c r="J146" i="30" s="1"/>
  <c r="F146" i="30"/>
  <c r="F75" i="16"/>
  <c r="J147" i="30" s="1"/>
  <c r="F147" i="30"/>
  <c r="F138" i="30"/>
  <c r="F66" i="16"/>
  <c r="J138" i="30" s="1"/>
  <c r="I26" i="16" l="1"/>
  <c r="K26" i="16" l="1"/>
  <c r="K27" i="16" s="1"/>
  <c r="K41" i="16" l="1"/>
  <c r="K44" i="16" l="1"/>
  <c r="M33" i="1"/>
  <c r="O33" i="1" l="1"/>
  <c r="M44" i="1"/>
  <c r="R33" i="1"/>
  <c r="M48" i="1" l="1"/>
  <c r="R48" i="1" s="1"/>
  <c r="R44" i="1"/>
  <c r="P33" i="1"/>
  <c r="O44" i="1"/>
  <c r="U33" i="1"/>
  <c r="U44" i="1" l="1"/>
  <c r="U48" i="1" s="1"/>
  <c r="P44" i="1"/>
  <c r="O48" i="1"/>
  <c r="P48" i="1" s="1"/>
</calcChain>
</file>

<file path=xl/comments1.xml><?xml version="1.0" encoding="utf-8"?>
<comments xmlns="http://schemas.openxmlformats.org/spreadsheetml/2006/main">
  <authors>
    <author>prasan</author>
  </authors>
  <commentList>
    <comment ref="Q26" authorId="0">
      <text>
        <r>
          <rPr>
            <sz val="9"/>
            <color indexed="81"/>
            <rFont val="Tahoma"/>
            <family val="2"/>
          </rPr>
          <t>Target Proposed Billed Revenue</t>
        </r>
      </text>
    </comment>
  </commentList>
</comments>
</file>

<file path=xl/sharedStrings.xml><?xml version="1.0" encoding="utf-8"?>
<sst xmlns="http://schemas.openxmlformats.org/spreadsheetml/2006/main" count="2316" uniqueCount="1003">
  <si>
    <t xml:space="preserve"> </t>
  </si>
  <si>
    <t>TABLE A. PRESENT AND PROPOSED RATES</t>
  </si>
  <si>
    <t>ESTIMATED EFFECT OF PROPOSED BASE RATE INCREASE</t>
  </si>
  <si>
    <t>Present</t>
  </si>
  <si>
    <t>Proposed</t>
  </si>
  <si>
    <t>Base</t>
  </si>
  <si>
    <t>Change</t>
  </si>
  <si>
    <t>Line</t>
  </si>
  <si>
    <t>Sch.</t>
  </si>
  <si>
    <t>Avg.</t>
  </si>
  <si>
    <t>Revenues</t>
  </si>
  <si>
    <t>Increase</t>
  </si>
  <si>
    <t>Rates</t>
  </si>
  <si>
    <t>No.</t>
  </si>
  <si>
    <t>Description</t>
  </si>
  <si>
    <t>Cust.</t>
  </si>
  <si>
    <t>MWH</t>
  </si>
  <si>
    <t>($000)</t>
  </si>
  <si>
    <t>%</t>
  </si>
  <si>
    <t>(cents/kWh)</t>
  </si>
  <si>
    <t>Residential Service</t>
  </si>
  <si>
    <t>(Including Effects of Unbilled Revenue, Unbilled MWh and Weather Normalization)</t>
  </si>
  <si>
    <t>Units</t>
  </si>
  <si>
    <t>Actual</t>
  </si>
  <si>
    <t>Price</t>
  </si>
  <si>
    <t>Dollars</t>
  </si>
  <si>
    <t>Subtotal</t>
  </si>
  <si>
    <t>Total</t>
  </si>
  <si>
    <t>Target Dollars</t>
  </si>
  <si>
    <t>Difference</t>
  </si>
  <si>
    <t xml:space="preserve">  Total</t>
  </si>
  <si>
    <t xml:space="preserve">  Single Phase</t>
  </si>
  <si>
    <t xml:space="preserve">  Three Phase</t>
  </si>
  <si>
    <t>Basic Charge</t>
  </si>
  <si>
    <t>Target</t>
  </si>
  <si>
    <t>Demand Charges</t>
  </si>
  <si>
    <t>Energy Charges</t>
  </si>
  <si>
    <t>SCHEDULE 40</t>
  </si>
  <si>
    <t>SCHEDULE 51</t>
  </si>
  <si>
    <t>SCHEDULE 53</t>
  </si>
  <si>
    <t>SCHEDULE 54</t>
  </si>
  <si>
    <t>kWh</t>
  </si>
  <si>
    <t>All kWh</t>
  </si>
  <si>
    <t>Charge</t>
  </si>
  <si>
    <t>PUGET SOUND ENERGY</t>
  </si>
  <si>
    <t>Small Secondary General Service</t>
  </si>
  <si>
    <t>Secondary General Service</t>
  </si>
  <si>
    <t>Large Secondary General Service</t>
  </si>
  <si>
    <t>Primary General Service</t>
  </si>
  <si>
    <t>Secondary Irrigation &amp; Pumping Service</t>
  </si>
  <si>
    <t>Primary Irrigation &amp; Pumping Service</t>
  </si>
  <si>
    <t>Primary All Electric Schools</t>
  </si>
  <si>
    <t>Campus Rate</t>
  </si>
  <si>
    <t>High Voltage Interruptible Service</t>
  </si>
  <si>
    <t>High Voltage General Service</t>
  </si>
  <si>
    <t>Secondary Voltage Service</t>
  </si>
  <si>
    <t>Primary Voltage Service</t>
  </si>
  <si>
    <t>High Voltage Service</t>
  </si>
  <si>
    <t>8, 24</t>
  </si>
  <si>
    <t>7A, 11, 25</t>
  </si>
  <si>
    <t>12, 26, 26P</t>
  </si>
  <si>
    <t>10, 31</t>
  </si>
  <si>
    <t>Total Residential Service</t>
  </si>
  <si>
    <t>Total Secondary Voltage Service</t>
  </si>
  <si>
    <t>Total Primary Voltage Service</t>
  </si>
  <si>
    <t>Retail Wheeling Transporation Service</t>
  </si>
  <si>
    <t>449, 459</t>
  </si>
  <si>
    <t>Street and Area Lighting</t>
  </si>
  <si>
    <t>50-59</t>
  </si>
  <si>
    <t>Total Jurisdictional Sales</t>
  </si>
  <si>
    <t>Wholesale for Resale</t>
  </si>
  <si>
    <t xml:space="preserve">Total Sales </t>
  </si>
  <si>
    <t>Temperature Adjustment</t>
  </si>
  <si>
    <t>Next 200 kWh</t>
  </si>
  <si>
    <t>Next 1000 kwh</t>
  </si>
  <si>
    <t>First 600 kWh</t>
  </si>
  <si>
    <t>Over 1800 kWh</t>
  </si>
  <si>
    <t>Unbilled</t>
  </si>
  <si>
    <t>Cost Based</t>
  </si>
  <si>
    <t>Cost Based (Retain 1ph/3ph relationship)</t>
  </si>
  <si>
    <t>Long-run Avoided Cost of Power &amp; Delivery</t>
  </si>
  <si>
    <t>Set equal to tailblock</t>
  </si>
  <si>
    <t>Average Increase</t>
  </si>
  <si>
    <t>Puget Sound Energy</t>
  </si>
  <si>
    <t>Winter (October to March) kWh</t>
  </si>
  <si>
    <t>Summer (April to September) kWh</t>
  </si>
  <si>
    <t>Energy Charge</t>
  </si>
  <si>
    <t>Temperature Adjustment - Winter</t>
  </si>
  <si>
    <t>Temperature Adjustment - Summer</t>
  </si>
  <si>
    <t>Class Average % Increase</t>
  </si>
  <si>
    <t>Class Average % Increase,
Adjust for Residual</t>
  </si>
  <si>
    <t>Secondary Voltage General Service</t>
  </si>
  <si>
    <t>ON REVENUES FROM ELECTRIC SALES</t>
  </si>
  <si>
    <t>Secondary Voltage Small Demand General Service</t>
  </si>
  <si>
    <t>First 20,000 kWh (Summer Apr to Sep)</t>
  </si>
  <si>
    <t>First 20,000 kWh (Winter Oct to Mar)</t>
  </si>
  <si>
    <t>All additional kWh</t>
  </si>
  <si>
    <t>Winter Demand over 50 kW</t>
  </si>
  <si>
    <t>Summer Demand over 50 kW</t>
  </si>
  <si>
    <t>Reactive Power</t>
  </si>
  <si>
    <t>Residential Rate Design</t>
  </si>
  <si>
    <t>Secondary Voltage Rate Design</t>
  </si>
  <si>
    <t>Class Average % Increase, rounding</t>
  </si>
  <si>
    <t>Secondary Voltage Large Demand General Service</t>
  </si>
  <si>
    <t>Winter Demand (Oct to Mar)</t>
  </si>
  <si>
    <t>Summer Demand (Apr to Sep)</t>
  </si>
  <si>
    <t>SCHEDULE 26P</t>
  </si>
  <si>
    <t>Primary Adder</t>
  </si>
  <si>
    <t>Same as Sch 26</t>
  </si>
  <si>
    <t>Primary Discount</t>
  </si>
  <si>
    <t>SCHEDULES 8 &amp; 24</t>
  </si>
  <si>
    <t>SCHEDULES 12 &amp; 26</t>
  </si>
  <si>
    <t>SCHEDULES 7A, 11 &amp; 25</t>
  </si>
  <si>
    <t>SCHEDULE 29</t>
  </si>
  <si>
    <t>Secondary Voltage Irrigation &amp; Pumping Service</t>
  </si>
  <si>
    <t>Over 20,000 kWh (Summer Apr to Sep)</t>
  </si>
  <si>
    <t>Over 20,000 kWh (Winter Oct to Mar)</t>
  </si>
  <si>
    <t>Target Dollars Sch 25/29</t>
  </si>
  <si>
    <t>Sch 31 Equal % and Adjust for Losses &amp; Residual</t>
  </si>
  <si>
    <t>Target Dollars Sch 26/26P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</si>
  <si>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</si>
  <si>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</si>
  <si>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</si>
  <si>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</si>
  <si>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Sch 31 Equal % and Adjust for Losses</t>
  </si>
  <si>
    <t>SCHEDULES 10 &amp; 31</t>
  </si>
  <si>
    <t>Primary Voltage Rate Design</t>
  </si>
  <si>
    <t>Primary Voltage General Service</t>
  </si>
  <si>
    <t>SCHEDULE 35</t>
  </si>
  <si>
    <t>Target Dollars Sch 10/31/35</t>
  </si>
  <si>
    <t>Same as Sch 31</t>
  </si>
  <si>
    <t>Class Average % Increase Adjust For Residual</t>
  </si>
  <si>
    <t>Loss Adj</t>
  </si>
  <si>
    <t>Reactive Power Charge Reduction to Base Rates:</t>
  </si>
  <si>
    <t>SCHEDULE 43</t>
  </si>
  <si>
    <t>Primary Voltage Interruptible Schools</t>
  </si>
  <si>
    <t>All Demand</t>
  </si>
  <si>
    <t>Apply Residual &amp; Adjust for Rounding</t>
  </si>
  <si>
    <t>Target Dollars Sch 43</t>
  </si>
  <si>
    <t>Campus Rate Design</t>
  </si>
  <si>
    <t>Campus Service Demand &gt; 3aMW</t>
  </si>
  <si>
    <t>Basic Charges</t>
  </si>
  <si>
    <t>Secondary Voltage Demand &lt;= 350 kW</t>
  </si>
  <si>
    <t>Secondary Voltage Demand &gt; 350 kW</t>
  </si>
  <si>
    <t>Primary Voltage</t>
  </si>
  <si>
    <t xml:space="preserve"> = Sch 25</t>
  </si>
  <si>
    <t xml:space="preserve"> = Sch 26</t>
  </si>
  <si>
    <t xml:space="preserve"> = Sch 31</t>
  </si>
  <si>
    <t>Secondary Voltage</t>
  </si>
  <si>
    <t>Temperature Adjustment - Secondary Voltage</t>
  </si>
  <si>
    <t>Temperature Adjustment - Primary Voltage</t>
  </si>
  <si>
    <t xml:space="preserve"> = Sch 49 Adjusted for Losses</t>
  </si>
  <si>
    <t>Secondary Voltage (Coincident)</t>
  </si>
  <si>
    <t>Primary Voltage (Coincident)</t>
  </si>
  <si>
    <t>Distribution Demand Charge</t>
  </si>
  <si>
    <t>Reactive Power Charge</t>
  </si>
  <si>
    <t>Target Dollars Sch 40</t>
  </si>
  <si>
    <t>Demand and Energy Rate Calculation:</t>
  </si>
  <si>
    <t>Power Factor Calculation:</t>
  </si>
  <si>
    <t>HV Power Factor</t>
  </si>
  <si>
    <t>HV Demand</t>
  </si>
  <si>
    <t>PV Demand</t>
  </si>
  <si>
    <t>SV Demand</t>
  </si>
  <si>
    <t>$/kVa</t>
  </si>
  <si>
    <t>Load Research Loss Factors:</t>
  </si>
  <si>
    <t>Schedule 49</t>
  </si>
  <si>
    <t>Schedule 31</t>
  </si>
  <si>
    <t>Schedule 26</t>
  </si>
  <si>
    <t>Proposed Sch 49</t>
  </si>
  <si>
    <t>Proposed Sch 40</t>
  </si>
  <si>
    <t>Demand Charge Calculation</t>
  </si>
  <si>
    <t>Energy Charge Calculation</t>
  </si>
  <si>
    <t xml:space="preserve"> = Sch 49 Adjusted for Losses &amp; Power Factor</t>
  </si>
  <si>
    <t>Direct Assignment</t>
  </si>
  <si>
    <t>Average Class Increase</t>
  </si>
  <si>
    <t>Present Sch 40</t>
  </si>
  <si>
    <t>Customer Specific Demand Charges</t>
  </si>
  <si>
    <t>Coincident Primary Voltage Production &amp; Transmission Charge</t>
  </si>
  <si>
    <t>Coincident Secondary Voltage Production &amp; Transmission Charge</t>
  </si>
  <si>
    <t>Coincident Distribution Charge</t>
  </si>
  <si>
    <t>Coincident
Rate</t>
  </si>
  <si>
    <t>High Voltage Rate Design</t>
  </si>
  <si>
    <t>SCHEDULE 46</t>
  </si>
  <si>
    <t>Annual Customer Count</t>
  </si>
  <si>
    <t>Demand Charge (kVa)</t>
  </si>
  <si>
    <t>Annual Energy Minimum Charge</t>
  </si>
  <si>
    <t>Annual Demand Charge</t>
  </si>
  <si>
    <t>SCHEDULE 49</t>
  </si>
  <si>
    <t xml:space="preserve"> = Sch 49</t>
  </si>
  <si>
    <t>SCHEDULES 449 &amp; 459</t>
  </si>
  <si>
    <t>Choice / Retail Wheeling Service</t>
  </si>
  <si>
    <t>COS Basic Charge</t>
  </si>
  <si>
    <t>Primary Voltage Demand Charge (kVa)</t>
  </si>
  <si>
    <t>High Voltage Demand Charge (kVa)</t>
  </si>
  <si>
    <t>OATT Charges</t>
  </si>
  <si>
    <t>Set to Zero</t>
  </si>
  <si>
    <t>Current</t>
  </si>
  <si>
    <t>Transportation &amp; Wholesale for Resale</t>
  </si>
  <si>
    <t>SCHEDULE 005</t>
  </si>
  <si>
    <t>Demand Charge</t>
  </si>
  <si>
    <t>Revenue Deficiency</t>
  </si>
  <si>
    <t>Cost of Service</t>
  </si>
  <si>
    <t>Area and Street Lighting Rate Design</t>
  </si>
  <si>
    <t>SCHEDULE 50</t>
  </si>
  <si>
    <t>Limited Street Lighting Service</t>
  </si>
  <si>
    <t>Compact Flourescent - 22 Watts</t>
  </si>
  <si>
    <t>Mercury Vapor - Type A - 175 Watts</t>
  </si>
  <si>
    <t>Mercury Vapor - Type A - 100 Watts</t>
  </si>
  <si>
    <t>Mercury Vapor - Type A - 400 Watts</t>
  </si>
  <si>
    <t>Mercury Vapor - Type B - 100 Watts</t>
  </si>
  <si>
    <t>Mercury Vapor - Type B - 175 Watts</t>
  </si>
  <si>
    <t>Mercury Vapor - Type B - 400 Watts</t>
  </si>
  <si>
    <t>Mercury Vapor - Type B - 700 Watts</t>
  </si>
  <si>
    <t>Company Owned LED - 30-35 Watts</t>
  </si>
  <si>
    <t>Company Owned LED - 35.01-40 Watts</t>
  </si>
  <si>
    <t>Company Owned LED - 40.01-45 Watts</t>
  </si>
  <si>
    <t>Company Owned LED - 45.01-50 Watts</t>
  </si>
  <si>
    <t>Company Owned LED - 50.01-55 Watts</t>
  </si>
  <si>
    <t>Company Owned LED - 55.01-60 Watts</t>
  </si>
  <si>
    <t>Company Owned LED - 60.01-65 Watts</t>
  </si>
  <si>
    <t>Company Owned LED - 65.01-70 Watts</t>
  </si>
  <si>
    <t>Company Owned LED - 70.01-75 Watts</t>
  </si>
  <si>
    <t>Company Owned LED - 75.01-80 Watts</t>
  </si>
  <si>
    <t>Company Owned LED - 80.01-85 Watts</t>
  </si>
  <si>
    <t>Company Owned LED - 85.01-90 Watts</t>
  </si>
  <si>
    <t>Company Owned LED - 90.01-95 Watts</t>
  </si>
  <si>
    <t>Company Owned LED - 95.01-100 Watts</t>
  </si>
  <si>
    <t>Company Owned LED - 100.01-105 Watts</t>
  </si>
  <si>
    <t>Company Owned LED - 105.01-110 Watts</t>
  </si>
  <si>
    <t>Company Owned LED - 115.01-120 Watts</t>
  </si>
  <si>
    <t>Company Owned LED - 120.01-125 Watts</t>
  </si>
  <si>
    <t>Company Owned LED - 125.01-130 Watts</t>
  </si>
  <si>
    <t>Company Owned LED - 130.01-135 Watts</t>
  </si>
  <si>
    <t>Company Owned LED - 135.01-140 Watts</t>
  </si>
  <si>
    <t>Company Owned LED - 140.01-145 Watts</t>
  </si>
  <si>
    <t>Company Owned LED - 145.01-150 Watts</t>
  </si>
  <si>
    <t>Company Owned LED - 150.01-155 Watts</t>
  </si>
  <si>
    <t>Company Owned LED - 155.01-160 Watts</t>
  </si>
  <si>
    <t>Company Owned LED - 160.01-165 Watts</t>
  </si>
  <si>
    <t>Company Owned LED - 165.01-170 Watts</t>
  </si>
  <si>
    <t>Company Owned LED - 170.01-175 Watts</t>
  </si>
  <si>
    <t>Company Owned LED - 175.01-180 Watts</t>
  </si>
  <si>
    <t>Company Owned LED - 180.01-185 Watts</t>
  </si>
  <si>
    <t>Company Owned LED - 185.01-190 Watts</t>
  </si>
  <si>
    <t>Company Owned LED - 190.01-195 Watts</t>
  </si>
  <si>
    <t>Company Owned LED - 195.01-200 Watts</t>
  </si>
  <si>
    <t>Company Owned LED - 200.01-205 Watts</t>
  </si>
  <si>
    <t>Company Owned LED - 201.05-210 Watts</t>
  </si>
  <si>
    <t>Company Owned LED - 210.01-215 Watts</t>
  </si>
  <si>
    <t>Company Owned LED - 215.01-220 Watts</t>
  </si>
  <si>
    <t>Company Owned LED - 220.01-225 Watts</t>
  </si>
  <si>
    <t>Company Owned LED - 225.01-230 Watts</t>
  </si>
  <si>
    <t>Company Owned LED - 230.01-235 Watts</t>
  </si>
  <si>
    <t>Company Owned LED - 235.01-240 Watts</t>
  </si>
  <si>
    <t>Company Owned LED - 240.01-245 Watts</t>
  </si>
  <si>
    <t>Company Owned LED - 245.01-250 Watts</t>
  </si>
  <si>
    <t>Company Owned LED - 250.01-255 Watts</t>
  </si>
  <si>
    <t>Company Owned LED - 255.01-260 Watts</t>
  </si>
  <si>
    <t>Company Owned LED - 260.01-265 Watts</t>
  </si>
  <si>
    <t>Company Owned LED - 265.01-270 Watts</t>
  </si>
  <si>
    <t>Company Owned LED - 270.01-275 Watts</t>
  </si>
  <si>
    <t>Company Owned LED - 275.01-280 Watts</t>
  </si>
  <si>
    <t>Company Owned LED - 280.01-285 Watts</t>
  </si>
  <si>
    <t>Company Owned LED - 285.01-290 Watts</t>
  </si>
  <si>
    <t>Company Owned LED - 290.01-295 Watts</t>
  </si>
  <si>
    <t>Company Owned LED - 295.01-300 Watts</t>
  </si>
  <si>
    <t>Company Owned LED - 110.01-115 Watts</t>
  </si>
  <si>
    <t>O&amp;M Option A</t>
  </si>
  <si>
    <t xml:space="preserve">O&amp;M Option B </t>
  </si>
  <si>
    <t>Street Lighting Service</t>
  </si>
  <si>
    <t>Company Owned Sodium Vapor - 50 Watt</t>
  </si>
  <si>
    <t>Company Owned Sodium Vapor - 70 Watt</t>
  </si>
  <si>
    <t>Company Owned Sodium Vapor - 100 Watt</t>
  </si>
  <si>
    <t>Company Owned Sodium Vapor - 150 Watt</t>
  </si>
  <si>
    <t>Company Owned Sodium Vapor - 200 Watt</t>
  </si>
  <si>
    <t>Company Owned Sodium Vapor - 250 Watt</t>
  </si>
  <si>
    <t>Company Owned Sodium Vapor - 310 Watt</t>
  </si>
  <si>
    <t>Company Owned Sodium Vapor - 400 Watt</t>
  </si>
  <si>
    <t>Company Owned Sodium Vapor - 1000 Watt</t>
  </si>
  <si>
    <t>Company Owned Metal Hallide - 70 Watt</t>
  </si>
  <si>
    <t>Company Owned Metal Hallide - 100 Watt</t>
  </si>
  <si>
    <t>Company Owned Metal Hallide - 150 Watt</t>
  </si>
  <si>
    <t>Company Owned Metal Hallide - 250 Watt</t>
  </si>
  <si>
    <t>Company Owned Metal Hallide - 400 Watt</t>
  </si>
  <si>
    <t>Company Owned LED - 30-35 Watt</t>
  </si>
  <si>
    <t>Company Owned LED - 35.01-40 Watt</t>
  </si>
  <si>
    <t>Company Owned LED - 40.01-45 Watt</t>
  </si>
  <si>
    <t>Company Owned LED - 45.01-50 Watt</t>
  </si>
  <si>
    <t>Company Owned LED - 50.01-55 Watt</t>
  </si>
  <si>
    <t>Company Owned LED - 55.01-60 Watt</t>
  </si>
  <si>
    <t>Company Owned LED - 60.01-65 Watt</t>
  </si>
  <si>
    <t>Company Owned LED - 65.01-70 Watt</t>
  </si>
  <si>
    <t>Company Owned LED - 70.01-75 Watt</t>
  </si>
  <si>
    <t>Company Owned LED - 75.01-80 Watt</t>
  </si>
  <si>
    <t>Company Owned LED - 80.01-85 Watt</t>
  </si>
  <si>
    <t>Company Owned LED - 85.01-90 Watt</t>
  </si>
  <si>
    <t>Company Owned LED - 90.01-95 Watt</t>
  </si>
  <si>
    <t>Company Owned LED - 95.01-100 Watt</t>
  </si>
  <si>
    <t>Company Owned LED - 100.01-105 Watt</t>
  </si>
  <si>
    <t>Company Owned LED - 105.01-110 Watt</t>
  </si>
  <si>
    <t>Company Owned LED - 110.1-115 Watt</t>
  </si>
  <si>
    <t>Company Owned LED - 115.01-120 Watt</t>
  </si>
  <si>
    <t>Company Owned LED - 120.01-125 Watt</t>
  </si>
  <si>
    <t>Company Owned LED - 125.01-130 Watt</t>
  </si>
  <si>
    <t>Company Owned LED - 130.01-135 Watt</t>
  </si>
  <si>
    <t>Company Owned LED - 135.01-140 Watt</t>
  </si>
  <si>
    <t>Company Owned LED - 140.01-145 Watt</t>
  </si>
  <si>
    <t>Company Owned LED - 145.01-150 Watt</t>
  </si>
  <si>
    <t>Company Owned LED - 150.01-155 Watt</t>
  </si>
  <si>
    <t>Company Owned LED - 155.01-160 Watt</t>
  </si>
  <si>
    <t>Company Owned LED - 160.01-165 Watt</t>
  </si>
  <si>
    <t>Company Owned LED - 165.01-170 Watt</t>
  </si>
  <si>
    <t>Company Owned LED - 170.01-175 Watt</t>
  </si>
  <si>
    <t>Company Owned LED - 175.01-180 Watt</t>
  </si>
  <si>
    <t>Company Owned LED - 180.01-185 Watt</t>
  </si>
  <si>
    <t>Company Owned LED - 185.01-190 Watt</t>
  </si>
  <si>
    <t>Company Owned LED - 190.01-195 Watt</t>
  </si>
  <si>
    <t>Company Owned LED - 195.01-200 Watt</t>
  </si>
  <si>
    <t>Company Owned LED - 200.01-205 Watt</t>
  </si>
  <si>
    <t>Company Owned LED - 201.05-210 Watt</t>
  </si>
  <si>
    <t>Company Owned LED - 210.01-215 Watt</t>
  </si>
  <si>
    <t>Company Owned LED - 215.01-220 Watt</t>
  </si>
  <si>
    <t>Company Owned LED - 220.01-225 Watt</t>
  </si>
  <si>
    <t>Company Owned LED - 225.01-230 Watt</t>
  </si>
  <si>
    <t>Company Owned LED - 230.01-235 Watt</t>
  </si>
  <si>
    <t>Company Owned LED - 235.01-240 Watt</t>
  </si>
  <si>
    <t>Company Owned LED - 240.01-245 Watt</t>
  </si>
  <si>
    <t>Company Owned LED - 245.01-250 Watt</t>
  </si>
  <si>
    <t>Company Owned LED - 250.01-255 Watt</t>
  </si>
  <si>
    <t>Company Owned LED - 255.01-260 Watt</t>
  </si>
  <si>
    <t>Company Owned LED - 260.01-265 Watt</t>
  </si>
  <si>
    <t>Company Owned LED - 265.01-270 Watt</t>
  </si>
  <si>
    <t>Company Owned LED - 270.01-275 Watt</t>
  </si>
  <si>
    <t>Company Owned LED - 275.01-280 Watt</t>
  </si>
  <si>
    <t>Company Owned LED - 280.01-285 Watt</t>
  </si>
  <si>
    <t>Company Owned LED - 285.01-290 Watt</t>
  </si>
  <si>
    <t>Company Owned LED - 290.01-295 Watt</t>
  </si>
  <si>
    <t>Company Owned LED - 295.01-300 Watt</t>
  </si>
  <si>
    <t>Customer Owned Sodium Vapor - 50 Watt</t>
  </si>
  <si>
    <t>Customer Owned Sodium Vapor - 70 Watt</t>
  </si>
  <si>
    <t>Customer Owned Sodium Vapor - 100 Watt</t>
  </si>
  <si>
    <t>Customer Owned Sodium Vapor - 150 Watt</t>
  </si>
  <si>
    <t>Customer Owned Sodium Vapor - 200 Watt</t>
  </si>
  <si>
    <t>Customer Owned Sodium Vapor - 250 Watt</t>
  </si>
  <si>
    <t>Customer Owned Sodium Vapor - 310 Watt</t>
  </si>
  <si>
    <t>Customer Owned Sodium Vapor - 400 Watt</t>
  </si>
  <si>
    <t>Customer Owned Sodium Vapor - 1000 Watt</t>
  </si>
  <si>
    <t>Customer Owned Metal Hallide - 70 Watt</t>
  </si>
  <si>
    <t>Customer Owned Metal Hallide - 100 Watt</t>
  </si>
  <si>
    <t>Customer Owned Metal Hallide - 150 Watt</t>
  </si>
  <si>
    <t>Customer Owned Metal Hallide - 175 Watt</t>
  </si>
  <si>
    <t>Customer Owned Metal Hallide - 250 Watt</t>
  </si>
  <si>
    <t>Customer Owned Metal Hallide - 400 Watt</t>
  </si>
  <si>
    <t>Customer Owned LED - 30-35 Watt</t>
  </si>
  <si>
    <t>Customer Owned LED - 35.01-40 Watt</t>
  </si>
  <si>
    <t>Customer Owned LED - 40.01-45 Watt</t>
  </si>
  <si>
    <t>Customer Owned LED - 45.01-50 Watt</t>
  </si>
  <si>
    <t>Customer Owned LED - 50.01-55 Watt</t>
  </si>
  <si>
    <t>Customer Owned LED - 55.01-60 Watt</t>
  </si>
  <si>
    <t>Customer Owned LED - 60.01-65 Watt</t>
  </si>
  <si>
    <t>Customer Owned LED - 65.01-70 Watt</t>
  </si>
  <si>
    <t>Customer Owned LED - 70.01-75 Watt</t>
  </si>
  <si>
    <t>Customer Owned LED - 75.01-80 Watt</t>
  </si>
  <si>
    <t>Customer Owned LED - 80.01-85 Watt</t>
  </si>
  <si>
    <t>Customer Owned LED - 85.01-90 Watt</t>
  </si>
  <si>
    <t>Customer Owned LED - 90.01-95 Watt</t>
  </si>
  <si>
    <t>Customer Owned LED - 95.01-100 Watt</t>
  </si>
  <si>
    <t>Customer Owned LED - 100.01-105 Watt</t>
  </si>
  <si>
    <t>Customer Owned LED - 105.01-110 Watt</t>
  </si>
  <si>
    <t>Customer Owned LED - 110.1-115 Watt</t>
  </si>
  <si>
    <t>Customer Owned LED - 115.01-120 Watt</t>
  </si>
  <si>
    <t>Customer Owned LED - 120.01-125 Watt</t>
  </si>
  <si>
    <t>Customer Owned LED - 125.01-130 Watt</t>
  </si>
  <si>
    <t>Customer Owned LED - 130.01-135 Watt</t>
  </si>
  <si>
    <t>Customer Owned LED - 135.01-140 Watt</t>
  </si>
  <si>
    <t>Customer Owned LED - 140.01-145 Watt</t>
  </si>
  <si>
    <t>Customer Owned LED - 145.01-150 Watt</t>
  </si>
  <si>
    <t>Customer Owned LED - 150.01-155 Watt</t>
  </si>
  <si>
    <t>Customer Owned LED - 155.01-160 Watt</t>
  </si>
  <si>
    <t>Customer Owned LED - 160.01-165 Watt</t>
  </si>
  <si>
    <t>Customer Owned LED - 165.01-170 Watt</t>
  </si>
  <si>
    <t>Customer Owned LED - 170.01-175 Watt</t>
  </si>
  <si>
    <t>Customer Owned LED - 175.01-180 Watt</t>
  </si>
  <si>
    <t>Customer Owned LED - 180.01-185 Watt</t>
  </si>
  <si>
    <t>Customer Owned LED - 185.01-190 Watt</t>
  </si>
  <si>
    <t>Customer Owned LED - 190.01-195 Watt</t>
  </si>
  <si>
    <t>Customer Owned LED - 195.01-200 Watt</t>
  </si>
  <si>
    <t>Customer Owned LED - 200.01-205 Watt</t>
  </si>
  <si>
    <t>Customer Owned LED - 201.05-210 Watt</t>
  </si>
  <si>
    <t>Customer Owned LED - 210.01-215 Watt</t>
  </si>
  <si>
    <t>Customer Owned LED - 215.01-220 Watt</t>
  </si>
  <si>
    <t>Customer Owned LED - 220.01-225 Watt</t>
  </si>
  <si>
    <t>Customer Owned LED - 225.01-230 Watt</t>
  </si>
  <si>
    <t>Customer Owned LED - 230.01-235 Watt</t>
  </si>
  <si>
    <t>Customer Owned LED - 235.01-240 Watt</t>
  </si>
  <si>
    <t>Customer Owned LED - 240.01-245 Watt</t>
  </si>
  <si>
    <t>Customer Owned LED - 245.01-250 Watt</t>
  </si>
  <si>
    <t>Customer Owned LED - 250.01-255 Watt</t>
  </si>
  <si>
    <t>Customer Owned LED - 255.01-260 Watt</t>
  </si>
  <si>
    <t>Customer Owned LED - 260.01-265 Watt</t>
  </si>
  <si>
    <t>Customer Owned LED - 265.01-270 Watt</t>
  </si>
  <si>
    <t>Customer Owned LED - 270.01-275 Watt</t>
  </si>
  <si>
    <t>Customer Owned LED - 275.01-280 Watt</t>
  </si>
  <si>
    <t>Customer Owned LED - 280.01-285 Watt</t>
  </si>
  <si>
    <t>Customer Owned LED - 285.01-290 Watt</t>
  </si>
  <si>
    <t>Customer Owned LED - 290.01-295 Watt</t>
  </si>
  <si>
    <t>Customer Owned LED - 295.01-300 Watt</t>
  </si>
  <si>
    <t>Billed kWh</t>
  </si>
  <si>
    <t>Unbilled kWh</t>
  </si>
  <si>
    <t>SCHEDULE 52</t>
  </si>
  <si>
    <t>Custom Street Lighting Service</t>
  </si>
  <si>
    <t>Custom Sodium Vapor - 50 Watt</t>
  </si>
  <si>
    <t>Custom Sodium Vapor - 70 Watt</t>
  </si>
  <si>
    <t>Custom Sodium Vapor - 100 Watt</t>
  </si>
  <si>
    <t>Custom Sodium Vapor - 150 Watt</t>
  </si>
  <si>
    <t>Custom Sodium Vapor - 200 Watt</t>
  </si>
  <si>
    <t>Custom Sodium Vapor - 250 Watt</t>
  </si>
  <si>
    <t>Custom Sodium Vapor - 310 Watt</t>
  </si>
  <si>
    <t>Custom Sodium Vapor - 400 Watt</t>
  </si>
  <si>
    <t>Custom Metal Hallide - 70 Watt</t>
  </si>
  <si>
    <t>Custom Metal Hallide - 100 Watt</t>
  </si>
  <si>
    <t>Custom Metal Hallide - 150 Watt</t>
  </si>
  <si>
    <t>Custom Metal Hallide - 250 Watt</t>
  </si>
  <si>
    <t>Custom Metal Hallide - 400 Watt</t>
  </si>
  <si>
    <t>Custom Metal Hallide - 175 Watt</t>
  </si>
  <si>
    <t>Custom Metal Hallide - 1000 Watt</t>
  </si>
  <si>
    <t>Customer Owned Energy Only Street Lighting Service</t>
  </si>
  <si>
    <t>Customer Owned Energy Only Sodium Vapor 50 - Watt</t>
  </si>
  <si>
    <t>Customer Owned Energy Only Sodium Vapor 70 - Watt</t>
  </si>
  <si>
    <t>Customer Owned Energy Only Sodium Vapor 100 - Watt</t>
  </si>
  <si>
    <t>Customer Owned Energy Only Sodium Vapor 150 - Watt</t>
  </si>
  <si>
    <t>Customer Owned Energy Only Sodium Vapor 200 - Watt</t>
  </si>
  <si>
    <t>Customer Owned Energy Only Sodium Vapor 250 - Watt</t>
  </si>
  <si>
    <t>Customer Owned Energy Only Sodium Vapor 310 - Watt</t>
  </si>
  <si>
    <t>Customer Owned Energy Only Sodium Vapor 400 - Watt</t>
  </si>
  <si>
    <t>Customer Owned Energy Only Sodium Vapor 1000 - Watt</t>
  </si>
  <si>
    <t>Customer Owned Energy Only LED 30-35 - Watt</t>
  </si>
  <si>
    <t>Customer Owned Energy Only LED 35.01-40 - Watt</t>
  </si>
  <si>
    <t>Customer Owned Energy Only LED 40.01-45 - Watt</t>
  </si>
  <si>
    <t>Customer Owned Energy Only LED 45.01-50 - Watt</t>
  </si>
  <si>
    <t>Customer Owned Energy Only LED 50.01-55 - Watt</t>
  </si>
  <si>
    <t>Customer Owned Energy Only LED 55.01-60 - Watt</t>
  </si>
  <si>
    <t>Customer Owned Energy Only LED 60.01-65 - Watt</t>
  </si>
  <si>
    <t>Customer Owned Energy Only LED 65.01-70 - Watt</t>
  </si>
  <si>
    <t>Customer Owned Energy Only LED 70.01-75 - Watt</t>
  </si>
  <si>
    <t>Customer Owned Energy Only LED 75.01-80 - Watt</t>
  </si>
  <si>
    <t>Customer Owned Energy Only LED 80.01-85 - Watt</t>
  </si>
  <si>
    <t>Customer Owned Energy Only LED 85.01-90 - Watt</t>
  </si>
  <si>
    <t>Customer Owned Energy Only LED 90.01-95 - Watt</t>
  </si>
  <si>
    <t>Customer Owned Energy Only LED 95.01-100 - Watt</t>
  </si>
  <si>
    <t>Customer Owned Energy Only LED 100.01-105 - Watt</t>
  </si>
  <si>
    <t>Customer Owned Energy Only LED 105.01-110 - Watt</t>
  </si>
  <si>
    <t>Customer Owned Energy Only LED 110.1-115 - Watt</t>
  </si>
  <si>
    <t>Customer Owned Energy Only LED 115.01-120 - Watt</t>
  </si>
  <si>
    <t>Customer Owned Energy Only LED 120.01-125 - Watt</t>
  </si>
  <si>
    <t>Customer Owned Energy Only LED 125.01-130 - Watt</t>
  </si>
  <si>
    <t>Customer Owned Energy Only LED 130.01-135 - Watt</t>
  </si>
  <si>
    <t>Customer Owned Energy Only LED 135.01-140 - Watt</t>
  </si>
  <si>
    <t>Customer Owned Energy Only LED 140.01-145 - Watt</t>
  </si>
  <si>
    <t>Customer Owned Energy Only LED 145.01-150 - Watt</t>
  </si>
  <si>
    <t>Customer Owned Energy Only LED 150.01-155 - Watt</t>
  </si>
  <si>
    <t>Customer Owned Energy Only LED 155.01-160 - Watt</t>
  </si>
  <si>
    <t>Customer Owned Energy Only LED 160.01-165 - Watt</t>
  </si>
  <si>
    <t>Customer Owned Energy Only LED 165.01-170 - Watt</t>
  </si>
  <si>
    <t>Customer Owned Energy Only LED 170.01-175 - Watt</t>
  </si>
  <si>
    <t>Customer Owned Energy Only LED 175.01-180 - Watt</t>
  </si>
  <si>
    <t>Customer Owned Energy Only LED 180.01-185 - Watt</t>
  </si>
  <si>
    <t>Customer Owned Energy Only LED 185.01-190 - Watt</t>
  </si>
  <si>
    <t>Customer Owned Energy Only LED 190.01-195 - Watt</t>
  </si>
  <si>
    <t>Customer Owned Energy Only LED 195.01-200 - Watt</t>
  </si>
  <si>
    <t>Customer Owned Energy Only LED 200.01-205 - Watt</t>
  </si>
  <si>
    <t>Customer Owned Energy Only LED 201.05-210 - Watt</t>
  </si>
  <si>
    <t>Customer Owned Energy Only LED 210.01-215 - Watt</t>
  </si>
  <si>
    <t>Customer Owned Energy Only LED 215.01-220 - Watt</t>
  </si>
  <si>
    <t>Customer Owned Energy Only LED 220.01-225 - Watt</t>
  </si>
  <si>
    <t>Customer Owned Energy Only LED 225.01-230 - Watt</t>
  </si>
  <si>
    <t>Customer Owned Energy Only LED 230.01-235 - Watt</t>
  </si>
  <si>
    <t>Customer Owned Energy Only LED 235.01-240 - Watt</t>
  </si>
  <si>
    <t>Customer Owned Energy Only LED 240.01-245 - Watt</t>
  </si>
  <si>
    <t>Customer Owned Energy Only LED 245.01-250 - Watt</t>
  </si>
  <si>
    <t>Customer Owned Energy Only LED 250.01-255 - Watt</t>
  </si>
  <si>
    <t>Customer Owned Energy Only LED 255.01-260 - Watt</t>
  </si>
  <si>
    <t>Customer Owned Energy Only LED 260.01-265 - Watt</t>
  </si>
  <si>
    <t>Customer Owned Energy Only LED 265.01-270 - Watt</t>
  </si>
  <si>
    <t>Customer Owned Energy Only LED 270.01-275 - Watt</t>
  </si>
  <si>
    <t>Customer Owned Energy Only LED 275.01-280 - Watt</t>
  </si>
  <si>
    <t>Customer Owned Energy Only LED 280.01-285 - Watt</t>
  </si>
  <si>
    <t>Customer Owned Energy Only LED 285.01-290 - Watt</t>
  </si>
  <si>
    <t>Customer Owned Energy Only LED 290.01-295 - Watt</t>
  </si>
  <si>
    <t>Customer Owned Energy Only LED 295.01-300 - Watt</t>
  </si>
  <si>
    <t>Company Owned Sodium Vapor Area Lighting 70 Watts</t>
  </si>
  <si>
    <t>Company Owned Sodium Vapor Area Lighting 100 Watts</t>
  </si>
  <si>
    <t>Company Owned Sodium Vapor Area Lighting 150 Watts</t>
  </si>
  <si>
    <t>Company Owned Sodium Vapor Area Lighting 200 Watts</t>
  </si>
  <si>
    <t>Company Owned Sodium Vapor Area Lighting 250 Watts</t>
  </si>
  <si>
    <t>Company Owned Sodium Vapor Area Lighting 400 Watts</t>
  </si>
  <si>
    <t>Company Owned Metal Halide Area Lighting 250 Watts</t>
  </si>
  <si>
    <t>Company Owned LED Lighting - Area Lighting 30-35 Watts</t>
  </si>
  <si>
    <t>Company Owned LED Lighting - Area Lighting 35.01-40 Watts</t>
  </si>
  <si>
    <t>Company Owned LED Lighting - Area Lighting 40.01-45 Watts</t>
  </si>
  <si>
    <t>Company Owned LED Lighting - Area Lighting 45.01-50 Watts</t>
  </si>
  <si>
    <t>Company Owned LED Lighting - Area Lighting 50.01-55 Watts</t>
  </si>
  <si>
    <t>Company Owned LED Lighting - Area Lighting 55.01-60 Watts</t>
  </si>
  <si>
    <t>Company Owned LED Lighting - Area Lighting 60.01-65 Watts</t>
  </si>
  <si>
    <t>Company Owned LED Lighting - Area Lighting 65.01-70 Watts</t>
  </si>
  <si>
    <t>Company Owned LED Lighting - Area Lighting 70.01-75 Watts</t>
  </si>
  <si>
    <t>Company Owned LED Lighting - Area Lighting 75.01-80 Watts</t>
  </si>
  <si>
    <t>Company Owned LED Lighting - Area Lighting 80.01-85 Watts</t>
  </si>
  <si>
    <t>Company Owned LED Lighting - Area Lighting 85.01-90 Watts</t>
  </si>
  <si>
    <t>Company Owned LED Lighting - Area Lighting 90.01-95 Watts</t>
  </si>
  <si>
    <t>Company Owned LED Lighting - Area Lighting 95.01-100 Watts</t>
  </si>
  <si>
    <t>Company Owned Area Lighing Pole Charge (Pre 11/74)</t>
  </si>
  <si>
    <t>Company Owned Area Lighing Pole Charge (Post 10-28-99)</t>
  </si>
  <si>
    <t>SCHEDULE 57</t>
  </si>
  <si>
    <t>SCHEDULES 55 &amp; 56</t>
  </si>
  <si>
    <t>Continuous Lighting Service</t>
  </si>
  <si>
    <t>per Watt of Connected Load</t>
  </si>
  <si>
    <t>Minimum Charge</t>
  </si>
  <si>
    <t>SCHEDULES 58 &amp; 59</t>
  </si>
  <si>
    <t>Flood Lighting Service</t>
  </si>
  <si>
    <t>Area Lighting Service</t>
  </si>
  <si>
    <t>Company Owned Sodium Vapor Flood Lighting - Directional 70 Watts</t>
  </si>
  <si>
    <t>Company Owned Sodium Vapor Flood Lighting - Directional 100 Watts</t>
  </si>
  <si>
    <t>Company Owned Sodium Vapor Flood Lighting - Directional 150 Watts</t>
  </si>
  <si>
    <t>Company Owned Sodium Vapor Flood Lighting - Directional 200 Watts</t>
  </si>
  <si>
    <t>Company Owned Sodium Vapor Flood Lighting - Directional 250 Watts</t>
  </si>
  <si>
    <t>Company Owned Sodium Vapor Flood Lighting - Directional 400 Watts</t>
  </si>
  <si>
    <t>Company Owned Metal Halide Flood Lighting - Directional 175 Watts</t>
  </si>
  <si>
    <t>Company Owned Metal Halide Flood Lighting - Directional 250 Watts</t>
  </si>
  <si>
    <t>Company Owned Metal Halide Flood Lighting - Directional 400 Watts</t>
  </si>
  <si>
    <t>Company Owned Metal Halide Flood Lighting - Directional 1000 Watts</t>
  </si>
  <si>
    <t>Company Owned Sodium Vapor Flood Lighting - Horizontal 100 Watts</t>
  </si>
  <si>
    <t>Company Owned Sodium Vapor Flood Lighting - Horizontal 150 Watts</t>
  </si>
  <si>
    <t>Company Owned Sodium Vapor Flood Lighting - Horizontal 200 Watts</t>
  </si>
  <si>
    <t>Company Owned Sodium Vapor Flood Lighting - Horizontal 250 Watts</t>
  </si>
  <si>
    <t>Company Owned Sodium Vapor Flood Lighting - Horizontal 400 Watts</t>
  </si>
  <si>
    <t>Company Owned Metal Halide Flood Lighting - Horizontal 250 Watts</t>
  </si>
  <si>
    <t>Company Owned Metal Halide Flood Lighting - Horizontal 400 Watts</t>
  </si>
  <si>
    <t>Company Owned LED Flood Lighting 50.01-55 Watts</t>
  </si>
  <si>
    <t>Company Owned LED Flood Lighting 55.01-60 Watts</t>
  </si>
  <si>
    <t>Company Owned LED Flood Lighting 60.01-65 Watts</t>
  </si>
  <si>
    <t>Company Owned LED Flood Lighting 65.01-70 Watts</t>
  </si>
  <si>
    <t>Company Owned LED Flood Lighting 70.01-75 Watts</t>
  </si>
  <si>
    <t>Company Owned LED Flood Lighting 75.01-80 Watts</t>
  </si>
  <si>
    <t>Company Owned LED Flood Lighting 80.01-85 Watts</t>
  </si>
  <si>
    <t>Company Owned LED Flood Lighting 100.01-105 Watts</t>
  </si>
  <si>
    <t>Company Owned LED Flood Lighting 105.01-110 Watts</t>
  </si>
  <si>
    <t>Company Owned LED Flood Lighting 110.1-115 Watts</t>
  </si>
  <si>
    <t>Company Owned LED Flood Lighting 115.01-120 Watts</t>
  </si>
  <si>
    <t>Company Owned LED Flood Lighting 120.01-125 Watts</t>
  </si>
  <si>
    <t>Company Owned LED Flood Lighting 125.01-130 Watts</t>
  </si>
  <si>
    <t>Company Owned LED Flood Lighting 300.01-305 Watts</t>
  </si>
  <si>
    <t>Company Owned LED Flood Lighting 305.01-310 Watts</t>
  </si>
  <si>
    <t>Company Owned LED Flood Lighting 310.01-315 Watts</t>
  </si>
  <si>
    <t>Company Owned LED Flood Lighting 315.01-320 Watts</t>
  </si>
  <si>
    <t>Company Owned LED Flood Lighting 320.01-325 Watts</t>
  </si>
  <si>
    <t>Company Owned LED Flood Lighting 500.01-505 Watts</t>
  </si>
  <si>
    <t>Company Owned LED Flood Lighting 505.01-510 Watts</t>
  </si>
  <si>
    <t>Company Owned LED Flood Lighting 510.01-515 Watts</t>
  </si>
  <si>
    <t>Company Owned LED Flood Lighting 515.01-520 Watts</t>
  </si>
  <si>
    <t>Company Owned LED Flood Lighting 520.01-525 Watts</t>
  </si>
  <si>
    <t>Company Owned LED Flood Lighting 525.01-530 Watts</t>
  </si>
  <si>
    <t>Company Owned LED Flood Lighting 840.01-845 Watts</t>
  </si>
  <si>
    <t>Company Owned LED Flood Lighting 845.01-850 Watts</t>
  </si>
  <si>
    <t>Company Owned LED Flood Lighting 850.01-855 Watts</t>
  </si>
  <si>
    <t>Company Owned LED Flood Lighting 855.01-860 Watts</t>
  </si>
  <si>
    <t>Company Owned LED Flood Lighting 860.01-865 Watts</t>
  </si>
  <si>
    <t>Company Owned LED Flood Lighting 865.01-870 Watts</t>
  </si>
  <si>
    <t>Company Owned LED Flood Lighting 870.01-875 Watts</t>
  </si>
  <si>
    <t>Company Owned LED Flood Lighting 875.01-880 Watts</t>
  </si>
  <si>
    <t>Company Owned Flood Lighing Pole Charge (Post 10-28-99)</t>
  </si>
  <si>
    <t>Lighting Summary</t>
  </si>
  <si>
    <t>All Lighting</t>
  </si>
  <si>
    <t>Delivered</t>
  </si>
  <si>
    <t>Billed</t>
  </si>
  <si>
    <t>Change in Unbilled</t>
  </si>
  <si>
    <t>Present Revenue</t>
  </si>
  <si>
    <t>Pole Rentals - Sch 55, 56, 58 &amp; 59</t>
  </si>
  <si>
    <t>Twelve Months ended December 2008</t>
  </si>
  <si>
    <t>Summary - Rate Spread</t>
  </si>
  <si>
    <t>Line No.</t>
  </si>
  <si>
    <t>Voltage Level</t>
  </si>
  <si>
    <t>Schedule</t>
  </si>
  <si>
    <t>Percent of Uniform Increase</t>
  </si>
  <si>
    <t>Proposed Revenue Increase (%)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</si>
  <si>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</si>
  <si>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</si>
  <si>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</si>
  <si>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</si>
  <si>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</si>
  <si>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</si>
  <si>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</si>
  <si>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</si>
  <si>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</si>
  <si>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Demand &lt;= 50 kW</t>
  </si>
  <si>
    <t>8 / 24</t>
  </si>
  <si>
    <t>Demand &gt; 50 kW but &lt;= 350 kW</t>
  </si>
  <si>
    <t>7A / 11/ 25 / 29</t>
  </si>
  <si>
    <t>Demand &gt; 350 kW</t>
  </si>
  <si>
    <t>12 / 26 / 26P</t>
  </si>
  <si>
    <t>Total Secondary Voltage</t>
  </si>
  <si>
    <t>General Service / Irrigation</t>
  </si>
  <si>
    <t>10 / 31 / 35</t>
  </si>
  <si>
    <t>Interruptible Total Electric Schools</t>
  </si>
  <si>
    <t>Total Primary Voltage</t>
  </si>
  <si>
    <t>Total High Voltage</t>
  </si>
  <si>
    <t>46 / 49</t>
  </si>
  <si>
    <t>Choice / Retail Wheeling</t>
  </si>
  <si>
    <t>449 / 459</t>
  </si>
  <si>
    <t>Lighting</t>
  </si>
  <si>
    <t>Total Jurisdictional Retail Sales</t>
  </si>
  <si>
    <t>Firm Resale</t>
  </si>
  <si>
    <t>Total Sales</t>
  </si>
  <si>
    <t>Average Increase Before Schedule 40, Transportation, Firm Resale</t>
  </si>
  <si>
    <t>Average Increase After Schedule 40, Transportation, Firm Resale</t>
  </si>
  <si>
    <t>Adjustment to Average Increase for Unequal Allocation of Increase</t>
  </si>
  <si>
    <t>Average Increase After Schedule 40, Firm Resale adjusted for Unequal Allocation of Increase</t>
  </si>
  <si>
    <t>MWh</t>
  </si>
  <si>
    <t>Percent of Total w/o Schedule 40, 449 &amp; Firm Resale</t>
  </si>
  <si>
    <t>Proposed
Revenue
($000)</t>
  </si>
  <si>
    <t>Proposed
Revenue
Increase
($000)</t>
  </si>
  <si>
    <t>Proposed
Increase
($)</t>
  </si>
  <si>
    <t>Revised</t>
  </si>
  <si>
    <t>Proforma
Revenue
($000)</t>
  </si>
  <si>
    <t>SCHEDULE 7 (ALTERNATE METHODOLOGY)</t>
  </si>
  <si>
    <t>Over 600 kWh</t>
  </si>
  <si>
    <t xml:space="preserve">Coincident Demand Charge per Registered kW </t>
  </si>
  <si>
    <t>Tariff
Rate
Schedule</t>
  </si>
  <si>
    <t>Base Effective Date</t>
  </si>
  <si>
    <t>Proforma Rates</t>
  </si>
  <si>
    <t>Prod/Trans
Primary Voltage
Demand Charge</t>
  </si>
  <si>
    <t>Prod/Trans
Secondary Voltage 
Demand Charge</t>
  </si>
  <si>
    <t>Distribution
Demand Charge</t>
  </si>
  <si>
    <t>Basic Charge ($ / Month) - One Phase</t>
  </si>
  <si>
    <t>Basic Charge ($ / Month) - Three Phase</t>
  </si>
  <si>
    <t>24 (08)</t>
  </si>
  <si>
    <t>General Service (Secondary Voltage, Demand 50 kW and less)</t>
  </si>
  <si>
    <t>Energy Charge ($ / kWh) - Oct to Mar - All kWh</t>
  </si>
  <si>
    <t>Energy Charge ($ / kWh) - Apr to Sep - All kWh</t>
  </si>
  <si>
    <t>25 (7A) (11)</t>
  </si>
  <si>
    <t>General Service (Secondary Voltage, Demand &gt; 50 kW and &lt;= 350 kW)</t>
  </si>
  <si>
    <t>Basic Charge ($ / Month)</t>
  </si>
  <si>
    <t>Energy Charge ($ / kWh) - Oct to Mar - First 20,000 kWh</t>
  </si>
  <si>
    <t>Energy Charge ($ / kWh) - Apr to Sep - First 20,000 kWh</t>
  </si>
  <si>
    <t>Energy Charge ($ / kWh) - All Over 20,000 kWh</t>
  </si>
  <si>
    <t>Demand Charge ($ / kW) - All - First 50 kW</t>
  </si>
  <si>
    <t>Demand Charge ($ / kW) - Oct to Mar - Over 50 kW</t>
  </si>
  <si>
    <t>Demand Charge ($ / kW) - Apr to Sep - Over 50 kW</t>
  </si>
  <si>
    <t>Reactive Power Charge ($ / kVarh)</t>
  </si>
  <si>
    <t>26 (12)</t>
  </si>
  <si>
    <t>General Service (Secondary Voltage, Demand &gt; 350 kW)</t>
  </si>
  <si>
    <t>Energy Charge ($ / kWh)  - all kWh</t>
  </si>
  <si>
    <t>Demand Charge ($ / kW) - Oct to Mar</t>
  </si>
  <si>
    <t>Demand Charge ($ / kW) - Apr to Sep</t>
  </si>
  <si>
    <t>Primary Voltage Adjustment</t>
  </si>
  <si>
    <t xml:space="preserve"> Basic Charge (in addition to Secondary Voltage Rate)</t>
  </si>
  <si>
    <t>Demand Charge (credit per kW to all Demand Rates)</t>
  </si>
  <si>
    <t>Energy &amp; Reactive Power Credit (% reduction to all base rates)</t>
  </si>
  <si>
    <t>Effective Basic Charge</t>
  </si>
  <si>
    <t>Effective Demand Charge - Winter</t>
  </si>
  <si>
    <t>Effective Demand Charge - Summer</t>
  </si>
  <si>
    <t>Effective Energy Charge</t>
  </si>
  <si>
    <t>Effective Reactive Power Charge</t>
  </si>
  <si>
    <t>Energy Charge ($ / kWh) - Oct to Mar - Over 20,000 kWh</t>
  </si>
  <si>
    <t>Energy Charge ($ / kWh) - Apr to Sep - Over 20,000 kWh</t>
  </si>
  <si>
    <t>Demand Charge ($ / kW)  - All - First 50 kW</t>
  </si>
  <si>
    <t>31 (10)</t>
  </si>
  <si>
    <t>General Service (Primary Voltage)</t>
  </si>
  <si>
    <t>Energy Charge ($ / kWh) - All kWh</t>
  </si>
  <si>
    <t>Seasonal Irrigation &amp; Drainage Service (Primary Voltage)</t>
  </si>
  <si>
    <t>Demand Charge ($ / kW) - Oct to Mar - All kW</t>
  </si>
  <si>
    <t>Demand Charge ($ / kW) - Apr to Sep - All kW</t>
  </si>
  <si>
    <t>Interruptible Service for All Electric Schools (Primary Voltage)</t>
  </si>
  <si>
    <t>Demand Charge ($ / kW)  - All kW</t>
  </si>
  <si>
    <t>Critical Demand Charge ($ / kW) - All kW (Sch 43 vs. Winter 31)</t>
  </si>
  <si>
    <t>Campus Rate For Large Loads</t>
  </si>
  <si>
    <t>Secondary Voltage - Medium Demand</t>
  </si>
  <si>
    <t>Secondary Voltage - Large Demand</t>
  </si>
  <si>
    <t>Prod/Trans Energy Charge ($ / kWh) - All kWh</t>
  </si>
  <si>
    <t>High Voltage</t>
  </si>
  <si>
    <t>Substation O&amp;M Rate</t>
  </si>
  <si>
    <t>Substation A&amp;G OH Rate</t>
  </si>
  <si>
    <t>Substation A&amp;G Rate</t>
  </si>
  <si>
    <t>Overhead Feeder O&amp;M Rate</t>
  </si>
  <si>
    <t>Underground Feeder O&amp;M Rate</t>
  </si>
  <si>
    <t>Substation Land Fixed Charge Rate (FCR)</t>
  </si>
  <si>
    <t>Interim Distribution Charge:</t>
  </si>
  <si>
    <t>Primary Voltage Consumption</t>
  </si>
  <si>
    <t>Secondary Voltage Consumption (&gt; 350 kW Peak Demand)</t>
  </si>
  <si>
    <t>Secondary Voltage Consumption (&lt;= 350 kW Peak Demand)</t>
  </si>
  <si>
    <t>Interruptible Service (High Voltage)</t>
  </si>
  <si>
    <t>Demand Charge ($ / kVa)</t>
  </si>
  <si>
    <t>Minimum Charge - Demand</t>
  </si>
  <si>
    <t>Minimum Charge - Energy</t>
  </si>
  <si>
    <t>General Service (High Voltage)</t>
  </si>
  <si>
    <t xml:space="preserve">Demand Charge ($ / kVa) </t>
  </si>
  <si>
    <t>448 / 458</t>
  </si>
  <si>
    <t>Power Supplier Choice &amp; Back Up Distribution Service</t>
  </si>
  <si>
    <t>Customer Charge ($ / Month)</t>
  </si>
  <si>
    <t>Distribution Charge ($ / kVa Month)</t>
  </si>
  <si>
    <t>Retail Wheeling Service &amp; Back Up Distribution Service</t>
  </si>
  <si>
    <t>Lamp Size</t>
  </si>
  <si>
    <t>Compact Fluorescent - Energy Only</t>
  </si>
  <si>
    <t>22 Watts</t>
  </si>
  <si>
    <t>Mercury Vapor Street Lighting</t>
  </si>
  <si>
    <t>100 Watts</t>
  </si>
  <si>
    <t>175 Watts</t>
  </si>
  <si>
    <t>400 Watts</t>
  </si>
  <si>
    <t>Mercury Vapor Lighting - Energy Only</t>
  </si>
  <si>
    <t>700 Watt</t>
  </si>
  <si>
    <t>Company Owned LED Facilities Charge</t>
  </si>
  <si>
    <t>Option A O&amp;M Rate</t>
  </si>
  <si>
    <t>Option B O&amp;M Rate</t>
  </si>
  <si>
    <t>Company Owned LED Lamp Charge</t>
  </si>
  <si>
    <t>30-35 Watts</t>
  </si>
  <si>
    <t>35.01-40 Watts</t>
  </si>
  <si>
    <t>40.01-45 Watts</t>
  </si>
  <si>
    <t>45.01-50 Watts</t>
  </si>
  <si>
    <t>50.01-55 Watts</t>
  </si>
  <si>
    <t>55.01-60 Watts</t>
  </si>
  <si>
    <t>60.01-65 Watts</t>
  </si>
  <si>
    <t>65.01-70 Watts</t>
  </si>
  <si>
    <t>70.01-75 Watts</t>
  </si>
  <si>
    <t>75.01-80 Watts</t>
  </si>
  <si>
    <t>80.01-85 Watts</t>
  </si>
  <si>
    <t>85.01-90 Watts</t>
  </si>
  <si>
    <t>90.01-95 Watts</t>
  </si>
  <si>
    <t>95.01-100 Watts</t>
  </si>
  <si>
    <t>100.01-105 Watts</t>
  </si>
  <si>
    <t>105.01-110 Watts</t>
  </si>
  <si>
    <t>110.1-115 Watts</t>
  </si>
  <si>
    <t>115.01-120 Watts</t>
  </si>
  <si>
    <t>120.01-125 Watts</t>
  </si>
  <si>
    <t>125.01-130 Watts</t>
  </si>
  <si>
    <t>130.01-135 Watts</t>
  </si>
  <si>
    <t>135.01-140 Watts</t>
  </si>
  <si>
    <t>140.01-145 Watts</t>
  </si>
  <si>
    <t>145.01-150 Watts</t>
  </si>
  <si>
    <t>150.01-155 Watts</t>
  </si>
  <si>
    <t>155.01-160 Watts</t>
  </si>
  <si>
    <t>160.01-165 Watts</t>
  </si>
  <si>
    <t>165.01-170 Watts</t>
  </si>
  <si>
    <t>170.01-175 Watts</t>
  </si>
  <si>
    <t>175.01-180 Watts</t>
  </si>
  <si>
    <t>180.01-185 Watts</t>
  </si>
  <si>
    <t>185.01-190 Watts</t>
  </si>
  <si>
    <t>190.01-195 Watts</t>
  </si>
  <si>
    <t>195.01-200 Watts</t>
  </si>
  <si>
    <t>200.01-205 Watts</t>
  </si>
  <si>
    <t>201.05-210 Watts</t>
  </si>
  <si>
    <t>210.01-215 Watts</t>
  </si>
  <si>
    <t>215.01-220 Watts</t>
  </si>
  <si>
    <t>220.01-225 Watts</t>
  </si>
  <si>
    <t>225.01-230 Watts</t>
  </si>
  <si>
    <t>230.01-235 Watts</t>
  </si>
  <si>
    <t>235.01-240 Watts</t>
  </si>
  <si>
    <t>240.01-245 Watts</t>
  </si>
  <si>
    <t>245.01-250 Watts</t>
  </si>
  <si>
    <t>250.01-255 Watts</t>
  </si>
  <si>
    <t>255.01-260 Watts</t>
  </si>
  <si>
    <t>260.01-265 Watts</t>
  </si>
  <si>
    <t>265.01-270 Watts</t>
  </si>
  <si>
    <t>270.01-275 Watts</t>
  </si>
  <si>
    <t>275.01-280 Watts</t>
  </si>
  <si>
    <t>280.01-285 Watts</t>
  </si>
  <si>
    <t>285.01-290 Watts</t>
  </si>
  <si>
    <t>290.01-295 Watts</t>
  </si>
  <si>
    <t>295.01-300 Watts</t>
  </si>
  <si>
    <t>Custom Sodium Vapor Lighting</t>
  </si>
  <si>
    <t>50 Watts</t>
  </si>
  <si>
    <t>70 Watts</t>
  </si>
  <si>
    <t>150 Watts</t>
  </si>
  <si>
    <t>200 Watts</t>
  </si>
  <si>
    <t>250 Watts</t>
  </si>
  <si>
    <t>310 Watts</t>
  </si>
  <si>
    <t>Custom Metal Halide Lighting</t>
  </si>
  <si>
    <t>1000 Watts</t>
  </si>
  <si>
    <t>Sodium Vapor Lighting - Company Owned</t>
  </si>
  <si>
    <t>Metal Halide Lighting - Company Owned</t>
  </si>
  <si>
    <t>LED Lighting - Company Owned</t>
  </si>
  <si>
    <t>Sodium Vapor Lighting - Customer Owned</t>
  </si>
  <si>
    <t>Metal Halide Lighting - Customer Owned</t>
  </si>
  <si>
    <t>LED Lighting - Customer Owned</t>
  </si>
  <si>
    <t>Sodium Vapor Lighting - Energy Only</t>
  </si>
  <si>
    <t>LED Lighting - Energy Only</t>
  </si>
  <si>
    <t>55 (56)</t>
  </si>
  <si>
    <t>Sodium Vapor Area Lighting</t>
  </si>
  <si>
    <t>Metal Halide Area Lighting</t>
  </si>
  <si>
    <t>LED Lighting - Area Lighting</t>
  </si>
  <si>
    <t>Area Lighing</t>
  </si>
  <si>
    <t>Pole Charge (Pre 11/74)</t>
  </si>
  <si>
    <t>Pole Charge (Post 10-28-99)</t>
  </si>
  <si>
    <t>Continuous Lighting</t>
  </si>
  <si>
    <t>58 (59)</t>
  </si>
  <si>
    <t>Sodium Vapor Flood Lighting - Directional</t>
  </si>
  <si>
    <t>Metal Halide Flood Lighting - Directional</t>
  </si>
  <si>
    <t>Sodium Vapor Flood Lighting - Horizontal</t>
  </si>
  <si>
    <t>Metal Halide Flood Lighting - Horizontal</t>
  </si>
  <si>
    <t>LED Flood Lighting</t>
  </si>
  <si>
    <t>305.01-310 Watts</t>
  </si>
  <si>
    <t>310.01-315 Watts</t>
  </si>
  <si>
    <t>315.01-320 Watts</t>
  </si>
  <si>
    <t>320.01-325 Watts</t>
  </si>
  <si>
    <t>500.01-505 Watts</t>
  </si>
  <si>
    <t>505.01-510 Watts</t>
  </si>
  <si>
    <t>510.01-515 Watts</t>
  </si>
  <si>
    <t>515.01-520 Watts</t>
  </si>
  <si>
    <t>520.01-525 Watts</t>
  </si>
  <si>
    <t>525.01-530 Watts</t>
  </si>
  <si>
    <t>840.01-845 Watts</t>
  </si>
  <si>
    <t>845.01-850 Watts</t>
  </si>
  <si>
    <t>850.01-855 Watts</t>
  </si>
  <si>
    <t>855.01-860 Watts</t>
  </si>
  <si>
    <t>860.01-865 Watts</t>
  </si>
  <si>
    <t>865.01-870 Watts</t>
  </si>
  <si>
    <t>870.01-875 Watts</t>
  </si>
  <si>
    <t>875.01-880 Watts</t>
  </si>
  <si>
    <t>Area Lighting</t>
  </si>
  <si>
    <t>Energy Charge ($ / kWh) - First 600 kWh (Alt)</t>
  </si>
  <si>
    <t>Energy Charge ($ / kWh) - Over 600 kWh (Alt)</t>
  </si>
  <si>
    <t>Critical Demand</t>
  </si>
  <si>
    <t>Sch 43 vs Sch 31 Winter Demand</t>
  </si>
  <si>
    <t>Twelve Months ended September 2016</t>
  </si>
  <si>
    <t>12 MONTHS ENDED SEPTEMBER 2016</t>
  </si>
  <si>
    <t>205.01-210 Watts</t>
  </si>
  <si>
    <t>Proposed
Rates
Effective
December 2017</t>
  </si>
  <si>
    <t>Company Owned LED Flood Lighting 195.01-200 Watts</t>
  </si>
  <si>
    <t>Company Owned LED Flood Lighting 200.01-205 Watts</t>
  </si>
  <si>
    <t>Company Owned LED Flood Lighting 205.01-210 Watts</t>
  </si>
  <si>
    <t>Company Owned LED Flood Lighting 210.01-215 Watts</t>
  </si>
  <si>
    <t>Company Owned LED Flood Lighting 215.01-220 Watts</t>
  </si>
  <si>
    <t>Company Owned LED Flood Lighting 245.01-250 Watts</t>
  </si>
  <si>
    <t>Company Owned LED Flood Lighting 250.01-255 Watts</t>
  </si>
  <si>
    <t>Company Owned LED Flood Lighting 255.01-260 Watts</t>
  </si>
  <si>
    <t>Company Owned LED Flood Lighting 260.01-265 Watts</t>
  </si>
  <si>
    <t>Company Owned LED Flood Lighting 265.01-270 Watts</t>
  </si>
  <si>
    <t>Check</t>
  </si>
  <si>
    <t>Note:  Distribution Charge FCR at 7.74% ROR</t>
  </si>
  <si>
    <t>Customer Non Coincident Distribution Charge - (Billed Charge to be Adjusted for Coincident Factor on Customer Bill)</t>
  </si>
  <si>
    <t>Prod/Trans Non Coincident Demand Charge ($ / kW)  - All kW (Billed Charge to be Adjusted for Coincident Factor on Customer Bill)</t>
  </si>
  <si>
    <t>Total Non-Coincident 
Distribution Charge</t>
  </si>
  <si>
    <t>Non-Coincident Transformer
Charge</t>
  </si>
  <si>
    <t>Non-Coincident Feeder
Charge</t>
  </si>
  <si>
    <t>Non-Coincident Substation
Charge</t>
  </si>
  <si>
    <t xml:space="preserve">SCHEDULE 7 </t>
  </si>
  <si>
    <t>Retain Block 1/ Block 2 Relationship</t>
  </si>
  <si>
    <t>Same as Last Block</t>
  </si>
  <si>
    <t>Average Lighting Increase</t>
  </si>
  <si>
    <t>Company Owned LED Flood Lighting 835.01-840 Watts</t>
  </si>
  <si>
    <t>Summary of Proposed Rate Design</t>
  </si>
  <si>
    <t>Rate Schedule</t>
  </si>
  <si>
    <t>Tariff</t>
  </si>
  <si>
    <t>Lamp Charge</t>
  </si>
  <si>
    <t>Class average increase</t>
  </si>
  <si>
    <t>na</t>
  </si>
  <si>
    <t>Remaining class average increase,
1st Block adjusted for residual</t>
  </si>
  <si>
    <t>Sec Volt &lt;= 50 kW Demand</t>
  </si>
  <si>
    <t>Class average increase,
Winter Block adjusted for residual</t>
  </si>
  <si>
    <t xml:space="preserve">Sec Volt 50 &gt; kW Demand &lt;=350 </t>
  </si>
  <si>
    <t>Class Average Increase</t>
  </si>
  <si>
    <t>Class average increase,
adjusted for residual</t>
  </si>
  <si>
    <t>Sec Volt &gt; 350 kW Demand</t>
  </si>
  <si>
    <t>Sch 31, adjusted for losses</t>
  </si>
  <si>
    <t>Sec Volt, Irrigation</t>
  </si>
  <si>
    <t>Pri Volt - Gen Svc</t>
  </si>
  <si>
    <t>Class average increase, 
Adjusted for Residual</t>
  </si>
  <si>
    <t>Pri Volt - Irrigation</t>
  </si>
  <si>
    <t>Same as Schedule 31</t>
  </si>
  <si>
    <t>Residual</t>
  </si>
  <si>
    <t>Pri Volt - Interruptible Schools</t>
  </si>
  <si>
    <t>Sch 25, 26 or 31</t>
  </si>
  <si>
    <t>Sch 49, Adjusted for Power Factor and Line Losses</t>
  </si>
  <si>
    <t>Sch 26 or 31</t>
  </si>
  <si>
    <t>Sch 49, Adjust for Line Losses</t>
  </si>
  <si>
    <t>High Volt - Interruptible</t>
  </si>
  <si>
    <t>Same as Schedule 49</t>
  </si>
  <si>
    <t>High Volt - Gen Service</t>
  </si>
  <si>
    <t>448/449</t>
  </si>
  <si>
    <t>Class Average Increase, All Blocks</t>
  </si>
  <si>
    <t>See Testimony</t>
  </si>
  <si>
    <t>Company Owned LED Lighting - Area Lighting 120.01-150 Watts</t>
  </si>
  <si>
    <t>Company Owned LED Lighting - Area Lighting 100.01-120 Watts</t>
  </si>
  <si>
    <t>Company Owned LED Lighting - Area Lighting 150.01-180 Watts</t>
  </si>
  <si>
    <t>Company Owned LED Lighting - Area Lighting 180.01-210 Watts</t>
  </si>
  <si>
    <t>Company Owned LED Lighting - Area Lighting 210.01-240 Watts</t>
  </si>
  <si>
    <t>Company Owned LED Lighting - Area Lighting 240.01-270 Watts</t>
  </si>
  <si>
    <t>Company Owned LED Lighting - Area Lighting 270.01-300 Watts</t>
  </si>
  <si>
    <t>Proposed Billed Revenue</t>
  </si>
  <si>
    <t>n/a</t>
  </si>
  <si>
    <t>100.01-120 Watts</t>
  </si>
  <si>
    <t>120.01-150 Watts</t>
  </si>
  <si>
    <t>150.01-180 Watts</t>
  </si>
  <si>
    <t>180.01-210 Watts</t>
  </si>
  <si>
    <t>210.01-240 Watts</t>
  </si>
  <si>
    <t>240.01-270 Watts</t>
  </si>
  <si>
    <t>270.01-300 Watts</t>
  </si>
  <si>
    <t>Difference (Set to zero in goal seek for rate spread)</t>
  </si>
  <si>
    <t>Retain current differential between first two blocks</t>
  </si>
  <si>
    <t>Adjust for residual</t>
  </si>
  <si>
    <t>$ / watt</t>
  </si>
  <si>
    <t>30-50 Watts</t>
  </si>
  <si>
    <t>90.01-100 Watts</t>
  </si>
  <si>
    <t>130.01-150 Watts</t>
  </si>
  <si>
    <t>160.01-180 Watts</t>
  </si>
  <si>
    <t>180.01-190 Watts</t>
  </si>
  <si>
    <t>220.01-240 Watts</t>
  </si>
  <si>
    <t>300.01-305 Watts</t>
  </si>
  <si>
    <t>325.01-400 Watts</t>
  </si>
  <si>
    <t>400.01-500 Watts</t>
  </si>
  <si>
    <t>530.01-600 Watts</t>
  </si>
  <si>
    <t>600.01-700 Watts</t>
  </si>
  <si>
    <t>700.01-800 Watts</t>
  </si>
  <si>
    <t>830.01-835 Watts</t>
  </si>
  <si>
    <t>800.01-830 Watts</t>
  </si>
  <si>
    <t>835.01-840 Watts</t>
  </si>
  <si>
    <t>880.01-900 Watts</t>
  </si>
  <si>
    <t>Company Owned LED Flood Lighting 30.01-50 Watts</t>
  </si>
  <si>
    <t>Company Owned LED Flood Lighting 85.01-90 Watts</t>
  </si>
  <si>
    <t>Company Owned LED Flood Lighting 90.01-100 Watts</t>
  </si>
  <si>
    <t>Company Owned LED Flood Lighting 130.01-150 Watts</t>
  </si>
  <si>
    <t>Company Owned LED Flood Lighting 150.01-155 Watts</t>
  </si>
  <si>
    <t>Company Owned LED Flood Lighting 160.01-180 Watts</t>
  </si>
  <si>
    <t>Company Owned LED Flood Lighting 155.01-160 Watts</t>
  </si>
  <si>
    <t>Company Owned LED Flood Lighting 180.01-190 Watts</t>
  </si>
  <si>
    <t>Company Owned LED Flood Lighting 190.01-195 Watts</t>
  </si>
  <si>
    <t>Company Owned LED Flood Lighting 220.01-240 Watts</t>
  </si>
  <si>
    <t>Company Owned LED Flood Lighting 240.01-245 Watts</t>
  </si>
  <si>
    <t>Company Owned LED Flood Lighting 270.01-300 Watts</t>
  </si>
  <si>
    <t>Company Owned LED Flood Lighting 325.01-400 Watts</t>
  </si>
  <si>
    <t>Company Owned LED Flood Lighting 400.01-500 Watts</t>
  </si>
  <si>
    <t>Company Owned LED Flood Lighting 530.01-600 Watts</t>
  </si>
  <si>
    <t>Company Owned LED Flood Lighting 600.01-700 Watts</t>
  </si>
  <si>
    <t>Company Owned LED Flood Lighting 700.01-800 Watts</t>
  </si>
  <si>
    <t>Company Owned LED Flood Lighting 800.01-830 Watts</t>
  </si>
  <si>
    <t>Company Owned LED Flood Lighting 830.01-835 Watts</t>
  </si>
  <si>
    <t>Company Owned LED Flood Lighting 880.01-900 Watts</t>
  </si>
  <si>
    <t xml:space="preserve">Proposed </t>
  </si>
  <si>
    <t>Proposed Unbilled</t>
  </si>
  <si>
    <t>Delivered Proposed</t>
  </si>
  <si>
    <t>Lighting
COS WP</t>
  </si>
  <si>
    <t>Non-Lighting Tariffed Rate Components</t>
  </si>
  <si>
    <t>Lighting Tariffed Rate Components</t>
  </si>
  <si>
    <t>(a)</t>
  </si>
  <si>
    <t>(b)</t>
  </si>
  <si>
    <t>(c)</t>
  </si>
  <si>
    <t>(d)</t>
  </si>
  <si>
    <t>(e)</t>
  </si>
  <si>
    <t>(f)</t>
  </si>
  <si>
    <t>(g)</t>
  </si>
  <si>
    <t>(f)-(e)</t>
  </si>
  <si>
    <t>(h)</t>
  </si>
  <si>
    <t>(g)/(e)</t>
  </si>
  <si>
    <t>(i)</t>
  </si>
  <si>
    <t>(f/d)</t>
  </si>
  <si>
    <t>(j)</t>
  </si>
  <si>
    <t>(k)</t>
  </si>
  <si>
    <t>(j)-(g)</t>
  </si>
  <si>
    <t>Rate</t>
  </si>
  <si>
    <t>Spread</t>
  </si>
  <si>
    <t>b</t>
  </si>
  <si>
    <t>c</t>
  </si>
  <si>
    <t>d</t>
  </si>
  <si>
    <t>e</t>
  </si>
  <si>
    <t>f</t>
  </si>
  <si>
    <t>g</t>
  </si>
  <si>
    <t>h</t>
  </si>
  <si>
    <t>a</t>
  </si>
  <si>
    <t>i</t>
  </si>
  <si>
    <t>j</t>
  </si>
  <si>
    <t>k</t>
  </si>
  <si>
    <t>l</t>
  </si>
  <si>
    <t>m</t>
  </si>
  <si>
    <t>n</t>
  </si>
  <si>
    <t>o</t>
  </si>
  <si>
    <t>p</t>
  </si>
  <si>
    <t>kW - Cust 2</t>
  </si>
  <si>
    <t xml:space="preserve">kW - Cust 1 </t>
  </si>
  <si>
    <t>kW - Cust 3</t>
  </si>
  <si>
    <t xml:space="preserve">kW - Cust 4 </t>
  </si>
  <si>
    <t xml:space="preserve">kW - Cust 5 </t>
  </si>
  <si>
    <t xml:space="preserve">kW - Cust 6 </t>
  </si>
  <si>
    <t xml:space="preserve">kW - Cust 7 </t>
  </si>
  <si>
    <t xml:space="preserve">kW - Cust 9 </t>
  </si>
  <si>
    <t xml:space="preserve">kW - Cust 8 </t>
  </si>
  <si>
    <t xml:space="preserve">kW - Cust 10 </t>
  </si>
  <si>
    <t xml:space="preserve">kW - Cust 11 </t>
  </si>
  <si>
    <t xml:space="preserve">kW - Cust 12 </t>
  </si>
  <si>
    <t xml:space="preserve">kW - Cust 13 </t>
  </si>
  <si>
    <t xml:space="preserve">kW - Cust 14 </t>
  </si>
  <si>
    <t xml:space="preserve">Customer 1 </t>
  </si>
  <si>
    <t xml:space="preserve">Customer 2 </t>
  </si>
  <si>
    <t>Customer 3</t>
  </si>
  <si>
    <t xml:space="preserve">Customer 4 </t>
  </si>
  <si>
    <t xml:space="preserve">Customer 5 </t>
  </si>
  <si>
    <t xml:space="preserve">Customer 6 </t>
  </si>
  <si>
    <t xml:space="preserve">Customer 7 </t>
  </si>
  <si>
    <t>Customer 8</t>
  </si>
  <si>
    <t xml:space="preserve">Customer 9 </t>
  </si>
  <si>
    <t xml:space="preserve">Customer 10 </t>
  </si>
  <si>
    <t xml:space="preserve">Customer 11 </t>
  </si>
  <si>
    <t xml:space="preserve">Customer 12 </t>
  </si>
  <si>
    <t xml:space="preserve">Customer 13 </t>
  </si>
  <si>
    <t xml:space="preserve">Customer 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</si>
</sst>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0.000_)"/>
    <numFmt numFmtId="166" formatCode="0.0%"/>
    <numFmt numFmtId="167" formatCode="_(&quot;$&quot;* #,##0_);_(&quot;$&quot;* \(#,##0\);_(&quot;$&quot;* &quot;-&quot;??_);_(@_)"/>
    <numFmt numFmtId="168" formatCode="0.00000000000000%"/>
    <numFmt numFmtId="169" formatCode="_(* #,##0_);_(* \(#,##0\);_(* &quot;-&quot;??_);_(@_)"/>
    <numFmt numFmtId="170" formatCode="&quot;$&quot;#,##0.000000_);\(&quot;$&quot;#,##0.000000\)"/>
    <numFmt numFmtId="171" formatCode="0.000"/>
    <numFmt numFmtId="172" formatCode="0.000000_)"/>
    <numFmt numFmtId="173" formatCode="0.0000%"/>
    <numFmt numFmtId="174" formatCode="0.00_)"/>
    <numFmt numFmtId="175" formatCode="0.000%"/>
    <numFmt numFmtId="176" formatCode="0.000000000_)"/>
    <numFmt numFmtId="177" formatCode="_(&quot;$&quot;* #,##0.000000_);_(&quot;$&quot;* \(#,##0.000000\);_(&quot;$&quot;* &quot;-&quot;??_);_(@_)"/>
    <numFmt numFmtId="178" formatCode="_(&quot;$&quot;* #,##0.00000_);_(&quot;$&quot;* \(#,##0.00000\);_(&quot;$&quot;* &quot;-&quot;??_);_(@_)"/>
    <numFmt numFmtId="179" formatCode="########\-###\-###"/>
    <numFmt numFmtId="180" formatCode="General_)"/>
    <numFmt numFmtId="181" formatCode="_(&quot;$&quot;* #,##0.000_);_(&quot;$&quot;* \(#,##0.000\);_(&quot;$&quot;* &quot;-&quot;??_);_(@_)"/>
    <numFmt numFmtId="182" formatCode="&quot;$&quot;#,##0"/>
    <numFmt numFmtId="183" formatCode="0.000000"/>
    <numFmt numFmtId="184" formatCode="_(* #,##0.00000_);_(* \(#,##0.00000\);_(* &quot;-&quot;??_);_(@_)"/>
    <numFmt numFmtId="185" formatCode="0.0000000"/>
  </numFmts>
  <fonts count="22">
    <font>
      <sz val="12"/>
      <name val="Times New Roman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indexed="12"/>
      <name val="Times New Roman"/>
      <family val="1"/>
    </font>
    <font>
      <sz val="12"/>
      <name val="Arial"/>
      <family val="2"/>
    </font>
    <font>
      <sz val="10"/>
      <name val="Times New Roman"/>
      <family val="1"/>
    </font>
    <font>
      <u/>
      <sz val="12"/>
      <name val="Times New Roman"/>
      <family val="1"/>
    </font>
    <font>
      <sz val="7"/>
      <name val="Arial"/>
      <family val="2"/>
    </font>
    <font>
      <sz val="12"/>
      <name val="Arial MT"/>
    </font>
    <font>
      <sz val="10"/>
      <name val="SWISS"/>
    </font>
    <font>
      <sz val="10"/>
      <name val="LinePrinter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Times New Roman"/>
      <family val="1"/>
    </font>
    <font>
      <b/>
      <u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6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2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1" fillId="0" borderId="0" applyFont="0" applyFill="0" applyBorder="0" applyAlignment="0" applyProtection="0">
      <alignment horizontal="left"/>
    </xf>
    <xf numFmtId="179" fontId="4" fillId="0" borderId="0"/>
    <xf numFmtId="169" fontId="7" fillId="0" borderId="0" applyFont="0" applyAlignment="0" applyProtection="0"/>
    <xf numFmtId="0" fontId="4" fillId="0" borderId="0">
      <alignment wrapText="1"/>
    </xf>
    <xf numFmtId="0" fontId="8" fillId="0" borderId="0"/>
    <xf numFmtId="0" fontId="4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" fillId="0" borderId="0">
      <alignment wrapText="1"/>
    </xf>
    <xf numFmtId="41" fontId="1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>
      <alignment wrapText="1"/>
    </xf>
    <xf numFmtId="0" fontId="4" fillId="0" borderId="0"/>
    <xf numFmtId="0" fontId="4" fillId="0" borderId="0"/>
    <xf numFmtId="0" fontId="4" fillId="0" borderId="0">
      <alignment wrapText="1"/>
    </xf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80" fontId="14" fillId="0" borderId="0">
      <alignment horizontal="left"/>
    </xf>
    <xf numFmtId="0" fontId="18" fillId="0" borderId="0"/>
    <xf numFmtId="183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3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0" fontId="4" fillId="0" borderId="0"/>
    <xf numFmtId="183" fontId="4" fillId="0" borderId="0">
      <alignment horizontal="left" wrapText="1"/>
    </xf>
    <xf numFmtId="183" fontId="4" fillId="0" borderId="0">
      <alignment horizontal="left" wrapText="1"/>
    </xf>
    <xf numFmtId="185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184" fontId="4" fillId="0" borderId="0">
      <alignment horizontal="left" wrapText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15">
    <xf numFmtId="0" fontId="0" fillId="0" borderId="0" xfId="0"/>
    <xf numFmtId="0" fontId="3" fillId="0" borderId="0" xfId="4" applyFont="1" applyFill="1"/>
    <xf numFmtId="0" fontId="2" fillId="0" borderId="0" xfId="4" applyFont="1" applyFill="1"/>
    <xf numFmtId="0" fontId="2" fillId="0" borderId="0" xfId="4" applyFont="1" applyFill="1" applyAlignment="1">
      <alignment horizontal="center"/>
    </xf>
    <xf numFmtId="0" fontId="2" fillId="0" borderId="0" xfId="4" applyFont="1" applyFill="1" applyBorder="1" applyAlignment="1">
      <alignment horizontal="left"/>
    </xf>
    <xf numFmtId="0" fontId="2" fillId="0" borderId="0" xfId="4" applyFont="1" applyFill="1" applyBorder="1" applyAlignment="1">
      <alignment horizontal="center"/>
    </xf>
    <xf numFmtId="0" fontId="2" fillId="0" borderId="0" xfId="4" quotePrefix="1" applyFont="1" applyFill="1" applyBorder="1" applyAlignment="1">
      <alignment horizontal="center"/>
    </xf>
    <xf numFmtId="0" fontId="2" fillId="0" borderId="0" xfId="4" applyFont="1" applyFill="1" applyBorder="1" applyAlignment="1"/>
    <xf numFmtId="0" fontId="2" fillId="0" borderId="0" xfId="4" quotePrefix="1" applyFont="1" applyFill="1" applyAlignment="1">
      <alignment horizontal="center"/>
    </xf>
    <xf numFmtId="6" fontId="2" fillId="0" borderId="7" xfId="4" quotePrefix="1" applyNumberFormat="1" applyFont="1" applyFill="1" applyBorder="1" applyAlignment="1">
      <alignment horizontal="center"/>
    </xf>
    <xf numFmtId="6" fontId="2" fillId="0" borderId="0" xfId="4" quotePrefix="1" applyNumberFormat="1" applyFont="1" applyFill="1" applyBorder="1" applyAlignment="1">
      <alignment horizontal="center"/>
    </xf>
    <xf numFmtId="0" fontId="2" fillId="0" borderId="5" xfId="4" quotePrefix="1" applyFont="1" applyFill="1" applyBorder="1" applyAlignment="1">
      <alignment horizontal="center"/>
    </xf>
    <xf numFmtId="0" fontId="2" fillId="0" borderId="0" xfId="4" quotePrefix="1" applyFont="1" applyFill="1"/>
    <xf numFmtId="37" fontId="2" fillId="0" borderId="0" xfId="4" applyNumberFormat="1" applyFont="1" applyFill="1" applyProtection="1"/>
    <xf numFmtId="164" fontId="2" fillId="0" borderId="0" xfId="4" applyNumberFormat="1" applyFont="1" applyFill="1" applyProtection="1"/>
    <xf numFmtId="0" fontId="2" fillId="0" borderId="0" xfId="4" applyFont="1" applyFill="1" applyBorder="1"/>
    <xf numFmtId="0" fontId="5" fillId="0" borderId="0" xfId="6" applyFont="1" applyFill="1" applyAlignment="1">
      <alignment horizontal="center"/>
    </xf>
    <xf numFmtId="166" fontId="2" fillId="0" borderId="0" xfId="3" applyNumberFormat="1" applyFont="1" applyFill="1"/>
    <xf numFmtId="0" fontId="5" fillId="0" borderId="0" xfId="6" applyFont="1" applyFill="1"/>
    <xf numFmtId="5" fontId="2" fillId="0" borderId="0" xfId="4" applyNumberFormat="1" applyFont="1" applyFill="1" applyBorder="1"/>
    <xf numFmtId="43" fontId="2" fillId="0" borderId="0" xfId="1" applyFont="1" applyFill="1"/>
    <xf numFmtId="10" fontId="2" fillId="0" borderId="0" xfId="3" applyNumberFormat="1" applyFont="1" applyFill="1"/>
    <xf numFmtId="166" fontId="2" fillId="0" borderId="0" xfId="3" applyNumberFormat="1" applyFont="1" applyFill="1" applyBorder="1"/>
    <xf numFmtId="0" fontId="6" fillId="0" borderId="0" xfId="0" quotePrefix="1" applyFont="1" applyFill="1" applyAlignment="1" applyProtection="1"/>
    <xf numFmtId="0" fontId="6" fillId="0" borderId="0" xfId="0" quotePrefix="1" applyFont="1" applyFill="1" applyAlignment="1" applyProtection="1">
      <alignment horizontal="centerContinuous"/>
    </xf>
    <xf numFmtId="37" fontId="6" fillId="0" borderId="0" xfId="0" applyNumberFormat="1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2" fillId="0" borderId="0" xfId="0" applyFont="1" applyFill="1"/>
    <xf numFmtId="3" fontId="2" fillId="0" borderId="0" xfId="0" applyNumberFormat="1" applyFont="1" applyFill="1" applyBorder="1" applyAlignment="1">
      <alignment horizontal="center"/>
    </xf>
    <xf numFmtId="167" fontId="2" fillId="0" borderId="0" xfId="2" applyNumberFormat="1" applyFont="1" applyFill="1"/>
    <xf numFmtId="9" fontId="2" fillId="0" borderId="0" xfId="3" applyNumberFormat="1" applyFont="1" applyFill="1"/>
    <xf numFmtId="10" fontId="2" fillId="0" borderId="0" xfId="3" applyNumberFormat="1" applyFont="1" applyFill="1" applyBorder="1"/>
    <xf numFmtId="169" fontId="2" fillId="0" borderId="0" xfId="1" applyNumberFormat="1" applyFont="1" applyFill="1" applyBorder="1" applyProtection="1"/>
    <xf numFmtId="166" fontId="2" fillId="0" borderId="6" xfId="3" applyNumberFormat="1" applyFont="1" applyFill="1" applyBorder="1"/>
    <xf numFmtId="7" fontId="2" fillId="0" borderId="0" xfId="0" applyNumberFormat="1" applyFont="1" applyFill="1" applyProtection="1"/>
    <xf numFmtId="5" fontId="2" fillId="0" borderId="0" xfId="7" applyNumberFormat="1" applyFont="1" applyFill="1" applyProtection="1"/>
    <xf numFmtId="173" fontId="2" fillId="0" borderId="6" xfId="3" applyNumberFormat="1" applyFont="1" applyFill="1" applyBorder="1"/>
    <xf numFmtId="178" fontId="2" fillId="0" borderId="0" xfId="2" applyNumberFormat="1" applyFont="1" applyFill="1"/>
    <xf numFmtId="37" fontId="2" fillId="0" borderId="10" xfId="4" applyNumberFormat="1" applyFont="1" applyFill="1" applyBorder="1" applyProtection="1"/>
    <xf numFmtId="164" fontId="2" fillId="0" borderId="10" xfId="4" applyNumberFormat="1" applyFont="1" applyFill="1" applyBorder="1" applyProtection="1"/>
    <xf numFmtId="37" fontId="10" fillId="0" borderId="0" xfId="0" quotePrefix="1" applyNumberFormat="1" applyFont="1" applyFill="1" applyAlignment="1" applyProtection="1">
      <alignment horizontal="center"/>
    </xf>
    <xf numFmtId="0" fontId="10" fillId="0" borderId="0" xfId="0" applyFont="1" applyFill="1"/>
    <xf numFmtId="0" fontId="10" fillId="0" borderId="0" xfId="0" quotePrefix="1" applyFont="1" applyFill="1" applyAlignment="1">
      <alignment horizontal="left"/>
    </xf>
    <xf numFmtId="0" fontId="2" fillId="0" borderId="0" xfId="7" applyFont="1" applyFill="1" applyAlignment="1">
      <alignment horizontal="left" indent="1"/>
    </xf>
    <xf numFmtId="169" fontId="2" fillId="0" borderId="0" xfId="1" applyNumberFormat="1" applyFont="1" applyFill="1"/>
    <xf numFmtId="167" fontId="2" fillId="0" borderId="0" xfId="2" applyNumberFormat="1" applyFont="1" applyFill="1" applyAlignment="1">
      <alignment horizontal="right"/>
    </xf>
    <xf numFmtId="0" fontId="9" fillId="0" borderId="0" xfId="0" quotePrefix="1" applyFont="1" applyFill="1" applyBorder="1" applyAlignment="1">
      <alignment horizontal="left"/>
    </xf>
    <xf numFmtId="0" fontId="16" fillId="0" borderId="0" xfId="0" applyFont="1" applyFill="1"/>
    <xf numFmtId="0" fontId="16" fillId="0" borderId="0" xfId="0" applyFont="1" applyFill="1" applyAlignment="1">
      <alignment horizontal="centerContinuous"/>
    </xf>
    <xf numFmtId="0" fontId="16" fillId="0" borderId="5" xfId="0" applyFont="1" applyFill="1" applyBorder="1" applyAlignment="1">
      <alignment horizontal="center" wrapText="1"/>
    </xf>
    <xf numFmtId="0" fontId="16" fillId="0" borderId="5" xfId="0" quotePrefix="1" applyFont="1" applyFill="1" applyBorder="1" applyAlignment="1">
      <alignment horizontal="center" wrapText="1"/>
    </xf>
    <xf numFmtId="0" fontId="16" fillId="0" borderId="0" xfId="0" applyFont="1" applyFill="1" applyAlignment="1">
      <alignment horizontal="center" vertical="top" wrapText="1"/>
    </xf>
    <xf numFmtId="0" fontId="16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center" vertical="top" wrapText="1"/>
    </xf>
    <xf numFmtId="0" fontId="16" fillId="0" borderId="0" xfId="0" quotePrefix="1" applyFont="1" applyFill="1" applyAlignment="1">
      <alignment horizontal="center" vertical="top" wrapText="1"/>
    </xf>
    <xf numFmtId="0" fontId="16" fillId="0" borderId="0" xfId="0" applyFont="1" applyFill="1" applyAlignment="1">
      <alignment horizontal="center" wrapText="1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169" fontId="16" fillId="0" borderId="10" xfId="1" applyNumberFormat="1" applyFont="1" applyFill="1" applyBorder="1"/>
    <xf numFmtId="167" fontId="16" fillId="0" borderId="10" xfId="2" applyNumberFormat="1" applyFont="1" applyFill="1" applyBorder="1"/>
    <xf numFmtId="10" fontId="16" fillId="0" borderId="0" xfId="1" applyNumberFormat="1" applyFont="1" applyFill="1" applyBorder="1"/>
    <xf numFmtId="9" fontId="16" fillId="0" borderId="0" xfId="3" applyFont="1" applyFill="1"/>
    <xf numFmtId="10" fontId="16" fillId="0" borderId="0" xfId="3" applyNumberFormat="1" applyFont="1" applyFill="1"/>
    <xf numFmtId="169" fontId="16" fillId="0" borderId="0" xfId="1" applyNumberFormat="1" applyFont="1" applyFill="1" applyBorder="1"/>
    <xf numFmtId="167" fontId="16" fillId="0" borderId="0" xfId="2" applyNumberFormat="1" applyFont="1" applyFill="1" applyBorder="1"/>
    <xf numFmtId="10" fontId="16" fillId="0" borderId="0" xfId="2" applyNumberFormat="1" applyFont="1" applyFill="1" applyBorder="1"/>
    <xf numFmtId="0" fontId="16" fillId="0" borderId="0" xfId="0" quotePrefix="1" applyFont="1" applyFill="1" applyAlignment="1">
      <alignment horizontal="left" indent="1"/>
    </xf>
    <xf numFmtId="0" fontId="16" fillId="0" borderId="0" xfId="0" quotePrefix="1" applyFont="1" applyFill="1" applyAlignment="1">
      <alignment horizontal="center"/>
    </xf>
    <xf numFmtId="3" fontId="16" fillId="0" borderId="0" xfId="2" applyNumberFormat="1" applyFont="1" applyFill="1" applyBorder="1"/>
    <xf numFmtId="0" fontId="16" fillId="0" borderId="0" xfId="0" quotePrefix="1" applyFont="1" applyFill="1" applyAlignment="1">
      <alignment horizontal="left"/>
    </xf>
    <xf numFmtId="3" fontId="16" fillId="0" borderId="10" xfId="1" applyNumberFormat="1" applyFont="1" applyFill="1" applyBorder="1"/>
    <xf numFmtId="3" fontId="16" fillId="0" borderId="0" xfId="1" applyNumberFormat="1" applyFont="1" applyFill="1" applyBorder="1"/>
    <xf numFmtId="0" fontId="16" fillId="0" borderId="0" xfId="0" applyFont="1" applyFill="1" applyAlignment="1">
      <alignment horizontal="left" indent="1"/>
    </xf>
    <xf numFmtId="3" fontId="16" fillId="0" borderId="0" xfId="1" applyNumberFormat="1" applyFont="1" applyFill="1"/>
    <xf numFmtId="167" fontId="16" fillId="0" borderId="0" xfId="2" applyNumberFormat="1" applyFont="1" applyFill="1"/>
    <xf numFmtId="10" fontId="16" fillId="0" borderId="0" xfId="2" applyNumberFormat="1" applyFont="1" applyFill="1"/>
    <xf numFmtId="3" fontId="16" fillId="0" borderId="10" xfId="2" applyNumberFormat="1" applyFont="1" applyFill="1" applyBorder="1"/>
    <xf numFmtId="0" fontId="16" fillId="0" borderId="0" xfId="0" applyFont="1" applyFill="1" applyBorder="1"/>
    <xf numFmtId="169" fontId="16" fillId="0" borderId="0" xfId="1" applyNumberFormat="1" applyFont="1" applyFill="1"/>
    <xf numFmtId="169" fontId="16" fillId="0" borderId="15" xfId="1" applyNumberFormat="1" applyFont="1" applyFill="1" applyBorder="1"/>
    <xf numFmtId="167" fontId="16" fillId="0" borderId="15" xfId="2" applyNumberFormat="1" applyFont="1" applyFill="1" applyBorder="1"/>
    <xf numFmtId="10" fontId="16" fillId="0" borderId="15" xfId="3" applyNumberFormat="1" applyFont="1" applyFill="1" applyBorder="1"/>
    <xf numFmtId="10" fontId="16" fillId="0" borderId="0" xfId="3" applyNumberFormat="1" applyFont="1" applyFill="1" applyBorder="1"/>
    <xf numFmtId="44" fontId="16" fillId="0" borderId="0" xfId="2" applyNumberFormat="1" applyFont="1" applyFill="1" applyBorder="1"/>
    <xf numFmtId="167" fontId="16" fillId="0" borderId="0" xfId="0" applyNumberFormat="1" applyFont="1" applyFill="1"/>
    <xf numFmtId="9" fontId="17" fillId="0" borderId="22" xfId="3" applyFont="1" applyFill="1" applyBorder="1"/>
    <xf numFmtId="0" fontId="16" fillId="0" borderId="22" xfId="0" applyFont="1" applyFill="1" applyBorder="1"/>
    <xf numFmtId="0" fontId="16" fillId="0" borderId="19" xfId="0" applyFont="1" applyFill="1" applyBorder="1"/>
    <xf numFmtId="0" fontId="16" fillId="0" borderId="23" xfId="0" applyFont="1" applyFill="1" applyBorder="1"/>
    <xf numFmtId="0" fontId="17" fillId="0" borderId="0" xfId="0" quotePrefix="1" applyFont="1" applyFill="1" applyAlignment="1">
      <alignment wrapText="1"/>
    </xf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Fill="1" applyAlignment="1"/>
    <xf numFmtId="0" fontId="6" fillId="0" borderId="0" xfId="0" quotePrefix="1" applyNumberFormat="1" applyFont="1" applyFill="1" applyAlignment="1"/>
    <xf numFmtId="0" fontId="6" fillId="0" borderId="0" xfId="0" applyFont="1" applyFill="1" applyAlignment="1" applyProtection="1">
      <alignment horizontal="centerContinuous"/>
    </xf>
    <xf numFmtId="37" fontId="6" fillId="0" borderId="0" xfId="0" applyNumberFormat="1" applyFont="1" applyFill="1" applyAlignment="1" applyProtection="1">
      <alignment horizontal="centerContinuous"/>
    </xf>
    <xf numFmtId="3" fontId="2" fillId="0" borderId="0" xfId="0" applyNumberFormat="1" applyFont="1" applyFill="1"/>
    <xf numFmtId="5" fontId="2" fillId="0" borderId="0" xfId="0" applyNumberFormat="1" applyFont="1" applyFill="1"/>
    <xf numFmtId="37" fontId="2" fillId="0" borderId="0" xfId="0" applyNumberFormat="1" applyFont="1" applyFill="1" applyProtection="1"/>
    <xf numFmtId="10" fontId="2" fillId="0" borderId="0" xfId="0" applyNumberFormat="1" applyFont="1" applyFill="1"/>
    <xf numFmtId="0" fontId="2" fillId="0" borderId="0" xfId="0" applyFont="1" applyFill="1" applyProtection="1"/>
    <xf numFmtId="5" fontId="2" fillId="0" borderId="0" xfId="0" applyNumberFormat="1" applyFont="1" applyFill="1" applyBorder="1" applyProtection="1"/>
    <xf numFmtId="9" fontId="2" fillId="0" borderId="0" xfId="0" applyNumberFormat="1" applyFont="1" applyFill="1"/>
    <xf numFmtId="37" fontId="2" fillId="0" borderId="0" xfId="0" applyNumberFormat="1" applyFont="1" applyFill="1"/>
    <xf numFmtId="37" fontId="2" fillId="0" borderId="5" xfId="0" applyNumberFormat="1" applyFont="1" applyFill="1" applyBorder="1" applyProtection="1"/>
    <xf numFmtId="37" fontId="2" fillId="0" borderId="13" xfId="0" applyNumberFormat="1" applyFont="1" applyFill="1" applyBorder="1" applyProtection="1"/>
    <xf numFmtId="169" fontId="2" fillId="0" borderId="0" xfId="0" applyNumberFormat="1" applyFont="1" applyFill="1" applyBorder="1" applyProtection="1"/>
    <xf numFmtId="5" fontId="2" fillId="0" borderId="13" xfId="0" applyNumberFormat="1" applyFont="1" applyFill="1" applyBorder="1" applyProtection="1"/>
    <xf numFmtId="0" fontId="2" fillId="0" borderId="1" xfId="0" applyFont="1" applyFill="1" applyBorder="1"/>
    <xf numFmtId="5" fontId="2" fillId="0" borderId="2" xfId="0" applyNumberFormat="1" applyFont="1" applyFill="1" applyBorder="1"/>
    <xf numFmtId="10" fontId="2" fillId="0" borderId="3" xfId="3" applyNumberFormat="1" applyFont="1" applyFill="1" applyBorder="1"/>
    <xf numFmtId="37" fontId="2" fillId="0" borderId="0" xfId="0" applyNumberFormat="1" applyFont="1" applyFill="1" applyBorder="1" applyProtection="1"/>
    <xf numFmtId="0" fontId="2" fillId="0" borderId="4" xfId="0" applyFont="1" applyFill="1" applyBorder="1"/>
    <xf numFmtId="5" fontId="2" fillId="0" borderId="5" xfId="0" applyNumberFormat="1" applyFont="1" applyFill="1" applyBorder="1"/>
    <xf numFmtId="5" fontId="2" fillId="0" borderId="0" xfId="0" applyNumberFormat="1" applyFont="1" applyFill="1" applyProtection="1"/>
    <xf numFmtId="37" fontId="2" fillId="0" borderId="10" xfId="0" applyNumberFormat="1" applyFont="1" applyFill="1" applyBorder="1" applyProtection="1"/>
    <xf numFmtId="0" fontId="15" fillId="0" borderId="0" xfId="0" quotePrefix="1" applyFont="1" applyFill="1" applyAlignment="1">
      <alignment horizontal="left"/>
    </xf>
    <xf numFmtId="7" fontId="2" fillId="0" borderId="0" xfId="8" applyNumberFormat="1" applyFont="1" applyFill="1" applyBorder="1"/>
    <xf numFmtId="5" fontId="2" fillId="0" borderId="10" xfId="0" applyNumberFormat="1" applyFont="1" applyFill="1" applyBorder="1" applyProtection="1"/>
    <xf numFmtId="0" fontId="2" fillId="0" borderId="1" xfId="0" quotePrefix="1" applyFont="1" applyFill="1" applyBorder="1" applyAlignment="1">
      <alignment horizontal="left"/>
    </xf>
    <xf numFmtId="176" fontId="2" fillId="0" borderId="0" xfId="0" applyNumberFormat="1" applyFont="1" applyFill="1" applyProtection="1"/>
    <xf numFmtId="0" fontId="2" fillId="0" borderId="0" xfId="0" applyFont="1" applyFill="1" applyAlignment="1" applyProtection="1">
      <alignment horizontal="left" indent="1"/>
    </xf>
    <xf numFmtId="9" fontId="9" fillId="0" borderId="0" xfId="0" applyNumberFormat="1" applyFont="1" applyFill="1" applyBorder="1"/>
    <xf numFmtId="177" fontId="9" fillId="0" borderId="0" xfId="2" applyNumberFormat="1" applyFont="1" applyFill="1" applyBorder="1"/>
    <xf numFmtId="0" fontId="5" fillId="0" borderId="18" xfId="0" quotePrefix="1" applyFont="1" applyFill="1" applyBorder="1" applyAlignment="1">
      <alignment horizontal="left"/>
    </xf>
    <xf numFmtId="44" fontId="5" fillId="0" borderId="0" xfId="0" applyNumberFormat="1" applyFont="1" applyFill="1" applyBorder="1"/>
    <xf numFmtId="0" fontId="5" fillId="0" borderId="19" xfId="0" applyFont="1" applyFill="1" applyBorder="1"/>
    <xf numFmtId="44" fontId="5" fillId="0" borderId="19" xfId="2" applyFont="1" applyFill="1" applyBorder="1"/>
    <xf numFmtId="177" fontId="5" fillId="0" borderId="19" xfId="2" applyNumberFormat="1" applyFont="1" applyFill="1" applyBorder="1"/>
    <xf numFmtId="0" fontId="5" fillId="0" borderId="20" xfId="0" quotePrefix="1" applyFont="1" applyFill="1" applyBorder="1" applyAlignment="1">
      <alignment horizontal="left"/>
    </xf>
    <xf numFmtId="178" fontId="5" fillId="0" borderId="21" xfId="2" applyNumberFormat="1" applyFont="1" applyFill="1" applyBorder="1"/>
    <xf numFmtId="10" fontId="16" fillId="0" borderId="17" xfId="0" applyNumberFormat="1" applyFont="1" applyFill="1" applyBorder="1"/>
    <xf numFmtId="10" fontId="16" fillId="0" borderId="19" xfId="3" applyNumberFormat="1" applyFont="1" applyFill="1" applyBorder="1"/>
    <xf numFmtId="10" fontId="17" fillId="0" borderId="21" xfId="3" applyNumberFormat="1" applyFont="1" applyFill="1" applyBorder="1"/>
    <xf numFmtId="0" fontId="9" fillId="0" borderId="0" xfId="40" applyFont="1" applyFill="1"/>
    <xf numFmtId="0" fontId="9" fillId="0" borderId="0" xfId="40" applyFont="1" applyFill="1" applyAlignment="1">
      <alignment horizontal="centerContinuous"/>
    </xf>
    <xf numFmtId="0" fontId="9" fillId="0" borderId="5" xfId="40" quotePrefix="1" applyFont="1" applyFill="1" applyBorder="1" applyAlignment="1">
      <alignment horizontal="center" wrapText="1"/>
    </xf>
    <xf numFmtId="0" fontId="9" fillId="0" borderId="5" xfId="40" applyFont="1" applyFill="1" applyBorder="1" applyAlignment="1">
      <alignment horizontal="center" wrapText="1"/>
    </xf>
    <xf numFmtId="0" fontId="9" fillId="0" borderId="0" xfId="40" applyFont="1" applyFill="1" applyAlignment="1">
      <alignment horizontal="center" wrapText="1"/>
    </xf>
    <xf numFmtId="0" fontId="9" fillId="0" borderId="24" xfId="40" quotePrefix="1" applyFont="1" applyFill="1" applyBorder="1" applyAlignment="1">
      <alignment horizontal="center" wrapText="1"/>
    </xf>
    <xf numFmtId="0" fontId="9" fillId="0" borderId="25" xfId="40" quotePrefix="1" applyFont="1" applyFill="1" applyBorder="1" applyAlignment="1">
      <alignment horizontal="center" wrapText="1"/>
    </xf>
    <xf numFmtId="0" fontId="9" fillId="0" borderId="26" xfId="40" quotePrefix="1" applyFont="1" applyFill="1" applyBorder="1" applyAlignment="1">
      <alignment horizontal="center" wrapText="1"/>
    </xf>
    <xf numFmtId="0" fontId="9" fillId="0" borderId="0" xfId="40" quotePrefix="1" applyFont="1" applyFill="1" applyAlignment="1">
      <alignment horizontal="left" indent="1"/>
    </xf>
    <xf numFmtId="44" fontId="9" fillId="0" borderId="0" xfId="40" applyNumberFormat="1" applyFont="1" applyFill="1"/>
    <xf numFmtId="14" fontId="9" fillId="0" borderId="0" xfId="40" quotePrefix="1" applyNumberFormat="1" applyFont="1" applyFill="1" applyAlignment="1">
      <alignment horizontal="left" indent="1"/>
    </xf>
    <xf numFmtId="44" fontId="9" fillId="0" borderId="0" xfId="2" applyFont="1" applyFill="1"/>
    <xf numFmtId="177" fontId="9" fillId="0" borderId="0" xfId="2" applyNumberFormat="1" applyFont="1" applyFill="1"/>
    <xf numFmtId="0" fontId="9" fillId="0" borderId="0" xfId="40" quotePrefix="1" applyFont="1" applyFill="1" applyAlignment="1">
      <alignment horizontal="left"/>
    </xf>
    <xf numFmtId="0" fontId="9" fillId="0" borderId="0" xfId="40" quotePrefix="1" applyFont="1" applyFill="1" applyAlignment="1">
      <alignment horizontal="center"/>
    </xf>
    <xf numFmtId="0" fontId="9" fillId="0" borderId="0" xfId="40" applyFont="1" applyFill="1" applyAlignment="1">
      <alignment horizontal="left" indent="2"/>
    </xf>
    <xf numFmtId="178" fontId="9" fillId="0" borderId="0" xfId="2" applyNumberFormat="1" applyFont="1" applyFill="1"/>
    <xf numFmtId="0" fontId="9" fillId="0" borderId="0" xfId="40" applyFont="1" applyFill="1" applyAlignment="1">
      <alignment horizontal="left" indent="1"/>
    </xf>
    <xf numFmtId="0" fontId="9" fillId="0" borderId="0" xfId="40" applyFont="1" applyFill="1" applyBorder="1"/>
    <xf numFmtId="0" fontId="9" fillId="0" borderId="0" xfId="40" applyFont="1" applyFill="1" applyBorder="1" applyAlignment="1">
      <alignment horizontal="center"/>
    </xf>
    <xf numFmtId="0" fontId="9" fillId="0" borderId="0" xfId="40" applyFont="1" applyFill="1" applyBorder="1" applyAlignment="1">
      <alignment horizontal="left"/>
    </xf>
    <xf numFmtId="0" fontId="9" fillId="0" borderId="0" xfId="40" quotePrefix="1" applyFont="1" applyFill="1" applyBorder="1" applyAlignment="1">
      <alignment horizontal="left"/>
    </xf>
    <xf numFmtId="0" fontId="9" fillId="0" borderId="0" xfId="40" quotePrefix="1" applyFont="1" applyFill="1" applyBorder="1" applyAlignment="1">
      <alignment horizontal="left" indent="1"/>
    </xf>
    <xf numFmtId="14" fontId="9" fillId="0" borderId="0" xfId="40" quotePrefix="1" applyNumberFormat="1" applyFont="1" applyFill="1" applyBorder="1" applyAlignment="1">
      <alignment horizontal="left" indent="1"/>
    </xf>
    <xf numFmtId="44" fontId="9" fillId="0" borderId="0" xfId="2" applyFont="1" applyFill="1" applyBorder="1"/>
    <xf numFmtId="44" fontId="9" fillId="0" borderId="0" xfId="40" applyNumberFormat="1" applyFont="1" applyFill="1" applyBorder="1"/>
    <xf numFmtId="178" fontId="9" fillId="0" borderId="0" xfId="2" applyNumberFormat="1" applyFont="1" applyFill="1" applyBorder="1"/>
    <xf numFmtId="173" fontId="9" fillId="0" borderId="0" xfId="3" applyNumberFormat="1" applyFont="1" applyFill="1" applyBorder="1"/>
    <xf numFmtId="10" fontId="9" fillId="0" borderId="0" xfId="3" applyNumberFormat="1" applyFont="1" applyFill="1" applyBorder="1"/>
    <xf numFmtId="0" fontId="9" fillId="0" borderId="0" xfId="40" quotePrefix="1" applyFont="1" applyFill="1" applyBorder="1" applyAlignment="1"/>
    <xf numFmtId="0" fontId="9" fillId="0" borderId="0" xfId="40" applyFont="1" applyFill="1" applyAlignment="1"/>
    <xf numFmtId="0" fontId="9" fillId="0" borderId="0" xfId="40" applyFont="1" applyFill="1" applyAlignment="1">
      <alignment horizontal="left"/>
    </xf>
    <xf numFmtId="0" fontId="9" fillId="0" borderId="0" xfId="40" quotePrefix="1" applyFont="1" applyFill="1" applyAlignment="1">
      <alignment horizontal="left" indent="2"/>
    </xf>
    <xf numFmtId="181" fontId="9" fillId="0" borderId="0" xfId="2" applyNumberFormat="1" applyFont="1" applyFill="1"/>
    <xf numFmtId="181" fontId="9" fillId="0" borderId="0" xfId="40" applyNumberFormat="1" applyFont="1" applyFill="1"/>
    <xf numFmtId="175" fontId="9" fillId="0" borderId="0" xfId="3" applyNumberFormat="1" applyFont="1" applyFill="1"/>
    <xf numFmtId="0" fontId="9" fillId="0" borderId="0" xfId="40" applyFont="1" applyFill="1" applyBorder="1" applyAlignment="1">
      <alignment horizontal="left" indent="2"/>
    </xf>
    <xf numFmtId="0" fontId="9" fillId="0" borderId="0" xfId="40" quotePrefix="1" applyFont="1" applyFill="1" applyBorder="1" applyAlignment="1">
      <alignment horizontal="left" indent="2"/>
    </xf>
    <xf numFmtId="0" fontId="9" fillId="0" borderId="0" xfId="40" applyFont="1" applyFill="1" applyBorder="1" applyAlignment="1">
      <alignment horizontal="left" indent="1"/>
    </xf>
    <xf numFmtId="10" fontId="9" fillId="0" borderId="0" xfId="40" applyNumberFormat="1" applyFont="1" applyFill="1"/>
    <xf numFmtId="0" fontId="6" fillId="0" borderId="0" xfId="0" applyFont="1" applyFill="1" applyBorder="1" applyAlignment="1" applyProtection="1">
      <alignment wrapText="1"/>
    </xf>
    <xf numFmtId="9" fontId="9" fillId="0" borderId="0" xfId="3" applyFont="1" applyFill="1" applyBorder="1"/>
    <xf numFmtId="9" fontId="9" fillId="0" borderId="0" xfId="3" applyNumberFormat="1" applyFont="1" applyFill="1" applyBorder="1"/>
    <xf numFmtId="0" fontId="9" fillId="0" borderId="0" xfId="0" applyFont="1" applyFill="1"/>
    <xf numFmtId="0" fontId="9" fillId="0" borderId="27" xfId="0" applyFont="1" applyFill="1" applyBorder="1" applyAlignment="1">
      <alignment horizontal="center" wrapText="1"/>
    </xf>
    <xf numFmtId="0" fontId="9" fillId="0" borderId="28" xfId="0" applyFont="1" applyFill="1" applyBorder="1" applyAlignment="1">
      <alignment horizontal="center" wrapText="1"/>
    </xf>
    <xf numFmtId="0" fontId="9" fillId="0" borderId="29" xfId="0" applyFont="1" applyFill="1" applyBorder="1" applyAlignment="1">
      <alignment horizont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1" xfId="0" quotePrefix="1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32" xfId="0" quotePrefix="1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32" xfId="0" quotePrefix="1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left" vertical="center" wrapText="1"/>
    </xf>
    <xf numFmtId="6" fontId="9" fillId="0" borderId="32" xfId="0" quotePrefix="1" applyNumberFormat="1" applyFont="1" applyFill="1" applyBorder="1" applyAlignment="1">
      <alignment horizontal="center" vertical="center" wrapText="1"/>
    </xf>
    <xf numFmtId="6" fontId="9" fillId="0" borderId="32" xfId="0" applyNumberFormat="1" applyFont="1" applyFill="1" applyBorder="1" applyAlignment="1">
      <alignment horizontal="center" vertical="center" wrapText="1"/>
    </xf>
    <xf numFmtId="37" fontId="6" fillId="0" borderId="16" xfId="0" applyNumberFormat="1" applyFont="1" applyFill="1" applyBorder="1" applyAlignment="1" applyProtection="1">
      <alignment horizontal="center" wrapText="1"/>
    </xf>
    <xf numFmtId="0" fontId="10" fillId="0" borderId="22" xfId="0" applyFont="1" applyFill="1" applyBorder="1" applyAlignment="1">
      <alignment horizontal="center" wrapText="1"/>
    </xf>
    <xf numFmtId="37" fontId="6" fillId="0" borderId="22" xfId="0" applyNumberFormat="1" applyFont="1" applyFill="1" applyBorder="1" applyAlignment="1" applyProtection="1">
      <alignment horizontal="center" wrapText="1"/>
    </xf>
    <xf numFmtId="37" fontId="6" fillId="0" borderId="22" xfId="0" quotePrefix="1" applyNumberFormat="1" applyFont="1" applyFill="1" applyBorder="1" applyAlignment="1" applyProtection="1">
      <alignment horizontal="center" wrapText="1"/>
    </xf>
    <xf numFmtId="37" fontId="6" fillId="0" borderId="17" xfId="0" quotePrefix="1" applyNumberFormat="1" applyFont="1" applyFill="1" applyBorder="1" applyAlignment="1" applyProtection="1">
      <alignment horizontal="center" wrapText="1"/>
    </xf>
    <xf numFmtId="0" fontId="9" fillId="0" borderId="0" xfId="40" applyFont="1" applyFill="1" applyAlignment="1">
      <alignment horizontal="center"/>
    </xf>
    <xf numFmtId="0" fontId="2" fillId="0" borderId="5" xfId="4" applyFont="1" applyFill="1" applyBorder="1" applyAlignment="1">
      <alignment horizontal="center"/>
    </xf>
    <xf numFmtId="0" fontId="2" fillId="0" borderId="0" xfId="4" quotePrefix="1" applyFont="1" applyFill="1" applyAlignment="1">
      <alignment horizontal="left"/>
    </xf>
    <xf numFmtId="0" fontId="2" fillId="0" borderId="0" xfId="0" applyFont="1" applyFill="1" applyAlignment="1">
      <alignment horizontal="left"/>
    </xf>
    <xf numFmtId="37" fontId="6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quotePrefix="1" applyFont="1" applyFill="1" applyAlignment="1" applyProtection="1">
      <alignment horizontal="left"/>
    </xf>
    <xf numFmtId="177" fontId="2" fillId="0" borderId="0" xfId="0" applyNumberFormat="1" applyFont="1" applyFill="1" applyProtection="1">
      <protection locked="0"/>
    </xf>
    <xf numFmtId="0" fontId="2" fillId="0" borderId="0" xfId="0" quotePrefix="1" applyFont="1" applyFill="1" applyAlignment="1" applyProtection="1">
      <alignment horizontal="left" indent="1"/>
    </xf>
    <xf numFmtId="167" fontId="2" fillId="0" borderId="0" xfId="2" applyNumberFormat="1" applyFont="1" applyFill="1" applyProtection="1"/>
    <xf numFmtId="5" fontId="2" fillId="0" borderId="5" xfId="0" applyNumberFormat="1" applyFont="1" applyFill="1" applyBorder="1" applyProtection="1"/>
    <xf numFmtId="0" fontId="2" fillId="0" borderId="0" xfId="0" applyFont="1" applyFill="1" applyAlignment="1" applyProtection="1">
      <alignment horizontal="left" indent="2"/>
    </xf>
    <xf numFmtId="4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/>
    <xf numFmtId="5" fontId="2" fillId="0" borderId="15" xfId="0" applyNumberFormat="1" applyFont="1" applyFill="1" applyBorder="1" applyProtection="1"/>
    <xf numFmtId="7" fontId="2" fillId="0" borderId="0" xfId="0" applyNumberFormat="1" applyFont="1" applyFill="1" applyProtection="1">
      <protection locked="0"/>
    </xf>
    <xf numFmtId="169" fontId="2" fillId="0" borderId="0" xfId="1" applyNumberFormat="1" applyFont="1" applyFill="1" applyBorder="1"/>
    <xf numFmtId="42" fontId="2" fillId="0" borderId="0" xfId="0" applyNumberFormat="1" applyFont="1" applyFill="1" applyProtection="1"/>
    <xf numFmtId="42" fontId="2" fillId="0" borderId="0" xfId="0" applyNumberFormat="1" applyFont="1" applyFill="1"/>
    <xf numFmtId="169" fontId="2" fillId="0" borderId="0" xfId="1" applyNumberFormat="1" applyFont="1" applyFill="1" applyProtection="1"/>
    <xf numFmtId="169" fontId="2" fillId="0" borderId="15" xfId="1" applyNumberFormat="1" applyFont="1" applyFill="1" applyBorder="1" applyProtection="1"/>
    <xf numFmtId="42" fontId="2" fillId="0" borderId="15" xfId="0" applyNumberFormat="1" applyFont="1" applyFill="1" applyBorder="1" applyProtection="1"/>
    <xf numFmtId="10" fontId="2" fillId="0" borderId="0" xfId="0" applyNumberFormat="1" applyFont="1" applyFill="1" applyProtection="1"/>
    <xf numFmtId="0" fontId="2" fillId="0" borderId="0" xfId="0" quotePrefix="1" applyFont="1" applyFill="1" applyAlignment="1">
      <alignment horizontal="left" indent="1"/>
    </xf>
    <xf numFmtId="44" fontId="2" fillId="0" borderId="0" xfId="2" applyNumberFormat="1" applyFont="1" applyFill="1"/>
    <xf numFmtId="0" fontId="2" fillId="0" borderId="0" xfId="0" applyFont="1" applyFill="1" applyAlignment="1">
      <alignment horizontal="left" indent="1"/>
    </xf>
    <xf numFmtId="7" fontId="2" fillId="0" borderId="0" xfId="2" applyNumberFormat="1" applyFont="1" applyFill="1"/>
    <xf numFmtId="0" fontId="2" fillId="0" borderId="0" xfId="0" quotePrefix="1" applyFont="1" applyFill="1" applyAlignment="1">
      <alignment horizontal="left" indent="2"/>
    </xf>
    <xf numFmtId="169" fontId="2" fillId="0" borderId="2" xfId="1" applyNumberFormat="1" applyFont="1" applyFill="1" applyBorder="1"/>
    <xf numFmtId="182" fontId="2" fillId="0" borderId="2" xfId="0" applyNumberFormat="1" applyFont="1" applyFill="1" applyBorder="1"/>
    <xf numFmtId="0" fontId="2" fillId="0" borderId="0" xfId="7" applyFont="1" applyFill="1"/>
    <xf numFmtId="43" fontId="2" fillId="0" borderId="0" xfId="7" applyNumberFormat="1" applyFont="1" applyFill="1"/>
    <xf numFmtId="5" fontId="2" fillId="0" borderId="0" xfId="7" applyNumberFormat="1" applyFont="1" applyFill="1"/>
    <xf numFmtId="170" fontId="2" fillId="0" borderId="0" xfId="2" applyNumberFormat="1" applyFont="1" applyFill="1" applyBorder="1"/>
    <xf numFmtId="169" fontId="2" fillId="0" borderId="12" xfId="1" applyNumberFormat="1" applyFont="1" applyFill="1" applyBorder="1" applyProtection="1"/>
    <xf numFmtId="5" fontId="2" fillId="0" borderId="12" xfId="0" applyNumberFormat="1" applyFont="1" applyFill="1" applyBorder="1" applyProtection="1"/>
    <xf numFmtId="0" fontId="2" fillId="0" borderId="0" xfId="0" quotePrefix="1" applyFont="1" applyFill="1"/>
    <xf numFmtId="0" fontId="2" fillId="0" borderId="0" xfId="0" quotePrefix="1" applyFont="1" applyFill="1" applyAlignment="1">
      <alignment horizontal="left"/>
    </xf>
    <xf numFmtId="171" fontId="2" fillId="0" borderId="0" xfId="0" applyNumberFormat="1" applyFont="1" applyFill="1" applyProtection="1"/>
    <xf numFmtId="175" fontId="2" fillId="0" borderId="0" xfId="3" applyNumberFormat="1" applyFont="1" applyFill="1"/>
    <xf numFmtId="37" fontId="2" fillId="0" borderId="2" xfId="0" applyNumberFormat="1" applyFont="1" applyFill="1" applyBorder="1"/>
    <xf numFmtId="5" fontId="2" fillId="0" borderId="2" xfId="0" applyNumberFormat="1" applyFont="1" applyFill="1" applyBorder="1" applyProtection="1"/>
    <xf numFmtId="37" fontId="2" fillId="0" borderId="0" xfId="7" applyNumberFormat="1" applyFont="1" applyFill="1"/>
    <xf numFmtId="37" fontId="2" fillId="0" borderId="12" xfId="0" applyNumberFormat="1" applyFont="1" applyFill="1" applyBorder="1" applyProtection="1"/>
    <xf numFmtId="165" fontId="2" fillId="0" borderId="0" xfId="0" applyNumberFormat="1" applyFont="1" applyFill="1" applyProtection="1"/>
    <xf numFmtId="37" fontId="2" fillId="0" borderId="0" xfId="0" applyNumberFormat="1" applyFont="1" applyFill="1" applyBorder="1"/>
    <xf numFmtId="182" fontId="2" fillId="0" borderId="0" xfId="0" applyNumberFormat="1" applyFont="1" applyFill="1" applyBorder="1"/>
    <xf numFmtId="0" fontId="2" fillId="0" borderId="0" xfId="0" quotePrefix="1" applyFont="1" applyFill="1" applyProtection="1"/>
    <xf numFmtId="165" fontId="2" fillId="0" borderId="0" xfId="0" applyNumberFormat="1" applyFont="1" applyFill="1" applyBorder="1" applyProtection="1"/>
    <xf numFmtId="44" fontId="2" fillId="0" borderId="0" xfId="2" applyNumberFormat="1" applyFont="1" applyFill="1" applyAlignment="1">
      <alignment horizontal="center"/>
    </xf>
    <xf numFmtId="44" fontId="2" fillId="0" borderId="0" xfId="2" quotePrefix="1" applyNumberFormat="1" applyFont="1" applyFill="1" applyAlignment="1">
      <alignment horizontal="left"/>
    </xf>
    <xf numFmtId="44" fontId="2" fillId="0" borderId="0" xfId="0" applyNumberFormat="1" applyFont="1" applyFill="1"/>
    <xf numFmtId="44" fontId="2" fillId="0" borderId="0" xfId="2" applyNumberFormat="1" applyFont="1" applyFill="1" applyAlignment="1">
      <alignment horizontal="right"/>
    </xf>
    <xf numFmtId="181" fontId="2" fillId="0" borderId="0" xfId="0" applyNumberFormat="1" applyFont="1" applyFill="1" applyProtection="1">
      <protection locked="0"/>
    </xf>
    <xf numFmtId="178" fontId="2" fillId="0" borderId="0" xfId="0" applyNumberFormat="1" applyFont="1" applyFill="1" applyProtection="1">
      <protection locked="0"/>
    </xf>
    <xf numFmtId="174" fontId="2" fillId="0" borderId="0" xfId="0" applyNumberFormat="1" applyFont="1" applyFill="1" applyProtection="1">
      <protection locked="0"/>
    </xf>
    <xf numFmtId="5" fontId="2" fillId="0" borderId="1" xfId="0" applyNumberFormat="1" applyFont="1" applyFill="1" applyBorder="1"/>
    <xf numFmtId="0" fontId="2" fillId="0" borderId="2" xfId="0" applyFont="1" applyFill="1" applyBorder="1"/>
    <xf numFmtId="5" fontId="2" fillId="0" borderId="14" xfId="0" applyNumberFormat="1" applyFont="1" applyFill="1" applyBorder="1"/>
    <xf numFmtId="10" fontId="2" fillId="0" borderId="4" xfId="3" applyNumberFormat="1" applyFont="1" applyFill="1" applyBorder="1"/>
    <xf numFmtId="0" fontId="2" fillId="0" borderId="5" xfId="0" quotePrefix="1" applyFont="1" applyFill="1" applyBorder="1" applyAlignment="1">
      <alignment horizontal="left" wrapText="1"/>
    </xf>
    <xf numFmtId="3" fontId="2" fillId="0" borderId="5" xfId="0" applyNumberFormat="1" applyFont="1" applyFill="1" applyBorder="1"/>
    <xf numFmtId="0" fontId="2" fillId="0" borderId="0" xfId="0" quotePrefix="1" applyFont="1" applyFill="1" applyAlignment="1" applyProtection="1">
      <alignment horizontal="left" indent="3"/>
    </xf>
    <xf numFmtId="9" fontId="2" fillId="0" borderId="0" xfId="3" applyNumberFormat="1" applyFont="1" applyFill="1" applyProtection="1"/>
    <xf numFmtId="10" fontId="2" fillId="0" borderId="0" xfId="3" applyNumberFormat="1" applyFont="1" applyFill="1" applyProtection="1"/>
    <xf numFmtId="0" fontId="2" fillId="0" borderId="0" xfId="0" quotePrefix="1" applyFont="1" applyFill="1" applyAlignment="1" applyProtection="1">
      <alignment horizontal="left" indent="2"/>
    </xf>
    <xf numFmtId="37" fontId="2" fillId="0" borderId="0" xfId="0" quotePrefix="1" applyNumberFormat="1" applyFont="1" applyFill="1" applyAlignment="1" applyProtection="1">
      <alignment horizontal="center"/>
    </xf>
    <xf numFmtId="0" fontId="2" fillId="0" borderId="0" xfId="0" quotePrefix="1" applyFont="1" applyFill="1" applyAlignment="1" applyProtection="1">
      <alignment horizontal="left" indent="4"/>
    </xf>
    <xf numFmtId="177" fontId="2" fillId="0" borderId="0" xfId="2" applyNumberFormat="1" applyFont="1" applyFill="1"/>
    <xf numFmtId="177" fontId="2" fillId="0" borderId="0" xfId="0" applyNumberFormat="1" applyFont="1" applyFill="1"/>
    <xf numFmtId="10" fontId="5" fillId="0" borderId="0" xfId="3" applyNumberFormat="1" applyFont="1" applyFill="1" applyBorder="1"/>
    <xf numFmtId="10" fontId="5" fillId="0" borderId="23" xfId="3" applyNumberFormat="1" applyFont="1" applyFill="1" applyBorder="1"/>
    <xf numFmtId="175" fontId="9" fillId="0" borderId="0" xfId="3" applyNumberFormat="1" applyFont="1" applyFill="1" applyBorder="1"/>
    <xf numFmtId="44" fontId="2" fillId="0" borderId="0" xfId="2" applyNumberFormat="1" applyFont="1" applyFill="1" applyBorder="1" applyProtection="1"/>
    <xf numFmtId="172" fontId="2" fillId="0" borderId="0" xfId="0" applyNumberFormat="1" applyFont="1" applyFill="1" applyProtection="1"/>
    <xf numFmtId="0" fontId="2" fillId="0" borderId="0" xfId="0" applyFont="1" applyFill="1" applyProtection="1">
      <protection locked="0"/>
    </xf>
    <xf numFmtId="10" fontId="2" fillId="0" borderId="0" xfId="8" applyNumberFormat="1" applyFont="1" applyFill="1" applyBorder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Alignment="1">
      <alignment horizontal="left" wrapText="1"/>
    </xf>
    <xf numFmtId="169" fontId="2" fillId="0" borderId="0" xfId="0" applyNumberFormat="1" applyFont="1" applyFill="1" applyProtection="1"/>
    <xf numFmtId="5" fontId="2" fillId="0" borderId="0" xfId="0" applyNumberFormat="1" applyFont="1" applyFill="1" applyProtection="1">
      <protection locked="0"/>
    </xf>
    <xf numFmtId="37" fontId="2" fillId="0" borderId="15" xfId="0" applyNumberFormat="1" applyFont="1" applyFill="1" applyBorder="1" applyProtection="1"/>
    <xf numFmtId="182" fontId="2" fillId="0" borderId="5" xfId="2" applyNumberFormat="1" applyFont="1" applyFill="1" applyBorder="1"/>
    <xf numFmtId="0" fontId="2" fillId="0" borderId="6" xfId="0" applyFont="1" applyFill="1" applyBorder="1"/>
    <xf numFmtId="10" fontId="2" fillId="0" borderId="2" xfId="0" applyNumberFormat="1" applyFont="1" applyFill="1" applyBorder="1"/>
    <xf numFmtId="10" fontId="2" fillId="0" borderId="0" xfId="0" applyNumberFormat="1" applyFont="1" applyFill="1" applyBorder="1"/>
    <xf numFmtId="166" fontId="2" fillId="0" borderId="2" xfId="3" applyNumberFormat="1" applyFont="1" applyFill="1" applyBorder="1"/>
    <xf numFmtId="5" fontId="2" fillId="0" borderId="0" xfId="5" applyNumberFormat="1" applyFont="1" applyFill="1" applyBorder="1" applyAlignment="1">
      <alignment horizontal="center"/>
    </xf>
    <xf numFmtId="0" fontId="2" fillId="0" borderId="7" xfId="4" applyFont="1" applyFill="1" applyBorder="1" applyAlignment="1">
      <alignment horizontal="center"/>
    </xf>
    <xf numFmtId="5" fontId="2" fillId="0" borderId="5" xfId="5" quotePrefix="1" applyNumberFormat="1" applyFont="1" applyFill="1" applyBorder="1" applyAlignment="1">
      <alignment horizontal="center"/>
    </xf>
    <xf numFmtId="182" fontId="2" fillId="0" borderId="0" xfId="4" applyNumberFormat="1" applyFont="1" applyFill="1" applyProtection="1">
      <protection locked="0"/>
    </xf>
    <xf numFmtId="182" fontId="2" fillId="0" borderId="0" xfId="3" applyNumberFormat="1" applyFont="1" applyFill="1" applyProtection="1">
      <protection locked="0"/>
    </xf>
    <xf numFmtId="10" fontId="2" fillId="0" borderId="0" xfId="3" applyNumberFormat="1" applyFont="1" applyFill="1" applyProtection="1">
      <protection locked="0"/>
    </xf>
    <xf numFmtId="10" fontId="2" fillId="0" borderId="0" xfId="3" applyNumberFormat="1" applyFont="1" applyFill="1" applyBorder="1" applyProtection="1">
      <protection locked="0"/>
    </xf>
    <xf numFmtId="182" fontId="2" fillId="0" borderId="10" xfId="4" applyNumberFormat="1" applyFont="1" applyFill="1" applyBorder="1" applyProtection="1">
      <protection locked="0"/>
    </xf>
    <xf numFmtId="10" fontId="2" fillId="0" borderId="10" xfId="3" applyNumberFormat="1" applyFont="1" applyFill="1" applyBorder="1" applyProtection="1">
      <protection locked="0"/>
    </xf>
    <xf numFmtId="182" fontId="2" fillId="0" borderId="0" xfId="4" applyNumberFormat="1" applyFont="1" applyFill="1"/>
    <xf numFmtId="10" fontId="2" fillId="0" borderId="0" xfId="4" applyNumberFormat="1" applyFont="1" applyFill="1"/>
    <xf numFmtId="37" fontId="2" fillId="0" borderId="0" xfId="4" applyNumberFormat="1" applyFont="1" applyFill="1"/>
    <xf numFmtId="0" fontId="20" fillId="0" borderId="0" xfId="4" quotePrefix="1" applyFont="1" applyFill="1" applyAlignment="1">
      <alignment horizontal="left"/>
    </xf>
    <xf numFmtId="37" fontId="2" fillId="0" borderId="8" xfId="4" applyNumberFormat="1" applyFont="1" applyFill="1" applyBorder="1"/>
    <xf numFmtId="182" fontId="2" fillId="0" borderId="8" xfId="4" applyNumberFormat="1" applyFont="1" applyFill="1" applyBorder="1"/>
    <xf numFmtId="182" fontId="2" fillId="0" borderId="0" xfId="3" applyNumberFormat="1" applyFont="1" applyFill="1" applyBorder="1" applyProtection="1">
      <protection locked="0"/>
    </xf>
    <xf numFmtId="182" fontId="2" fillId="0" borderId="0" xfId="4" applyNumberFormat="1" applyFont="1" applyFill="1" applyBorder="1"/>
    <xf numFmtId="10" fontId="2" fillId="0" borderId="8" xfId="3" applyNumberFormat="1" applyFont="1" applyFill="1" applyBorder="1" applyProtection="1">
      <protection locked="0"/>
    </xf>
    <xf numFmtId="165" fontId="2" fillId="0" borderId="8" xfId="0" applyNumberFormat="1" applyFont="1" applyFill="1" applyBorder="1" applyProtection="1"/>
    <xf numFmtId="37" fontId="2" fillId="0" borderId="0" xfId="4" applyNumberFormat="1" applyFont="1" applyFill="1" applyBorder="1"/>
    <xf numFmtId="166" fontId="2" fillId="0" borderId="0" xfId="3" applyNumberFormat="1" applyFont="1" applyFill="1" applyBorder="1" applyProtection="1">
      <protection locked="0"/>
    </xf>
    <xf numFmtId="1" fontId="2" fillId="0" borderId="0" xfId="4" applyNumberFormat="1" applyFont="1" applyFill="1"/>
    <xf numFmtId="168" fontId="2" fillId="0" borderId="0" xfId="4" applyNumberFormat="1" applyFont="1" applyFill="1"/>
    <xf numFmtId="166" fontId="2" fillId="0" borderId="0" xfId="4" applyNumberFormat="1" applyFont="1" applyFill="1"/>
    <xf numFmtId="44" fontId="9" fillId="0" borderId="0" xfId="2" applyNumberFormat="1" applyFont="1" applyFill="1"/>
    <xf numFmtId="44" fontId="2" fillId="0" borderId="0" xfId="8" applyNumberFormat="1" applyFont="1" applyFill="1" applyBorder="1"/>
    <xf numFmtId="9" fontId="9" fillId="0" borderId="0" xfId="0" applyNumberFormat="1" applyFont="1" applyFill="1"/>
    <xf numFmtId="44" fontId="9" fillId="0" borderId="0" xfId="0" applyNumberFormat="1" applyFont="1" applyFill="1"/>
    <xf numFmtId="0" fontId="9" fillId="0" borderId="0" xfId="0" quotePrefix="1" applyFont="1" applyFill="1" applyBorder="1" applyAlignment="1">
      <alignment horizontal="left" indent="1"/>
    </xf>
    <xf numFmtId="10" fontId="9" fillId="0" borderId="0" xfId="0" applyNumberFormat="1" applyFont="1" applyFill="1"/>
    <xf numFmtId="0" fontId="2" fillId="0" borderId="22" xfId="0" applyFont="1" applyFill="1" applyBorder="1" applyAlignment="1">
      <alignment wrapText="1"/>
    </xf>
    <xf numFmtId="3" fontId="2" fillId="0" borderId="0" xfId="0" applyNumberFormat="1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18" xfId="0" applyFont="1" applyFill="1" applyBorder="1"/>
    <xf numFmtId="3" fontId="2" fillId="0" borderId="19" xfId="0" applyNumberFormat="1" applyFont="1" applyFill="1" applyBorder="1"/>
    <xf numFmtId="0" fontId="2" fillId="0" borderId="20" xfId="0" quotePrefix="1" applyFont="1" applyFill="1" applyBorder="1" applyAlignment="1">
      <alignment horizontal="left"/>
    </xf>
    <xf numFmtId="0" fontId="2" fillId="0" borderId="23" xfId="0" applyFont="1" applyFill="1" applyBorder="1"/>
    <xf numFmtId="3" fontId="2" fillId="0" borderId="21" xfId="0" applyNumberFormat="1" applyFont="1" applyFill="1" applyBorder="1"/>
    <xf numFmtId="0" fontId="15" fillId="0" borderId="0" xfId="0" applyFont="1" applyFill="1" applyAlignment="1">
      <alignment horizontal="left"/>
    </xf>
    <xf numFmtId="0" fontId="6" fillId="0" borderId="0" xfId="4" quotePrefix="1" applyFont="1" applyFill="1" applyAlignment="1"/>
    <xf numFmtId="0" fontId="6" fillId="0" borderId="0" xfId="4" applyFont="1" applyFill="1" applyAlignment="1"/>
    <xf numFmtId="0" fontId="6" fillId="0" borderId="0" xfId="4" quotePrefix="1" applyFont="1" applyFill="1" applyAlignment="1">
      <alignment horizontal="center"/>
    </xf>
    <xf numFmtId="0" fontId="6" fillId="0" borderId="0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0" fontId="5" fillId="0" borderId="0" xfId="4" quotePrefix="1" applyFont="1" applyFill="1" applyBorder="1" applyAlignment="1">
      <alignment horizontal="center"/>
    </xf>
    <xf numFmtId="0" fontId="21" fillId="0" borderId="0" xfId="4" quotePrefix="1" applyFont="1" applyFill="1" applyAlignment="1">
      <alignment horizontal="left"/>
    </xf>
    <xf numFmtId="0" fontId="6" fillId="0" borderId="0" xfId="4" quotePrefix="1" applyFont="1" applyFill="1" applyAlignment="1">
      <alignment horizontal="left" indent="1"/>
    </xf>
    <xf numFmtId="0" fontId="6" fillId="0" borderId="0" xfId="4" applyFont="1" applyFill="1"/>
    <xf numFmtId="37" fontId="6" fillId="0" borderId="5" xfId="0" applyNumberFormat="1" applyFont="1" applyFill="1" applyBorder="1" applyAlignment="1" applyProtection="1">
      <alignment horizontal="center"/>
    </xf>
    <xf numFmtId="0" fontId="6" fillId="0" borderId="5" xfId="0" applyFont="1" applyFill="1" applyBorder="1" applyProtection="1"/>
    <xf numFmtId="0" fontId="6" fillId="0" borderId="5" xfId="0" applyFont="1" applyFill="1" applyBorder="1" applyAlignment="1" applyProtection="1">
      <alignment horizontal="center"/>
    </xf>
    <xf numFmtId="0" fontId="2" fillId="0" borderId="5" xfId="0" applyFont="1" applyFill="1" applyBorder="1"/>
    <xf numFmtId="37" fontId="6" fillId="0" borderId="5" xfId="0" applyNumberFormat="1" applyFont="1" applyFill="1" applyBorder="1" applyAlignment="1" applyProtection="1">
      <alignment horizontal="left"/>
    </xf>
    <xf numFmtId="0" fontId="6" fillId="0" borderId="5" xfId="0" applyFont="1" applyFill="1" applyBorder="1" applyAlignment="1" applyProtection="1">
      <alignment wrapText="1"/>
    </xf>
    <xf numFmtId="0" fontId="6" fillId="0" borderId="5" xfId="0" applyFont="1" applyFill="1" applyBorder="1" applyAlignment="1" applyProtection="1">
      <alignment horizontal="center" wrapText="1"/>
    </xf>
    <xf numFmtId="0" fontId="6" fillId="0" borderId="5" xfId="0" quotePrefix="1" applyFont="1" applyFill="1" applyBorder="1" applyAlignment="1" applyProtection="1">
      <alignment horizontal="center" wrapText="1"/>
    </xf>
    <xf numFmtId="44" fontId="2" fillId="0" borderId="0" xfId="0" applyNumberFormat="1" applyFont="1" applyFill="1" applyBorder="1"/>
    <xf numFmtId="9" fontId="2" fillId="0" borderId="0" xfId="3" applyNumberFormat="1" applyFont="1" applyFill="1" applyBorder="1" applyProtection="1"/>
    <xf numFmtId="0" fontId="2" fillId="0" borderId="18" xfId="0" quotePrefix="1" applyFont="1" applyFill="1" applyBorder="1" applyAlignment="1">
      <alignment horizontal="left"/>
    </xf>
    <xf numFmtId="0" fontId="9" fillId="0" borderId="16" xfId="40" quotePrefix="1" applyFont="1" applyFill="1" applyBorder="1" applyAlignment="1">
      <alignment horizontal="left" indent="1"/>
    </xf>
    <xf numFmtId="14" fontId="9" fillId="0" borderId="22" xfId="40" quotePrefix="1" applyNumberFormat="1" applyFont="1" applyFill="1" applyBorder="1" applyAlignment="1">
      <alignment horizontal="left" indent="1"/>
    </xf>
    <xf numFmtId="44" fontId="9" fillId="0" borderId="22" xfId="40" applyNumberFormat="1" applyFont="1" applyFill="1" applyBorder="1"/>
    <xf numFmtId="0" fontId="9" fillId="0" borderId="22" xfId="40" applyFont="1" applyFill="1" applyBorder="1"/>
    <xf numFmtId="44" fontId="9" fillId="0" borderId="17" xfId="40" applyNumberFormat="1" applyFont="1" applyFill="1" applyBorder="1"/>
    <xf numFmtId="0" fontId="9" fillId="0" borderId="18" xfId="40" quotePrefix="1" applyFont="1" applyFill="1" applyBorder="1" applyAlignment="1">
      <alignment horizontal="left" indent="1"/>
    </xf>
    <xf numFmtId="44" fontId="9" fillId="0" borderId="19" xfId="40" applyNumberFormat="1" applyFont="1" applyFill="1" applyBorder="1"/>
    <xf numFmtId="0" fontId="9" fillId="0" borderId="20" xfId="40" quotePrefix="1" applyFont="1" applyFill="1" applyBorder="1" applyAlignment="1">
      <alignment horizontal="left" indent="1"/>
    </xf>
    <xf numFmtId="14" fontId="9" fillId="0" borderId="23" xfId="40" quotePrefix="1" applyNumberFormat="1" applyFont="1" applyFill="1" applyBorder="1" applyAlignment="1">
      <alignment horizontal="left" indent="1"/>
    </xf>
    <xf numFmtId="44" fontId="9" fillId="0" borderId="23" xfId="40" applyNumberFormat="1" applyFont="1" applyFill="1" applyBorder="1"/>
    <xf numFmtId="0" fontId="9" fillId="0" borderId="23" xfId="40" applyFont="1" applyFill="1" applyBorder="1"/>
    <xf numFmtId="44" fontId="9" fillId="0" borderId="21" xfId="40" applyNumberFormat="1" applyFont="1" applyFill="1" applyBorder="1"/>
    <xf numFmtId="0" fontId="9" fillId="0" borderId="0" xfId="40" applyFont="1" applyFill="1" applyAlignment="1">
      <alignment horizontal="center"/>
    </xf>
    <xf numFmtId="0" fontId="9" fillId="0" borderId="0" xfId="40" quotePrefix="1" applyFont="1" applyFill="1" applyAlignment="1">
      <alignment horizontal="center"/>
    </xf>
    <xf numFmtId="0" fontId="9" fillId="0" borderId="24" xfId="40" quotePrefix="1" applyFont="1" applyFill="1" applyBorder="1" applyAlignment="1">
      <alignment horizontal="center"/>
    </xf>
    <xf numFmtId="0" fontId="9" fillId="0" borderId="25" xfId="40" quotePrefix="1" applyFont="1" applyFill="1" applyBorder="1" applyAlignment="1">
      <alignment horizontal="center"/>
    </xf>
    <xf numFmtId="0" fontId="9" fillId="0" borderId="26" xfId="40" quotePrefix="1" applyFont="1" applyFill="1" applyBorder="1" applyAlignment="1">
      <alignment horizontal="center"/>
    </xf>
    <xf numFmtId="0" fontId="9" fillId="0" borderId="0" xfId="40" quotePrefix="1" applyFont="1" applyFill="1" applyBorder="1" applyAlignment="1">
      <alignment horizontal="left" vertical="top"/>
    </xf>
    <xf numFmtId="0" fontId="16" fillId="0" borderId="20" xfId="0" quotePrefix="1" applyFont="1" applyFill="1" applyBorder="1" applyAlignment="1">
      <alignment horizontal="left"/>
    </xf>
    <xf numFmtId="0" fontId="16" fillId="0" borderId="23" xfId="0" quotePrefix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16" xfId="0" quotePrefix="1" applyFont="1" applyFill="1" applyBorder="1" applyAlignment="1">
      <alignment horizontal="left"/>
    </xf>
    <xf numFmtId="0" fontId="16" fillId="0" borderId="22" xfId="0" quotePrefix="1" applyFont="1" applyFill="1" applyBorder="1" applyAlignment="1">
      <alignment horizontal="left"/>
    </xf>
    <xf numFmtId="0" fontId="16" fillId="0" borderId="18" xfId="0" quotePrefix="1" applyFont="1" applyFill="1" applyBorder="1" applyAlignment="1">
      <alignment horizontal="left"/>
    </xf>
    <xf numFmtId="0" fontId="16" fillId="0" borderId="0" xfId="0" quotePrefix="1" applyFont="1" applyFill="1" applyBorder="1" applyAlignment="1">
      <alignment horizontal="left"/>
    </xf>
    <xf numFmtId="0" fontId="16" fillId="0" borderId="18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1" xfId="4" quotePrefix="1" applyFont="1" applyFill="1" applyBorder="1" applyAlignment="1">
      <alignment horizontal="center"/>
    </xf>
    <xf numFmtId="0" fontId="2" fillId="0" borderId="2" xfId="4" applyFont="1" applyFill="1" applyBorder="1" applyAlignment="1">
      <alignment horizontal="center"/>
    </xf>
    <xf numFmtId="0" fontId="2" fillId="0" borderId="3" xfId="4" applyFont="1" applyFill="1" applyBorder="1" applyAlignment="1">
      <alignment horizontal="center"/>
    </xf>
    <xf numFmtId="0" fontId="2" fillId="0" borderId="4" xfId="4" applyFont="1" applyFill="1" applyBorder="1" applyAlignment="1">
      <alignment horizontal="center"/>
    </xf>
    <xf numFmtId="0" fontId="2" fillId="0" borderId="5" xfId="4" applyFont="1" applyFill="1" applyBorder="1" applyAlignment="1">
      <alignment horizontal="center"/>
    </xf>
    <xf numFmtId="0" fontId="2" fillId="0" borderId="6" xfId="4" applyFont="1" applyFill="1" applyBorder="1" applyAlignment="1">
      <alignment horizontal="center"/>
    </xf>
    <xf numFmtId="0" fontId="2" fillId="0" borderId="0" xfId="4" applyFont="1" applyFill="1" applyAlignment="1">
      <alignment horizontal="left"/>
    </xf>
    <xf numFmtId="0" fontId="2" fillId="0" borderId="0" xfId="4" quotePrefix="1" applyFont="1" applyFill="1" applyAlignment="1">
      <alignment horizontal="left"/>
    </xf>
    <xf numFmtId="0" fontId="6" fillId="0" borderId="0" xfId="4" quotePrefix="1" applyFont="1" applyFill="1" applyAlignment="1">
      <alignment horizontal="center"/>
    </xf>
    <xf numFmtId="0" fontId="6" fillId="0" borderId="0" xfId="4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quotePrefix="1" applyNumberFormat="1" applyFont="1" applyFill="1" applyAlignment="1">
      <alignment horizontal="center"/>
    </xf>
    <xf numFmtId="0" fontId="6" fillId="0" borderId="0" xfId="0" quotePrefix="1" applyFont="1" applyFill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6" fillId="0" borderId="10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/>
    </xf>
    <xf numFmtId="0" fontId="6" fillId="0" borderId="9" xfId="0" quotePrefix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/>
    </xf>
    <xf numFmtId="0" fontId="5" fillId="0" borderId="24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0" xfId="0" quotePrefix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36" xfId="0" applyFont="1" applyFill="1" applyBorder="1" applyAlignment="1">
      <alignment horizontal="left" wrapText="1"/>
    </xf>
    <xf numFmtId="0" fontId="6" fillId="0" borderId="10" xfId="0" quotePrefix="1" applyFont="1" applyFill="1" applyBorder="1" applyAlignment="1" applyProtection="1">
      <alignment horizontal="center"/>
    </xf>
    <xf numFmtId="0" fontId="6" fillId="0" borderId="11" xfId="0" quotePrefix="1" applyFont="1" applyFill="1" applyBorder="1" applyAlignment="1" applyProtection="1">
      <alignment horizontal="center"/>
    </xf>
    <xf numFmtId="0" fontId="20" fillId="0" borderId="0" xfId="0" quotePrefix="1" applyFont="1" applyFill="1" applyAlignment="1" applyProtection="1">
      <alignment horizontal="left"/>
    </xf>
    <xf numFmtId="0" fontId="17" fillId="0" borderId="9" xfId="0" quotePrefix="1" applyFont="1" applyFill="1" applyBorder="1" applyAlignment="1" applyProtection="1">
      <alignment horizontal="center"/>
    </xf>
    <xf numFmtId="0" fontId="17" fillId="0" borderId="10" xfId="0" applyFont="1" applyFill="1" applyBorder="1" applyAlignment="1" applyProtection="1">
      <alignment horizontal="center"/>
    </xf>
    <xf numFmtId="0" fontId="17" fillId="0" borderId="11" xfId="0" applyFont="1" applyFill="1" applyBorder="1" applyAlignment="1" applyProtection="1">
      <alignment horizontal="center"/>
    </xf>
    <xf numFmtId="0" fontId="6" fillId="0" borderId="5" xfId="0" quotePrefix="1" applyFont="1" applyFill="1" applyBorder="1" applyAlignment="1" applyProtection="1">
      <alignment horizontal="center"/>
    </xf>
    <xf numFmtId="0" fontId="17" fillId="0" borderId="9" xfId="0" applyFont="1" applyFill="1" applyBorder="1" applyAlignment="1" applyProtection="1">
      <alignment horizontal="center"/>
    </xf>
    <xf numFmtId="0" fontId="17" fillId="0" borderId="9" xfId="0" quotePrefix="1" applyFont="1" applyFill="1" applyBorder="1" applyAlignment="1" applyProtection="1">
      <alignment horizontal="center" wrapText="1"/>
    </xf>
    <xf numFmtId="0" fontId="17" fillId="0" borderId="10" xfId="0" applyFont="1" applyFill="1" applyBorder="1" applyAlignment="1" applyProtection="1">
      <alignment horizontal="center" wrapText="1"/>
    </xf>
    <xf numFmtId="0" fontId="17" fillId="0" borderId="11" xfId="0" applyFont="1" applyFill="1" applyBorder="1" applyAlignment="1" applyProtection="1">
      <alignment horizontal="center" wrapText="1"/>
    </xf>
    <xf numFmtId="44" fontId="2" fillId="0" borderId="19" xfId="0" applyNumberFormat="1" applyFont="1" applyFill="1" applyBorder="1"/>
  </cellXfs>
  <cellStyles count="76">
    <cellStyle name="_4.06E Pass Throughs_04 07E Wild Horse Wind Expansion (C) (2)_Electric Rev Req Model (2009 GRC) " xfId="41"/>
    <cellStyle name="_4.13E Montana Energy Tax_04 07E Wild Horse Wind Expansion (C) (2)_Electric Rev Req Model (2009 GRC) " xfId="42"/>
    <cellStyle name="_Book1 (2)_04 07E Wild Horse Wind Expansion (C) (2)_Electric Rev Req Model (2009 GRC) " xfId="43"/>
    <cellStyle name="_Book2_04 07E Wild Horse Wind Expansion (C) (2)_Electric Rev Req Model (2009 GRC) " xfId="44"/>
    <cellStyle name="_Costs not in AURORA 06GRC_04 07E Wild Horse Wind Expansion (C) (2)_Electric Rev Req Model (2009 GRC) " xfId="45"/>
    <cellStyle name="_Costs not in AURORA 2006GRC 6.15.06_04 07E Wild Horse Wind Expansion (C) (2)_Electric Rev Req Model (2009 GRC) " xfId="46"/>
    <cellStyle name="_Costs not in AURORA 2006GRC w gas price updated_Electric Rev Req Model (2009 GRC) " xfId="47"/>
    <cellStyle name="_DEM-WP (C) Power Cost 2006GRC Order_04 07E Wild Horse Wind Expansion (C) (2)_Electric Rev Req Model (2009 GRC) " xfId="48"/>
    <cellStyle name="_DEM-WP Revised (HC) Wild Horse 2006GRC_Electric Rev Req Model (2009 GRC) " xfId="49"/>
    <cellStyle name="_DEM-WP(C) Costs not in AURORA 2007GRC_Electric Rev Req Model (2009 GRC) " xfId="50"/>
    <cellStyle name="_DEM-WP(C) Costs not in AURORA 2007PCORC-5.07Update_Electric Rev Req Model (2009 GRC) " xfId="51"/>
    <cellStyle name="_DEM-WP(C) Westside Hydro Data_051007_Electric Rev Req Model (2009 GRC) " xfId="52"/>
    <cellStyle name="_x0013__Electric Rev Req Model (2009 GRC) " xfId="53"/>
    <cellStyle name="_Fuel Prices 4-14_04 07E Wild Horse Wind Expansion (C) (2)_Electric Rev Req Model (2009 GRC) " xfId="54"/>
    <cellStyle name="_Fuel Prices 4-14_Sch 40 Interim Energy Rates " xfId="55"/>
    <cellStyle name="_NIM 06 Base Case Current Trends_Electric Rev Req Model (2009 GRC) " xfId="56"/>
    <cellStyle name="_Portfolio SPlan Base Case.xls Chart 1_Electric Rev Req Model (2009 GRC) " xfId="57"/>
    <cellStyle name="_Portfolio SPlan Base Case.xls Chart 2_Electric Rev Req Model (2009 GRC) " xfId="58"/>
    <cellStyle name="_Portfolio SPlan Base Case.xls Chart 3_Electric Rev Req Model (2009 GRC) " xfId="59"/>
    <cellStyle name="_Power Cost Value Copy 11.30.05 gas 1.09.06 AURORA at 1.10.06_04 07E Wild Horse Wind Expansion (C) (2)_Electric Rev Req Model (2009 GRC) " xfId="60"/>
    <cellStyle name="_Power Cost Value Copy 11.30.05 gas 1.09.06 AURORA at 1.10.06_Sch 40 Interim Energy Rates " xfId="61"/>
    <cellStyle name="_Value Copy 11 30 05 gas 12 09 05 AURORA at 12 14 05_04 07E Wild Horse Wind Expansion (C) (2)_Electric Rev Req Model (2009 GRC) " xfId="62"/>
    <cellStyle name="_Value Copy 11 30 05 gas 12 09 05 AURORA at 12 14 05_Sch 40 Interim Energy Rates " xfId="63"/>
    <cellStyle name="_VC 6.15.06 update on 06GRC power costs.xls Chart 1_04 07E Wild Horse Wind Expansion (C) (2)_Electric Rev Req Model (2009 GRC) " xfId="64"/>
    <cellStyle name="_VC 6.15.06 update on 06GRC power costs.xls Chart 2_04 07E Wild Horse Wind Expansion (C) (2)_Electric Rev Req Model (2009 GRC) " xfId="65"/>
    <cellStyle name="_VC 6.15.06 update on 06GRC power costs.xls Chart 3_04 07E Wild Horse Wind Expansion (C) (2)_Electric Rev Req Model (2009 GRC) " xfId="66"/>
    <cellStyle name="Comma" xfId="1" builtinId="3"/>
    <cellStyle name="Comma 10" xfId="67"/>
    <cellStyle name="Comma 2" xfId="9"/>
    <cellStyle name="Comma 2 2" xfId="10"/>
    <cellStyle name="Comma 2 3" xfId="68"/>
    <cellStyle name="Comma 3" xfId="11"/>
    <cellStyle name="Comma 4" xfId="12"/>
    <cellStyle name="Currency" xfId="2" builtinId="4"/>
    <cellStyle name="Currency 10" xfId="69"/>
    <cellStyle name="Currency 2" xfId="13"/>
    <cellStyle name="Currency 2 2 5" xfId="70"/>
    <cellStyle name="Currency 2 3" xfId="71"/>
    <cellStyle name="Currency 3" xfId="14"/>
    <cellStyle name="General" xfId="15"/>
    <cellStyle name="Marathon" xfId="16"/>
    <cellStyle name="nONE" xfId="17"/>
    <cellStyle name="Normal" xfId="0" builtinId="0"/>
    <cellStyle name="Normal - Style1 5 4" xfId="72"/>
    <cellStyle name="Normal 10" xfId="18"/>
    <cellStyle name="Normal 11" xfId="19"/>
    <cellStyle name="Normal 12" xfId="20"/>
    <cellStyle name="Normal 13" xfId="21"/>
    <cellStyle name="Normal 14" xfId="22"/>
    <cellStyle name="Normal 15" xfId="23"/>
    <cellStyle name="Normal 16" xfId="24"/>
    <cellStyle name="Normal 17" xfId="25"/>
    <cellStyle name="Normal 18" xfId="40"/>
    <cellStyle name="Normal 2" xfId="26"/>
    <cellStyle name="Normal 2 2" xfId="27"/>
    <cellStyle name="Normal 22 6" xfId="73"/>
    <cellStyle name="Normal 3" xfId="28"/>
    <cellStyle name="Normal 3 2" xfId="29"/>
    <cellStyle name="Normal 4" xfId="30"/>
    <cellStyle name="Normal 4 2" xfId="31"/>
    <cellStyle name="Normal 5" xfId="32"/>
    <cellStyle name="Normal 6" xfId="33"/>
    <cellStyle name="Normal 7" xfId="7"/>
    <cellStyle name="Normal 8" xfId="34"/>
    <cellStyle name="Normal 9" xfId="35"/>
    <cellStyle name="Normal_EAST Blocking 901 2" xfId="5"/>
    <cellStyle name="Normal_East for 38.6M" xfId="8"/>
    <cellStyle name="Normal_OR Blocking 04" xfId="6"/>
    <cellStyle name="Normal_WA98" xfId="4"/>
    <cellStyle name="Percent" xfId="3" builtinId="5"/>
    <cellStyle name="Percent 10 4" xfId="74"/>
    <cellStyle name="Percent 2" xfId="36"/>
    <cellStyle name="Percent 2 3" xfId="75"/>
    <cellStyle name="Percent 3" xfId="37"/>
    <cellStyle name="Percent 3 2" xfId="38"/>
    <cellStyle name="TRANSMISSION RELIABILITY PORTION OF PROJECT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2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34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28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9.xml"/><Relationship Id="rId38" Type="http://schemas.openxmlformats.org/officeDocument/2006/relationships/externalLink" Target="externalLinks/externalLink24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18.xml"/><Relationship Id="rId37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26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22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externalLink" Target="externalLinks/externalLink17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6.xml"/><Relationship Id="rId35" Type="http://schemas.openxmlformats.org/officeDocument/2006/relationships/externalLink" Target="externalLinks/externalLink21.xml"/><Relationship Id="rId43" Type="http://schemas.openxmlformats.org/officeDocument/2006/relationships/externalLink" Target="externalLinks/externalLink29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22-05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09-05-JAM%20upd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B%201149/JAM%20OR%20Dec%202001%20-%20SB114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Idaho%2003/305FRevenue%20by%20Rate%20Schedule_ID200303_v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2013%20GRC%20(Docket%20UE-xxxxxx)/Filed/Direct/Exhibit%20No_(CCP-5)/Tab%204%20&amp;%205/COS%20WA%20June%202012%20(TempAdj-chg%20to%20St%20Lgts%20only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Wyoming98/East%20West%20Rate%20Migr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Wyoming98/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yoming%20FY%202005/COS/COS%20Sep%202006/Wyoming%20Combined%20Sept%202006%20MSP-UCAM%20and%20AFOR-09-12-05-JAM%20upda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W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SystemSegCosts/03/Washington/MC_Washington_200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12/RECOV1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9653/My%20Documents/Oregon%20Rate%20Case/SB%201149/Rebuttal/MC%20OR%202001%20Rebutt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Oregon%2099/Portfolio/TOU%20Tariff%20Rates%209-10-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305A/Book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Wash98/Stipulation/WA98%20with%20deferral%20separat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CASES/Wash%2002/Year%203%20of%20stipulation%201-1-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AFOR%207-1-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GRC%2007/COS/COS%20WA%20GRC%20June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3-2006%20GRC/COS/Wash%20Mar%202006-09-7-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COS/WA%202013%20GRC%20(Docket%20UE-xxxxxx)/COS/Direct/COS%20WA%20June%202012%20-%20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 refreshError="1"/>
      <sheetData sheetId="1" refreshError="1"/>
      <sheetData sheetId="2" refreshError="1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 refreshError="1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 refreshError="1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 refreshError="1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Req"/>
      <sheetName val="Inputs"/>
      <sheetName val="Actual"/>
      <sheetName val="Blocking Yr 2002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Stip Table A w defer separate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2001 All Filings cr=-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 A Yr 2003 Change"/>
      <sheetName val="Blocking Yr 2003"/>
      <sheetName val="Sch16 Yr 2003 Net"/>
      <sheetName val="Sch24 Yr 2003 Net"/>
      <sheetName val="Sch36 Yr 2003 Net"/>
      <sheetName val="Sch40 Yr 2003 Net"/>
      <sheetName val="Sch48 Yr 2003 Net"/>
      <sheetName val="Tab A Yr 2003 incl SBC change"/>
      <sheetName val="Shee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1">
          <cell r="H61">
            <v>6.9188435929027195E-2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828428746.40643871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E24" sqref="E24"/>
    </sheetView>
  </sheetViews>
  <sheetFormatPr defaultRowHeight="15.6"/>
  <cols>
    <col min="1" max="16384" width="8.796875" style="29"/>
  </cols>
  <sheetData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9"/>
  <dimension ref="A1:AH74"/>
  <sheetViews>
    <sheetView zoomScale="75" zoomScaleNormal="75" zoomScaleSheetLayoutView="80" workbookViewId="0">
      <pane ySplit="10" topLeftCell="A71" activePane="bottomLeft" state="frozen"/>
      <selection sqref="A1:XFD1048576"/>
      <selection pane="bottomLeft" activeCell="A10" sqref="A10:N10"/>
    </sheetView>
  </sheetViews>
  <sheetFormatPr defaultColWidth="10.19921875" defaultRowHeight="15.6"/>
  <cols>
    <col min="1" max="1" width="4.59765625" style="29" bestFit="1" customWidth="1"/>
    <col min="2" max="2" width="31.3984375" style="29" bestFit="1" customWidth="1"/>
    <col min="3" max="3" width="1.3984375" style="29" bestFit="1" customWidth="1"/>
    <col min="4" max="4" width="13.19921875" style="29" bestFit="1" customWidth="1"/>
    <col min="5" max="5" width="10.796875" style="29" bestFit="1" customWidth="1"/>
    <col min="6" max="6" width="2" style="29" bestFit="1" customWidth="1"/>
    <col min="7" max="7" width="12.59765625" style="29" bestFit="1" customWidth="1"/>
    <col min="8" max="8" width="10.796875" style="29" bestFit="1" customWidth="1"/>
    <col min="9" max="9" width="2" style="29" bestFit="1" customWidth="1"/>
    <col min="10" max="10" width="16.09765625" style="29" customWidth="1"/>
    <col min="11" max="11" width="1.59765625" style="29" customWidth="1"/>
    <col min="12" max="12" width="23.8984375" style="29" bestFit="1" customWidth="1"/>
    <col min="13" max="13" width="12.59765625" style="98" bestFit="1" customWidth="1"/>
    <col min="14" max="14" width="11.8984375" style="98" bestFit="1" customWidth="1"/>
    <col min="15" max="15" width="7.09765625" style="98" bestFit="1" customWidth="1"/>
    <col min="16" max="16" width="7.09765625" style="29" bestFit="1" customWidth="1"/>
    <col min="17" max="18" width="1.3984375" style="29" bestFit="1" customWidth="1"/>
    <col min="19" max="19" width="14.09765625" style="29" bestFit="1" customWidth="1"/>
    <col min="20" max="20" width="1.3984375" style="29" bestFit="1" customWidth="1"/>
    <col min="21" max="21" width="13.19921875" style="29" bestFit="1" customWidth="1"/>
    <col min="22" max="22" width="13" style="29" bestFit="1" customWidth="1"/>
    <col min="23" max="23" width="12.19921875" style="29" bestFit="1" customWidth="1"/>
    <col min="24" max="24" width="5.5" style="29" bestFit="1" customWidth="1"/>
    <col min="25" max="25" width="1.3984375" style="29" bestFit="1" customWidth="1"/>
    <col min="26" max="26" width="10.19921875" style="29" customWidth="1"/>
    <col min="27" max="27" width="12.09765625" style="29" customWidth="1"/>
    <col min="28" max="16384" width="10.19921875" style="29"/>
  </cols>
  <sheetData>
    <row r="1" spans="1:34" ht="17.399999999999999">
      <c r="B1" s="386" t="s">
        <v>44</v>
      </c>
      <c r="C1" s="386"/>
      <c r="D1" s="386"/>
      <c r="E1" s="386"/>
      <c r="F1" s="386"/>
      <c r="G1" s="386"/>
      <c r="H1" s="386"/>
      <c r="I1" s="386"/>
      <c r="J1" s="386"/>
      <c r="K1" s="386"/>
      <c r="L1" s="92"/>
      <c r="M1" s="93"/>
      <c r="N1" s="93"/>
      <c r="O1" s="93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34" ht="17.399999999999999">
      <c r="B2" s="386"/>
      <c r="C2" s="386"/>
      <c r="D2" s="386"/>
      <c r="E2" s="386"/>
      <c r="F2" s="386"/>
      <c r="G2" s="386"/>
      <c r="H2" s="386"/>
      <c r="I2" s="386"/>
      <c r="J2" s="386"/>
      <c r="K2" s="94"/>
      <c r="L2" s="92"/>
      <c r="M2" s="93"/>
      <c r="N2" s="93"/>
      <c r="O2" s="93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34">
      <c r="B3" s="387" t="str">
        <f>'Proforma-Proposed'!$A$6</f>
        <v>12 MONTHS ENDED SEPTEMBER 2016</v>
      </c>
      <c r="C3" s="387"/>
      <c r="D3" s="387"/>
      <c r="E3" s="387"/>
      <c r="F3" s="387"/>
      <c r="G3" s="387"/>
      <c r="H3" s="387"/>
      <c r="I3" s="387"/>
      <c r="J3" s="387"/>
      <c r="K3" s="95"/>
      <c r="L3" s="92"/>
      <c r="M3" s="93"/>
      <c r="N3" s="93"/>
      <c r="O3" s="93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</row>
    <row r="4" spans="1:34">
      <c r="B4" s="388" t="s">
        <v>21</v>
      </c>
      <c r="C4" s="388"/>
      <c r="D4" s="388"/>
      <c r="E4" s="388"/>
      <c r="F4" s="388"/>
      <c r="G4" s="388"/>
      <c r="H4" s="388"/>
      <c r="I4" s="388"/>
      <c r="J4" s="388"/>
      <c r="K4" s="23"/>
      <c r="L4" s="92"/>
      <c r="M4" s="93"/>
      <c r="N4" s="93"/>
      <c r="O4" s="93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</row>
    <row r="5" spans="1:34">
      <c r="B5" s="24" t="s">
        <v>126</v>
      </c>
      <c r="C5" s="96"/>
      <c r="D5" s="96"/>
      <c r="E5" s="97"/>
      <c r="F5" s="97"/>
      <c r="G5" s="96"/>
      <c r="H5" s="97"/>
      <c r="I5" s="96"/>
      <c r="J5" s="96"/>
      <c r="K5" s="96"/>
      <c r="L5" s="92"/>
      <c r="M5" s="93"/>
      <c r="N5" s="93"/>
      <c r="O5" s="93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</row>
    <row r="6" spans="1:34">
      <c r="B6" s="24"/>
      <c r="C6" s="96"/>
      <c r="D6" s="96"/>
      <c r="E6" s="97"/>
      <c r="F6" s="97"/>
      <c r="G6" s="96"/>
      <c r="H6" s="97"/>
      <c r="I6" s="96"/>
      <c r="J6" s="96"/>
      <c r="K6" s="96"/>
      <c r="L6" s="92"/>
      <c r="M6" s="93"/>
      <c r="N6" s="93"/>
      <c r="O6" s="93"/>
      <c r="P6" s="93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</row>
    <row r="7" spans="1:34">
      <c r="B7" s="96"/>
      <c r="C7" s="96"/>
      <c r="D7" s="96"/>
      <c r="E7" s="97"/>
      <c r="F7" s="97"/>
      <c r="G7" s="96"/>
      <c r="H7" s="97"/>
      <c r="I7" s="96"/>
      <c r="J7" s="96"/>
      <c r="K7" s="96"/>
      <c r="L7" s="92"/>
      <c r="M7" s="93"/>
      <c r="N7" s="93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</row>
    <row r="8" spans="1:34">
      <c r="B8" s="26"/>
      <c r="C8" s="26"/>
      <c r="D8" s="25"/>
      <c r="E8" s="26"/>
      <c r="F8" s="26"/>
      <c r="H8" s="26"/>
      <c r="I8" s="27"/>
      <c r="J8" s="27"/>
      <c r="K8" s="27"/>
      <c r="L8" s="92"/>
      <c r="M8" s="93"/>
      <c r="N8" s="93"/>
      <c r="O8" s="93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</row>
    <row r="9" spans="1:34">
      <c r="A9" s="25" t="s">
        <v>7</v>
      </c>
      <c r="B9" s="26"/>
      <c r="C9" s="26"/>
      <c r="D9" s="25" t="s">
        <v>22</v>
      </c>
      <c r="E9" s="389" t="s">
        <v>3</v>
      </c>
      <c r="F9" s="390"/>
      <c r="G9" s="391"/>
      <c r="H9" s="392" t="str">
        <f>'Residential Rate Design'!$H$9</f>
        <v xml:space="preserve">Proposed </v>
      </c>
      <c r="I9" s="390"/>
      <c r="J9" s="391"/>
      <c r="K9" s="27"/>
      <c r="L9" s="92"/>
      <c r="M9" s="93"/>
      <c r="N9" s="93"/>
      <c r="O9" s="93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</row>
    <row r="10" spans="1:34">
      <c r="A10" s="336" t="s">
        <v>13</v>
      </c>
      <c r="B10" s="337"/>
      <c r="C10" s="337"/>
      <c r="D10" s="336" t="s">
        <v>23</v>
      </c>
      <c r="E10" s="338" t="s">
        <v>24</v>
      </c>
      <c r="F10" s="338"/>
      <c r="G10" s="338" t="s">
        <v>25</v>
      </c>
      <c r="H10" s="338" t="s">
        <v>24</v>
      </c>
      <c r="I10" s="338"/>
      <c r="J10" s="338" t="s">
        <v>25</v>
      </c>
      <c r="K10" s="338"/>
      <c r="L10" s="339"/>
      <c r="M10" s="262"/>
      <c r="N10" s="262"/>
      <c r="O10" s="93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</row>
    <row r="11" spans="1:34">
      <c r="A11" s="205"/>
      <c r="D11" s="28" t="s">
        <v>966</v>
      </c>
      <c r="E11" s="28" t="s">
        <v>959</v>
      </c>
      <c r="F11" s="28"/>
      <c r="G11" s="27" t="s">
        <v>960</v>
      </c>
      <c r="H11" s="28" t="s">
        <v>961</v>
      </c>
      <c r="I11" s="28"/>
      <c r="J11" s="28" t="s">
        <v>962</v>
      </c>
      <c r="K11" s="28"/>
      <c r="L11" s="28" t="s">
        <v>963</v>
      </c>
      <c r="M11" s="28" t="s">
        <v>964</v>
      </c>
      <c r="N11" s="28" t="s">
        <v>965</v>
      </c>
      <c r="O11" s="93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H11" s="99"/>
    </row>
    <row r="12" spans="1:34">
      <c r="A12" s="206">
        <v>1</v>
      </c>
      <c r="B12" s="207" t="s">
        <v>125</v>
      </c>
      <c r="C12" s="102"/>
      <c r="D12" s="100"/>
      <c r="E12" s="116"/>
      <c r="F12" s="102"/>
      <c r="G12" s="102"/>
      <c r="H12" s="116"/>
      <c r="I12" s="102"/>
      <c r="J12" s="116" t="s">
        <v>0</v>
      </c>
      <c r="K12" s="116"/>
      <c r="M12" s="29"/>
      <c r="N12" s="29"/>
      <c r="O12" s="93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</row>
    <row r="13" spans="1:34">
      <c r="A13" s="206">
        <f>A12+1</f>
        <v>2</v>
      </c>
      <c r="B13" s="207" t="s">
        <v>127</v>
      </c>
      <c r="C13" s="102"/>
      <c r="D13" s="102" t="s">
        <v>0</v>
      </c>
      <c r="E13" s="116"/>
      <c r="F13" s="102"/>
      <c r="G13" s="102"/>
      <c r="H13" s="116"/>
      <c r="I13" s="102"/>
      <c r="J13" s="102"/>
      <c r="K13" s="102"/>
      <c r="M13" s="29"/>
      <c r="N13" s="29"/>
      <c r="O13" s="93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</row>
    <row r="14" spans="1:34">
      <c r="A14" s="206">
        <f t="shared" ref="A14:A74" si="0">A13+1</f>
        <v>3</v>
      </c>
      <c r="B14" s="102"/>
      <c r="C14" s="102"/>
      <c r="D14" s="102"/>
      <c r="E14" s="116"/>
      <c r="F14" s="102"/>
      <c r="G14" s="102"/>
      <c r="H14" s="116"/>
      <c r="I14" s="102"/>
      <c r="J14" s="102"/>
      <c r="K14" s="102"/>
      <c r="L14" s="92"/>
      <c r="M14" s="93"/>
      <c r="N14" s="93"/>
      <c r="O14" s="93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</row>
    <row r="15" spans="1:34">
      <c r="A15" s="206">
        <f t="shared" si="0"/>
        <v>4</v>
      </c>
      <c r="B15" s="102" t="s">
        <v>33</v>
      </c>
      <c r="C15" s="102"/>
      <c r="D15" s="100">
        <v>5842</v>
      </c>
      <c r="E15" s="213">
        <f>'Tariff Summary'!E70</f>
        <v>339.51</v>
      </c>
      <c r="F15" s="102"/>
      <c r="G15" s="116">
        <f>ROUND(E15*$D15,0)</f>
        <v>1983417</v>
      </c>
      <c r="H15" s="213">
        <f>ROUND(E15*(1+$N$31),2)</f>
        <v>360.7</v>
      </c>
      <c r="I15" s="102"/>
      <c r="J15" s="116">
        <f>ROUND(H15*$D15,0)</f>
        <v>2107209</v>
      </c>
      <c r="K15" s="116"/>
      <c r="L15" s="394" t="s">
        <v>89</v>
      </c>
      <c r="M15" s="394"/>
      <c r="N15" s="394"/>
      <c r="O15" s="93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</row>
    <row r="16" spans="1:34">
      <c r="A16" s="206">
        <f t="shared" si="0"/>
        <v>5</v>
      </c>
      <c r="B16" s="102" t="s">
        <v>36</v>
      </c>
      <c r="C16" s="102"/>
      <c r="D16" s="100"/>
      <c r="E16" s="36"/>
      <c r="F16" s="116"/>
      <c r="G16" s="116"/>
      <c r="H16" s="36"/>
      <c r="I16" s="116"/>
      <c r="J16" s="116"/>
      <c r="K16" s="116"/>
      <c r="L16" s="92"/>
      <c r="M16" s="93"/>
      <c r="N16" s="93"/>
      <c r="O16" s="93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</row>
    <row r="17" spans="1:27">
      <c r="A17" s="206">
        <f t="shared" si="0"/>
        <v>6</v>
      </c>
      <c r="B17" s="209" t="s">
        <v>42</v>
      </c>
      <c r="C17" s="102"/>
      <c r="D17" s="100">
        <v>1278724485</v>
      </c>
      <c r="E17" s="208">
        <f>'Tariff Summary'!E72</f>
        <v>5.4346999999999999E-2</v>
      </c>
      <c r="F17" s="116"/>
      <c r="G17" s="116">
        <f t="shared" ref="G17" si="1">ROUND($D17*E17,0)</f>
        <v>69494840</v>
      </c>
      <c r="H17" s="208">
        <f>ROUND(E17*(1+$N$31),6)-0.000004</f>
        <v>5.7735000000000002E-2</v>
      </c>
      <c r="I17" s="116"/>
      <c r="J17" s="116">
        <f t="shared" ref="J17" si="2">ROUND($D17*H17,0)</f>
        <v>73827158</v>
      </c>
      <c r="K17" s="116"/>
      <c r="L17" s="394" t="s">
        <v>131</v>
      </c>
      <c r="M17" s="394"/>
      <c r="N17" s="394"/>
      <c r="O17" s="93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</row>
    <row r="18" spans="1:27">
      <c r="A18" s="206">
        <f t="shared" si="0"/>
        <v>7</v>
      </c>
      <c r="B18" s="212" t="s">
        <v>26</v>
      </c>
      <c r="C18" s="102"/>
      <c r="D18" s="117">
        <f>SUM(D17:D17)</f>
        <v>1278724485</v>
      </c>
      <c r="E18" s="256"/>
      <c r="F18" s="102"/>
      <c r="G18" s="120">
        <f>SUM(G17:G17)</f>
        <v>69494840</v>
      </c>
      <c r="H18" s="256"/>
      <c r="I18" s="102"/>
      <c r="J18" s="120">
        <f>SUM(J17:J17)</f>
        <v>73827158</v>
      </c>
      <c r="K18" s="116"/>
      <c r="L18" s="92"/>
      <c r="M18" s="93"/>
      <c r="N18" s="93"/>
      <c r="O18" s="93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</row>
    <row r="19" spans="1:27">
      <c r="A19" s="206">
        <f t="shared" si="0"/>
        <v>8</v>
      </c>
      <c r="B19" s="209" t="s">
        <v>72</v>
      </c>
      <c r="C19" s="102"/>
      <c r="D19" s="100">
        <v>957232.70373482059</v>
      </c>
      <c r="E19" s="208">
        <f>E17</f>
        <v>5.4346999999999999E-2</v>
      </c>
      <c r="F19" s="102"/>
      <c r="G19" s="116">
        <f t="shared" ref="G19:G20" si="3">ROUND($D19*E19,0)</f>
        <v>52023</v>
      </c>
      <c r="H19" s="208">
        <f>H17</f>
        <v>5.7735000000000002E-2</v>
      </c>
      <c r="I19" s="102"/>
      <c r="J19" s="116">
        <f t="shared" ref="J19:J20" si="4">ROUND($D19*H19,0)</f>
        <v>55266</v>
      </c>
      <c r="K19" s="116"/>
      <c r="L19" s="118"/>
      <c r="M19" s="93"/>
      <c r="N19" s="93"/>
      <c r="O19" s="93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</row>
    <row r="20" spans="1:27">
      <c r="A20" s="206">
        <f t="shared" si="0"/>
        <v>9</v>
      </c>
      <c r="B20" s="123" t="s">
        <v>77</v>
      </c>
      <c r="C20" s="102"/>
      <c r="D20" s="113">
        <v>-15147343.245038178</v>
      </c>
      <c r="E20" s="208">
        <f>ROUND(SUM(G15,G18:G19,G25,G27)/SUM(D18:D19),6)</f>
        <v>8.0183000000000004E-2</v>
      </c>
      <c r="F20" s="102"/>
      <c r="G20" s="116">
        <f t="shared" si="3"/>
        <v>-1214559</v>
      </c>
      <c r="H20" s="208">
        <f>ROUND(E20*(1+$N$31),6)</f>
        <v>8.5188E-2</v>
      </c>
      <c r="I20" s="102"/>
      <c r="J20" s="116">
        <f t="shared" si="4"/>
        <v>-1290372</v>
      </c>
      <c r="K20" s="103"/>
      <c r="L20" s="394" t="s">
        <v>89</v>
      </c>
      <c r="M20" s="394"/>
      <c r="N20" s="394"/>
    </row>
    <row r="21" spans="1:27">
      <c r="A21" s="206">
        <f t="shared" si="0"/>
        <v>10</v>
      </c>
      <c r="B21" s="212" t="s">
        <v>26</v>
      </c>
      <c r="C21" s="102"/>
      <c r="D21" s="117">
        <f>SUM(D18:D20)</f>
        <v>1264534374.4586966</v>
      </c>
      <c r="E21" s="102"/>
      <c r="F21" s="102"/>
      <c r="G21" s="120">
        <f>SUM(G18:G20)</f>
        <v>68332304</v>
      </c>
      <c r="H21" s="102"/>
      <c r="I21" s="102"/>
      <c r="J21" s="120">
        <f>SUM(J18:J20)</f>
        <v>72592052</v>
      </c>
      <c r="K21" s="103"/>
      <c r="L21" s="118"/>
      <c r="M21" s="93"/>
      <c r="N21" s="93"/>
    </row>
    <row r="22" spans="1:27">
      <c r="A22" s="206">
        <f t="shared" si="0"/>
        <v>11</v>
      </c>
      <c r="B22" s="102" t="s">
        <v>35</v>
      </c>
      <c r="C22" s="102"/>
      <c r="D22" s="100"/>
      <c r="E22" s="216"/>
      <c r="F22" s="102"/>
      <c r="G22" s="116"/>
      <c r="H22" s="216"/>
      <c r="I22" s="102"/>
      <c r="J22" s="116"/>
      <c r="K22" s="116"/>
      <c r="L22" s="118"/>
      <c r="M22" s="119"/>
      <c r="N22" s="93"/>
    </row>
    <row r="23" spans="1:27">
      <c r="A23" s="206">
        <f t="shared" si="0"/>
        <v>12</v>
      </c>
      <c r="B23" s="209" t="s">
        <v>104</v>
      </c>
      <c r="C23" s="102"/>
      <c r="D23" s="100">
        <v>1575884.6</v>
      </c>
      <c r="E23" s="213">
        <f>'Tariff Summary'!E74</f>
        <v>11.32</v>
      </c>
      <c r="F23" s="102"/>
      <c r="G23" s="116">
        <f>ROUND(E23*$D23,0)</f>
        <v>17839014</v>
      </c>
      <c r="H23" s="213">
        <f>ROUND(E23*(1+$N$31),2)</f>
        <v>12.03</v>
      </c>
      <c r="I23" s="102"/>
      <c r="J23" s="116">
        <f>ROUND(H23*$D23,0)</f>
        <v>18957892</v>
      </c>
      <c r="K23" s="116"/>
      <c r="L23" s="394" t="s">
        <v>89</v>
      </c>
      <c r="M23" s="394"/>
      <c r="N23" s="394"/>
      <c r="O23" s="29"/>
    </row>
    <row r="24" spans="1:27">
      <c r="A24" s="206">
        <f t="shared" si="0"/>
        <v>13</v>
      </c>
      <c r="B24" s="209" t="s">
        <v>105</v>
      </c>
      <c r="C24" s="102"/>
      <c r="D24" s="100">
        <v>1658583.8</v>
      </c>
      <c r="E24" s="213">
        <f>'Tariff Summary'!E75</f>
        <v>7.55</v>
      </c>
      <c r="F24" s="102"/>
      <c r="G24" s="116">
        <f>ROUND(E24*$D24,0)</f>
        <v>12522308</v>
      </c>
      <c r="H24" s="213">
        <f>ROUND(E24*(1+$N$31),2)</f>
        <v>8.02</v>
      </c>
      <c r="I24" s="102"/>
      <c r="J24" s="116">
        <f>ROUND(H24*$D24,0)</f>
        <v>13301842</v>
      </c>
      <c r="K24" s="116"/>
      <c r="L24" s="394" t="s">
        <v>89</v>
      </c>
      <c r="M24" s="394"/>
      <c r="N24" s="394"/>
      <c r="O24" s="29"/>
    </row>
    <row r="25" spans="1:27">
      <c r="A25" s="206">
        <f t="shared" si="0"/>
        <v>14</v>
      </c>
      <c r="B25" s="212" t="s">
        <v>26</v>
      </c>
      <c r="C25" s="102"/>
      <c r="D25" s="117">
        <f>SUM(D23:D24)</f>
        <v>3234468.4000000004</v>
      </c>
      <c r="E25" s="216"/>
      <c r="F25" s="102"/>
      <c r="G25" s="120">
        <f>SUM(G23:G24)</f>
        <v>30361322</v>
      </c>
      <c r="H25" s="216"/>
      <c r="I25" s="102"/>
      <c r="J25" s="120">
        <f>SUM(J23:J24)</f>
        <v>32259734</v>
      </c>
      <c r="K25" s="116"/>
      <c r="L25" s="118"/>
      <c r="M25" s="93"/>
      <c r="N25" s="93"/>
    </row>
    <row r="26" spans="1:27">
      <c r="A26" s="206">
        <f t="shared" si="0"/>
        <v>15</v>
      </c>
      <c r="B26" s="102"/>
      <c r="C26" s="102"/>
      <c r="D26" s="113"/>
      <c r="E26" s="113"/>
      <c r="F26" s="102"/>
      <c r="G26" s="103"/>
      <c r="H26" s="113"/>
      <c r="I26" s="102"/>
      <c r="J26" s="103"/>
      <c r="K26" s="103"/>
      <c r="L26" s="118"/>
      <c r="M26" s="93"/>
      <c r="N26" s="93"/>
    </row>
    <row r="27" spans="1:27">
      <c r="A27" s="206">
        <f t="shared" si="0"/>
        <v>16</v>
      </c>
      <c r="B27" s="102" t="s">
        <v>99</v>
      </c>
      <c r="C27" s="102"/>
      <c r="D27" s="100">
        <v>677015089</v>
      </c>
      <c r="E27" s="255">
        <f>'Tariff Summary'!E77</f>
        <v>1.06E-3</v>
      </c>
      <c r="F27" s="102"/>
      <c r="G27" s="116">
        <f>ROUND(E27*$D27,0)</f>
        <v>717636</v>
      </c>
      <c r="H27" s="255">
        <f>ROUND(E27*(1+$N$31),5)</f>
        <v>1.1299999999999999E-3</v>
      </c>
      <c r="I27" s="102"/>
      <c r="J27" s="116">
        <f>ROUND(H27*$D27,0)</f>
        <v>765027</v>
      </c>
      <c r="K27" s="103"/>
      <c r="L27" s="394" t="s">
        <v>89</v>
      </c>
      <c r="M27" s="394"/>
      <c r="N27" s="394"/>
    </row>
    <row r="28" spans="1:27">
      <c r="A28" s="206">
        <f t="shared" si="0"/>
        <v>17</v>
      </c>
      <c r="B28" s="102"/>
      <c r="C28" s="102"/>
      <c r="D28" s="113"/>
      <c r="E28" s="113"/>
      <c r="F28" s="102"/>
      <c r="G28" s="103"/>
      <c r="H28" s="113"/>
      <c r="I28" s="102"/>
      <c r="J28" s="103"/>
      <c r="K28" s="103"/>
      <c r="L28" s="277"/>
      <c r="M28" s="119"/>
      <c r="N28" s="93"/>
    </row>
    <row r="29" spans="1:27" ht="16.2" thickBot="1">
      <c r="A29" s="206">
        <f t="shared" si="0"/>
        <v>18</v>
      </c>
      <c r="B29" s="102" t="s">
        <v>30</v>
      </c>
      <c r="C29" s="102"/>
      <c r="D29" s="113"/>
      <c r="E29" s="113"/>
      <c r="F29" s="102"/>
      <c r="G29" s="109">
        <f>SUM(G15,G21,G25,G27)</f>
        <v>101394679</v>
      </c>
      <c r="H29" s="113"/>
      <c r="I29" s="102"/>
      <c r="J29" s="109">
        <f>SUM(J15,J21,J25,J27)</f>
        <v>107724022</v>
      </c>
      <c r="K29" s="103"/>
      <c r="L29" s="277"/>
      <c r="M29" s="119"/>
      <c r="N29" s="93"/>
    </row>
    <row r="30" spans="1:27" ht="16.2" thickTop="1">
      <c r="A30" s="206">
        <f t="shared" si="0"/>
        <v>19</v>
      </c>
      <c r="B30" s="102"/>
      <c r="C30" s="122"/>
      <c r="D30" s="113"/>
      <c r="E30" s="113"/>
      <c r="F30" s="102"/>
      <c r="G30" s="116"/>
      <c r="H30" s="113"/>
      <c r="I30" s="102"/>
      <c r="J30" s="116"/>
      <c r="K30" s="116"/>
      <c r="L30" s="277"/>
      <c r="M30" s="119"/>
      <c r="N30" s="93"/>
    </row>
    <row r="31" spans="1:27">
      <c r="A31" s="206">
        <f t="shared" si="0"/>
        <v>20</v>
      </c>
      <c r="L31" s="121" t="s">
        <v>129</v>
      </c>
      <c r="M31" s="111">
        <f>'Rate Spread'!K17*1000</f>
        <v>107987265.0408121</v>
      </c>
      <c r="N31" s="112">
        <f>M31/SUM(G51,G29)-1</f>
        <v>6.2418244809244738E-2</v>
      </c>
    </row>
    <row r="32" spans="1:27">
      <c r="A32" s="206">
        <f t="shared" si="0"/>
        <v>21</v>
      </c>
      <c r="C32" s="102"/>
      <c r="D32" s="100"/>
      <c r="E32" s="116"/>
      <c r="F32" s="102"/>
      <c r="G32" s="102"/>
      <c r="H32" s="116"/>
      <c r="I32" s="102"/>
      <c r="J32" s="116" t="s">
        <v>0</v>
      </c>
      <c r="K32" s="116"/>
      <c r="L32" s="114" t="s">
        <v>29</v>
      </c>
      <c r="M32" s="115">
        <f>M31-J29-J51</f>
        <v>-496.95918789505959</v>
      </c>
      <c r="N32" s="38" t="s">
        <v>0</v>
      </c>
    </row>
    <row r="33" spans="1:14">
      <c r="A33" s="206">
        <f t="shared" si="0"/>
        <v>22</v>
      </c>
    </row>
    <row r="34" spans="1:14">
      <c r="A34" s="206">
        <f t="shared" si="0"/>
        <v>23</v>
      </c>
      <c r="B34" s="207" t="s">
        <v>128</v>
      </c>
      <c r="C34" s="102"/>
      <c r="D34" s="100"/>
      <c r="E34" s="116"/>
      <c r="F34" s="102"/>
      <c r="G34" s="102"/>
      <c r="H34" s="116"/>
      <c r="I34" s="102"/>
      <c r="J34" s="116" t="s">
        <v>0</v>
      </c>
      <c r="K34" s="116"/>
      <c r="M34" s="29"/>
      <c r="N34" s="29"/>
    </row>
    <row r="35" spans="1:14">
      <c r="A35" s="206">
        <f t="shared" si="0"/>
        <v>24</v>
      </c>
      <c r="B35" s="207" t="s">
        <v>127</v>
      </c>
      <c r="C35" s="102"/>
      <c r="D35" s="102" t="s">
        <v>0</v>
      </c>
      <c r="E35" s="116"/>
      <c r="F35" s="102"/>
      <c r="G35" s="102"/>
      <c r="H35" s="116"/>
      <c r="I35" s="102"/>
      <c r="J35" s="102"/>
      <c r="K35" s="102"/>
      <c r="M35" s="29"/>
      <c r="N35" s="29"/>
    </row>
    <row r="36" spans="1:14">
      <c r="A36" s="206">
        <f t="shared" si="0"/>
        <v>25</v>
      </c>
      <c r="B36" s="102"/>
      <c r="C36" s="102"/>
      <c r="D36" s="102"/>
      <c r="E36" s="116"/>
      <c r="F36" s="102"/>
      <c r="G36" s="102"/>
      <c r="H36" s="116"/>
      <c r="I36" s="102"/>
      <c r="J36" s="102"/>
      <c r="K36" s="102"/>
      <c r="L36" s="92"/>
      <c r="M36" s="93"/>
      <c r="N36" s="93"/>
    </row>
    <row r="37" spans="1:14">
      <c r="A37" s="206">
        <f t="shared" si="0"/>
        <v>26</v>
      </c>
      <c r="B37" s="102" t="s">
        <v>33</v>
      </c>
      <c r="C37" s="102"/>
      <c r="D37" s="100">
        <v>12</v>
      </c>
      <c r="E37" s="213">
        <f>'Tariff Summary'!E80</f>
        <v>339.51</v>
      </c>
      <c r="F37" s="102"/>
      <c r="G37" s="116">
        <f>ROUND(E37*$D37,0)</f>
        <v>4074</v>
      </c>
      <c r="H37" s="213">
        <f>H15</f>
        <v>360.7</v>
      </c>
      <c r="I37" s="102"/>
      <c r="J37" s="116">
        <f>ROUND(H37*$D37,0)</f>
        <v>4328</v>
      </c>
      <c r="K37" s="116"/>
      <c r="L37" s="394" t="s">
        <v>130</v>
      </c>
      <c r="M37" s="394"/>
      <c r="N37" s="394"/>
    </row>
    <row r="38" spans="1:14">
      <c r="A38" s="206">
        <f t="shared" si="0"/>
        <v>27</v>
      </c>
      <c r="B38" s="102" t="s">
        <v>36</v>
      </c>
      <c r="C38" s="102"/>
      <c r="D38" s="100"/>
      <c r="E38" s="36"/>
      <c r="F38" s="116"/>
      <c r="G38" s="116"/>
      <c r="H38" s="36"/>
      <c r="I38" s="116"/>
      <c r="J38" s="116"/>
      <c r="K38" s="116"/>
      <c r="L38" s="92"/>
      <c r="M38" s="93"/>
      <c r="N38" s="93"/>
    </row>
    <row r="39" spans="1:14">
      <c r="A39" s="206">
        <f t="shared" si="0"/>
        <v>28</v>
      </c>
      <c r="B39" s="209" t="s">
        <v>42</v>
      </c>
      <c r="C39" s="102"/>
      <c r="D39" s="100">
        <v>4443000</v>
      </c>
      <c r="E39" s="208">
        <f>'Tariff Summary'!E82</f>
        <v>4.8598000000000002E-2</v>
      </c>
      <c r="F39" s="116"/>
      <c r="G39" s="116">
        <f t="shared" ref="G39" si="5">ROUND($D39*E39,0)</f>
        <v>215921</v>
      </c>
      <c r="H39" s="208">
        <f>ROUND(E39*(1+$N$31),6)</f>
        <v>5.1631000000000003E-2</v>
      </c>
      <c r="I39" s="116"/>
      <c r="J39" s="116">
        <f t="shared" ref="J39" si="6">ROUND($D39*H39,0)</f>
        <v>229397</v>
      </c>
      <c r="K39" s="116"/>
      <c r="L39" s="394" t="s">
        <v>89</v>
      </c>
      <c r="M39" s="394"/>
      <c r="N39" s="394"/>
    </row>
    <row r="40" spans="1:14">
      <c r="A40" s="206">
        <f t="shared" si="0"/>
        <v>29</v>
      </c>
      <c r="B40" s="212" t="s">
        <v>26</v>
      </c>
      <c r="C40" s="102"/>
      <c r="D40" s="117">
        <f>SUM(D39:D39)</f>
        <v>4443000</v>
      </c>
      <c r="E40" s="256"/>
      <c r="F40" s="102"/>
      <c r="G40" s="120">
        <f>SUM(G39:G39)</f>
        <v>215921</v>
      </c>
      <c r="H40" s="256"/>
      <c r="I40" s="102"/>
      <c r="J40" s="120">
        <f>SUM(J39:J39)</f>
        <v>229397</v>
      </c>
      <c r="K40" s="116"/>
      <c r="L40" s="92"/>
      <c r="M40" s="93"/>
      <c r="N40" s="93"/>
    </row>
    <row r="41" spans="1:14">
      <c r="A41" s="206">
        <f t="shared" si="0"/>
        <v>30</v>
      </c>
      <c r="B41" s="209" t="s">
        <v>72</v>
      </c>
      <c r="C41" s="102"/>
      <c r="D41" s="100">
        <v>0</v>
      </c>
      <c r="E41" s="208">
        <f>E39</f>
        <v>4.8598000000000002E-2</v>
      </c>
      <c r="F41" s="102"/>
      <c r="G41" s="116">
        <f t="shared" ref="G41:G42" si="7">ROUND($D41*E41,0)</f>
        <v>0</v>
      </c>
      <c r="H41" s="208">
        <f>H39</f>
        <v>5.1631000000000003E-2</v>
      </c>
      <c r="I41" s="102"/>
      <c r="J41" s="116">
        <f t="shared" ref="J41:J42" si="8">ROUND($D41*H41,0)</f>
        <v>0</v>
      </c>
      <c r="K41" s="116"/>
      <c r="L41" s="118"/>
      <c r="M41" s="93"/>
      <c r="N41" s="93"/>
    </row>
    <row r="42" spans="1:14">
      <c r="A42" s="206">
        <f t="shared" si="0"/>
        <v>31</v>
      </c>
      <c r="B42" s="123" t="s">
        <v>77</v>
      </c>
      <c r="C42" s="102"/>
      <c r="D42" s="113">
        <v>9600</v>
      </c>
      <c r="E42" s="208">
        <f>ROUND(SUM(G37,G40,G47,G49)/D40,6)</f>
        <v>5.5745999999999997E-2</v>
      </c>
      <c r="F42" s="102"/>
      <c r="G42" s="116">
        <f t="shared" si="7"/>
        <v>535</v>
      </c>
      <c r="H42" s="208">
        <f>ROUND(E42*(1+$N$31),6)</f>
        <v>5.9226000000000001E-2</v>
      </c>
      <c r="I42" s="102"/>
      <c r="J42" s="116">
        <f t="shared" si="8"/>
        <v>569</v>
      </c>
      <c r="K42" s="103"/>
      <c r="L42" s="394" t="s">
        <v>89</v>
      </c>
      <c r="M42" s="394"/>
      <c r="N42" s="394"/>
    </row>
    <row r="43" spans="1:14">
      <c r="A43" s="206">
        <f t="shared" si="0"/>
        <v>32</v>
      </c>
      <c r="B43" s="212" t="s">
        <v>26</v>
      </c>
      <c r="C43" s="102"/>
      <c r="D43" s="117">
        <f>SUM(D40:D42)</f>
        <v>4452600</v>
      </c>
      <c r="E43" s="102"/>
      <c r="F43" s="102"/>
      <c r="G43" s="120">
        <f>SUM(G40:G42)</f>
        <v>216456</v>
      </c>
      <c r="H43" s="102"/>
      <c r="I43" s="102"/>
      <c r="J43" s="120">
        <f>SUM(J40:J42)</f>
        <v>229966</v>
      </c>
      <c r="K43" s="103"/>
      <c r="L43" s="118"/>
      <c r="M43" s="93"/>
      <c r="N43" s="93"/>
    </row>
    <row r="44" spans="1:14">
      <c r="A44" s="206">
        <f t="shared" si="0"/>
        <v>33</v>
      </c>
      <c r="B44" s="102" t="s">
        <v>35</v>
      </c>
      <c r="C44" s="102"/>
      <c r="D44" s="100"/>
      <c r="E44" s="216"/>
      <c r="F44" s="102"/>
      <c r="G44" s="116"/>
      <c r="H44" s="216"/>
      <c r="I44" s="102"/>
      <c r="J44" s="116"/>
      <c r="K44" s="116"/>
      <c r="L44" s="118"/>
      <c r="M44" s="119"/>
      <c r="N44" s="93"/>
    </row>
    <row r="45" spans="1:14">
      <c r="A45" s="206">
        <f t="shared" si="0"/>
        <v>34</v>
      </c>
      <c r="B45" s="209" t="s">
        <v>104</v>
      </c>
      <c r="C45" s="102"/>
      <c r="D45" s="100">
        <v>204</v>
      </c>
      <c r="E45" s="213">
        <f>'Tariff Summary'!E84</f>
        <v>4.49</v>
      </c>
      <c r="F45" s="102"/>
      <c r="G45" s="116">
        <f>ROUND(E45*$D45,0)</f>
        <v>916</v>
      </c>
      <c r="H45" s="213">
        <f>ROUND(E45*(1+$N$31),2)</f>
        <v>4.7699999999999996</v>
      </c>
      <c r="I45" s="102"/>
      <c r="J45" s="116">
        <f>ROUND(H45*$D45,0)</f>
        <v>973</v>
      </c>
      <c r="K45" s="116"/>
      <c r="L45" s="394" t="s">
        <v>89</v>
      </c>
      <c r="M45" s="394"/>
      <c r="N45" s="394"/>
    </row>
    <row r="46" spans="1:14">
      <c r="A46" s="206">
        <f t="shared" si="0"/>
        <v>35</v>
      </c>
      <c r="B46" s="209" t="s">
        <v>105</v>
      </c>
      <c r="C46" s="102"/>
      <c r="D46" s="100">
        <v>8102</v>
      </c>
      <c r="E46" s="213">
        <f>'Tariff Summary'!E85</f>
        <v>2.99</v>
      </c>
      <c r="F46" s="102"/>
      <c r="G46" s="116">
        <f>ROUND(E46*$D46,0)</f>
        <v>24225</v>
      </c>
      <c r="H46" s="213">
        <f>ROUND(E46*(1+$N$31),2)</f>
        <v>3.18</v>
      </c>
      <c r="I46" s="102"/>
      <c r="J46" s="116">
        <f>ROUND(H46*$D46,0)</f>
        <v>25764</v>
      </c>
      <c r="K46" s="116"/>
      <c r="L46" s="394" t="s">
        <v>89</v>
      </c>
      <c r="M46" s="394"/>
      <c r="N46" s="394"/>
    </row>
    <row r="47" spans="1:14">
      <c r="A47" s="206">
        <f t="shared" si="0"/>
        <v>36</v>
      </c>
      <c r="B47" s="212" t="s">
        <v>26</v>
      </c>
      <c r="C47" s="102"/>
      <c r="D47" s="117">
        <f>SUM(D45:D46)</f>
        <v>8306</v>
      </c>
      <c r="E47" s="216"/>
      <c r="F47" s="102"/>
      <c r="G47" s="120">
        <f>SUM(G45:G46)</f>
        <v>25141</v>
      </c>
      <c r="H47" s="216"/>
      <c r="I47" s="102"/>
      <c r="J47" s="120">
        <f>SUM(J45:J46)</f>
        <v>26737</v>
      </c>
      <c r="K47" s="116"/>
      <c r="L47" s="118"/>
      <c r="M47" s="93"/>
      <c r="N47" s="93"/>
    </row>
    <row r="48" spans="1:14">
      <c r="A48" s="206">
        <f t="shared" si="0"/>
        <v>37</v>
      </c>
      <c r="B48" s="102"/>
      <c r="C48" s="102"/>
      <c r="D48" s="113"/>
      <c r="E48" s="113"/>
      <c r="F48" s="102"/>
      <c r="G48" s="103"/>
      <c r="H48" s="113"/>
      <c r="I48" s="102"/>
      <c r="J48" s="103"/>
      <c r="K48" s="103"/>
      <c r="L48" s="118"/>
      <c r="M48" s="93"/>
      <c r="N48" s="93"/>
    </row>
    <row r="49" spans="1:14">
      <c r="A49" s="206">
        <f t="shared" si="0"/>
        <v>38</v>
      </c>
      <c r="B49" s="102" t="s">
        <v>99</v>
      </c>
      <c r="C49" s="102"/>
      <c r="D49" s="100">
        <v>2355612</v>
      </c>
      <c r="E49" s="255">
        <f>'Tariff Summary'!E87</f>
        <v>1.08E-3</v>
      </c>
      <c r="F49" s="102"/>
      <c r="G49" s="116">
        <f>ROUND(E49*$D49,0)</f>
        <v>2544</v>
      </c>
      <c r="H49" s="255">
        <f>ROUND(E49*(1+$N$31),5)</f>
        <v>1.15E-3</v>
      </c>
      <c r="I49" s="102"/>
      <c r="J49" s="116">
        <f>ROUND(H49*$D49,0)</f>
        <v>2709</v>
      </c>
      <c r="K49" s="103"/>
      <c r="L49" s="394" t="s">
        <v>89</v>
      </c>
      <c r="M49" s="394"/>
      <c r="N49" s="394"/>
    </row>
    <row r="50" spans="1:14">
      <c r="A50" s="206">
        <f t="shared" si="0"/>
        <v>39</v>
      </c>
      <c r="B50" s="102"/>
      <c r="C50" s="102"/>
      <c r="D50" s="113"/>
      <c r="E50" s="113"/>
      <c r="F50" s="102"/>
      <c r="G50" s="103"/>
      <c r="H50" s="113"/>
      <c r="I50" s="102"/>
      <c r="J50" s="103"/>
      <c r="K50" s="103"/>
      <c r="L50" s="277"/>
      <c r="M50" s="119"/>
      <c r="N50" s="93"/>
    </row>
    <row r="51" spans="1:14" ht="16.2" thickBot="1">
      <c r="A51" s="206">
        <f t="shared" si="0"/>
        <v>40</v>
      </c>
      <c r="B51" s="102" t="s">
        <v>30</v>
      </c>
      <c r="C51" s="102"/>
      <c r="D51" s="113"/>
      <c r="E51" s="113"/>
      <c r="F51" s="102"/>
      <c r="G51" s="109">
        <f>SUM(G37,G43,G47,G49)</f>
        <v>248215</v>
      </c>
      <c r="H51" s="113"/>
      <c r="I51" s="102"/>
      <c r="J51" s="109">
        <f>SUM(J37,J43,J47,J49)</f>
        <v>263740</v>
      </c>
      <c r="K51" s="103"/>
      <c r="L51" s="118"/>
      <c r="M51" s="119"/>
      <c r="N51" s="93"/>
    </row>
    <row r="52" spans="1:14" ht="16.2" thickTop="1">
      <c r="A52" s="206">
        <f t="shared" si="0"/>
        <v>41</v>
      </c>
      <c r="B52" s="102"/>
      <c r="C52" s="122"/>
      <c r="D52" s="113"/>
      <c r="E52" s="113"/>
      <c r="F52" s="102"/>
      <c r="G52" s="116"/>
      <c r="H52" s="113"/>
      <c r="I52" s="102"/>
      <c r="J52" s="116"/>
      <c r="K52" s="116"/>
      <c r="L52" s="118"/>
      <c r="M52" s="119"/>
      <c r="N52" s="93"/>
    </row>
    <row r="53" spans="1:14">
      <c r="A53" s="206">
        <f t="shared" si="0"/>
        <v>42</v>
      </c>
      <c r="B53" s="207" t="s">
        <v>134</v>
      </c>
      <c r="C53" s="102"/>
      <c r="D53" s="100"/>
      <c r="E53" s="116"/>
      <c r="F53" s="102"/>
      <c r="G53" s="102"/>
      <c r="H53" s="116"/>
      <c r="I53" s="102"/>
      <c r="J53" s="116" t="s">
        <v>0</v>
      </c>
      <c r="K53" s="116"/>
      <c r="M53" s="29"/>
      <c r="N53" s="29"/>
    </row>
    <row r="54" spans="1:14">
      <c r="A54" s="206">
        <f t="shared" si="0"/>
        <v>43</v>
      </c>
      <c r="B54" s="207" t="s">
        <v>135</v>
      </c>
      <c r="C54" s="102"/>
      <c r="D54" s="102" t="s">
        <v>0</v>
      </c>
      <c r="E54" s="116"/>
      <c r="F54" s="102"/>
      <c r="G54" s="102"/>
      <c r="H54" s="116"/>
      <c r="I54" s="102"/>
      <c r="J54" s="102"/>
      <c r="K54" s="102"/>
      <c r="M54" s="29"/>
      <c r="N54" s="29"/>
    </row>
    <row r="55" spans="1:14">
      <c r="A55" s="206">
        <f t="shared" si="0"/>
        <v>44</v>
      </c>
      <c r="B55" s="102"/>
      <c r="C55" s="102"/>
      <c r="D55" s="102"/>
      <c r="E55" s="116"/>
      <c r="F55" s="102"/>
      <c r="G55" s="102"/>
      <c r="H55" s="116"/>
      <c r="I55" s="102"/>
      <c r="J55" s="102"/>
      <c r="K55" s="102"/>
      <c r="L55" s="92"/>
      <c r="M55" s="93"/>
      <c r="N55" s="93"/>
    </row>
    <row r="56" spans="1:14">
      <c r="A56" s="206">
        <f t="shared" si="0"/>
        <v>45</v>
      </c>
      <c r="B56" s="102" t="s">
        <v>33</v>
      </c>
      <c r="C56" s="102"/>
      <c r="D56" s="100">
        <v>1904</v>
      </c>
      <c r="E56" s="213">
        <f>'Tariff Summary'!E90</f>
        <v>339.51</v>
      </c>
      <c r="F56" s="102"/>
      <c r="G56" s="116">
        <f>ROUND(E56*$D56,0)</f>
        <v>646427</v>
      </c>
      <c r="H56" s="213">
        <f>H15</f>
        <v>360.7</v>
      </c>
      <c r="I56" s="102"/>
      <c r="J56" s="116">
        <f>ROUND(H56*$D56,0)</f>
        <v>686773</v>
      </c>
      <c r="K56" s="116"/>
      <c r="L56" s="394" t="s">
        <v>130</v>
      </c>
      <c r="M56" s="394"/>
      <c r="N56" s="394"/>
    </row>
    <row r="57" spans="1:14">
      <c r="A57" s="206">
        <f t="shared" si="0"/>
        <v>46</v>
      </c>
      <c r="B57" s="102" t="s">
        <v>36</v>
      </c>
      <c r="C57" s="102"/>
      <c r="D57" s="100"/>
      <c r="E57" s="36"/>
      <c r="F57" s="116"/>
      <c r="G57" s="116"/>
      <c r="H57" s="36"/>
      <c r="I57" s="116"/>
      <c r="J57" s="116"/>
      <c r="K57" s="116"/>
      <c r="L57" s="92"/>
      <c r="M57" s="93"/>
      <c r="N57" s="93"/>
    </row>
    <row r="58" spans="1:14">
      <c r="A58" s="206">
        <f t="shared" si="0"/>
        <v>47</v>
      </c>
      <c r="B58" s="209" t="s">
        <v>42</v>
      </c>
      <c r="C58" s="102"/>
      <c r="D58" s="100">
        <v>116386804</v>
      </c>
      <c r="E58" s="208">
        <f>'Tariff Summary'!E92</f>
        <v>5.5893999999999999E-2</v>
      </c>
      <c r="F58" s="116"/>
      <c r="G58" s="116">
        <f t="shared" ref="G58" si="9">ROUND($D58*E58,0)</f>
        <v>6505324</v>
      </c>
      <c r="H58" s="208">
        <f>ROUND((M73-J56-J61-J64-J69)/SUM(D59:D60),6)</f>
        <v>6.1162000000000001E-2</v>
      </c>
      <c r="I58" s="116"/>
      <c r="J58" s="116">
        <f t="shared" ref="J58" si="10">ROUND($D58*H58,0)</f>
        <v>7118450</v>
      </c>
      <c r="K58" s="116"/>
      <c r="L58" s="394" t="s">
        <v>137</v>
      </c>
      <c r="M58" s="394"/>
      <c r="N58" s="394"/>
    </row>
    <row r="59" spans="1:14">
      <c r="A59" s="206">
        <f t="shared" si="0"/>
        <v>48</v>
      </c>
      <c r="B59" s="212" t="s">
        <v>26</v>
      </c>
      <c r="C59" s="102"/>
      <c r="D59" s="117">
        <f>SUM(D58:D58)</f>
        <v>116386804</v>
      </c>
      <c r="E59" s="256"/>
      <c r="F59" s="102"/>
      <c r="G59" s="120">
        <f>SUM(G58:G58)</f>
        <v>6505324</v>
      </c>
      <c r="H59" s="256"/>
      <c r="I59" s="102"/>
      <c r="J59" s="120">
        <f>SUM(J58:J58)</f>
        <v>7118450</v>
      </c>
      <c r="K59" s="116"/>
      <c r="L59" s="179"/>
      <c r="M59" s="93"/>
      <c r="N59" s="93"/>
    </row>
    <row r="60" spans="1:14">
      <c r="A60" s="206">
        <f t="shared" si="0"/>
        <v>49</v>
      </c>
      <c r="B60" s="209" t="s">
        <v>72</v>
      </c>
      <c r="C60" s="102"/>
      <c r="D60" s="100">
        <v>3836119.7974334164</v>
      </c>
      <c r="E60" s="208">
        <f>E58</f>
        <v>5.5893999999999999E-2</v>
      </c>
      <c r="F60" s="102"/>
      <c r="G60" s="116">
        <f t="shared" ref="G60:G61" si="11">ROUND($D60*E60,0)</f>
        <v>214416</v>
      </c>
      <c r="H60" s="208">
        <f>H58</f>
        <v>6.1162000000000001E-2</v>
      </c>
      <c r="I60" s="102"/>
      <c r="J60" s="116">
        <f t="shared" ref="J60:J61" si="12">ROUND($D60*H60,0)</f>
        <v>234625</v>
      </c>
      <c r="K60" s="116"/>
      <c r="L60" s="326"/>
      <c r="M60" s="93"/>
      <c r="N60" s="93"/>
    </row>
    <row r="61" spans="1:14">
      <c r="A61" s="206">
        <f t="shared" si="0"/>
        <v>50</v>
      </c>
      <c r="B61" s="123" t="s">
        <v>77</v>
      </c>
      <c r="C61" s="102"/>
      <c r="D61" s="113">
        <v>-562522.33265664149</v>
      </c>
      <c r="E61" s="208">
        <f>ROUND(SUM(G56,G59:G60,G65,G69)/SUM(D59:D60),6)</f>
        <v>8.6392999999999998E-2</v>
      </c>
      <c r="F61" s="102"/>
      <c r="G61" s="116">
        <f t="shared" si="11"/>
        <v>-48598</v>
      </c>
      <c r="H61" s="208">
        <f>ROUND(E61*(1+$N$73),6)</f>
        <v>9.3583E-2</v>
      </c>
      <c r="I61" s="102"/>
      <c r="J61" s="116">
        <f t="shared" si="12"/>
        <v>-52643</v>
      </c>
      <c r="K61" s="103"/>
      <c r="L61" s="394" t="s">
        <v>89</v>
      </c>
      <c r="M61" s="394"/>
      <c r="N61" s="394"/>
    </row>
    <row r="62" spans="1:14">
      <c r="A62" s="206">
        <f t="shared" si="0"/>
        <v>51</v>
      </c>
      <c r="B62" s="212" t="s">
        <v>26</v>
      </c>
      <c r="C62" s="102"/>
      <c r="D62" s="117">
        <f>SUM(D59:D61)</f>
        <v>119660401.46477678</v>
      </c>
      <c r="E62" s="102"/>
      <c r="F62" s="102"/>
      <c r="G62" s="120">
        <f>SUM(G59:G61)</f>
        <v>6671142</v>
      </c>
      <c r="H62" s="102"/>
      <c r="I62" s="102"/>
      <c r="J62" s="120">
        <f>SUM(J59:J61)</f>
        <v>7300432</v>
      </c>
      <c r="K62" s="103"/>
      <c r="L62" s="118"/>
      <c r="M62" s="93"/>
      <c r="N62" s="93"/>
    </row>
    <row r="63" spans="1:14">
      <c r="A63" s="206">
        <f t="shared" si="0"/>
        <v>52</v>
      </c>
      <c r="B63" s="102" t="s">
        <v>35</v>
      </c>
      <c r="C63" s="102"/>
      <c r="D63" s="100"/>
      <c r="E63" s="216"/>
      <c r="F63" s="102"/>
      <c r="G63" s="116"/>
      <c r="H63" s="216"/>
      <c r="I63" s="102"/>
      <c r="J63" s="116"/>
      <c r="K63" s="116"/>
      <c r="L63" s="118"/>
      <c r="M63" s="119"/>
      <c r="N63" s="93"/>
    </row>
    <row r="64" spans="1:14">
      <c r="A64" s="206">
        <f t="shared" si="0"/>
        <v>53</v>
      </c>
      <c r="B64" s="209" t="s">
        <v>136</v>
      </c>
      <c r="C64" s="102"/>
      <c r="D64" s="100">
        <v>604733</v>
      </c>
      <c r="E64" s="213">
        <f>'Tariff Summary'!E94</f>
        <v>4.75</v>
      </c>
      <c r="F64" s="102"/>
      <c r="G64" s="116">
        <f>ROUND(E64*$D64,0)</f>
        <v>2872482</v>
      </c>
      <c r="H64" s="213">
        <f>ROUND(E64*(1+$N$31),2)</f>
        <v>5.05</v>
      </c>
      <c r="I64" s="102"/>
      <c r="J64" s="116">
        <f>ROUND(H64*$D64,0)</f>
        <v>3053902</v>
      </c>
      <c r="K64" s="116"/>
      <c r="L64" s="394" t="s">
        <v>89</v>
      </c>
      <c r="M64" s="394"/>
      <c r="N64" s="394"/>
    </row>
    <row r="65" spans="1:14">
      <c r="A65" s="206">
        <f t="shared" si="0"/>
        <v>54</v>
      </c>
      <c r="B65" s="212" t="s">
        <v>26</v>
      </c>
      <c r="C65" s="102"/>
      <c r="D65" s="117">
        <f>SUM(D64:D64)</f>
        <v>604733</v>
      </c>
      <c r="E65" s="216"/>
      <c r="F65" s="102"/>
      <c r="G65" s="120">
        <f>SUM(G64:G64)</f>
        <v>2872482</v>
      </c>
      <c r="H65" s="216"/>
      <c r="I65" s="102"/>
      <c r="J65" s="120">
        <f>SUM(J64:J64)</f>
        <v>3053902</v>
      </c>
      <c r="K65" s="116"/>
      <c r="L65" s="118"/>
      <c r="M65" s="93"/>
      <c r="N65" s="93"/>
    </row>
    <row r="66" spans="1:14">
      <c r="A66" s="206">
        <f t="shared" si="0"/>
        <v>55</v>
      </c>
      <c r="B66" s="102"/>
      <c r="C66" s="102"/>
      <c r="D66" s="113"/>
      <c r="E66" s="113"/>
      <c r="F66" s="102"/>
      <c r="G66" s="103"/>
      <c r="H66" s="113"/>
      <c r="I66" s="102"/>
      <c r="J66" s="103"/>
      <c r="K66" s="103"/>
      <c r="L66" s="118"/>
      <c r="M66" s="93"/>
      <c r="N66" s="93"/>
    </row>
    <row r="67" spans="1:14">
      <c r="A67" s="206">
        <f t="shared" si="0"/>
        <v>56</v>
      </c>
      <c r="B67" s="29" t="s">
        <v>820</v>
      </c>
      <c r="C67" s="102"/>
      <c r="D67" s="100">
        <v>0</v>
      </c>
      <c r="E67" s="274">
        <f>ROUND(E23-E64,2)</f>
        <v>6.57</v>
      </c>
      <c r="F67" s="102"/>
      <c r="G67" s="116">
        <f>ROUND(E67*$D67,0)</f>
        <v>0</v>
      </c>
      <c r="H67" s="274">
        <f>ROUND(H23-H64,2)</f>
        <v>6.98</v>
      </c>
      <c r="I67" s="102"/>
      <c r="J67" s="116">
        <f>ROUND(H67*$D67,0)</f>
        <v>0</v>
      </c>
      <c r="K67" s="103"/>
      <c r="L67" s="394" t="s">
        <v>821</v>
      </c>
      <c r="M67" s="394"/>
      <c r="N67" s="394"/>
    </row>
    <row r="68" spans="1:14">
      <c r="A68" s="206">
        <f t="shared" si="0"/>
        <v>57</v>
      </c>
      <c r="B68" s="102"/>
      <c r="C68" s="102"/>
      <c r="D68" s="113"/>
      <c r="E68" s="113"/>
      <c r="F68" s="102"/>
      <c r="G68" s="103"/>
      <c r="H68" s="113"/>
      <c r="I68" s="102"/>
      <c r="J68" s="103"/>
      <c r="K68" s="103"/>
      <c r="L68" s="118"/>
      <c r="M68" s="93"/>
      <c r="N68" s="93"/>
    </row>
    <row r="69" spans="1:14">
      <c r="A69" s="206">
        <f t="shared" si="0"/>
        <v>58</v>
      </c>
      <c r="B69" s="102" t="s">
        <v>99</v>
      </c>
      <c r="C69" s="102"/>
      <c r="D69" s="100">
        <v>49257775</v>
      </c>
      <c r="E69" s="255">
        <f>'Tariff Summary'!E98</f>
        <v>3.0000000000000001E-3</v>
      </c>
      <c r="F69" s="102"/>
      <c r="G69" s="116">
        <f>ROUND(E69*$D69,0)</f>
        <v>147773</v>
      </c>
      <c r="H69" s="255">
        <f>ROUND(E69*(1+$N$31),5)</f>
        <v>3.1900000000000001E-3</v>
      </c>
      <c r="I69" s="102"/>
      <c r="J69" s="116">
        <f>ROUND(H69*$D69,0)</f>
        <v>157132</v>
      </c>
      <c r="K69" s="103"/>
      <c r="L69" s="394" t="s">
        <v>89</v>
      </c>
      <c r="M69" s="394"/>
      <c r="N69" s="394"/>
    </row>
    <row r="70" spans="1:14">
      <c r="A70" s="206">
        <f t="shared" si="0"/>
        <v>59</v>
      </c>
      <c r="B70" s="102"/>
      <c r="C70" s="102"/>
      <c r="D70" s="113"/>
      <c r="E70" s="113"/>
      <c r="F70" s="102"/>
      <c r="G70" s="103"/>
      <c r="H70" s="113"/>
      <c r="I70" s="102"/>
      <c r="J70" s="103"/>
      <c r="K70" s="103"/>
      <c r="L70" s="277"/>
      <c r="M70" s="119"/>
      <c r="N70" s="93"/>
    </row>
    <row r="71" spans="1:14" ht="16.2" thickBot="1">
      <c r="A71" s="206">
        <f t="shared" si="0"/>
        <v>60</v>
      </c>
      <c r="B71" s="102" t="s">
        <v>30</v>
      </c>
      <c r="C71" s="102"/>
      <c r="D71" s="113"/>
      <c r="E71" s="113"/>
      <c r="F71" s="102"/>
      <c r="G71" s="109">
        <f>SUM(G56,G62,G65,G69)</f>
        <v>10337824</v>
      </c>
      <c r="H71" s="113"/>
      <c r="I71" s="102"/>
      <c r="J71" s="109">
        <f>SUM(J56,J62,J65,J69)</f>
        <v>11198239</v>
      </c>
      <c r="K71" s="103"/>
      <c r="L71" s="277"/>
      <c r="M71" s="119"/>
      <c r="N71" s="93"/>
    </row>
    <row r="72" spans="1:14" ht="16.2" thickTop="1">
      <c r="A72" s="206">
        <f t="shared" si="0"/>
        <v>61</v>
      </c>
      <c r="B72" s="102"/>
      <c r="C72" s="122"/>
      <c r="D72" s="113"/>
      <c r="E72" s="113"/>
      <c r="F72" s="102"/>
      <c r="G72" s="116"/>
      <c r="H72" s="113"/>
      <c r="I72" s="102"/>
      <c r="J72" s="116"/>
      <c r="K72" s="116"/>
      <c r="L72" s="277"/>
      <c r="M72" s="119"/>
      <c r="N72" s="93"/>
    </row>
    <row r="73" spans="1:14">
      <c r="A73" s="206">
        <f t="shared" si="0"/>
        <v>62</v>
      </c>
      <c r="L73" s="121" t="s">
        <v>138</v>
      </c>
      <c r="M73" s="111">
        <f>'Rate Spread'!K18*1000</f>
        <v>11198182.438969182</v>
      </c>
      <c r="N73" s="112">
        <f>M73/SUM(G71)-1</f>
        <v>8.3224326412326466E-2</v>
      </c>
    </row>
    <row r="74" spans="1:14">
      <c r="A74" s="206">
        <f t="shared" si="0"/>
        <v>63</v>
      </c>
      <c r="C74" s="102"/>
      <c r="D74" s="100"/>
      <c r="E74" s="116"/>
      <c r="F74" s="102"/>
      <c r="G74" s="102"/>
      <c r="H74" s="116"/>
      <c r="I74" s="102"/>
      <c r="J74" s="116" t="s">
        <v>0</v>
      </c>
      <c r="K74" s="116"/>
      <c r="L74" s="114" t="s">
        <v>29</v>
      </c>
      <c r="M74" s="115">
        <f>M73-J71-J93</f>
        <v>-56.561030818149447</v>
      </c>
      <c r="N74" s="38" t="s">
        <v>0</v>
      </c>
    </row>
  </sheetData>
  <mergeCells count="24">
    <mergeCell ref="L69:N69"/>
    <mergeCell ref="L46:N46"/>
    <mergeCell ref="L49:N49"/>
    <mergeCell ref="L56:N56"/>
    <mergeCell ref="L58:N58"/>
    <mergeCell ref="L64:N64"/>
    <mergeCell ref="L67:N67"/>
    <mergeCell ref="L61:N61"/>
    <mergeCell ref="L27:N27"/>
    <mergeCell ref="L37:N37"/>
    <mergeCell ref="L39:N39"/>
    <mergeCell ref="L42:N42"/>
    <mergeCell ref="L45:N45"/>
    <mergeCell ref="L15:N15"/>
    <mergeCell ref="L17:N17"/>
    <mergeCell ref="L20:N20"/>
    <mergeCell ref="L23:N23"/>
    <mergeCell ref="L24:N24"/>
    <mergeCell ref="B1:K1"/>
    <mergeCell ref="B2:J2"/>
    <mergeCell ref="B3:J3"/>
    <mergeCell ref="B4:J4"/>
    <mergeCell ref="E9:G9"/>
    <mergeCell ref="H9:J9"/>
  </mergeCells>
  <printOptions horizontalCentered="1"/>
  <pageMargins left="0.7" right="0.7" top="0.75" bottom="0.71" header="0.3" footer="0.3"/>
  <pageSetup scale="54" fitToHeight="7" orientation="landscape" r:id="rId1"/>
  <headerFooter alignWithMargins="0">
    <oddFooter>&amp;L&amp;A&amp;RExhibit No.___(JAP-15)
Page &amp;P of &amp;N</oddFooter>
  </headerFooter>
  <rowBreaks count="1" manualBreakCount="1">
    <brk id="51" max="1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0"/>
  <dimension ref="A1:AI81"/>
  <sheetViews>
    <sheetView zoomScale="75" zoomScaleNormal="75" zoomScaleSheetLayoutView="80" workbookViewId="0">
      <pane ySplit="10" topLeftCell="A140" activePane="bottomLeft" state="frozen"/>
      <selection sqref="A1:XFD1048576"/>
      <selection pane="bottomLeft" activeCell="M75" sqref="M75"/>
    </sheetView>
  </sheetViews>
  <sheetFormatPr defaultColWidth="10.19921875" defaultRowHeight="15.6"/>
  <cols>
    <col min="1" max="1" width="4.59765625" style="29" bestFit="1" customWidth="1"/>
    <col min="2" max="2" width="39.69921875" style="29" bestFit="1" customWidth="1"/>
    <col min="3" max="3" width="1.3984375" style="29" bestFit="1" customWidth="1"/>
    <col min="4" max="5" width="18.8984375" style="29" bestFit="1" customWidth="1"/>
    <col min="6" max="6" width="17.59765625" style="29" bestFit="1" customWidth="1"/>
    <col min="7" max="7" width="2" style="29" bestFit="1" customWidth="1"/>
    <col min="8" max="8" width="14.3984375" style="29" bestFit="1" customWidth="1"/>
    <col min="9" max="9" width="13.69921875" style="29" customWidth="1"/>
    <col min="10" max="10" width="2" style="29" bestFit="1" customWidth="1"/>
    <col min="11" max="11" width="13.69921875" style="29" customWidth="1"/>
    <col min="12" max="12" width="2.296875" style="29" customWidth="1"/>
    <col min="13" max="13" width="9.69921875" style="29" customWidth="1"/>
    <col min="14" max="14" width="11.59765625" style="98" bestFit="1" customWidth="1"/>
    <col min="15" max="15" width="20.19921875" style="98" customWidth="1"/>
    <col min="16" max="16" width="7.09765625" style="98" bestFit="1" customWidth="1"/>
    <col min="17" max="17" width="7.09765625" style="29" bestFit="1" customWidth="1"/>
    <col min="18" max="19" width="1.3984375" style="29" bestFit="1" customWidth="1"/>
    <col min="20" max="20" width="14.09765625" style="29" bestFit="1" customWidth="1"/>
    <col min="21" max="21" width="1.3984375" style="29" bestFit="1" customWidth="1"/>
    <col min="22" max="22" width="13.19921875" style="29" bestFit="1" customWidth="1"/>
    <col min="23" max="23" width="13" style="29" bestFit="1" customWidth="1"/>
    <col min="24" max="24" width="12.19921875" style="29" bestFit="1" customWidth="1"/>
    <col min="25" max="25" width="5.5" style="29" bestFit="1" customWidth="1"/>
    <col min="26" max="26" width="1.3984375" style="29" bestFit="1" customWidth="1"/>
    <col min="27" max="27" width="10.19921875" style="29" customWidth="1"/>
    <col min="28" max="28" width="12.09765625" style="29" customWidth="1"/>
    <col min="29" max="16384" width="10.19921875" style="29"/>
  </cols>
  <sheetData>
    <row r="1" spans="1:35" ht="17.399999999999999">
      <c r="B1" s="386" t="s">
        <v>44</v>
      </c>
      <c r="C1" s="386"/>
      <c r="D1" s="386"/>
      <c r="E1" s="386"/>
      <c r="F1" s="386"/>
      <c r="G1" s="386"/>
      <c r="H1" s="386"/>
      <c r="I1" s="386"/>
      <c r="J1" s="386"/>
      <c r="K1" s="386"/>
      <c r="L1" s="94"/>
      <c r="M1" s="92"/>
      <c r="N1" s="93"/>
      <c r="O1" s="93"/>
      <c r="P1" s="93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</row>
    <row r="2" spans="1:35" ht="17.399999999999999"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94"/>
      <c r="M2" s="92"/>
      <c r="N2" s="93"/>
      <c r="O2" s="93"/>
      <c r="P2" s="93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</row>
    <row r="3" spans="1:35">
      <c r="B3" s="387" t="str">
        <f>'Proforma-Proposed'!$A$6</f>
        <v>12 MONTHS ENDED SEPTEMBER 2016</v>
      </c>
      <c r="C3" s="387"/>
      <c r="D3" s="387"/>
      <c r="E3" s="387"/>
      <c r="F3" s="387"/>
      <c r="G3" s="387"/>
      <c r="H3" s="387"/>
      <c r="I3" s="387"/>
      <c r="J3" s="387"/>
      <c r="K3" s="387"/>
      <c r="L3" s="95"/>
      <c r="M3" s="92"/>
      <c r="N3" s="93"/>
      <c r="O3" s="93"/>
      <c r="P3" s="93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</row>
    <row r="4" spans="1:35">
      <c r="B4" s="388" t="s">
        <v>21</v>
      </c>
      <c r="C4" s="388"/>
      <c r="D4" s="388"/>
      <c r="E4" s="388"/>
      <c r="F4" s="388"/>
      <c r="G4" s="388"/>
      <c r="H4" s="388"/>
      <c r="I4" s="388"/>
      <c r="J4" s="388"/>
      <c r="K4" s="388"/>
      <c r="L4" s="23"/>
      <c r="M4" s="92"/>
      <c r="N4" s="93"/>
      <c r="O4" s="93"/>
      <c r="P4" s="93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</row>
    <row r="5" spans="1:35">
      <c r="B5" s="24" t="s">
        <v>139</v>
      </c>
      <c r="C5" s="96"/>
      <c r="D5" s="96"/>
      <c r="E5" s="96"/>
      <c r="F5" s="97"/>
      <c r="G5" s="97"/>
      <c r="H5" s="96"/>
      <c r="I5" s="97"/>
      <c r="J5" s="96"/>
      <c r="K5" s="96"/>
      <c r="L5" s="96"/>
      <c r="M5" s="92"/>
      <c r="N5" s="93"/>
      <c r="O5" s="93"/>
      <c r="P5" s="93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</row>
    <row r="6" spans="1:35">
      <c r="B6" s="24"/>
      <c r="C6" s="96"/>
      <c r="D6" s="96"/>
      <c r="E6" s="96"/>
      <c r="F6" s="97"/>
      <c r="G6" s="97"/>
      <c r="H6" s="96"/>
      <c r="I6" s="97"/>
      <c r="J6" s="96"/>
      <c r="K6" s="96"/>
      <c r="L6" s="96"/>
      <c r="M6" s="92"/>
      <c r="N6" s="93"/>
      <c r="O6" s="93"/>
      <c r="P6" s="93"/>
      <c r="Q6" s="93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</row>
    <row r="7" spans="1:35">
      <c r="B7" s="96"/>
      <c r="C7" s="96"/>
      <c r="D7" s="96"/>
      <c r="E7" s="96"/>
      <c r="F7" s="97"/>
      <c r="G7" s="97"/>
      <c r="H7" s="96"/>
      <c r="I7" s="97"/>
      <c r="J7" s="96"/>
      <c r="K7" s="96"/>
      <c r="L7" s="96"/>
      <c r="M7" s="92"/>
      <c r="N7" s="93"/>
      <c r="O7" s="93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</row>
    <row r="8" spans="1:35">
      <c r="B8" s="26"/>
      <c r="C8" s="26"/>
      <c r="D8" s="25"/>
      <c r="E8" s="25"/>
      <c r="F8" s="26"/>
      <c r="G8" s="26"/>
      <c r="I8" s="26"/>
      <c r="J8" s="27"/>
      <c r="K8" s="27"/>
      <c r="L8" s="27"/>
      <c r="M8" s="92"/>
      <c r="N8" s="93"/>
      <c r="O8" s="93"/>
      <c r="P8" s="93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</row>
    <row r="9" spans="1:35">
      <c r="A9" s="25" t="s">
        <v>7</v>
      </c>
      <c r="B9" s="26"/>
      <c r="C9" s="26"/>
      <c r="D9" s="25" t="s">
        <v>22</v>
      </c>
      <c r="E9" s="25" t="s">
        <v>22</v>
      </c>
      <c r="F9" s="389" t="s">
        <v>3</v>
      </c>
      <c r="G9" s="390"/>
      <c r="H9" s="391"/>
      <c r="I9" s="392" t="str">
        <f>'Residential Rate Design'!$H$9</f>
        <v xml:space="preserve">Proposed </v>
      </c>
      <c r="J9" s="403"/>
      <c r="K9" s="404"/>
      <c r="L9" s="27"/>
      <c r="M9" s="92"/>
      <c r="N9" s="93"/>
      <c r="O9" s="93"/>
      <c r="P9" s="93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</row>
    <row r="10" spans="1:35">
      <c r="A10" s="336" t="s">
        <v>13</v>
      </c>
      <c r="B10" s="337"/>
      <c r="C10" s="337"/>
      <c r="D10" s="336" t="s">
        <v>23</v>
      </c>
      <c r="E10" s="336" t="s">
        <v>4</v>
      </c>
      <c r="F10" s="338" t="s">
        <v>24</v>
      </c>
      <c r="G10" s="338"/>
      <c r="H10" s="338" t="s">
        <v>25</v>
      </c>
      <c r="I10" s="338" t="s">
        <v>24</v>
      </c>
      <c r="J10" s="338"/>
      <c r="K10" s="338" t="s">
        <v>25</v>
      </c>
      <c r="L10" s="338"/>
      <c r="M10" s="339"/>
      <c r="N10" s="262"/>
      <c r="O10" s="262"/>
      <c r="P10" s="93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</row>
    <row r="11" spans="1:35">
      <c r="A11" s="205"/>
      <c r="D11" s="28" t="s">
        <v>966</v>
      </c>
      <c r="E11" s="28" t="s">
        <v>959</v>
      </c>
      <c r="F11" s="27" t="s">
        <v>960</v>
      </c>
      <c r="G11" s="28"/>
      <c r="H11" s="28" t="s">
        <v>961</v>
      </c>
      <c r="I11" s="28" t="s">
        <v>962</v>
      </c>
      <c r="J11" s="28"/>
      <c r="K11" s="28" t="s">
        <v>963</v>
      </c>
      <c r="L11" s="28"/>
      <c r="M11" s="28" t="s">
        <v>964</v>
      </c>
      <c r="N11" s="28" t="s">
        <v>965</v>
      </c>
      <c r="O11" s="93"/>
      <c r="P11" s="93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I11" s="99"/>
    </row>
    <row r="12" spans="1:35">
      <c r="A12" s="206">
        <v>1</v>
      </c>
      <c r="B12" s="207" t="s">
        <v>37</v>
      </c>
      <c r="C12" s="102"/>
      <c r="D12" s="100"/>
      <c r="E12" s="100"/>
      <c r="F12" s="116"/>
      <c r="G12" s="102"/>
      <c r="H12" s="102"/>
      <c r="I12" s="116"/>
      <c r="J12" s="102"/>
      <c r="K12" s="116" t="s">
        <v>0</v>
      </c>
      <c r="L12" s="116"/>
      <c r="N12" s="29"/>
      <c r="O12" s="29"/>
      <c r="P12" s="93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</row>
    <row r="13" spans="1:35">
      <c r="A13" s="206">
        <f>A12+1</f>
        <v>2</v>
      </c>
      <c r="B13" s="207" t="s">
        <v>140</v>
      </c>
      <c r="C13" s="102"/>
      <c r="D13" s="102" t="s">
        <v>0</v>
      </c>
      <c r="E13" s="102"/>
      <c r="F13" s="116"/>
      <c r="G13" s="102"/>
      <c r="H13" s="102"/>
      <c r="I13" s="116"/>
      <c r="J13" s="102"/>
      <c r="K13" s="102"/>
      <c r="L13" s="102"/>
      <c r="N13" s="29"/>
      <c r="O13" s="29"/>
      <c r="P13" s="93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</row>
    <row r="14" spans="1:35">
      <c r="A14" s="206">
        <f t="shared" ref="A14:A77" si="0">A13+1</f>
        <v>3</v>
      </c>
      <c r="B14" s="102" t="s">
        <v>141</v>
      </c>
      <c r="C14" s="102"/>
      <c r="D14" s="102"/>
      <c r="E14" s="102"/>
      <c r="F14" s="116"/>
      <c r="G14" s="102"/>
      <c r="H14" s="102"/>
      <c r="I14" s="116"/>
      <c r="J14" s="102"/>
      <c r="K14" s="102"/>
      <c r="L14" s="102"/>
      <c r="N14" s="29"/>
      <c r="O14" s="29"/>
      <c r="P14" s="93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</row>
    <row r="15" spans="1:35">
      <c r="A15" s="206">
        <f t="shared" si="0"/>
        <v>4</v>
      </c>
      <c r="B15" s="209" t="s">
        <v>142</v>
      </c>
      <c r="C15" s="102"/>
      <c r="D15" s="100">
        <v>710</v>
      </c>
      <c r="E15" s="100"/>
      <c r="F15" s="213">
        <f>'Tariff Summary'!E103</f>
        <v>51.67</v>
      </c>
      <c r="G15" s="102"/>
      <c r="H15" s="116">
        <f t="shared" ref="H15:H17" si="1">ROUND(F15*$D15,0)</f>
        <v>36686</v>
      </c>
      <c r="I15" s="213">
        <f>'Secondary Voltage Rate Design'!H31</f>
        <v>54.9</v>
      </c>
      <c r="J15" s="102"/>
      <c r="K15" s="116">
        <f t="shared" ref="K15:K17" si="2">ROUND(I15*$D15,0)</f>
        <v>38979</v>
      </c>
      <c r="L15" s="116"/>
      <c r="M15" s="394" t="s">
        <v>145</v>
      </c>
      <c r="N15" s="394"/>
      <c r="O15" s="394"/>
      <c r="P15" s="93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</row>
    <row r="16" spans="1:35">
      <c r="A16" s="206">
        <f t="shared" si="0"/>
        <v>5</v>
      </c>
      <c r="B16" s="209" t="s">
        <v>143</v>
      </c>
      <c r="C16" s="102"/>
      <c r="D16" s="100">
        <v>898</v>
      </c>
      <c r="E16" s="100"/>
      <c r="F16" s="213">
        <f>'Tariff Summary'!E104</f>
        <v>104.46</v>
      </c>
      <c r="G16" s="102"/>
      <c r="H16" s="116">
        <f t="shared" si="1"/>
        <v>93805</v>
      </c>
      <c r="I16" s="213">
        <f>'Secondary Voltage Rate Design'!H55</f>
        <v>110.98</v>
      </c>
      <c r="J16" s="102"/>
      <c r="K16" s="116">
        <f t="shared" si="2"/>
        <v>99660</v>
      </c>
      <c r="L16" s="116"/>
      <c r="M16" s="394" t="s">
        <v>146</v>
      </c>
      <c r="N16" s="394"/>
      <c r="O16" s="394"/>
      <c r="P16" s="93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</row>
    <row r="17" spans="1:28">
      <c r="A17" s="206">
        <f t="shared" si="0"/>
        <v>6</v>
      </c>
      <c r="B17" s="209" t="s">
        <v>144</v>
      </c>
      <c r="C17" s="102"/>
      <c r="D17" s="100">
        <v>399</v>
      </c>
      <c r="E17" s="100"/>
      <c r="F17" s="213">
        <f>'Tariff Summary'!E105</f>
        <v>339.51</v>
      </c>
      <c r="G17" s="102"/>
      <c r="H17" s="116">
        <f t="shared" si="1"/>
        <v>135464</v>
      </c>
      <c r="I17" s="213">
        <f>'Primary Voltage Rate Design'!H15</f>
        <v>360.7</v>
      </c>
      <c r="J17" s="102"/>
      <c r="K17" s="116">
        <f t="shared" si="2"/>
        <v>143919</v>
      </c>
      <c r="L17" s="116"/>
      <c r="M17" s="394" t="s">
        <v>147</v>
      </c>
      <c r="N17" s="394"/>
      <c r="O17" s="394"/>
      <c r="P17" s="93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</row>
    <row r="18" spans="1:28">
      <c r="A18" s="206">
        <f t="shared" si="0"/>
        <v>7</v>
      </c>
      <c r="B18" s="212" t="s">
        <v>26</v>
      </c>
      <c r="C18" s="102"/>
      <c r="D18" s="100">
        <f>SUM(D15:D17)</f>
        <v>2007</v>
      </c>
      <c r="E18" s="100"/>
      <c r="F18" s="213"/>
      <c r="G18" s="102"/>
      <c r="H18" s="120">
        <f>SUM(H15:H17)</f>
        <v>265955</v>
      </c>
      <c r="I18" s="213"/>
      <c r="J18" s="102"/>
      <c r="K18" s="120">
        <f>SUM(K15:K17)</f>
        <v>282558</v>
      </c>
      <c r="L18" s="116"/>
      <c r="M18" s="118"/>
      <c r="N18" s="93"/>
      <c r="O18" s="93"/>
      <c r="P18" s="93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</row>
    <row r="19" spans="1:28">
      <c r="A19" s="206">
        <f t="shared" si="0"/>
        <v>8</v>
      </c>
      <c r="B19" s="102"/>
      <c r="C19" s="102"/>
      <c r="D19" s="100"/>
      <c r="E19" s="100"/>
      <c r="F19" s="213"/>
      <c r="G19" s="102"/>
      <c r="H19" s="116"/>
      <c r="I19" s="213"/>
      <c r="J19" s="102"/>
      <c r="K19" s="116"/>
      <c r="L19" s="116"/>
      <c r="M19" s="118"/>
      <c r="N19" s="93"/>
      <c r="O19" s="93"/>
      <c r="P19" s="93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</row>
    <row r="20" spans="1:28">
      <c r="A20" s="206">
        <f t="shared" si="0"/>
        <v>9</v>
      </c>
      <c r="B20" s="102" t="s">
        <v>36</v>
      </c>
      <c r="C20" s="102"/>
      <c r="D20" s="100"/>
      <c r="E20" s="100"/>
      <c r="F20" s="36"/>
      <c r="G20" s="116"/>
      <c r="H20" s="116"/>
      <c r="I20" s="36"/>
      <c r="J20" s="116"/>
      <c r="K20" s="116"/>
      <c r="L20" s="116"/>
      <c r="M20" s="92"/>
      <c r="N20" s="93"/>
      <c r="O20" s="93"/>
      <c r="P20" s="93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</row>
    <row r="21" spans="1:28">
      <c r="A21" s="206">
        <f t="shared" si="0"/>
        <v>10</v>
      </c>
      <c r="B21" s="209" t="s">
        <v>148</v>
      </c>
      <c r="C21" s="102"/>
      <c r="D21" s="100">
        <v>319260957.07700002</v>
      </c>
      <c r="E21" s="100"/>
      <c r="F21" s="208">
        <f>'Tariff Summary'!E108</f>
        <v>5.6638000000000001E-2</v>
      </c>
      <c r="G21" s="116"/>
      <c r="H21" s="116">
        <f t="shared" ref="H21" si="3">ROUND($D21*F21,0)</f>
        <v>18082302</v>
      </c>
      <c r="I21" s="208">
        <f>H61</f>
        <v>6.1355E-2</v>
      </c>
      <c r="J21" s="116"/>
      <c r="K21" s="116">
        <f t="shared" ref="K21" si="4">ROUND($D21*I21,0)</f>
        <v>19588256</v>
      </c>
      <c r="L21" s="116"/>
      <c r="M21" s="394" t="s">
        <v>151</v>
      </c>
      <c r="N21" s="394"/>
      <c r="O21" s="394"/>
      <c r="P21" s="93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</row>
    <row r="22" spans="1:28">
      <c r="A22" s="206">
        <f t="shared" si="0"/>
        <v>11</v>
      </c>
      <c r="B22" s="209" t="s">
        <v>144</v>
      </c>
      <c r="C22" s="102"/>
      <c r="D22" s="100">
        <v>363108300</v>
      </c>
      <c r="E22" s="100"/>
      <c r="F22" s="208">
        <f>'Tariff Summary'!E110</f>
        <v>5.5190999999999997E-2</v>
      </c>
      <c r="G22" s="116"/>
      <c r="H22" s="116">
        <f t="shared" ref="H22" si="5">ROUND($D22*F22,0)</f>
        <v>20040310</v>
      </c>
      <c r="I22" s="208">
        <f>H60</f>
        <v>5.8939999999999999E-2</v>
      </c>
      <c r="J22" s="116"/>
      <c r="K22" s="116">
        <f t="shared" ref="K22" si="6">ROUND($D22*I22,0)</f>
        <v>21401603</v>
      </c>
      <c r="L22" s="116"/>
      <c r="M22" s="394" t="s">
        <v>151</v>
      </c>
      <c r="N22" s="394"/>
      <c r="O22" s="394"/>
      <c r="P22" s="93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</row>
    <row r="23" spans="1:28">
      <c r="A23" s="206">
        <f t="shared" si="0"/>
        <v>12</v>
      </c>
      <c r="B23" s="212" t="s">
        <v>26</v>
      </c>
      <c r="C23" s="102"/>
      <c r="D23" s="117">
        <f>SUM(D21:D22)</f>
        <v>682369257.07700002</v>
      </c>
      <c r="E23" s="113"/>
      <c r="F23" s="256"/>
      <c r="G23" s="102"/>
      <c r="H23" s="120">
        <f>SUM(H21:H22)</f>
        <v>38122612</v>
      </c>
      <c r="I23" s="256"/>
      <c r="J23" s="102"/>
      <c r="K23" s="120">
        <f>SUM(K21:K22)</f>
        <v>40989859</v>
      </c>
      <c r="L23" s="116"/>
      <c r="M23" s="204"/>
      <c r="N23" s="204"/>
      <c r="O23" s="204"/>
      <c r="P23" s="93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</row>
    <row r="24" spans="1:28">
      <c r="A24" s="206">
        <f t="shared" si="0"/>
        <v>13</v>
      </c>
      <c r="B24" s="209" t="s">
        <v>149</v>
      </c>
      <c r="C24" s="102"/>
      <c r="D24" s="100">
        <v>423503.04529972037</v>
      </c>
      <c r="E24" s="100"/>
      <c r="F24" s="208">
        <f>F21</f>
        <v>5.6638000000000001E-2</v>
      </c>
      <c r="G24" s="102"/>
      <c r="H24" s="116">
        <f t="shared" ref="H24:H26" si="7">ROUND($D24*F24,0)</f>
        <v>23986</v>
      </c>
      <c r="I24" s="208">
        <f>I21</f>
        <v>6.1355E-2</v>
      </c>
      <c r="J24" s="102"/>
      <c r="K24" s="116">
        <f t="shared" ref="K24:K26" si="8">ROUND($D24*I24,0)</f>
        <v>25984</v>
      </c>
      <c r="L24" s="116"/>
      <c r="M24" s="394" t="s">
        <v>151</v>
      </c>
      <c r="N24" s="394"/>
      <c r="O24" s="394"/>
      <c r="P24" s="93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</row>
    <row r="25" spans="1:28">
      <c r="A25" s="206">
        <f t="shared" si="0"/>
        <v>14</v>
      </c>
      <c r="B25" s="209" t="s">
        <v>150</v>
      </c>
      <c r="C25" s="102"/>
      <c r="D25" s="100">
        <v>-30131.256685476576</v>
      </c>
      <c r="E25" s="100"/>
      <c r="F25" s="208">
        <f>F22</f>
        <v>5.5190999999999997E-2</v>
      </c>
      <c r="G25" s="102"/>
      <c r="H25" s="116">
        <f t="shared" ref="H25" si="9">ROUND($D25*F25,0)</f>
        <v>-1663</v>
      </c>
      <c r="I25" s="208">
        <f>I22</f>
        <v>5.8939999999999999E-2</v>
      </c>
      <c r="J25" s="102"/>
      <c r="K25" s="116">
        <f t="shared" ref="K25" si="10">ROUND($D25*I25,0)</f>
        <v>-1776</v>
      </c>
      <c r="L25" s="116"/>
      <c r="M25" s="394" t="s">
        <v>151</v>
      </c>
      <c r="N25" s="394"/>
      <c r="O25" s="394"/>
      <c r="P25" s="93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</row>
    <row r="26" spans="1:28">
      <c r="A26" s="206">
        <f t="shared" si="0"/>
        <v>15</v>
      </c>
      <c r="B26" s="123" t="s">
        <v>77</v>
      </c>
      <c r="C26" s="102"/>
      <c r="D26" s="113">
        <v>-8158575.4494833089</v>
      </c>
      <c r="E26" s="113"/>
      <c r="F26" s="208">
        <f>ROUND(SUM(H18,H23:H25,H32,H37,H39)/SUM(D23:D25),6)</f>
        <v>7.0911000000000002E-2</v>
      </c>
      <c r="G26" s="102"/>
      <c r="H26" s="116">
        <f t="shared" si="7"/>
        <v>-578533</v>
      </c>
      <c r="I26" s="208">
        <f>ROUND(SUM(K18,K23:K25,K32,K37,K39)/SUM(D23:D25),6)</f>
        <v>8.0325999999999995E-2</v>
      </c>
      <c r="J26" s="102"/>
      <c r="K26" s="116">
        <f t="shared" si="8"/>
        <v>-655346</v>
      </c>
      <c r="L26" s="103"/>
      <c r="M26" s="394" t="s">
        <v>174</v>
      </c>
      <c r="N26" s="394"/>
      <c r="O26" s="394"/>
    </row>
    <row r="27" spans="1:28">
      <c r="A27" s="206">
        <f t="shared" si="0"/>
        <v>16</v>
      </c>
      <c r="B27" s="212" t="s">
        <v>26</v>
      </c>
      <c r="C27" s="102"/>
      <c r="D27" s="117">
        <f>SUM(D23:D26)</f>
        <v>674604053.41613102</v>
      </c>
      <c r="E27" s="113"/>
      <c r="F27" s="102"/>
      <c r="G27" s="102"/>
      <c r="H27" s="120">
        <f>SUM(H23:H26)</f>
        <v>37566402</v>
      </c>
      <c r="I27" s="102"/>
      <c r="J27" s="102"/>
      <c r="K27" s="120">
        <f>SUM(K23:K26)</f>
        <v>40358721</v>
      </c>
      <c r="L27" s="103"/>
      <c r="M27" s="204"/>
      <c r="N27" s="204"/>
      <c r="O27" s="204"/>
    </row>
    <row r="28" spans="1:28">
      <c r="A28" s="206">
        <f t="shared" si="0"/>
        <v>17</v>
      </c>
      <c r="B28" s="212"/>
      <c r="C28" s="102"/>
      <c r="D28" s="113"/>
      <c r="E28" s="113"/>
      <c r="F28" s="102"/>
      <c r="G28" s="102"/>
      <c r="H28" s="103"/>
      <c r="I28" s="102"/>
      <c r="J28" s="102"/>
      <c r="K28" s="103"/>
      <c r="L28" s="103"/>
      <c r="M28" s="204"/>
      <c r="N28" s="204"/>
      <c r="O28" s="204"/>
    </row>
    <row r="29" spans="1:28">
      <c r="A29" s="206">
        <f t="shared" si="0"/>
        <v>18</v>
      </c>
      <c r="B29" s="102" t="s">
        <v>35</v>
      </c>
      <c r="C29" s="102"/>
      <c r="D29" s="100"/>
      <c r="E29" s="100"/>
      <c r="F29" s="216"/>
      <c r="G29" s="102"/>
      <c r="H29" s="116"/>
      <c r="I29" s="216"/>
      <c r="J29" s="102"/>
      <c r="K29" s="116"/>
      <c r="L29" s="116"/>
      <c r="M29" s="204"/>
      <c r="N29" s="204"/>
      <c r="O29" s="204"/>
    </row>
    <row r="30" spans="1:28">
      <c r="A30" s="206">
        <f t="shared" si="0"/>
        <v>19</v>
      </c>
      <c r="B30" s="209" t="s">
        <v>152</v>
      </c>
      <c r="C30" s="102"/>
      <c r="D30" s="100">
        <v>659294</v>
      </c>
      <c r="E30" s="100">
        <v>654138</v>
      </c>
      <c r="F30" s="213">
        <f>'Tariff Summary'!E114</f>
        <v>4.2</v>
      </c>
      <c r="G30" s="102"/>
      <c r="H30" s="116">
        <f t="shared" ref="H30:H31" si="11">ROUND(F30*$D30,0)</f>
        <v>2769035</v>
      </c>
      <c r="I30" s="213">
        <f>H57</f>
        <v>4.3899999999999997</v>
      </c>
      <c r="J30" s="102"/>
      <c r="K30" s="116">
        <f>ROUND($E30*I30,0)</f>
        <v>2871666</v>
      </c>
      <c r="L30" s="116"/>
      <c r="M30" s="394" t="s">
        <v>172</v>
      </c>
      <c r="N30" s="394"/>
      <c r="O30" s="394"/>
      <c r="P30" s="29"/>
    </row>
    <row r="31" spans="1:28">
      <c r="A31" s="206">
        <f t="shared" si="0"/>
        <v>20</v>
      </c>
      <c r="B31" s="209" t="s">
        <v>153</v>
      </c>
      <c r="C31" s="102"/>
      <c r="D31" s="100">
        <v>667663</v>
      </c>
      <c r="E31" s="100">
        <v>669786</v>
      </c>
      <c r="F31" s="213">
        <f>'Tariff Summary'!E115</f>
        <v>4.1100000000000003</v>
      </c>
      <c r="G31" s="102"/>
      <c r="H31" s="116">
        <f t="shared" si="11"/>
        <v>2744095</v>
      </c>
      <c r="I31" s="213">
        <f>H56</f>
        <v>4.22</v>
      </c>
      <c r="J31" s="102"/>
      <c r="K31" s="116">
        <f>ROUND($E31*I31,0)</f>
        <v>2826497</v>
      </c>
      <c r="L31" s="116"/>
      <c r="M31" s="394" t="s">
        <v>172</v>
      </c>
      <c r="N31" s="394"/>
      <c r="O31" s="394"/>
      <c r="P31" s="29"/>
    </row>
    <row r="32" spans="1:28">
      <c r="A32" s="206">
        <f t="shared" si="0"/>
        <v>21</v>
      </c>
      <c r="B32" s="212" t="s">
        <v>26</v>
      </c>
      <c r="C32" s="102"/>
      <c r="D32" s="117">
        <f>SUM(D30:D31)</f>
        <v>1326957</v>
      </c>
      <c r="E32" s="117">
        <f>SUM(E30:E31)</f>
        <v>1323924</v>
      </c>
      <c r="F32" s="216"/>
      <c r="G32" s="102"/>
      <c r="H32" s="120">
        <f>SUM(H30:H31)</f>
        <v>5513130</v>
      </c>
      <c r="I32" s="216"/>
      <c r="J32" s="102"/>
      <c r="K32" s="120">
        <f>SUM(K30:K31)</f>
        <v>5698163</v>
      </c>
      <c r="L32" s="116"/>
      <c r="M32" s="118"/>
      <c r="N32" s="93"/>
      <c r="O32" s="93"/>
    </row>
    <row r="33" spans="1:15">
      <c r="A33" s="206">
        <f t="shared" si="0"/>
        <v>22</v>
      </c>
      <c r="B33" s="102"/>
      <c r="C33" s="102"/>
      <c r="D33" s="113"/>
      <c r="E33" s="113"/>
      <c r="F33" s="113"/>
      <c r="G33" s="102"/>
      <c r="H33" s="103"/>
      <c r="I33" s="113"/>
      <c r="J33" s="102"/>
      <c r="K33" s="103"/>
      <c r="L33" s="103"/>
      <c r="M33" s="118"/>
      <c r="N33" s="93"/>
      <c r="O33" s="93"/>
    </row>
    <row r="34" spans="1:15">
      <c r="A34" s="206">
        <f t="shared" si="0"/>
        <v>23</v>
      </c>
      <c r="B34" s="207" t="s">
        <v>155</v>
      </c>
      <c r="C34" s="102"/>
      <c r="D34" s="113"/>
      <c r="E34" s="113"/>
      <c r="F34" s="113"/>
      <c r="G34" s="102"/>
      <c r="H34" s="103"/>
      <c r="I34" s="113"/>
      <c r="J34" s="102"/>
      <c r="K34" s="103"/>
      <c r="L34" s="103"/>
      <c r="M34" s="118"/>
      <c r="N34" s="93"/>
      <c r="O34" s="93"/>
    </row>
    <row r="35" spans="1:15">
      <c r="A35" s="206">
        <f t="shared" si="0"/>
        <v>24</v>
      </c>
      <c r="B35" s="209" t="s">
        <v>148</v>
      </c>
      <c r="C35" s="102"/>
      <c r="D35" s="113">
        <v>76778010</v>
      </c>
      <c r="E35" s="113"/>
      <c r="F35" s="255">
        <v>1.2700000000000001E-3</v>
      </c>
      <c r="G35" s="102"/>
      <c r="H35" s="116">
        <f t="shared" ref="H35:H36" si="12">ROUND(F35*$D35,0)</f>
        <v>97508</v>
      </c>
      <c r="I35" s="255">
        <f>'Secondary Voltage Rate Design'!H67</f>
        <v>1.32E-3</v>
      </c>
      <c r="J35" s="102"/>
      <c r="K35" s="116">
        <f>ROUND($D35*I35,0)</f>
        <v>101347</v>
      </c>
      <c r="L35" s="103"/>
      <c r="M35" s="394" t="s">
        <v>146</v>
      </c>
      <c r="N35" s="394"/>
      <c r="O35" s="394"/>
    </row>
    <row r="36" spans="1:15">
      <c r="A36" s="206">
        <f t="shared" si="0"/>
        <v>25</v>
      </c>
      <c r="B36" s="209" t="s">
        <v>144</v>
      </c>
      <c r="C36" s="102"/>
      <c r="D36" s="113">
        <v>110016571</v>
      </c>
      <c r="E36" s="113"/>
      <c r="F36" s="255">
        <f>'Tariff Summary'!E120</f>
        <v>1.08E-3</v>
      </c>
      <c r="G36" s="102"/>
      <c r="H36" s="116">
        <f t="shared" si="12"/>
        <v>118818</v>
      </c>
      <c r="I36" s="255">
        <f>'Primary Voltage Rate Design'!H27</f>
        <v>1.1299999999999999E-3</v>
      </c>
      <c r="J36" s="102"/>
      <c r="K36" s="116">
        <f>ROUND($D36*I36,0)</f>
        <v>124319</v>
      </c>
      <c r="L36" s="103"/>
      <c r="M36" s="394" t="s">
        <v>147</v>
      </c>
      <c r="N36" s="394"/>
      <c r="O36" s="394"/>
    </row>
    <row r="37" spans="1:15">
      <c r="A37" s="206">
        <f t="shared" si="0"/>
        <v>26</v>
      </c>
      <c r="B37" s="212" t="s">
        <v>26</v>
      </c>
      <c r="C37" s="102"/>
      <c r="D37" s="117">
        <f>SUM(D33:D36)</f>
        <v>186794581</v>
      </c>
      <c r="E37" s="113"/>
      <c r="F37" s="255"/>
      <c r="G37" s="102"/>
      <c r="H37" s="120">
        <f>SUM(H35:H36)</f>
        <v>216326</v>
      </c>
      <c r="I37" s="255"/>
      <c r="J37" s="102"/>
      <c r="K37" s="120">
        <f>SUM(K35:K36)</f>
        <v>225666</v>
      </c>
      <c r="L37" s="103"/>
      <c r="M37" s="118"/>
      <c r="N37" s="93"/>
      <c r="O37" s="93"/>
    </row>
    <row r="38" spans="1:15">
      <c r="A38" s="206">
        <f t="shared" si="0"/>
        <v>27</v>
      </c>
      <c r="B38" s="102"/>
      <c r="C38" s="102"/>
      <c r="D38" s="100"/>
      <c r="E38" s="100"/>
      <c r="F38" s="255"/>
      <c r="G38" s="102"/>
      <c r="H38" s="116"/>
      <c r="I38" s="255"/>
      <c r="J38" s="102"/>
      <c r="K38" s="116"/>
      <c r="L38" s="103"/>
      <c r="M38" s="118"/>
      <c r="N38" s="93"/>
      <c r="O38" s="93"/>
    </row>
    <row r="39" spans="1:15">
      <c r="A39" s="206">
        <f t="shared" si="0"/>
        <v>28</v>
      </c>
      <c r="B39" s="102" t="s">
        <v>154</v>
      </c>
      <c r="C39" s="102"/>
      <c r="D39" s="100"/>
      <c r="E39" s="100"/>
      <c r="F39" s="255"/>
      <c r="G39" s="102"/>
      <c r="H39" s="120">
        <v>4274824.1299410872</v>
      </c>
      <c r="I39" s="255"/>
      <c r="J39" s="102"/>
      <c r="K39" s="120">
        <v>7623312.0004000012</v>
      </c>
      <c r="L39" s="103"/>
      <c r="M39" s="394" t="s">
        <v>173</v>
      </c>
      <c r="N39" s="394"/>
      <c r="O39" s="394"/>
    </row>
    <row r="40" spans="1:15">
      <c r="A40" s="206">
        <f t="shared" si="0"/>
        <v>29</v>
      </c>
      <c r="B40" s="102"/>
      <c r="C40" s="102"/>
      <c r="D40" s="113"/>
      <c r="E40" s="113"/>
      <c r="F40" s="113"/>
      <c r="G40" s="102"/>
      <c r="H40" s="103"/>
      <c r="I40" s="255"/>
      <c r="J40" s="102"/>
      <c r="K40" s="103"/>
      <c r="L40" s="103"/>
      <c r="M40" s="277"/>
      <c r="N40" s="119"/>
      <c r="O40" s="93"/>
    </row>
    <row r="41" spans="1:15" ht="16.2" thickBot="1">
      <c r="A41" s="206">
        <f t="shared" si="0"/>
        <v>30</v>
      </c>
      <c r="B41" s="102" t="s">
        <v>30</v>
      </c>
      <c r="C41" s="102"/>
      <c r="D41" s="113"/>
      <c r="E41" s="113"/>
      <c r="F41" s="113"/>
      <c r="G41" s="102"/>
      <c r="H41" s="109">
        <f>SUM(H39,H37,H32,H27,H18)</f>
        <v>47836637.129941091</v>
      </c>
      <c r="I41" s="113"/>
      <c r="J41" s="102"/>
      <c r="K41" s="109">
        <f>SUM(K39,K37,K32,K27,K18)</f>
        <v>54188420.000399999</v>
      </c>
      <c r="L41" s="103"/>
      <c r="M41" s="277"/>
      <c r="N41" s="119"/>
      <c r="O41" s="93"/>
    </row>
    <row r="42" spans="1:15" ht="16.2" thickTop="1">
      <c r="A42" s="206">
        <f t="shared" si="0"/>
        <v>31</v>
      </c>
      <c r="B42" s="102"/>
      <c r="C42" s="122"/>
      <c r="D42" s="113"/>
      <c r="E42" s="113"/>
      <c r="F42" s="113"/>
      <c r="G42" s="102"/>
      <c r="H42" s="116"/>
      <c r="I42" s="113"/>
      <c r="J42" s="102"/>
      <c r="K42" s="116"/>
      <c r="L42" s="116"/>
      <c r="M42" s="277"/>
      <c r="N42" s="119"/>
      <c r="O42" s="93"/>
    </row>
    <row r="43" spans="1:15">
      <c r="A43" s="206">
        <f t="shared" si="0"/>
        <v>32</v>
      </c>
      <c r="K43" s="257">
        <f>'Rate Spread'!K21*1000</f>
        <v>54188420.000399999</v>
      </c>
      <c r="L43" s="258"/>
      <c r="M43" s="398" t="s">
        <v>156</v>
      </c>
      <c r="N43" s="398"/>
      <c r="O43" s="399"/>
    </row>
    <row r="44" spans="1:15">
      <c r="A44" s="206">
        <f t="shared" si="0"/>
        <v>33</v>
      </c>
      <c r="C44" s="102"/>
      <c r="D44" s="100"/>
      <c r="E44" s="100"/>
      <c r="F44" s="116"/>
      <c r="G44" s="102"/>
      <c r="H44" s="102"/>
      <c r="I44" s="116"/>
      <c r="J44" s="102"/>
      <c r="K44" s="259">
        <f>K43-K41-K62</f>
        <v>0</v>
      </c>
      <c r="L44" s="103"/>
      <c r="M44" s="400" t="s">
        <v>896</v>
      </c>
      <c r="N44" s="401"/>
      <c r="O44" s="402" t="s">
        <v>0</v>
      </c>
    </row>
    <row r="45" spans="1:15">
      <c r="A45" s="206">
        <f t="shared" si="0"/>
        <v>34</v>
      </c>
      <c r="C45" s="102"/>
      <c r="D45" s="100"/>
      <c r="E45" s="100"/>
      <c r="F45" s="116"/>
      <c r="G45" s="102"/>
      <c r="H45" s="102"/>
      <c r="I45" s="116"/>
      <c r="J45" s="102"/>
      <c r="K45" s="260">
        <f>K43/SUM(H59,H41)-1</f>
        <v>0.13278071340418274</v>
      </c>
      <c r="L45" s="211"/>
      <c r="M45" s="261"/>
      <c r="N45" s="262"/>
      <c r="O45" s="38"/>
    </row>
    <row r="46" spans="1:15">
      <c r="A46" s="206">
        <f t="shared" si="0"/>
        <v>35</v>
      </c>
      <c r="B46" s="29" t="s">
        <v>157</v>
      </c>
    </row>
    <row r="47" spans="1:15">
      <c r="A47" s="206">
        <f t="shared" si="0"/>
        <v>36</v>
      </c>
      <c r="B47" s="209" t="s">
        <v>158</v>
      </c>
    </row>
    <row r="48" spans="1:15">
      <c r="A48" s="206">
        <f t="shared" si="0"/>
        <v>37</v>
      </c>
      <c r="B48" s="263" t="s">
        <v>159</v>
      </c>
      <c r="D48" s="264">
        <v>0.95</v>
      </c>
      <c r="E48" s="265"/>
    </row>
    <row r="49" spans="1:8">
      <c r="A49" s="206">
        <f t="shared" si="0"/>
        <v>38</v>
      </c>
      <c r="B49" s="209" t="s">
        <v>164</v>
      </c>
      <c r="D49" s="179"/>
      <c r="E49" s="179"/>
      <c r="F49" s="179"/>
    </row>
    <row r="50" spans="1:8">
      <c r="A50" s="206">
        <f t="shared" si="0"/>
        <v>39</v>
      </c>
      <c r="B50" s="266" t="s">
        <v>165</v>
      </c>
      <c r="D50" s="265">
        <v>1.7552976600949292E-2</v>
      </c>
      <c r="E50" s="265"/>
      <c r="F50" s="265"/>
    </row>
    <row r="51" spans="1:8">
      <c r="A51" s="206">
        <f t="shared" si="0"/>
        <v>40</v>
      </c>
      <c r="B51" s="266" t="s">
        <v>166</v>
      </c>
      <c r="D51" s="265">
        <v>3.7069728960821585E-2</v>
      </c>
      <c r="E51" s="265">
        <f>+D51-D50</f>
        <v>1.9516752359872293E-2</v>
      </c>
    </row>
    <row r="52" spans="1:8">
      <c r="A52" s="206">
        <f t="shared" si="0"/>
        <v>41</v>
      </c>
      <c r="B52" s="266" t="s">
        <v>167</v>
      </c>
      <c r="D52" s="265">
        <v>7.8836606634277315E-2</v>
      </c>
      <c r="E52" s="265">
        <f>+D52-D50</f>
        <v>6.1283630033328026E-2</v>
      </c>
    </row>
    <row r="53" spans="1:8">
      <c r="A53" s="206">
        <f t="shared" si="0"/>
        <v>42</v>
      </c>
      <c r="B53" s="316"/>
      <c r="C53" s="317"/>
      <c r="D53" s="317"/>
      <c r="E53" s="267"/>
    </row>
    <row r="54" spans="1:8">
      <c r="A54" s="206">
        <f t="shared" si="0"/>
        <v>43</v>
      </c>
      <c r="B54" s="209" t="s">
        <v>170</v>
      </c>
      <c r="C54" s="317"/>
      <c r="D54" s="42" t="s">
        <v>175</v>
      </c>
      <c r="E54" s="42" t="s">
        <v>163</v>
      </c>
      <c r="F54" s="43" t="s">
        <v>168</v>
      </c>
      <c r="G54" s="43"/>
      <c r="H54" s="44" t="s">
        <v>169</v>
      </c>
    </row>
    <row r="55" spans="1:8">
      <c r="A55" s="206">
        <f t="shared" si="0"/>
        <v>44</v>
      </c>
      <c r="B55" s="268" t="s">
        <v>160</v>
      </c>
      <c r="D55" s="252">
        <f>'Tariff Summary'!E116</f>
        <v>4.0199999999999996</v>
      </c>
      <c r="E55" s="252">
        <f>ROUND(D55*$D$48,2)</f>
        <v>3.82</v>
      </c>
      <c r="F55" s="252">
        <f>'High Voltage Rate Design'!H37</f>
        <v>3.93</v>
      </c>
      <c r="H55" s="29">
        <f>ROUND(F55/$D$48,2)</f>
        <v>4.1399999999999997</v>
      </c>
    </row>
    <row r="56" spans="1:8">
      <c r="A56" s="206">
        <f t="shared" si="0"/>
        <v>45</v>
      </c>
      <c r="B56" s="268" t="s">
        <v>161</v>
      </c>
      <c r="D56" s="252">
        <f>'Tariff Summary'!E115</f>
        <v>4.1100000000000003</v>
      </c>
      <c r="E56" s="252">
        <f>ROUND(D56*$D$48,2)</f>
        <v>3.9</v>
      </c>
      <c r="F56" s="252">
        <f>ROUND(+F55*(1+E51),2)</f>
        <v>4.01</v>
      </c>
      <c r="H56" s="29">
        <f>ROUND(F56/$D$48,2)</f>
        <v>4.22</v>
      </c>
    </row>
    <row r="57" spans="1:8">
      <c r="A57" s="206">
        <f t="shared" si="0"/>
        <v>46</v>
      </c>
      <c r="B57" s="268" t="s">
        <v>162</v>
      </c>
      <c r="D57" s="252">
        <f>'Tariff Summary'!E114</f>
        <v>4.2</v>
      </c>
      <c r="E57" s="252">
        <f>ROUND(D57*$D$48,2)</f>
        <v>3.99</v>
      </c>
      <c r="F57" s="252">
        <f>ROUND(+F55*(1+E52),2)</f>
        <v>4.17</v>
      </c>
      <c r="H57" s="29">
        <f>ROUND(F57/$D$48,2)</f>
        <v>4.3899999999999997</v>
      </c>
    </row>
    <row r="58" spans="1:8">
      <c r="A58" s="206">
        <f t="shared" si="0"/>
        <v>47</v>
      </c>
      <c r="B58" s="209" t="s">
        <v>171</v>
      </c>
      <c r="C58" s="317"/>
      <c r="D58" s="317"/>
      <c r="E58" s="267"/>
      <c r="F58" s="29" t="s">
        <v>168</v>
      </c>
      <c r="H58" s="238" t="s">
        <v>169</v>
      </c>
    </row>
    <row r="59" spans="1:8">
      <c r="A59" s="206">
        <f t="shared" si="0"/>
        <v>48</v>
      </c>
      <c r="B59" s="268" t="s">
        <v>160</v>
      </c>
      <c r="D59" s="208">
        <f>'Tariff Summary'!E111</f>
        <v>5.4413000000000003E-2</v>
      </c>
      <c r="E59" s="269"/>
      <c r="F59" s="270">
        <f>ROUND('High Voltage Rate Design'!H32,6)</f>
        <v>5.7812000000000002E-2</v>
      </c>
      <c r="G59" s="269"/>
      <c r="H59" s="269">
        <f>F59</f>
        <v>5.7812000000000002E-2</v>
      </c>
    </row>
    <row r="60" spans="1:8">
      <c r="A60" s="206">
        <f t="shared" si="0"/>
        <v>49</v>
      </c>
      <c r="B60" s="268" t="s">
        <v>161</v>
      </c>
      <c r="D60" s="208">
        <f>'Tariff Summary'!E110</f>
        <v>5.5190999999999997E-2</v>
      </c>
      <c r="E60" s="269"/>
      <c r="G60" s="269"/>
      <c r="H60" s="269">
        <f>ROUND(+F59*(1+E51),6)</f>
        <v>5.8939999999999999E-2</v>
      </c>
    </row>
    <row r="61" spans="1:8">
      <c r="A61" s="206">
        <f t="shared" si="0"/>
        <v>50</v>
      </c>
      <c r="B61" s="268" t="s">
        <v>162</v>
      </c>
      <c r="D61" s="208">
        <f>'Tariff Summary'!E109</f>
        <v>5.6638000000000001E-2</v>
      </c>
      <c r="E61" s="269"/>
      <c r="G61" s="269"/>
      <c r="H61" s="269">
        <f>ROUND(+F59*(1+E52),6)</f>
        <v>6.1355E-2</v>
      </c>
    </row>
    <row r="62" spans="1:8">
      <c r="A62" s="206">
        <f t="shared" si="0"/>
        <v>51</v>
      </c>
    </row>
    <row r="63" spans="1:8">
      <c r="A63" s="206">
        <f t="shared" si="0"/>
        <v>52</v>
      </c>
    </row>
    <row r="64" spans="1:8" ht="16.2" thickBot="1">
      <c r="A64" s="206">
        <f t="shared" si="0"/>
        <v>53</v>
      </c>
    </row>
    <row r="65" spans="1:16" s="320" customFormat="1" ht="55.8">
      <c r="A65" s="206">
        <f t="shared" si="0"/>
        <v>54</v>
      </c>
      <c r="B65" s="196" t="s">
        <v>176</v>
      </c>
      <c r="C65" s="197"/>
      <c r="D65" s="198" t="s">
        <v>177</v>
      </c>
      <c r="E65" s="198" t="s">
        <v>178</v>
      </c>
      <c r="F65" s="198" t="s">
        <v>179</v>
      </c>
      <c r="G65" s="198"/>
      <c r="H65" s="199" t="s">
        <v>180</v>
      </c>
      <c r="I65" s="199" t="s">
        <v>840</v>
      </c>
      <c r="J65" s="198"/>
      <c r="K65" s="199" t="s">
        <v>841</v>
      </c>
      <c r="L65" s="318"/>
      <c r="M65" s="199" t="s">
        <v>842</v>
      </c>
      <c r="N65" s="200" t="s">
        <v>843</v>
      </c>
      <c r="O65" s="319"/>
      <c r="P65" s="319"/>
    </row>
    <row r="66" spans="1:16">
      <c r="A66" s="206">
        <f t="shared" si="0"/>
        <v>55</v>
      </c>
      <c r="B66" s="321" t="s">
        <v>976</v>
      </c>
      <c r="C66" s="92"/>
      <c r="D66" s="344">
        <f>ROUND($F$31*H66,2)</f>
        <v>3.66</v>
      </c>
      <c r="E66" s="344">
        <f>ROUND($F$30*H66,2)</f>
        <v>3.74</v>
      </c>
      <c r="F66" s="344">
        <f>ROUND(I66*H66,2)</f>
        <v>6.69</v>
      </c>
      <c r="G66" s="92"/>
      <c r="H66" s="345">
        <v>0.88980000000000004</v>
      </c>
      <c r="I66" s="344">
        <f>SUM(K66,M66,N66)</f>
        <v>7.52</v>
      </c>
      <c r="J66" s="344"/>
      <c r="K66" s="344">
        <v>0.4</v>
      </c>
      <c r="L66" s="344"/>
      <c r="M66" s="344">
        <v>1.95</v>
      </c>
      <c r="N66" s="414">
        <v>5.17</v>
      </c>
    </row>
    <row r="67" spans="1:16">
      <c r="A67" s="206">
        <f t="shared" si="0"/>
        <v>56</v>
      </c>
      <c r="B67" s="321" t="s">
        <v>975</v>
      </c>
      <c r="C67" s="92"/>
      <c r="D67" s="344">
        <f t="shared" ref="D67:D79" si="13">ROUND($F$31*H67,2)</f>
        <v>3.69</v>
      </c>
      <c r="E67" s="344">
        <f t="shared" ref="E67:E79" si="14">ROUND($F$30*H67,2)</f>
        <v>3.77</v>
      </c>
      <c r="F67" s="344">
        <f t="shared" ref="F67:F79" si="15">ROUND(I67*H67,2)</f>
        <v>6.7</v>
      </c>
      <c r="G67" s="92"/>
      <c r="H67" s="345">
        <v>0.89859999999999995</v>
      </c>
      <c r="I67" s="344">
        <f t="shared" ref="I67:I79" si="16">SUM(K67,M67,N67)</f>
        <v>7.46</v>
      </c>
      <c r="J67" s="344"/>
      <c r="K67" s="344">
        <v>0.66</v>
      </c>
      <c r="L67" s="344"/>
      <c r="M67" s="344">
        <v>2.71</v>
      </c>
      <c r="N67" s="414">
        <v>4.09</v>
      </c>
    </row>
    <row r="68" spans="1:16">
      <c r="A68" s="206">
        <f t="shared" si="0"/>
        <v>57</v>
      </c>
      <c r="B68" s="321" t="s">
        <v>977</v>
      </c>
      <c r="C68" s="92"/>
      <c r="D68" s="344">
        <f t="shared" si="13"/>
        <v>4.1100000000000003</v>
      </c>
      <c r="E68" s="344">
        <f t="shared" si="14"/>
        <v>4.2</v>
      </c>
      <c r="F68" s="344">
        <f t="shared" si="15"/>
        <v>1.92</v>
      </c>
      <c r="G68" s="92"/>
      <c r="H68" s="345">
        <v>1</v>
      </c>
      <c r="I68" s="344">
        <f t="shared" si="16"/>
        <v>1.92</v>
      </c>
      <c r="J68" s="344"/>
      <c r="K68" s="344">
        <v>0</v>
      </c>
      <c r="L68" s="344"/>
      <c r="M68" s="344">
        <v>0.64</v>
      </c>
      <c r="N68" s="414">
        <v>1.28</v>
      </c>
    </row>
    <row r="69" spans="1:16">
      <c r="A69" s="206">
        <f t="shared" si="0"/>
        <v>58</v>
      </c>
      <c r="B69" s="321" t="s">
        <v>978</v>
      </c>
      <c r="C69" s="92"/>
      <c r="D69" s="344">
        <f t="shared" si="13"/>
        <v>4.1100000000000003</v>
      </c>
      <c r="E69" s="344">
        <f t="shared" si="14"/>
        <v>4.2</v>
      </c>
      <c r="F69" s="344">
        <f t="shared" si="15"/>
        <v>1.05</v>
      </c>
      <c r="G69" s="92"/>
      <c r="H69" s="345">
        <v>1</v>
      </c>
      <c r="I69" s="344">
        <f t="shared" si="16"/>
        <v>1.05</v>
      </c>
      <c r="J69" s="344"/>
      <c r="K69" s="344">
        <v>0</v>
      </c>
      <c r="L69" s="344"/>
      <c r="M69" s="344">
        <v>0.23</v>
      </c>
      <c r="N69" s="414">
        <v>0.82</v>
      </c>
    </row>
    <row r="70" spans="1:16">
      <c r="A70" s="206">
        <f t="shared" si="0"/>
        <v>59</v>
      </c>
      <c r="B70" s="321" t="s">
        <v>979</v>
      </c>
      <c r="C70" s="92"/>
      <c r="D70" s="344">
        <f t="shared" si="13"/>
        <v>4.0599999999999996</v>
      </c>
      <c r="E70" s="344">
        <f t="shared" si="14"/>
        <v>4.1399999999999997</v>
      </c>
      <c r="F70" s="344">
        <f t="shared" si="15"/>
        <v>2.91</v>
      </c>
      <c r="G70" s="92"/>
      <c r="H70" s="345">
        <v>0.98680000000000001</v>
      </c>
      <c r="I70" s="344">
        <f t="shared" si="16"/>
        <v>2.95</v>
      </c>
      <c r="J70" s="344"/>
      <c r="K70" s="344">
        <v>0.08</v>
      </c>
      <c r="L70" s="344"/>
      <c r="M70" s="344">
        <v>1.98</v>
      </c>
      <c r="N70" s="414">
        <v>0.89</v>
      </c>
    </row>
    <row r="71" spans="1:16">
      <c r="A71" s="206">
        <f t="shared" si="0"/>
        <v>60</v>
      </c>
      <c r="B71" s="321" t="s">
        <v>980</v>
      </c>
      <c r="C71" s="92"/>
      <c r="D71" s="344">
        <f t="shared" si="13"/>
        <v>4.1100000000000003</v>
      </c>
      <c r="E71" s="344">
        <f t="shared" si="14"/>
        <v>4.2</v>
      </c>
      <c r="F71" s="344">
        <f t="shared" si="15"/>
        <v>0.72</v>
      </c>
      <c r="G71" s="92"/>
      <c r="H71" s="345">
        <v>1</v>
      </c>
      <c r="I71" s="344">
        <f t="shared" si="16"/>
        <v>0.72</v>
      </c>
      <c r="J71" s="344"/>
      <c r="K71" s="344">
        <v>0</v>
      </c>
      <c r="L71" s="344"/>
      <c r="M71" s="344">
        <v>0.28000000000000003</v>
      </c>
      <c r="N71" s="414">
        <v>0.44</v>
      </c>
    </row>
    <row r="72" spans="1:16">
      <c r="A72" s="206">
        <f t="shared" si="0"/>
        <v>61</v>
      </c>
      <c r="B72" s="321" t="s">
        <v>981</v>
      </c>
      <c r="C72" s="92"/>
      <c r="D72" s="344">
        <f t="shared" si="13"/>
        <v>0</v>
      </c>
      <c r="E72" s="344">
        <f t="shared" si="14"/>
        <v>0</v>
      </c>
      <c r="F72" s="344">
        <f t="shared" si="15"/>
        <v>0</v>
      </c>
      <c r="G72" s="92"/>
      <c r="H72" s="345">
        <v>0</v>
      </c>
      <c r="I72" s="344">
        <f t="shared" si="16"/>
        <v>0</v>
      </c>
      <c r="J72" s="344"/>
      <c r="K72" s="344">
        <v>0</v>
      </c>
      <c r="L72" s="344"/>
      <c r="M72" s="344">
        <v>0</v>
      </c>
      <c r="N72" s="414">
        <v>0</v>
      </c>
    </row>
    <row r="73" spans="1:16">
      <c r="A73" s="206">
        <f t="shared" si="0"/>
        <v>62</v>
      </c>
      <c r="B73" s="321" t="s">
        <v>983</v>
      </c>
      <c r="C73" s="92"/>
      <c r="D73" s="344">
        <f t="shared" si="13"/>
        <v>4.0999999999999996</v>
      </c>
      <c r="E73" s="344">
        <f t="shared" si="14"/>
        <v>4.1900000000000004</v>
      </c>
      <c r="F73" s="344">
        <f t="shared" si="15"/>
        <v>3.62</v>
      </c>
      <c r="G73" s="92"/>
      <c r="H73" s="345">
        <v>0.99770000000000003</v>
      </c>
      <c r="I73" s="344">
        <f t="shared" si="16"/>
        <v>3.63</v>
      </c>
      <c r="J73" s="344"/>
      <c r="K73" s="344">
        <v>0.03</v>
      </c>
      <c r="L73" s="344"/>
      <c r="M73" s="344">
        <v>1.72</v>
      </c>
      <c r="N73" s="414">
        <v>1.88</v>
      </c>
    </row>
    <row r="74" spans="1:16">
      <c r="A74" s="206">
        <f t="shared" si="0"/>
        <v>63</v>
      </c>
      <c r="B74" s="321" t="s">
        <v>982</v>
      </c>
      <c r="C74" s="92"/>
      <c r="D74" s="344">
        <f t="shared" si="13"/>
        <v>3.77</v>
      </c>
      <c r="E74" s="344">
        <f t="shared" si="14"/>
        <v>3.85</v>
      </c>
      <c r="F74" s="344">
        <f t="shared" si="15"/>
        <v>8.89</v>
      </c>
      <c r="G74" s="92"/>
      <c r="H74" s="345">
        <v>0.91700000000000004</v>
      </c>
      <c r="I74" s="344">
        <f t="shared" si="16"/>
        <v>9.6900000000000013</v>
      </c>
      <c r="J74" s="344"/>
      <c r="K74" s="344">
        <v>0.82</v>
      </c>
      <c r="L74" s="344"/>
      <c r="M74" s="344">
        <v>3.25</v>
      </c>
      <c r="N74" s="414">
        <v>5.62</v>
      </c>
    </row>
    <row r="75" spans="1:16">
      <c r="A75" s="206">
        <f t="shared" si="0"/>
        <v>64</v>
      </c>
      <c r="B75" s="321" t="s">
        <v>984</v>
      </c>
      <c r="C75" s="92"/>
      <c r="D75" s="344">
        <f t="shared" si="13"/>
        <v>3.94</v>
      </c>
      <c r="E75" s="344">
        <f t="shared" si="14"/>
        <v>4.03</v>
      </c>
      <c r="F75" s="344">
        <f t="shared" si="15"/>
        <v>2.42</v>
      </c>
      <c r="G75" s="92"/>
      <c r="H75" s="345">
        <v>0.95850000000000002</v>
      </c>
      <c r="I75" s="344">
        <f t="shared" si="16"/>
        <v>2.52</v>
      </c>
      <c r="J75" s="344"/>
      <c r="K75" s="344">
        <v>0.59</v>
      </c>
      <c r="L75" s="344"/>
      <c r="M75" s="344">
        <v>0.61</v>
      </c>
      <c r="N75" s="414">
        <v>1.32</v>
      </c>
    </row>
    <row r="76" spans="1:16">
      <c r="A76" s="206">
        <f t="shared" si="0"/>
        <v>65</v>
      </c>
      <c r="B76" s="321" t="s">
        <v>985</v>
      </c>
      <c r="C76" s="92"/>
      <c r="D76" s="344">
        <f t="shared" si="13"/>
        <v>3.9</v>
      </c>
      <c r="E76" s="344">
        <f t="shared" si="14"/>
        <v>3.99</v>
      </c>
      <c r="F76" s="344">
        <f t="shared" si="15"/>
        <v>2.71</v>
      </c>
      <c r="G76" s="92"/>
      <c r="H76" s="345">
        <v>0.94930000000000003</v>
      </c>
      <c r="I76" s="344">
        <f t="shared" si="16"/>
        <v>2.8600000000000003</v>
      </c>
      <c r="J76" s="344"/>
      <c r="K76" s="344">
        <v>0.71</v>
      </c>
      <c r="L76" s="344"/>
      <c r="M76" s="344">
        <v>0.6</v>
      </c>
      <c r="N76" s="414">
        <v>1.55</v>
      </c>
    </row>
    <row r="77" spans="1:16">
      <c r="A77" s="206">
        <f t="shared" si="0"/>
        <v>66</v>
      </c>
      <c r="B77" s="321" t="s">
        <v>986</v>
      </c>
      <c r="C77" s="92"/>
      <c r="D77" s="344">
        <f t="shared" si="13"/>
        <v>4</v>
      </c>
      <c r="E77" s="344">
        <f t="shared" si="14"/>
        <v>4.09</v>
      </c>
      <c r="F77" s="344">
        <f t="shared" si="15"/>
        <v>1.4</v>
      </c>
      <c r="G77" s="92"/>
      <c r="H77" s="345">
        <v>0.97319999999999995</v>
      </c>
      <c r="I77" s="344">
        <f t="shared" si="16"/>
        <v>1.44</v>
      </c>
      <c r="J77" s="344"/>
      <c r="K77" s="344">
        <v>0.22</v>
      </c>
      <c r="L77" s="344"/>
      <c r="M77" s="344">
        <v>0.43</v>
      </c>
      <c r="N77" s="414">
        <v>0.79</v>
      </c>
    </row>
    <row r="78" spans="1:16">
      <c r="A78" s="206">
        <f t="shared" ref="A78:A81" si="17">A77+1</f>
        <v>67</v>
      </c>
      <c r="B78" s="346" t="s">
        <v>987</v>
      </c>
      <c r="C78" s="92"/>
      <c r="D78" s="344">
        <f t="shared" si="13"/>
        <v>3.88</v>
      </c>
      <c r="E78" s="344">
        <f t="shared" si="14"/>
        <v>3.96</v>
      </c>
      <c r="F78" s="344">
        <f t="shared" si="15"/>
        <v>1.56</v>
      </c>
      <c r="G78" s="92"/>
      <c r="H78" s="345">
        <v>0.94369999999999998</v>
      </c>
      <c r="I78" s="344">
        <f t="shared" si="16"/>
        <v>1.65</v>
      </c>
      <c r="J78" s="344"/>
      <c r="K78" s="344">
        <v>0.56999999999999995</v>
      </c>
      <c r="L78" s="344"/>
      <c r="M78" s="344">
        <v>0.86</v>
      </c>
      <c r="N78" s="414">
        <v>0.22</v>
      </c>
    </row>
    <row r="79" spans="1:16">
      <c r="A79" s="206">
        <f t="shared" si="17"/>
        <v>68</v>
      </c>
      <c r="B79" s="346" t="s">
        <v>988</v>
      </c>
      <c r="C79" s="92"/>
      <c r="D79" s="344">
        <f t="shared" si="13"/>
        <v>4.04</v>
      </c>
      <c r="E79" s="344">
        <f t="shared" si="14"/>
        <v>4.12</v>
      </c>
      <c r="F79" s="344">
        <f t="shared" si="15"/>
        <v>8.68</v>
      </c>
      <c r="G79" s="92"/>
      <c r="H79" s="345">
        <v>0.9819</v>
      </c>
      <c r="I79" s="344">
        <f t="shared" si="16"/>
        <v>8.84</v>
      </c>
      <c r="J79" s="344"/>
      <c r="K79" s="344">
        <v>0.16</v>
      </c>
      <c r="L79" s="344"/>
      <c r="M79" s="344">
        <v>2.74</v>
      </c>
      <c r="N79" s="414">
        <v>5.94</v>
      </c>
    </row>
    <row r="80" spans="1:16">
      <c r="A80" s="206">
        <f t="shared" si="17"/>
        <v>69</v>
      </c>
      <c r="B80" s="321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322"/>
    </row>
    <row r="81" spans="1:14" ht="16.2" thickBot="1">
      <c r="A81" s="206">
        <f t="shared" si="17"/>
        <v>70</v>
      </c>
      <c r="B81" s="323" t="s">
        <v>837</v>
      </c>
      <c r="C81" s="324"/>
      <c r="D81" s="324"/>
      <c r="E81" s="324"/>
      <c r="F81" s="324"/>
      <c r="G81" s="324"/>
      <c r="H81" s="324"/>
      <c r="I81" s="324"/>
      <c r="J81" s="324"/>
      <c r="K81" s="324"/>
      <c r="L81" s="324"/>
      <c r="M81" s="324"/>
      <c r="N81" s="325"/>
    </row>
  </sheetData>
  <mergeCells count="21">
    <mergeCell ref="M24:O24"/>
    <mergeCell ref="M25:O25"/>
    <mergeCell ref="M26:O26"/>
    <mergeCell ref="M30:O30"/>
    <mergeCell ref="M31:O31"/>
    <mergeCell ref="M43:O43"/>
    <mergeCell ref="M44:O44"/>
    <mergeCell ref="B1:K1"/>
    <mergeCell ref="B2:K2"/>
    <mergeCell ref="B3:K3"/>
    <mergeCell ref="B4:K4"/>
    <mergeCell ref="F9:H9"/>
    <mergeCell ref="I9:K9"/>
    <mergeCell ref="M15:O15"/>
    <mergeCell ref="M16:O16"/>
    <mergeCell ref="M17:O17"/>
    <mergeCell ref="M21:O21"/>
    <mergeCell ref="M22:O22"/>
    <mergeCell ref="M35:O35"/>
    <mergeCell ref="M36:O36"/>
    <mergeCell ref="M39:O39"/>
  </mergeCells>
  <printOptions horizontalCentered="1"/>
  <pageMargins left="0.7" right="0.7" top="0.75" bottom="0.71" header="0.3" footer="0.3"/>
  <pageSetup scale="60" fitToHeight="7" orientation="landscape" r:id="rId1"/>
  <headerFooter alignWithMargins="0">
    <oddFooter>&amp;L&amp;A&amp;RExhibit No.___(JAP-15)
Page &amp;P of &amp;N</oddFooter>
  </headerFooter>
  <rowBreaks count="1" manualBreakCount="1">
    <brk id="45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1"/>
  <dimension ref="A1:AO48"/>
  <sheetViews>
    <sheetView zoomScale="75" zoomScaleNormal="75" zoomScaleSheetLayoutView="80" workbookViewId="0">
      <pane ySplit="10" topLeftCell="A17" activePane="bottomLeft" state="frozen"/>
      <selection sqref="A1:XFD1048576"/>
      <selection pane="bottomLeft" activeCell="A10" sqref="A10:N10"/>
    </sheetView>
  </sheetViews>
  <sheetFormatPr defaultColWidth="10.19921875" defaultRowHeight="15.6"/>
  <cols>
    <col min="1" max="1" width="4.59765625" style="29" bestFit="1" customWidth="1"/>
    <col min="2" max="2" width="28.59765625" style="29" bestFit="1" customWidth="1"/>
    <col min="3" max="3" width="1.3984375" style="29" bestFit="1" customWidth="1"/>
    <col min="4" max="4" width="11.59765625" style="29" bestFit="1" customWidth="1"/>
    <col min="5" max="5" width="10.796875" style="29" bestFit="1" customWidth="1"/>
    <col min="6" max="6" width="5.3984375" style="29" bestFit="1" customWidth="1"/>
    <col min="7" max="7" width="11.59765625" style="29" bestFit="1" customWidth="1"/>
    <col min="8" max="8" width="12.8984375" style="29" customWidth="1"/>
    <col min="9" max="9" width="2" style="29" bestFit="1" customWidth="1"/>
    <col min="10" max="10" width="14.69921875" style="29" customWidth="1"/>
    <col min="11" max="11" width="1.59765625" style="29" customWidth="1"/>
    <col min="12" max="12" width="12.5" style="29" bestFit="1" customWidth="1"/>
    <col min="13" max="13" width="11.59765625" style="98" bestFit="1" customWidth="1"/>
    <col min="14" max="14" width="6.796875" style="98" bestFit="1" customWidth="1"/>
    <col min="15" max="15" width="7.09765625" style="98" bestFit="1" customWidth="1"/>
    <col min="16" max="18" width="1.3984375" style="29" bestFit="1" customWidth="1"/>
    <col min="19" max="19" width="14.09765625" style="29" bestFit="1" customWidth="1"/>
    <col min="20" max="20" width="1.3984375" style="29" bestFit="1" customWidth="1"/>
    <col min="21" max="21" width="13.19921875" style="29" bestFit="1" customWidth="1"/>
    <col min="22" max="22" width="13" style="29" bestFit="1" customWidth="1"/>
    <col min="23" max="23" width="12.19921875" style="29" bestFit="1" customWidth="1"/>
    <col min="24" max="24" width="5.5" style="29" bestFit="1" customWidth="1"/>
    <col min="25" max="25" width="1.3984375" style="29" bestFit="1" customWidth="1"/>
    <col min="26" max="26" width="10.19921875" style="29" customWidth="1"/>
    <col min="27" max="27" width="12.09765625" style="29" customWidth="1"/>
    <col min="28" max="16384" width="10.19921875" style="29"/>
  </cols>
  <sheetData>
    <row r="1" spans="1:41" ht="17.399999999999999">
      <c r="B1" s="386" t="s">
        <v>44</v>
      </c>
      <c r="C1" s="386"/>
      <c r="D1" s="386"/>
      <c r="E1" s="386"/>
      <c r="F1" s="386"/>
      <c r="G1" s="386"/>
      <c r="H1" s="386"/>
      <c r="I1" s="386"/>
      <c r="J1" s="386"/>
      <c r="K1" s="94"/>
      <c r="L1" s="92"/>
      <c r="M1" s="93"/>
      <c r="N1" s="93"/>
      <c r="O1" s="93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41" ht="17.399999999999999">
      <c r="B2" s="386"/>
      <c r="C2" s="386"/>
      <c r="D2" s="386"/>
      <c r="E2" s="386"/>
      <c r="F2" s="386"/>
      <c r="G2" s="386"/>
      <c r="H2" s="386"/>
      <c r="I2" s="386"/>
      <c r="J2" s="386"/>
      <c r="K2" s="94"/>
      <c r="L2" s="92"/>
      <c r="M2" s="93"/>
      <c r="N2" s="93"/>
      <c r="O2" s="93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41">
      <c r="B3" s="387" t="str">
        <f>'Proforma-Proposed'!$A$6</f>
        <v>12 MONTHS ENDED SEPTEMBER 2016</v>
      </c>
      <c r="C3" s="387"/>
      <c r="D3" s="387"/>
      <c r="E3" s="387"/>
      <c r="F3" s="387"/>
      <c r="G3" s="387"/>
      <c r="H3" s="387"/>
      <c r="I3" s="387"/>
      <c r="J3" s="387"/>
      <c r="K3" s="95"/>
      <c r="L3" s="92"/>
      <c r="M3" s="93"/>
      <c r="N3" s="93"/>
      <c r="O3" s="93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</row>
    <row r="4" spans="1:41">
      <c r="B4" s="388" t="s">
        <v>21</v>
      </c>
      <c r="C4" s="388"/>
      <c r="D4" s="388"/>
      <c r="E4" s="388"/>
      <c r="F4" s="388"/>
      <c r="G4" s="388"/>
      <c r="H4" s="388"/>
      <c r="I4" s="388"/>
      <c r="J4" s="388"/>
      <c r="K4" s="23"/>
      <c r="L4" s="92"/>
      <c r="M4" s="93"/>
      <c r="N4" s="93"/>
      <c r="O4" s="93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</row>
    <row r="5" spans="1:41">
      <c r="B5" s="24" t="s">
        <v>181</v>
      </c>
      <c r="C5" s="96"/>
      <c r="D5" s="96"/>
      <c r="E5" s="97"/>
      <c r="F5" s="97"/>
      <c r="G5" s="96"/>
      <c r="H5" s="97"/>
      <c r="I5" s="96"/>
      <c r="J5" s="96"/>
      <c r="K5" s="96"/>
      <c r="L5" s="92"/>
      <c r="M5" s="93"/>
      <c r="N5" s="93"/>
      <c r="O5" s="93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</row>
    <row r="6" spans="1:41">
      <c r="B6" s="24"/>
      <c r="C6" s="96"/>
      <c r="D6" s="96"/>
      <c r="E6" s="97"/>
      <c r="F6" s="97"/>
      <c r="G6" s="96"/>
      <c r="H6" s="97"/>
      <c r="I6" s="96"/>
      <c r="J6" s="96"/>
      <c r="K6" s="96"/>
      <c r="L6" s="92"/>
      <c r="M6" s="93"/>
      <c r="N6" s="93"/>
      <c r="O6" s="93"/>
      <c r="P6" s="93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</row>
    <row r="7" spans="1:41">
      <c r="B7" s="96"/>
      <c r="C7" s="96"/>
      <c r="D7" s="96"/>
      <c r="E7" s="97"/>
      <c r="F7" s="97"/>
      <c r="G7" s="96"/>
      <c r="H7" s="97"/>
      <c r="I7" s="96"/>
      <c r="J7" s="96"/>
      <c r="K7" s="96"/>
      <c r="L7" s="92"/>
      <c r="M7" s="93"/>
      <c r="N7" s="93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</row>
    <row r="8" spans="1:41">
      <c r="B8" s="26"/>
      <c r="C8" s="26"/>
      <c r="D8" s="25"/>
      <c r="E8" s="26"/>
      <c r="F8" s="26"/>
      <c r="H8" s="26"/>
      <c r="I8" s="27"/>
      <c r="J8" s="27"/>
      <c r="K8" s="27"/>
      <c r="L8" s="92"/>
      <c r="M8" s="93"/>
      <c r="N8" s="93"/>
      <c r="O8" s="93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</row>
    <row r="9" spans="1:41">
      <c r="A9" s="25" t="s">
        <v>7</v>
      </c>
      <c r="B9" s="26"/>
      <c r="C9" s="26"/>
      <c r="D9" s="25" t="s">
        <v>22</v>
      </c>
      <c r="E9" s="389" t="s">
        <v>3</v>
      </c>
      <c r="F9" s="390"/>
      <c r="G9" s="391"/>
      <c r="H9" s="392" t="str">
        <f>'Residential Rate Design'!$H$9</f>
        <v xml:space="preserve">Proposed </v>
      </c>
      <c r="I9" s="390"/>
      <c r="J9" s="391"/>
      <c r="K9" s="27"/>
      <c r="L9" s="92"/>
      <c r="M9" s="93"/>
      <c r="N9" s="93"/>
      <c r="O9" s="93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</row>
    <row r="10" spans="1:41">
      <c r="A10" s="336" t="s">
        <v>13</v>
      </c>
      <c r="B10" s="337"/>
      <c r="C10" s="337"/>
      <c r="D10" s="336" t="s">
        <v>23</v>
      </c>
      <c r="E10" s="338" t="s">
        <v>24</v>
      </c>
      <c r="F10" s="338"/>
      <c r="G10" s="338" t="s">
        <v>25</v>
      </c>
      <c r="H10" s="338" t="s">
        <v>24</v>
      </c>
      <c r="I10" s="338"/>
      <c r="J10" s="338" t="s">
        <v>25</v>
      </c>
      <c r="K10" s="338"/>
      <c r="L10" s="339"/>
      <c r="M10" s="262"/>
      <c r="N10" s="262"/>
      <c r="O10" s="93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</row>
    <row r="11" spans="1:41">
      <c r="A11" s="205"/>
      <c r="D11" s="28" t="s">
        <v>966</v>
      </c>
      <c r="E11" s="28" t="s">
        <v>959</v>
      </c>
      <c r="F11" s="27"/>
      <c r="G11" s="27" t="s">
        <v>960</v>
      </c>
      <c r="H11" s="28" t="s">
        <v>961</v>
      </c>
      <c r="I11" s="28"/>
      <c r="J11" s="28" t="s">
        <v>962</v>
      </c>
      <c r="K11" s="28"/>
      <c r="L11" s="28" t="s">
        <v>963</v>
      </c>
      <c r="M11" s="28" t="s">
        <v>964</v>
      </c>
      <c r="N11" s="28" t="s">
        <v>965</v>
      </c>
      <c r="O11" s="93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H11" s="99"/>
    </row>
    <row r="12" spans="1:41">
      <c r="A12" s="206">
        <v>1</v>
      </c>
      <c r="B12" s="207" t="s">
        <v>182</v>
      </c>
      <c r="C12" s="102"/>
      <c r="D12" s="102" t="s">
        <v>0</v>
      </c>
      <c r="E12" s="116"/>
      <c r="F12" s="102"/>
      <c r="G12" s="102"/>
      <c r="H12" s="116"/>
      <c r="I12" s="102"/>
      <c r="J12" s="102"/>
      <c r="K12" s="102"/>
      <c r="L12" s="92"/>
      <c r="M12" s="93"/>
      <c r="N12" s="93"/>
      <c r="O12" s="93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H12" s="99"/>
    </row>
    <row r="13" spans="1:41">
      <c r="A13" s="206">
        <f>A12+1</f>
        <v>2</v>
      </c>
      <c r="B13" s="207" t="s">
        <v>53</v>
      </c>
      <c r="C13" s="102"/>
      <c r="D13" s="102"/>
      <c r="E13" s="116"/>
      <c r="F13" s="102"/>
      <c r="G13" s="102"/>
      <c r="H13" s="116"/>
      <c r="I13" s="102"/>
      <c r="J13" s="102"/>
      <c r="K13" s="102"/>
      <c r="L13" s="92"/>
      <c r="M13" s="93"/>
      <c r="N13" s="93"/>
      <c r="O13" s="93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H13" s="99"/>
    </row>
    <row r="14" spans="1:41">
      <c r="A14" s="206">
        <f t="shared" ref="A14:A40" si="0">A13+1</f>
        <v>3</v>
      </c>
      <c r="B14" s="207" t="s">
        <v>183</v>
      </c>
      <c r="C14" s="102"/>
      <c r="D14" s="100">
        <v>60</v>
      </c>
      <c r="E14" s="208"/>
      <c r="F14" s="102"/>
      <c r="G14" s="116"/>
      <c r="H14" s="208"/>
      <c r="I14" s="102"/>
      <c r="J14" s="116"/>
      <c r="K14" s="102"/>
      <c r="N14" s="101"/>
      <c r="O14" s="101"/>
      <c r="Q14" s="99"/>
      <c r="R14" s="32"/>
      <c r="S14" s="99"/>
      <c r="T14" s="32"/>
      <c r="U14" s="99"/>
      <c r="V14" s="99"/>
      <c r="W14" s="32"/>
      <c r="X14" s="21"/>
      <c r="Y14" s="99"/>
      <c r="Z14" s="99"/>
      <c r="AH14" s="92"/>
      <c r="AI14" s="92"/>
      <c r="AJ14" s="92"/>
      <c r="AK14" s="92"/>
      <c r="AL14" s="92"/>
      <c r="AM14" s="92"/>
      <c r="AO14" s="99"/>
    </row>
    <row r="15" spans="1:41">
      <c r="A15" s="206">
        <f t="shared" si="0"/>
        <v>4</v>
      </c>
      <c r="B15" s="102" t="s">
        <v>86</v>
      </c>
      <c r="C15" s="102"/>
      <c r="D15" s="100"/>
      <c r="E15" s="208"/>
      <c r="F15" s="102"/>
      <c r="G15" s="116"/>
      <c r="H15" s="208"/>
      <c r="I15" s="102"/>
      <c r="J15" s="116"/>
      <c r="K15" s="102"/>
      <c r="N15" s="101"/>
      <c r="O15" s="101"/>
      <c r="Q15" s="99"/>
      <c r="R15" s="32"/>
      <c r="S15" s="99"/>
      <c r="T15" s="32"/>
      <c r="U15" s="99"/>
      <c r="V15" s="99"/>
      <c r="W15" s="32"/>
      <c r="X15" s="21"/>
      <c r="Y15" s="99"/>
      <c r="Z15" s="99"/>
      <c r="AH15" s="92"/>
      <c r="AI15" s="92"/>
      <c r="AJ15" s="92"/>
      <c r="AK15" s="92"/>
      <c r="AL15" s="92"/>
      <c r="AM15" s="92"/>
      <c r="AO15" s="99"/>
    </row>
    <row r="16" spans="1:41">
      <c r="A16" s="206">
        <f t="shared" si="0"/>
        <v>5</v>
      </c>
      <c r="B16" s="209" t="s">
        <v>42</v>
      </c>
      <c r="C16" s="102"/>
      <c r="D16" s="100">
        <v>63736317.697999991</v>
      </c>
      <c r="E16" s="208">
        <f>'Tariff Summary'!E154</f>
        <v>5.4413000000000003E-2</v>
      </c>
      <c r="F16" s="102"/>
      <c r="G16" s="116">
        <f t="shared" ref="G16" si="1">ROUND(E16*$D16,0)</f>
        <v>3468084</v>
      </c>
      <c r="H16" s="208">
        <f>H32</f>
        <v>5.7812000000000002E-2</v>
      </c>
      <c r="I16" s="102"/>
      <c r="J16" s="116">
        <f t="shared" ref="J16" si="2">ROUND(H16*$D16,0)</f>
        <v>3684724</v>
      </c>
      <c r="K16" s="103"/>
      <c r="L16" s="394" t="s">
        <v>188</v>
      </c>
      <c r="M16" s="394"/>
      <c r="N16" s="394"/>
      <c r="O16" s="101"/>
      <c r="P16" s="98"/>
      <c r="Y16" s="92"/>
      <c r="Z16" s="92"/>
      <c r="AA16" s="92"/>
      <c r="AB16" s="92"/>
      <c r="AC16" s="92"/>
      <c r="AD16" s="92"/>
      <c r="AE16" s="92"/>
      <c r="AF16" s="92"/>
      <c r="AH16" s="99"/>
    </row>
    <row r="17" spans="1:34">
      <c r="A17" s="206">
        <f t="shared" si="0"/>
        <v>6</v>
      </c>
      <c r="B17" s="209" t="s">
        <v>72</v>
      </c>
      <c r="C17" s="105"/>
      <c r="D17" s="100">
        <v>0</v>
      </c>
      <c r="E17" s="208">
        <f>E16</f>
        <v>5.4413000000000003E-2</v>
      </c>
      <c r="F17" s="208"/>
      <c r="G17" s="116">
        <f t="shared" ref="G17:G18" si="3">ROUND(E17*$D17,0)</f>
        <v>0</v>
      </c>
      <c r="H17" s="208">
        <f>H16</f>
        <v>5.7812000000000002E-2</v>
      </c>
      <c r="I17" s="102"/>
      <c r="J17" s="116">
        <f t="shared" ref="J17:J18" si="4">ROUND(H17*$D17,0)</f>
        <v>0</v>
      </c>
      <c r="K17" s="103"/>
      <c r="Y17" s="92"/>
      <c r="Z17" s="92"/>
      <c r="AA17" s="92"/>
      <c r="AB17" s="92"/>
      <c r="AC17" s="92"/>
      <c r="AD17" s="92"/>
      <c r="AE17" s="92"/>
      <c r="AF17" s="92"/>
      <c r="AH17" s="99"/>
    </row>
    <row r="18" spans="1:34">
      <c r="A18" s="206">
        <f t="shared" si="0"/>
        <v>7</v>
      </c>
      <c r="B18" s="123" t="s">
        <v>77</v>
      </c>
      <c r="C18" s="210"/>
      <c r="D18" s="106">
        <v>539040</v>
      </c>
      <c r="E18" s="208">
        <f>ROUND(SUM(G16:G17,G21)/SUM(D16:D17),6)</f>
        <v>6.5379999999999994E-2</v>
      </c>
      <c r="F18" s="102"/>
      <c r="G18" s="211">
        <f t="shared" si="3"/>
        <v>35242</v>
      </c>
      <c r="H18" s="208">
        <f>ROUND(SUM(J16:J17,J21)/SUM(D16:D17),6)</f>
        <v>6.9461999999999996E-2</v>
      </c>
      <c r="I18" s="102"/>
      <c r="J18" s="211">
        <f t="shared" si="4"/>
        <v>37443</v>
      </c>
      <c r="K18" s="103"/>
      <c r="L18" s="394" t="s">
        <v>89</v>
      </c>
      <c r="M18" s="394"/>
      <c r="N18" s="394"/>
      <c r="O18" s="21"/>
      <c r="Y18" s="92"/>
      <c r="Z18" s="92"/>
      <c r="AA18" s="92"/>
      <c r="AB18" s="92"/>
      <c r="AC18" s="92"/>
      <c r="AD18" s="92"/>
      <c r="AE18" s="92"/>
      <c r="AF18" s="92"/>
      <c r="AH18" s="99"/>
    </row>
    <row r="19" spans="1:34">
      <c r="A19" s="206">
        <f t="shared" si="0"/>
        <v>8</v>
      </c>
      <c r="B19" s="212" t="s">
        <v>26</v>
      </c>
      <c r="C19" s="210"/>
      <c r="D19" s="113">
        <f>SUM(D16:D18)</f>
        <v>64275357.697999991</v>
      </c>
      <c r="E19" s="208"/>
      <c r="F19" s="102"/>
      <c r="G19" s="116">
        <f>SUM(G16:G18)</f>
        <v>3503326</v>
      </c>
      <c r="H19" s="208"/>
      <c r="I19" s="102"/>
      <c r="J19" s="116">
        <f>SUM(J16:J18)</f>
        <v>3722167</v>
      </c>
      <c r="K19" s="103"/>
      <c r="N19" s="21"/>
      <c r="O19" s="21"/>
      <c r="Y19" s="92"/>
      <c r="Z19" s="92"/>
      <c r="AA19" s="92"/>
      <c r="AB19" s="92"/>
      <c r="AC19" s="92"/>
      <c r="AD19" s="92"/>
      <c r="AE19" s="92"/>
      <c r="AF19" s="92"/>
      <c r="AH19" s="99"/>
    </row>
    <row r="20" spans="1:34">
      <c r="A20" s="206">
        <f t="shared" si="0"/>
        <v>9</v>
      </c>
      <c r="B20" s="212"/>
      <c r="C20" s="210"/>
      <c r="D20" s="113"/>
      <c r="E20" s="208"/>
      <c r="F20" s="102"/>
      <c r="G20" s="116"/>
      <c r="H20" s="208"/>
      <c r="I20" s="102"/>
      <c r="J20" s="116"/>
      <c r="K20" s="103"/>
      <c r="N20" s="21"/>
      <c r="O20" s="21"/>
      <c r="Y20" s="92"/>
      <c r="Z20" s="92"/>
      <c r="AA20" s="92"/>
      <c r="AB20" s="92"/>
      <c r="AC20" s="92"/>
      <c r="AD20" s="92"/>
      <c r="AE20" s="92"/>
      <c r="AF20" s="92"/>
      <c r="AH20" s="99"/>
    </row>
    <row r="21" spans="1:34">
      <c r="A21" s="206">
        <f t="shared" si="0"/>
        <v>10</v>
      </c>
      <c r="B21" s="207" t="s">
        <v>184</v>
      </c>
      <c r="C21" s="102"/>
      <c r="D21" s="100">
        <v>334461</v>
      </c>
      <c r="E21" s="213">
        <f>'Tariff Summary'!E156</f>
        <v>2.09</v>
      </c>
      <c r="F21" s="102"/>
      <c r="G21" s="116">
        <f t="shared" ref="G21" si="5">ROUND(E21*$D21,0)</f>
        <v>699023</v>
      </c>
      <c r="H21" s="213">
        <f>ROUND(E21*(1+$N$39),2)</f>
        <v>2.2200000000000002</v>
      </c>
      <c r="I21" s="102"/>
      <c r="J21" s="116">
        <f t="shared" ref="J21" si="6">ROUND(H21*$D21,0)</f>
        <v>742503</v>
      </c>
      <c r="K21" s="103"/>
      <c r="L21" s="394" t="s">
        <v>89</v>
      </c>
      <c r="M21" s="394"/>
      <c r="N21" s="394"/>
      <c r="O21" s="101"/>
      <c r="P21" s="98"/>
      <c r="Y21" s="92"/>
      <c r="Z21" s="92"/>
      <c r="AA21" s="92"/>
      <c r="AB21" s="92"/>
      <c r="AC21" s="92"/>
      <c r="AD21" s="92"/>
      <c r="AE21" s="92"/>
      <c r="AF21" s="92"/>
      <c r="AH21" s="99"/>
    </row>
    <row r="22" spans="1:34">
      <c r="A22" s="206">
        <f t="shared" si="0"/>
        <v>11</v>
      </c>
      <c r="B22" s="123"/>
      <c r="C22" s="210"/>
      <c r="D22" s="113"/>
      <c r="E22" s="208"/>
      <c r="F22" s="102"/>
      <c r="G22" s="116"/>
      <c r="H22" s="208"/>
      <c r="I22" s="102"/>
      <c r="J22" s="116"/>
      <c r="K22" s="103"/>
      <c r="N22" s="21"/>
      <c r="O22" s="21"/>
      <c r="Y22" s="92"/>
      <c r="Z22" s="92"/>
      <c r="AA22" s="92"/>
      <c r="AB22" s="92"/>
      <c r="AC22" s="92"/>
      <c r="AD22" s="92"/>
      <c r="AE22" s="92"/>
      <c r="AF22" s="92"/>
      <c r="AH22" s="99"/>
    </row>
    <row r="23" spans="1:34" ht="16.2" thickBot="1">
      <c r="A23" s="206">
        <f t="shared" si="0"/>
        <v>12</v>
      </c>
      <c r="B23" s="102" t="s">
        <v>30</v>
      </c>
      <c r="C23" s="102"/>
      <c r="D23" s="113"/>
      <c r="E23" s="108"/>
      <c r="F23" s="214"/>
      <c r="G23" s="215">
        <f>SUM(G21,G19)</f>
        <v>4202349</v>
      </c>
      <c r="H23" s="108"/>
      <c r="I23" s="214"/>
      <c r="J23" s="215">
        <f>SUM(J21,J19)</f>
        <v>4464670</v>
      </c>
      <c r="K23" s="109"/>
      <c r="N23" s="21"/>
      <c r="O23" s="33"/>
      <c r="P23" s="17" t="s">
        <v>0</v>
      </c>
      <c r="Y23" s="92"/>
      <c r="Z23" s="92"/>
      <c r="AA23" s="92"/>
      <c r="AB23" s="92"/>
      <c r="AC23" s="92"/>
      <c r="AD23" s="92"/>
      <c r="AE23" s="92"/>
      <c r="AF23" s="92"/>
      <c r="AH23" s="99"/>
    </row>
    <row r="24" spans="1:34" ht="16.2" thickTop="1">
      <c r="A24" s="206">
        <f t="shared" si="0"/>
        <v>13</v>
      </c>
      <c r="B24" s="102"/>
      <c r="C24" s="102"/>
      <c r="D24" s="113"/>
      <c r="E24" s="108"/>
      <c r="F24" s="214"/>
      <c r="G24" s="103"/>
      <c r="H24" s="34"/>
      <c r="I24" s="214"/>
      <c r="J24" s="103"/>
      <c r="K24" s="103"/>
      <c r="N24" s="21"/>
      <c r="O24" s="33"/>
      <c r="P24" s="17"/>
      <c r="Y24" s="92"/>
      <c r="Z24" s="92"/>
      <c r="AA24" s="92"/>
      <c r="AB24" s="92"/>
      <c r="AC24" s="92"/>
      <c r="AD24" s="92"/>
      <c r="AE24" s="92"/>
      <c r="AF24" s="92"/>
      <c r="AH24" s="99"/>
    </row>
    <row r="25" spans="1:34">
      <c r="A25" s="206">
        <f t="shared" si="0"/>
        <v>14</v>
      </c>
      <c r="B25" s="207" t="s">
        <v>185</v>
      </c>
      <c r="D25" s="314">
        <v>0.9</v>
      </c>
      <c r="E25" s="208">
        <f>+E16*D25</f>
        <v>4.8971700000000007E-2</v>
      </c>
      <c r="F25" s="148">
        <f>+F12*D25</f>
        <v>0</v>
      </c>
      <c r="G25" s="103"/>
      <c r="H25" s="208">
        <f>ROUND(+H16*D25,6)</f>
        <v>5.2031000000000001E-2</v>
      </c>
      <c r="I25" s="214"/>
      <c r="J25" s="103"/>
      <c r="K25" s="103"/>
      <c r="N25" s="21"/>
      <c r="O25" s="33"/>
      <c r="P25" s="17"/>
      <c r="Y25" s="92"/>
      <c r="Z25" s="92"/>
      <c r="AA25" s="92"/>
      <c r="AB25" s="92"/>
      <c r="AC25" s="92"/>
      <c r="AD25" s="92"/>
      <c r="AE25" s="92"/>
      <c r="AF25" s="92"/>
      <c r="AH25" s="99"/>
    </row>
    <row r="26" spans="1:34">
      <c r="A26" s="206">
        <f t="shared" si="0"/>
        <v>15</v>
      </c>
      <c r="B26" s="207" t="s">
        <v>186</v>
      </c>
      <c r="D26" s="179">
        <v>12</v>
      </c>
      <c r="E26" s="213">
        <f>+D26*E21</f>
        <v>25.08</v>
      </c>
      <c r="F26" s="315">
        <f>+D26*F14</f>
        <v>0</v>
      </c>
      <c r="G26" s="116"/>
      <c r="H26" s="213">
        <f>ROUND(+D26*H21,2)</f>
        <v>26.64</v>
      </c>
      <c r="I26" s="102"/>
      <c r="Y26" s="92"/>
      <c r="Z26" s="92"/>
      <c r="AA26" s="92"/>
      <c r="AB26" s="92"/>
      <c r="AC26" s="92"/>
      <c r="AD26" s="92"/>
      <c r="AE26" s="92"/>
      <c r="AF26" s="92"/>
      <c r="AH26" s="99"/>
    </row>
    <row r="27" spans="1:34">
      <c r="A27" s="206">
        <f t="shared" si="0"/>
        <v>16</v>
      </c>
      <c r="B27" s="102"/>
      <c r="C27" s="102"/>
      <c r="D27" s="100"/>
      <c r="E27" s="36" t="s">
        <v>0</v>
      </c>
      <c r="F27" s="102"/>
      <c r="G27" s="116"/>
      <c r="H27" s="36" t="s">
        <v>0</v>
      </c>
      <c r="I27" s="102"/>
      <c r="J27" s="116" t="s">
        <v>0</v>
      </c>
      <c r="K27" s="116"/>
      <c r="L27" s="92"/>
      <c r="M27" s="93"/>
      <c r="N27" s="93"/>
      <c r="O27" s="93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</row>
    <row r="28" spans="1:34">
      <c r="A28" s="206">
        <f t="shared" si="0"/>
        <v>17</v>
      </c>
      <c r="B28" s="207" t="s">
        <v>187</v>
      </c>
      <c r="C28" s="102"/>
      <c r="D28" s="102" t="s">
        <v>0</v>
      </c>
      <c r="E28" s="116"/>
      <c r="F28" s="102"/>
      <c r="G28" s="102"/>
      <c r="H28" s="116"/>
      <c r="I28" s="102"/>
      <c r="J28" s="102"/>
      <c r="K28" s="102"/>
      <c r="L28" s="92"/>
      <c r="M28" s="93"/>
      <c r="N28" s="93"/>
      <c r="O28" s="93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</row>
    <row r="29" spans="1:34">
      <c r="A29" s="206">
        <f t="shared" si="0"/>
        <v>18</v>
      </c>
      <c r="B29" s="207" t="s">
        <v>54</v>
      </c>
      <c r="C29" s="102"/>
      <c r="D29" s="102"/>
      <c r="E29" s="116"/>
      <c r="F29" s="102"/>
      <c r="G29" s="102"/>
      <c r="H29" s="116"/>
      <c r="I29" s="102"/>
      <c r="J29" s="102"/>
      <c r="K29" s="102"/>
      <c r="L29" s="92"/>
      <c r="M29" s="93"/>
      <c r="N29" s="93"/>
      <c r="O29" s="93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</row>
    <row r="30" spans="1:34">
      <c r="A30" s="206">
        <f t="shared" si="0"/>
        <v>19</v>
      </c>
      <c r="B30" s="207" t="s">
        <v>183</v>
      </c>
      <c r="C30" s="102"/>
      <c r="D30" s="100">
        <v>240</v>
      </c>
      <c r="E30" s="208"/>
      <c r="F30" s="102"/>
      <c r="G30" s="116"/>
      <c r="H30" s="208"/>
      <c r="I30" s="102"/>
      <c r="J30" s="116"/>
      <c r="K30" s="102"/>
      <c r="N30" s="93"/>
      <c r="O30" s="93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</row>
    <row r="31" spans="1:34">
      <c r="A31" s="206">
        <f t="shared" si="0"/>
        <v>20</v>
      </c>
      <c r="B31" s="102" t="s">
        <v>86</v>
      </c>
      <c r="C31" s="102"/>
      <c r="D31" s="100"/>
      <c r="E31" s="208"/>
      <c r="F31" s="102"/>
      <c r="G31" s="116"/>
      <c r="H31" s="208"/>
      <c r="I31" s="102"/>
      <c r="J31" s="116"/>
      <c r="K31" s="102"/>
      <c r="N31" s="93"/>
      <c r="O31" s="93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</row>
    <row r="32" spans="1:34">
      <c r="A32" s="206">
        <f t="shared" si="0"/>
        <v>21</v>
      </c>
      <c r="B32" s="209" t="s">
        <v>42</v>
      </c>
      <c r="C32" s="102"/>
      <c r="D32" s="100">
        <v>565213426</v>
      </c>
      <c r="E32" s="208">
        <f>'Tariff Summary'!E162</f>
        <v>5.4413000000000003E-2</v>
      </c>
      <c r="F32" s="102"/>
      <c r="G32" s="116">
        <f t="shared" ref="G32:G34" si="7">ROUND(E32*$D32,0)</f>
        <v>30754958</v>
      </c>
      <c r="H32" s="208">
        <f>ROUND(E32*(1+$N$39),6)+0.000003</f>
        <v>5.7812000000000002E-2</v>
      </c>
      <c r="I32" s="102"/>
      <c r="J32" s="116">
        <f t="shared" ref="J32:J34" si="8">ROUND(H32*$D32,0)</f>
        <v>32676119</v>
      </c>
      <c r="K32" s="103"/>
      <c r="L32" s="394" t="s">
        <v>89</v>
      </c>
      <c r="M32" s="394"/>
      <c r="N32" s="394"/>
      <c r="O32" s="93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</row>
    <row r="33" spans="1:32">
      <c r="A33" s="206">
        <f t="shared" si="0"/>
        <v>22</v>
      </c>
      <c r="B33" s="209" t="s">
        <v>72</v>
      </c>
      <c r="C33" s="105"/>
      <c r="D33" s="100">
        <v>0</v>
      </c>
      <c r="E33" s="208">
        <f>E32</f>
        <v>5.4413000000000003E-2</v>
      </c>
      <c r="F33" s="208"/>
      <c r="G33" s="116">
        <f t="shared" si="7"/>
        <v>0</v>
      </c>
      <c r="H33" s="208">
        <f>H32</f>
        <v>5.7812000000000002E-2</v>
      </c>
      <c r="I33" s="102"/>
      <c r="J33" s="116">
        <f t="shared" si="8"/>
        <v>0</v>
      </c>
      <c r="K33" s="103"/>
      <c r="N33" s="93"/>
      <c r="O33" s="93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</row>
    <row r="34" spans="1:32">
      <c r="A34" s="206">
        <f t="shared" si="0"/>
        <v>23</v>
      </c>
      <c r="B34" s="123" t="s">
        <v>77</v>
      </c>
      <c r="C34" s="210"/>
      <c r="D34" s="106">
        <v>2770433</v>
      </c>
      <c r="E34" s="208">
        <f>ROUND(SUM(G32:G33,G37)/SUM(D32:D33),6)</f>
        <v>6.3659999999999994E-2</v>
      </c>
      <c r="F34" s="102"/>
      <c r="G34" s="211">
        <f t="shared" si="7"/>
        <v>176366</v>
      </c>
      <c r="H34" s="208">
        <f>ROUND(SUM(J32:J33,J37)/SUM(D32:D33),6)</f>
        <v>6.7634E-2</v>
      </c>
      <c r="I34" s="102"/>
      <c r="J34" s="211">
        <f t="shared" si="8"/>
        <v>187375</v>
      </c>
      <c r="K34" s="103"/>
      <c r="L34" s="394" t="s">
        <v>89</v>
      </c>
      <c r="M34" s="394"/>
      <c r="N34" s="394"/>
      <c r="O34" s="93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</row>
    <row r="35" spans="1:32">
      <c r="A35" s="206">
        <f t="shared" si="0"/>
        <v>24</v>
      </c>
      <c r="B35" s="212" t="s">
        <v>26</v>
      </c>
      <c r="C35" s="210"/>
      <c r="D35" s="113">
        <f>SUM(D32:D34)</f>
        <v>567983859</v>
      </c>
      <c r="E35" s="208"/>
      <c r="F35" s="102"/>
      <c r="G35" s="116">
        <f>SUM(G32:G34)</f>
        <v>30931324</v>
      </c>
      <c r="H35" s="208"/>
      <c r="I35" s="102"/>
      <c r="J35" s="116">
        <f>SUM(J32:J34)</f>
        <v>32863494</v>
      </c>
      <c r="K35" s="103"/>
      <c r="L35" s="394"/>
      <c r="M35" s="394"/>
      <c r="N35" s="394"/>
      <c r="O35" s="93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</row>
    <row r="36" spans="1:32">
      <c r="A36" s="206">
        <f t="shared" si="0"/>
        <v>25</v>
      </c>
      <c r="B36" s="212"/>
      <c r="C36" s="210"/>
      <c r="D36" s="113"/>
      <c r="E36" s="208"/>
      <c r="F36" s="102"/>
      <c r="G36" s="116"/>
      <c r="H36" s="208"/>
      <c r="I36" s="102"/>
      <c r="J36" s="116"/>
      <c r="K36" s="103"/>
      <c r="N36" s="93"/>
      <c r="O36" s="93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</row>
    <row r="37" spans="1:32">
      <c r="A37" s="206">
        <f t="shared" si="0"/>
        <v>26</v>
      </c>
      <c r="B37" s="207" t="s">
        <v>184</v>
      </c>
      <c r="C37" s="102"/>
      <c r="D37" s="100">
        <v>1412545</v>
      </c>
      <c r="E37" s="213">
        <f>'Tariff Summary'!E164</f>
        <v>3.7</v>
      </c>
      <c r="F37" s="102"/>
      <c r="G37" s="116">
        <f t="shared" ref="G37" si="9">ROUND(E37*$D37,0)</f>
        <v>5226417</v>
      </c>
      <c r="H37" s="213">
        <f>ROUND(E37*(1+$N$39),2)</f>
        <v>3.93</v>
      </c>
      <c r="I37" s="102"/>
      <c r="J37" s="116">
        <f>ROUND(H37*$D37,0)</f>
        <v>5551302</v>
      </c>
      <c r="K37" s="103"/>
      <c r="L37" s="394" t="s">
        <v>89</v>
      </c>
      <c r="M37" s="394"/>
      <c r="N37" s="394"/>
      <c r="O37" s="93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</row>
    <row r="38" spans="1:32">
      <c r="A38" s="206">
        <f t="shared" si="0"/>
        <v>27</v>
      </c>
      <c r="B38" s="123"/>
      <c r="C38" s="210"/>
      <c r="D38" s="113"/>
      <c r="E38" s="208"/>
      <c r="F38" s="102"/>
      <c r="G38" s="116"/>
      <c r="H38" s="208"/>
      <c r="I38" s="102"/>
      <c r="J38" s="116"/>
      <c r="K38" s="103"/>
      <c r="N38" s="93"/>
      <c r="O38" s="93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</row>
    <row r="39" spans="1:32" ht="16.2" thickBot="1">
      <c r="A39" s="206">
        <f t="shared" si="0"/>
        <v>28</v>
      </c>
      <c r="B39" s="102" t="s">
        <v>30</v>
      </c>
      <c r="C39" s="102"/>
      <c r="D39" s="113"/>
      <c r="E39" s="108"/>
      <c r="F39" s="214"/>
      <c r="G39" s="215">
        <f>SUM(G37,G35)</f>
        <v>36157741</v>
      </c>
      <c r="H39" s="108"/>
      <c r="I39" s="214"/>
      <c r="J39" s="215">
        <f>SUM(J37,J35)</f>
        <v>38414796</v>
      </c>
      <c r="K39" s="109"/>
      <c r="L39" s="110" t="s">
        <v>28</v>
      </c>
      <c r="M39" s="111">
        <f>'Rate Spread'!K23*1000</f>
        <v>42879295.978143156</v>
      </c>
      <c r="N39" s="112">
        <f>M39/SUM(G23,G39)-1</f>
        <v>6.241824480924496E-2</v>
      </c>
      <c r="O39" s="93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</row>
    <row r="40" spans="1:32" ht="16.2" thickTop="1">
      <c r="A40" s="206">
        <f t="shared" si="0"/>
        <v>29</v>
      </c>
      <c r="B40" s="102"/>
      <c r="C40" s="102"/>
      <c r="D40" s="100"/>
      <c r="E40" s="216"/>
      <c r="F40" s="102"/>
      <c r="G40" s="116"/>
      <c r="H40" s="216"/>
      <c r="I40" s="102"/>
      <c r="J40" s="116"/>
      <c r="K40" s="116"/>
      <c r="L40" s="114" t="s">
        <v>29</v>
      </c>
      <c r="M40" s="115">
        <f>M39-J39-J23</f>
        <v>-170.0218568444252</v>
      </c>
      <c r="N40" s="38" t="s">
        <v>0</v>
      </c>
      <c r="O40" s="93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</row>
    <row r="41" spans="1:32">
      <c r="B41" s="209"/>
      <c r="C41" s="102"/>
      <c r="D41" s="100"/>
      <c r="E41" s="213"/>
      <c r="F41" s="102"/>
      <c r="G41" s="116"/>
      <c r="H41" s="213"/>
      <c r="I41" s="102"/>
      <c r="J41" s="116"/>
      <c r="K41" s="116"/>
      <c r="L41" s="92"/>
      <c r="M41" s="93"/>
      <c r="N41" s="93"/>
      <c r="O41" s="93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</row>
    <row r="42" spans="1:32">
      <c r="B42" s="209"/>
      <c r="C42" s="102"/>
      <c r="D42" s="100"/>
      <c r="E42" s="213"/>
      <c r="F42" s="102"/>
      <c r="G42" s="116"/>
      <c r="H42" s="213"/>
      <c r="I42" s="102"/>
      <c r="J42" s="116"/>
      <c r="K42" s="116"/>
      <c r="L42" s="92"/>
      <c r="M42" s="93"/>
      <c r="N42" s="93"/>
      <c r="O42" s="93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</row>
    <row r="43" spans="1:32">
      <c r="B43" s="212"/>
      <c r="C43" s="102"/>
      <c r="D43" s="100"/>
      <c r="E43" s="213"/>
      <c r="F43" s="102"/>
      <c r="G43" s="116"/>
      <c r="H43" s="213"/>
      <c r="I43" s="102"/>
      <c r="J43" s="116"/>
      <c r="K43" s="116"/>
      <c r="L43" s="92"/>
      <c r="M43" s="93"/>
      <c r="N43" s="93"/>
      <c r="O43" s="93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</row>
    <row r="44" spans="1:32">
      <c r="B44" s="102"/>
      <c r="C44" s="102"/>
      <c r="D44" s="100"/>
      <c r="E44" s="213"/>
      <c r="F44" s="102"/>
      <c r="G44" s="116"/>
      <c r="H44" s="213"/>
      <c r="I44" s="102"/>
      <c r="J44" s="116"/>
      <c r="K44" s="103"/>
      <c r="L44" s="277"/>
      <c r="M44" s="119"/>
      <c r="N44" s="93"/>
      <c r="O44" s="93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</row>
    <row r="45" spans="1:32">
      <c r="B45" s="102"/>
      <c r="C45" s="102"/>
      <c r="D45" s="100"/>
      <c r="E45" s="213"/>
      <c r="F45" s="102"/>
      <c r="G45" s="116"/>
      <c r="H45" s="213"/>
      <c r="I45" s="102"/>
      <c r="J45" s="116"/>
      <c r="K45" s="103"/>
      <c r="L45" s="277"/>
      <c r="M45" s="119"/>
      <c r="N45" s="93"/>
      <c r="O45" s="93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</row>
    <row r="46" spans="1:32">
      <c r="B46" s="102"/>
      <c r="C46" s="102"/>
      <c r="D46" s="100"/>
      <c r="E46" s="213"/>
      <c r="F46" s="102"/>
      <c r="G46" s="116"/>
      <c r="H46" s="213"/>
      <c r="I46" s="102"/>
      <c r="J46" s="116"/>
      <c r="K46" s="103"/>
      <c r="L46" s="277"/>
      <c r="M46" s="119"/>
      <c r="N46" s="93"/>
      <c r="O46" s="93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</row>
    <row r="47" spans="1:32">
      <c r="B47" s="102"/>
      <c r="C47" s="102"/>
      <c r="D47" s="100"/>
      <c r="E47" s="213"/>
      <c r="F47" s="102"/>
      <c r="G47" s="116"/>
      <c r="H47" s="213"/>
      <c r="I47" s="102"/>
      <c r="J47" s="116"/>
      <c r="K47" s="103"/>
      <c r="M47" s="29"/>
      <c r="N47" s="29"/>
      <c r="O47" s="93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</row>
    <row r="48" spans="1:32">
      <c r="B48" s="102"/>
      <c r="C48" s="122"/>
      <c r="D48" s="100"/>
      <c r="E48" s="213"/>
      <c r="F48" s="102"/>
      <c r="G48" s="116"/>
      <c r="H48" s="213"/>
      <c r="I48" s="102"/>
      <c r="J48" s="116"/>
      <c r="K48" s="116"/>
      <c r="M48" s="29"/>
      <c r="N48" s="29"/>
      <c r="O48" s="93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</row>
  </sheetData>
  <mergeCells count="13">
    <mergeCell ref="L37:N37"/>
    <mergeCell ref="L16:N16"/>
    <mergeCell ref="L18:N18"/>
    <mergeCell ref="L21:N21"/>
    <mergeCell ref="L32:N32"/>
    <mergeCell ref="L35:N35"/>
    <mergeCell ref="L34:N34"/>
    <mergeCell ref="B1:J1"/>
    <mergeCell ref="B2:J2"/>
    <mergeCell ref="B3:J3"/>
    <mergeCell ref="B4:J4"/>
    <mergeCell ref="E9:G9"/>
    <mergeCell ref="H9:J9"/>
  </mergeCells>
  <printOptions horizontalCentered="1"/>
  <pageMargins left="0.7" right="0.7" top="0.75" bottom="0.71" header="0.3" footer="0.3"/>
  <pageSetup scale="66" fitToHeight="7" orientation="landscape" r:id="rId1"/>
  <headerFooter alignWithMargins="0">
    <oddFooter>&amp;L&amp;A&amp;RExhibit No.___(JAP-15)
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2"/>
  <dimension ref="A1:AO48"/>
  <sheetViews>
    <sheetView zoomScale="75" zoomScaleNormal="75" zoomScaleSheetLayoutView="80" workbookViewId="0">
      <pane ySplit="10" topLeftCell="A11" activePane="bottomLeft" state="frozen"/>
      <selection sqref="A1:XFD1048576"/>
      <selection pane="bottomLeft" activeCell="A10" sqref="A10:N10"/>
    </sheetView>
  </sheetViews>
  <sheetFormatPr defaultColWidth="10.19921875" defaultRowHeight="15.6"/>
  <cols>
    <col min="1" max="1" width="4.59765625" style="29" bestFit="1" customWidth="1"/>
    <col min="2" max="2" width="33.296875" style="29" bestFit="1" customWidth="1"/>
    <col min="3" max="3" width="1.3984375" style="29" bestFit="1" customWidth="1"/>
    <col min="4" max="4" width="14.19921875" style="29" bestFit="1" customWidth="1"/>
    <col min="5" max="5" width="12.796875" style="29" bestFit="1" customWidth="1"/>
    <col min="6" max="6" width="2" style="29" bestFit="1" customWidth="1"/>
    <col min="7" max="7" width="14.19921875" style="29" bestFit="1" customWidth="1"/>
    <col min="8" max="8" width="15.69921875" style="29" customWidth="1"/>
    <col min="9" max="9" width="2" style="29" bestFit="1" customWidth="1"/>
    <col min="10" max="10" width="14.19921875" style="29" bestFit="1" customWidth="1"/>
    <col min="11" max="11" width="1.59765625" style="29" customWidth="1"/>
    <col min="12" max="12" width="16.19921875" style="29" customWidth="1"/>
    <col min="13" max="13" width="13.8984375" style="98" bestFit="1" customWidth="1"/>
    <col min="14" max="14" width="10.59765625" style="98" bestFit="1" customWidth="1"/>
    <col min="15" max="15" width="7.09765625" style="98" bestFit="1" customWidth="1"/>
    <col min="16" max="16" width="7.09765625" style="29" bestFit="1" customWidth="1"/>
    <col min="17" max="18" width="1.3984375" style="29" bestFit="1" customWidth="1"/>
    <col min="19" max="19" width="14.09765625" style="29" bestFit="1" customWidth="1"/>
    <col min="20" max="20" width="1.3984375" style="29" bestFit="1" customWidth="1"/>
    <col min="21" max="21" width="13.19921875" style="29" bestFit="1" customWidth="1"/>
    <col min="22" max="22" width="13" style="29" bestFit="1" customWidth="1"/>
    <col min="23" max="23" width="12.19921875" style="29" bestFit="1" customWidth="1"/>
    <col min="24" max="24" width="5.5" style="29" bestFit="1" customWidth="1"/>
    <col min="25" max="25" width="1.3984375" style="29" bestFit="1" customWidth="1"/>
    <col min="26" max="26" width="10.19921875" style="29" customWidth="1"/>
    <col min="27" max="27" width="12.09765625" style="29" customWidth="1"/>
    <col min="28" max="16384" width="10.19921875" style="29"/>
  </cols>
  <sheetData>
    <row r="1" spans="1:41" ht="17.399999999999999">
      <c r="B1" s="386" t="s">
        <v>44</v>
      </c>
      <c r="C1" s="386"/>
      <c r="D1" s="386"/>
      <c r="E1" s="386"/>
      <c r="F1" s="386"/>
      <c r="G1" s="386"/>
      <c r="H1" s="386"/>
      <c r="I1" s="386"/>
      <c r="J1" s="386"/>
      <c r="K1" s="94"/>
      <c r="L1" s="92"/>
      <c r="M1" s="93"/>
      <c r="N1" s="93"/>
      <c r="O1" s="93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41" ht="17.399999999999999">
      <c r="B2" s="386"/>
      <c r="C2" s="386"/>
      <c r="D2" s="386"/>
      <c r="E2" s="386"/>
      <c r="F2" s="386"/>
      <c r="G2" s="386"/>
      <c r="H2" s="386"/>
      <c r="I2" s="386"/>
      <c r="J2" s="386"/>
      <c r="K2" s="94"/>
      <c r="L2" s="92"/>
      <c r="M2" s="93"/>
      <c r="N2" s="93"/>
      <c r="O2" s="93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41">
      <c r="B3" s="387" t="str">
        <f>'Proforma-Proposed'!$A$6</f>
        <v>12 MONTHS ENDED SEPTEMBER 2016</v>
      </c>
      <c r="C3" s="387"/>
      <c r="D3" s="387"/>
      <c r="E3" s="387"/>
      <c r="F3" s="387"/>
      <c r="G3" s="387"/>
      <c r="H3" s="387"/>
      <c r="I3" s="387"/>
      <c r="J3" s="387"/>
      <c r="K3" s="95"/>
      <c r="L3" s="92"/>
      <c r="M3" s="93"/>
      <c r="N3" s="93"/>
      <c r="O3" s="93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</row>
    <row r="4" spans="1:41">
      <c r="B4" s="388" t="s">
        <v>21</v>
      </c>
      <c r="C4" s="388"/>
      <c r="D4" s="388"/>
      <c r="E4" s="388"/>
      <c r="F4" s="388"/>
      <c r="G4" s="388"/>
      <c r="H4" s="388"/>
      <c r="I4" s="388"/>
      <c r="J4" s="388"/>
      <c r="K4" s="23"/>
      <c r="L4" s="92"/>
      <c r="M4" s="93"/>
      <c r="N4" s="93"/>
      <c r="O4" s="93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</row>
    <row r="5" spans="1:41">
      <c r="B5" s="24" t="s">
        <v>197</v>
      </c>
      <c r="C5" s="96"/>
      <c r="D5" s="96"/>
      <c r="E5" s="97"/>
      <c r="F5" s="97"/>
      <c r="G5" s="96"/>
      <c r="H5" s="97"/>
      <c r="I5" s="96"/>
      <c r="J5" s="96"/>
      <c r="K5" s="96"/>
      <c r="L5" s="92"/>
      <c r="M5" s="93"/>
      <c r="N5" s="93"/>
      <c r="O5" s="93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</row>
    <row r="6" spans="1:41">
      <c r="B6" s="24"/>
      <c r="C6" s="96"/>
      <c r="D6" s="96"/>
      <c r="E6" s="97"/>
      <c r="F6" s="97"/>
      <c r="G6" s="96"/>
      <c r="H6" s="97"/>
      <c r="I6" s="96"/>
      <c r="J6" s="96"/>
      <c r="K6" s="96"/>
      <c r="L6" s="92"/>
      <c r="M6" s="93"/>
      <c r="N6" s="93"/>
      <c r="O6" s="93"/>
      <c r="P6" s="93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</row>
    <row r="7" spans="1:41">
      <c r="B7" s="96"/>
      <c r="C7" s="96"/>
      <c r="D7" s="96"/>
      <c r="E7" s="97"/>
      <c r="F7" s="97"/>
      <c r="G7" s="96"/>
      <c r="H7" s="97"/>
      <c r="I7" s="96"/>
      <c r="J7" s="96"/>
      <c r="K7" s="96"/>
      <c r="L7" s="92"/>
      <c r="M7" s="93"/>
      <c r="N7" s="93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</row>
    <row r="8" spans="1:41">
      <c r="B8" s="26"/>
      <c r="C8" s="26"/>
      <c r="D8" s="25"/>
      <c r="E8" s="26"/>
      <c r="F8" s="26"/>
      <c r="H8" s="26"/>
      <c r="I8" s="27"/>
      <c r="J8" s="27"/>
      <c r="K8" s="27"/>
      <c r="L8" s="92"/>
      <c r="M8" s="93"/>
      <c r="N8" s="93"/>
      <c r="O8" s="93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</row>
    <row r="9" spans="1:41">
      <c r="A9" s="25" t="s">
        <v>7</v>
      </c>
      <c r="B9" s="26"/>
      <c r="C9" s="26"/>
      <c r="D9" s="25" t="s">
        <v>22</v>
      </c>
      <c r="E9" s="389" t="s">
        <v>3</v>
      </c>
      <c r="F9" s="390"/>
      <c r="G9" s="391"/>
      <c r="H9" s="392" t="str">
        <f>'Residential Rate Design'!$H$9</f>
        <v xml:space="preserve">Proposed </v>
      </c>
      <c r="I9" s="390"/>
      <c r="J9" s="391"/>
      <c r="K9" s="27"/>
      <c r="L9" s="92"/>
      <c r="M9" s="93"/>
      <c r="N9" s="93"/>
      <c r="O9" s="93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</row>
    <row r="10" spans="1:41">
      <c r="A10" s="336" t="s">
        <v>13</v>
      </c>
      <c r="B10" s="337"/>
      <c r="C10" s="337"/>
      <c r="D10" s="336" t="s">
        <v>23</v>
      </c>
      <c r="E10" s="338" t="s">
        <v>24</v>
      </c>
      <c r="F10" s="338"/>
      <c r="G10" s="338" t="s">
        <v>25</v>
      </c>
      <c r="H10" s="338" t="s">
        <v>24</v>
      </c>
      <c r="I10" s="338"/>
      <c r="J10" s="338" t="s">
        <v>25</v>
      </c>
      <c r="K10" s="338"/>
      <c r="L10" s="339"/>
      <c r="M10" s="262"/>
      <c r="N10" s="262"/>
      <c r="O10" s="93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</row>
    <row r="11" spans="1:41">
      <c r="A11" s="205"/>
      <c r="D11" s="28" t="s">
        <v>966</v>
      </c>
      <c r="E11" s="28" t="s">
        <v>959</v>
      </c>
      <c r="F11" s="27"/>
      <c r="G11" s="27" t="s">
        <v>960</v>
      </c>
      <c r="H11" s="28" t="s">
        <v>961</v>
      </c>
      <c r="I11" s="28"/>
      <c r="J11" s="28" t="s">
        <v>962</v>
      </c>
      <c r="K11" s="28"/>
      <c r="L11" s="28" t="s">
        <v>963</v>
      </c>
      <c r="M11" s="28" t="s">
        <v>964</v>
      </c>
      <c r="N11" s="28" t="s">
        <v>965</v>
      </c>
      <c r="O11" s="93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H11" s="99"/>
    </row>
    <row r="12" spans="1:41">
      <c r="A12" s="206">
        <v>1</v>
      </c>
      <c r="B12" s="207" t="s">
        <v>189</v>
      </c>
      <c r="C12" s="102"/>
      <c r="D12" s="102" t="s">
        <v>0</v>
      </c>
      <c r="E12" s="116"/>
      <c r="F12" s="102"/>
      <c r="G12" s="102"/>
      <c r="H12" s="116"/>
      <c r="I12" s="102"/>
      <c r="J12" s="102"/>
      <c r="K12" s="102"/>
      <c r="L12" s="92"/>
      <c r="M12" s="93"/>
      <c r="N12" s="93"/>
      <c r="O12" s="93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H12" s="99"/>
    </row>
    <row r="13" spans="1:41">
      <c r="A13" s="206">
        <f>A12+1</f>
        <v>2</v>
      </c>
      <c r="B13" s="207" t="s">
        <v>190</v>
      </c>
      <c r="C13" s="102"/>
      <c r="D13" s="102"/>
      <c r="E13" s="116"/>
      <c r="F13" s="102"/>
      <c r="G13" s="102"/>
      <c r="H13" s="116"/>
      <c r="I13" s="102"/>
      <c r="J13" s="102"/>
      <c r="K13" s="102"/>
      <c r="L13" s="92"/>
      <c r="M13" s="93"/>
      <c r="N13" s="93"/>
      <c r="O13" s="93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H13" s="99"/>
    </row>
    <row r="14" spans="1:41">
      <c r="A14" s="206">
        <f t="shared" ref="A14:A48" si="0">A13+1</f>
        <v>3</v>
      </c>
      <c r="B14" s="207" t="s">
        <v>141</v>
      </c>
      <c r="C14" s="102"/>
      <c r="D14" s="100">
        <v>240</v>
      </c>
      <c r="E14" s="213">
        <f>'Tariff Summary'!E168</f>
        <v>995</v>
      </c>
      <c r="F14" s="102"/>
      <c r="G14" s="116">
        <f t="shared" ref="G14" si="1">ROUND(E14*$D14,0)</f>
        <v>238800</v>
      </c>
      <c r="H14" s="213">
        <v>2165</v>
      </c>
      <c r="I14" s="102"/>
      <c r="J14" s="116">
        <f t="shared" ref="J14" si="2">ROUND(H14*$D14,0)</f>
        <v>519600</v>
      </c>
      <c r="K14" s="103"/>
      <c r="L14" s="394" t="s">
        <v>191</v>
      </c>
      <c r="M14" s="394"/>
      <c r="N14" s="394"/>
      <c r="O14" s="101"/>
      <c r="Q14" s="99"/>
      <c r="R14" s="32"/>
      <c r="S14" s="99"/>
      <c r="T14" s="32"/>
      <c r="U14" s="99"/>
      <c r="V14" s="99"/>
      <c r="W14" s="32"/>
      <c r="X14" s="21"/>
      <c r="Y14" s="99"/>
      <c r="Z14" s="99"/>
      <c r="AH14" s="92"/>
      <c r="AI14" s="92"/>
      <c r="AJ14" s="92"/>
      <c r="AK14" s="92"/>
      <c r="AL14" s="92"/>
      <c r="AM14" s="92"/>
      <c r="AO14" s="99"/>
    </row>
    <row r="15" spans="1:41">
      <c r="A15" s="206">
        <f t="shared" si="0"/>
        <v>4</v>
      </c>
      <c r="B15" s="102" t="s">
        <v>86</v>
      </c>
      <c r="C15" s="102"/>
      <c r="D15" s="100"/>
      <c r="E15" s="208"/>
      <c r="F15" s="102"/>
      <c r="G15" s="116"/>
      <c r="H15" s="208"/>
      <c r="I15" s="102"/>
      <c r="J15" s="116"/>
      <c r="K15" s="102"/>
      <c r="N15" s="101"/>
      <c r="O15" s="101"/>
      <c r="Q15" s="99"/>
      <c r="R15" s="32"/>
      <c r="S15" s="99"/>
      <c r="T15" s="32"/>
      <c r="U15" s="99"/>
      <c r="V15" s="99"/>
      <c r="W15" s="32"/>
      <c r="X15" s="21"/>
      <c r="Y15" s="99"/>
      <c r="Z15" s="99"/>
      <c r="AH15" s="92"/>
      <c r="AI15" s="92"/>
      <c r="AJ15" s="92"/>
      <c r="AK15" s="92"/>
      <c r="AL15" s="92"/>
      <c r="AM15" s="92"/>
      <c r="AO15" s="99"/>
    </row>
    <row r="16" spans="1:41">
      <c r="A16" s="206">
        <f t="shared" si="0"/>
        <v>5</v>
      </c>
      <c r="B16" s="209" t="s">
        <v>42</v>
      </c>
      <c r="C16" s="102"/>
      <c r="D16" s="100">
        <v>2109984905.4339998</v>
      </c>
      <c r="E16" s="208">
        <v>0</v>
      </c>
      <c r="F16" s="102"/>
      <c r="G16" s="116">
        <f t="shared" ref="G16:G18" si="3">ROUND(E16*$D16,0)</f>
        <v>0</v>
      </c>
      <c r="H16" s="208">
        <v>0</v>
      </c>
      <c r="I16" s="102"/>
      <c r="J16" s="116">
        <f t="shared" ref="J16:J18" si="4">ROUND(H16*$D16,0)</f>
        <v>0</v>
      </c>
      <c r="K16" s="103"/>
      <c r="L16" s="394"/>
      <c r="M16" s="394"/>
      <c r="N16" s="394"/>
      <c r="O16" s="101"/>
      <c r="P16" s="98"/>
      <c r="Y16" s="92"/>
      <c r="Z16" s="92"/>
      <c r="AA16" s="92"/>
      <c r="AB16" s="92"/>
      <c r="AC16" s="92"/>
      <c r="AD16" s="92"/>
      <c r="AE16" s="92"/>
      <c r="AF16" s="92"/>
      <c r="AH16" s="99"/>
    </row>
    <row r="17" spans="1:34">
      <c r="A17" s="206">
        <f t="shared" si="0"/>
        <v>6</v>
      </c>
      <c r="B17" s="209" t="s">
        <v>72</v>
      </c>
      <c r="C17" s="105"/>
      <c r="D17" s="100">
        <v>0</v>
      </c>
      <c r="E17" s="208">
        <v>0</v>
      </c>
      <c r="F17" s="208"/>
      <c r="G17" s="116">
        <f t="shared" si="3"/>
        <v>0</v>
      </c>
      <c r="H17" s="208">
        <v>0</v>
      </c>
      <c r="I17" s="102"/>
      <c r="J17" s="116">
        <f t="shared" si="4"/>
        <v>0</v>
      </c>
      <c r="K17" s="103"/>
      <c r="Y17" s="92"/>
      <c r="Z17" s="92"/>
      <c r="AA17" s="92"/>
      <c r="AB17" s="92"/>
      <c r="AC17" s="92"/>
      <c r="AD17" s="92"/>
      <c r="AE17" s="92"/>
      <c r="AF17" s="92"/>
      <c r="AH17" s="99"/>
    </row>
    <row r="18" spans="1:34">
      <c r="A18" s="206">
        <f t="shared" si="0"/>
        <v>7</v>
      </c>
      <c r="B18" s="123" t="s">
        <v>77</v>
      </c>
      <c r="C18" s="210"/>
      <c r="D18" s="106">
        <v>-11881268.808000008</v>
      </c>
      <c r="E18" s="208">
        <f>ROUND(SUM(G14,G23,G25)/SUM(D16:D17),6)</f>
        <v>3.581E-3</v>
      </c>
      <c r="F18" s="102"/>
      <c r="G18" s="211">
        <f t="shared" si="3"/>
        <v>-42547</v>
      </c>
      <c r="H18" s="208">
        <f>ROUND(SUM(J14,J23,J25)/SUM(D16:D17),6)</f>
        <v>3.7980000000000002E-3</v>
      </c>
      <c r="I18" s="102"/>
      <c r="J18" s="211">
        <f t="shared" si="4"/>
        <v>-45125</v>
      </c>
      <c r="K18" s="103"/>
      <c r="L18" s="394"/>
      <c r="M18" s="394"/>
      <c r="N18" s="394"/>
      <c r="O18" s="21"/>
      <c r="Y18" s="92"/>
      <c r="Z18" s="92"/>
      <c r="AA18" s="92"/>
      <c r="AB18" s="92"/>
      <c r="AC18" s="92"/>
      <c r="AD18" s="92"/>
      <c r="AE18" s="92"/>
      <c r="AF18" s="92"/>
      <c r="AH18" s="99"/>
    </row>
    <row r="19" spans="1:34">
      <c r="A19" s="206">
        <f t="shared" si="0"/>
        <v>8</v>
      </c>
      <c r="B19" s="212" t="s">
        <v>26</v>
      </c>
      <c r="C19" s="210"/>
      <c r="D19" s="113">
        <f>SUM(D16:D18)</f>
        <v>2098103636.6259997</v>
      </c>
      <c r="E19" s="208"/>
      <c r="F19" s="102"/>
      <c r="G19" s="116">
        <f>SUM(G16:G18)</f>
        <v>-42547</v>
      </c>
      <c r="H19" s="208"/>
      <c r="I19" s="102"/>
      <c r="J19" s="116">
        <f>SUM(J16:J18)</f>
        <v>-45125</v>
      </c>
      <c r="K19" s="103"/>
      <c r="N19" s="21"/>
      <c r="O19" s="21"/>
      <c r="Y19" s="92"/>
      <c r="Z19" s="92"/>
      <c r="AA19" s="92"/>
      <c r="AB19" s="92"/>
      <c r="AC19" s="92"/>
      <c r="AD19" s="92"/>
      <c r="AE19" s="92"/>
      <c r="AF19" s="92"/>
      <c r="AH19" s="99"/>
    </row>
    <row r="20" spans="1:34">
      <c r="A20" s="206">
        <f t="shared" si="0"/>
        <v>9</v>
      </c>
      <c r="B20" s="212"/>
      <c r="C20" s="210"/>
      <c r="D20" s="113"/>
      <c r="E20" s="208"/>
      <c r="F20" s="102"/>
      <c r="G20" s="116"/>
      <c r="H20" s="208"/>
      <c r="I20" s="102"/>
      <c r="J20" s="116"/>
      <c r="K20" s="103"/>
      <c r="N20" s="21"/>
      <c r="O20" s="21"/>
      <c r="Y20" s="92"/>
      <c r="Z20" s="92"/>
      <c r="AA20" s="92"/>
      <c r="AB20" s="92"/>
      <c r="AC20" s="92"/>
      <c r="AD20" s="92"/>
      <c r="AE20" s="92"/>
      <c r="AF20" s="92"/>
      <c r="AH20" s="99"/>
    </row>
    <row r="21" spans="1:34">
      <c r="A21" s="206">
        <f t="shared" si="0"/>
        <v>10</v>
      </c>
      <c r="B21" s="207" t="s">
        <v>192</v>
      </c>
      <c r="C21" s="102"/>
      <c r="D21" s="100">
        <v>183378</v>
      </c>
      <c r="E21" s="254">
        <f>'Tariff Summary'!E169</f>
        <v>1.298</v>
      </c>
      <c r="F21" s="102"/>
      <c r="G21" s="116">
        <f t="shared" ref="G21" si="5">ROUND(E21*$D21,0)</f>
        <v>238025</v>
      </c>
      <c r="H21" s="254">
        <v>0</v>
      </c>
      <c r="I21" s="102"/>
      <c r="J21" s="116">
        <f t="shared" ref="J21" si="6">ROUND(H21*$D21,0)</f>
        <v>0</v>
      </c>
      <c r="K21" s="103"/>
      <c r="L21" s="394" t="s">
        <v>195</v>
      </c>
      <c r="M21" s="394"/>
      <c r="N21" s="394"/>
      <c r="O21" s="101"/>
      <c r="P21" s="98"/>
      <c r="Y21" s="92"/>
      <c r="Z21" s="92"/>
      <c r="AA21" s="92"/>
      <c r="AB21" s="92"/>
      <c r="AC21" s="92"/>
      <c r="AD21" s="92"/>
      <c r="AE21" s="92"/>
      <c r="AF21" s="92"/>
      <c r="AH21" s="99"/>
    </row>
    <row r="22" spans="1:34">
      <c r="A22" s="206">
        <f t="shared" si="0"/>
        <v>11</v>
      </c>
      <c r="B22" s="207" t="s">
        <v>193</v>
      </c>
      <c r="C22" s="102"/>
      <c r="D22" s="100">
        <v>3462662</v>
      </c>
      <c r="E22" s="254">
        <f>'Tariff Summary'!E172</f>
        <v>-0.12</v>
      </c>
      <c r="F22" s="102"/>
      <c r="G22" s="211">
        <f t="shared" ref="G22" si="7">ROUND(E22*$D22,0)</f>
        <v>-415519</v>
      </c>
      <c r="H22" s="254">
        <v>0</v>
      </c>
      <c r="I22" s="102"/>
      <c r="J22" s="211">
        <f t="shared" ref="J22" si="8">ROUND(H22*$D22,0)</f>
        <v>0</v>
      </c>
      <c r="K22" s="103"/>
      <c r="L22" s="394" t="s">
        <v>195</v>
      </c>
      <c r="M22" s="394"/>
      <c r="N22" s="394"/>
      <c r="O22" s="21"/>
      <c r="Y22" s="92"/>
      <c r="Z22" s="92"/>
      <c r="AA22" s="92"/>
      <c r="AB22" s="92"/>
      <c r="AC22" s="92"/>
      <c r="AD22" s="92"/>
      <c r="AE22" s="92"/>
      <c r="AF22" s="92"/>
      <c r="AH22" s="99"/>
    </row>
    <row r="23" spans="1:34">
      <c r="A23" s="206">
        <f t="shared" si="0"/>
        <v>12</v>
      </c>
      <c r="B23" s="102" t="s">
        <v>30</v>
      </c>
      <c r="C23" s="102"/>
      <c r="D23" s="113">
        <f>SUM(D21:D22)</f>
        <v>3646040</v>
      </c>
      <c r="E23" s="108"/>
      <c r="F23" s="214"/>
      <c r="G23" s="116">
        <f>SUM(G21:G22)</f>
        <v>-177494</v>
      </c>
      <c r="H23" s="208"/>
      <c r="I23" s="102"/>
      <c r="J23" s="116">
        <f>SUM(J21:J22)</f>
        <v>0</v>
      </c>
      <c r="K23" s="103"/>
      <c r="N23" s="21"/>
      <c r="O23" s="33"/>
      <c r="P23" s="17" t="s">
        <v>0</v>
      </c>
      <c r="Y23" s="92"/>
      <c r="Z23" s="92"/>
      <c r="AA23" s="92"/>
      <c r="AB23" s="92"/>
      <c r="AC23" s="92"/>
      <c r="AD23" s="92"/>
      <c r="AE23" s="92"/>
      <c r="AF23" s="92"/>
      <c r="AH23" s="99"/>
    </row>
    <row r="24" spans="1:34">
      <c r="A24" s="206">
        <f t="shared" si="0"/>
        <v>13</v>
      </c>
      <c r="B24" s="102"/>
      <c r="C24" s="102"/>
      <c r="D24" s="113"/>
      <c r="E24" s="108"/>
      <c r="F24" s="214"/>
      <c r="G24" s="103"/>
      <c r="H24" s="34"/>
      <c r="I24" s="214"/>
      <c r="J24" s="103"/>
      <c r="K24" s="103"/>
      <c r="N24" s="21"/>
      <c r="O24" s="33"/>
      <c r="P24" s="17"/>
      <c r="Y24" s="92"/>
      <c r="Z24" s="92"/>
      <c r="AA24" s="92"/>
      <c r="AB24" s="92"/>
      <c r="AC24" s="92"/>
      <c r="AD24" s="92"/>
      <c r="AE24" s="92"/>
      <c r="AF24" s="92"/>
      <c r="AH24" s="99"/>
    </row>
    <row r="25" spans="1:34">
      <c r="A25" s="206">
        <f t="shared" si="0"/>
        <v>14</v>
      </c>
      <c r="B25" s="207" t="s">
        <v>194</v>
      </c>
      <c r="C25" s="102"/>
      <c r="D25" s="100"/>
      <c r="E25" s="254"/>
      <c r="F25" s="102"/>
      <c r="G25" s="116">
        <v>7494526</v>
      </c>
      <c r="H25" s="208"/>
      <c r="I25" s="102"/>
      <c r="J25" s="116">
        <f>G25</f>
        <v>7494526</v>
      </c>
      <c r="K25" s="103"/>
      <c r="L25" s="238"/>
      <c r="N25" s="101"/>
      <c r="O25" s="101"/>
      <c r="P25" s="98"/>
      <c r="Y25" s="92"/>
      <c r="Z25" s="92"/>
      <c r="AA25" s="92"/>
      <c r="AB25" s="92"/>
      <c r="AC25" s="92"/>
      <c r="AD25" s="92"/>
      <c r="AE25" s="92"/>
      <c r="AF25" s="92"/>
      <c r="AH25" s="99"/>
    </row>
    <row r="26" spans="1:34">
      <c r="A26" s="206">
        <f t="shared" si="0"/>
        <v>15</v>
      </c>
      <c r="B26" s="123"/>
      <c r="C26" s="210"/>
      <c r="D26" s="113"/>
      <c r="E26" s="208"/>
      <c r="F26" s="102"/>
      <c r="G26" s="116"/>
      <c r="H26" s="208"/>
      <c r="I26" s="102"/>
      <c r="J26" s="116"/>
      <c r="K26" s="103"/>
      <c r="N26" s="93"/>
      <c r="O26" s="93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</row>
    <row r="27" spans="1:34" ht="16.2" thickBot="1">
      <c r="A27" s="206">
        <f t="shared" si="0"/>
        <v>16</v>
      </c>
      <c r="B27" s="102" t="s">
        <v>30</v>
      </c>
      <c r="C27" s="102"/>
      <c r="D27" s="113"/>
      <c r="E27" s="108"/>
      <c r="F27" s="214"/>
      <c r="G27" s="215">
        <f>SUM(G23,G19,G14,G25)</f>
        <v>7513285</v>
      </c>
      <c r="H27" s="108"/>
      <c r="I27" s="214"/>
      <c r="J27" s="215">
        <f>SUM(J23,J19,J14,J25)</f>
        <v>7969001</v>
      </c>
      <c r="K27" s="109"/>
      <c r="L27" s="110" t="s">
        <v>28</v>
      </c>
      <c r="M27" s="111">
        <f>J27</f>
        <v>7969001</v>
      </c>
      <c r="N27" s="112">
        <f>M27/SUM(G23,G27)-1</f>
        <v>8.631788991807432E-2</v>
      </c>
      <c r="O27" s="93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</row>
    <row r="28" spans="1:34" ht="16.2" thickTop="1">
      <c r="A28" s="206">
        <f t="shared" si="0"/>
        <v>17</v>
      </c>
      <c r="B28" s="102"/>
      <c r="C28" s="102"/>
      <c r="D28" s="100"/>
      <c r="E28" s="216"/>
      <c r="F28" s="102"/>
      <c r="G28" s="116"/>
      <c r="H28" s="216"/>
      <c r="I28" s="102"/>
      <c r="J28" s="116"/>
      <c r="K28" s="116"/>
      <c r="L28" s="114" t="s">
        <v>29</v>
      </c>
      <c r="M28" s="115">
        <f>M27-J27-J23</f>
        <v>0</v>
      </c>
      <c r="N28" s="38" t="s">
        <v>0</v>
      </c>
      <c r="O28" s="93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</row>
    <row r="29" spans="1:34">
      <c r="A29" s="206">
        <f t="shared" si="0"/>
        <v>18</v>
      </c>
      <c r="B29" s="209"/>
      <c r="C29" s="102"/>
      <c r="D29" s="100"/>
      <c r="E29" s="213"/>
      <c r="F29" s="102"/>
      <c r="G29" s="116"/>
      <c r="H29" s="213"/>
      <c r="I29" s="102"/>
      <c r="J29" s="116"/>
      <c r="K29" s="116"/>
      <c r="L29" s="92"/>
      <c r="M29" s="93"/>
      <c r="N29" s="93"/>
      <c r="O29" s="93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</row>
    <row r="30" spans="1:34">
      <c r="A30" s="206">
        <f t="shared" si="0"/>
        <v>19</v>
      </c>
      <c r="B30" s="209"/>
      <c r="C30" s="102"/>
      <c r="D30" s="100"/>
      <c r="E30" s="213"/>
      <c r="F30" s="102"/>
      <c r="G30" s="116"/>
      <c r="H30" s="213"/>
      <c r="I30" s="102"/>
      <c r="J30" s="116"/>
      <c r="K30" s="116"/>
      <c r="L30" s="92"/>
      <c r="M30" s="93"/>
      <c r="N30" s="93"/>
      <c r="O30" s="93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</row>
    <row r="31" spans="1:34">
      <c r="A31" s="206">
        <f t="shared" si="0"/>
        <v>20</v>
      </c>
      <c r="B31" s="212"/>
      <c r="C31" s="102"/>
      <c r="D31" s="100"/>
      <c r="E31" s="213"/>
      <c r="F31" s="102"/>
      <c r="G31" s="116"/>
      <c r="H31" s="213"/>
      <c r="I31" s="102"/>
      <c r="J31" s="116"/>
      <c r="K31" s="116"/>
      <c r="L31" s="92"/>
      <c r="M31" s="93"/>
      <c r="N31" s="93"/>
      <c r="O31" s="93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</row>
    <row r="32" spans="1:34">
      <c r="A32" s="206">
        <f t="shared" si="0"/>
        <v>21</v>
      </c>
      <c r="B32" s="207" t="s">
        <v>198</v>
      </c>
      <c r="C32" s="102"/>
      <c r="D32" s="102" t="s">
        <v>0</v>
      </c>
      <c r="E32" s="116"/>
      <c r="F32" s="102"/>
      <c r="G32" s="102"/>
      <c r="H32" s="116"/>
      <c r="I32" s="102"/>
      <c r="J32" s="102"/>
      <c r="K32" s="102"/>
      <c r="L32" s="92"/>
      <c r="M32" s="93"/>
      <c r="N32" s="93"/>
      <c r="O32" s="93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</row>
    <row r="33" spans="1:32">
      <c r="A33" s="206">
        <f t="shared" si="0"/>
        <v>22</v>
      </c>
      <c r="B33" s="207" t="s">
        <v>70</v>
      </c>
      <c r="C33" s="102"/>
      <c r="D33" s="102"/>
      <c r="E33" s="116"/>
      <c r="F33" s="102"/>
      <c r="G33" s="102"/>
      <c r="H33" s="116"/>
      <c r="I33" s="102"/>
      <c r="J33" s="102"/>
      <c r="K33" s="102"/>
      <c r="L33" s="92"/>
      <c r="M33" s="93"/>
      <c r="N33" s="93"/>
      <c r="O33" s="93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</row>
    <row r="34" spans="1:32">
      <c r="A34" s="206">
        <f t="shared" si="0"/>
        <v>23</v>
      </c>
      <c r="B34" s="207" t="s">
        <v>183</v>
      </c>
      <c r="C34" s="102"/>
      <c r="D34" s="100">
        <v>96</v>
      </c>
      <c r="E34" s="213"/>
      <c r="F34" s="102"/>
      <c r="G34" s="116"/>
      <c r="H34" s="213"/>
      <c r="I34" s="102"/>
      <c r="J34" s="116"/>
      <c r="K34" s="103"/>
      <c r="L34" s="394"/>
      <c r="M34" s="394"/>
      <c r="N34" s="394"/>
      <c r="O34" s="93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</row>
    <row r="35" spans="1:32">
      <c r="A35" s="206">
        <f t="shared" si="0"/>
        <v>24</v>
      </c>
      <c r="B35" s="102" t="s">
        <v>86</v>
      </c>
      <c r="C35" s="102"/>
      <c r="D35" s="100"/>
      <c r="E35" s="208"/>
      <c r="F35" s="102"/>
      <c r="G35" s="116"/>
      <c r="H35" s="208"/>
      <c r="I35" s="102"/>
      <c r="J35" s="116"/>
      <c r="K35" s="102"/>
      <c r="N35" s="101"/>
      <c r="O35" s="93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</row>
    <row r="36" spans="1:32">
      <c r="A36" s="206">
        <f t="shared" si="0"/>
        <v>25</v>
      </c>
      <c r="B36" s="209" t="s">
        <v>42</v>
      </c>
      <c r="C36" s="102"/>
      <c r="D36" s="100">
        <v>6797340</v>
      </c>
      <c r="E36" s="208">
        <v>3.5139999999999998E-2</v>
      </c>
      <c r="F36" s="102"/>
      <c r="G36" s="116">
        <f t="shared" ref="G36:G38" si="9">ROUND(E36*$D36,0)</f>
        <v>238859</v>
      </c>
      <c r="H36" s="208">
        <f>E36</f>
        <v>3.5139999999999998E-2</v>
      </c>
      <c r="I36" s="102"/>
      <c r="J36" s="116">
        <f t="shared" ref="J36:J38" si="10">ROUND(H36*$D36,0)</f>
        <v>238859</v>
      </c>
      <c r="K36" s="103"/>
      <c r="L36" s="394"/>
      <c r="M36" s="394"/>
      <c r="N36" s="394"/>
      <c r="O36" s="93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</row>
    <row r="37" spans="1:32">
      <c r="A37" s="206">
        <f t="shared" si="0"/>
        <v>26</v>
      </c>
      <c r="B37" s="209" t="s">
        <v>72</v>
      </c>
      <c r="C37" s="105"/>
      <c r="D37" s="100">
        <v>145693.42218082873</v>
      </c>
      <c r="E37" s="208">
        <f>E36</f>
        <v>3.5139999999999998E-2</v>
      </c>
      <c r="F37" s="208"/>
      <c r="G37" s="116">
        <f t="shared" si="9"/>
        <v>5120</v>
      </c>
      <c r="H37" s="208">
        <f>E37</f>
        <v>3.5139999999999998E-2</v>
      </c>
      <c r="I37" s="102"/>
      <c r="J37" s="116">
        <f t="shared" si="10"/>
        <v>5120</v>
      </c>
      <c r="K37" s="103"/>
    </row>
    <row r="38" spans="1:32">
      <c r="A38" s="206">
        <f t="shared" si="0"/>
        <v>27</v>
      </c>
      <c r="B38" s="123" t="s">
        <v>77</v>
      </c>
      <c r="C38" s="210"/>
      <c r="D38" s="106">
        <v>-13230</v>
      </c>
      <c r="E38" s="208">
        <f>ROUND(SUM(G36:G37,G41,G43)/SUM(D36:D37),6)</f>
        <v>4.5657000000000003E-2</v>
      </c>
      <c r="F38" s="102"/>
      <c r="G38" s="211">
        <f t="shared" si="9"/>
        <v>-604</v>
      </c>
      <c r="H38" s="208">
        <f>E38</f>
        <v>4.5657000000000003E-2</v>
      </c>
      <c r="I38" s="102"/>
      <c r="J38" s="211">
        <f t="shared" si="10"/>
        <v>-604</v>
      </c>
      <c r="K38" s="103"/>
      <c r="L38" s="394"/>
      <c r="M38" s="394"/>
      <c r="N38" s="394"/>
    </row>
    <row r="39" spans="1:32">
      <c r="A39" s="206">
        <f t="shared" si="0"/>
        <v>28</v>
      </c>
      <c r="B39" s="212" t="s">
        <v>26</v>
      </c>
      <c r="C39" s="210"/>
      <c r="D39" s="113">
        <f>SUM(D36:D38)</f>
        <v>6929803.4221808286</v>
      </c>
      <c r="E39" s="208"/>
      <c r="F39" s="102"/>
      <c r="G39" s="116">
        <f>SUM(G36:G38)</f>
        <v>243375</v>
      </c>
      <c r="H39" s="208"/>
      <c r="I39" s="102"/>
      <c r="J39" s="116">
        <f>SUM(J36:J38)</f>
        <v>243375</v>
      </c>
      <c r="K39" s="103"/>
      <c r="N39" s="21"/>
    </row>
    <row r="40" spans="1:32">
      <c r="A40" s="206">
        <f t="shared" si="0"/>
        <v>29</v>
      </c>
      <c r="B40" s="212"/>
      <c r="C40" s="210"/>
      <c r="D40" s="113"/>
      <c r="E40" s="208"/>
      <c r="F40" s="102"/>
      <c r="G40" s="116"/>
      <c r="H40" s="208"/>
      <c r="I40" s="102"/>
      <c r="J40" s="116"/>
      <c r="K40" s="103"/>
      <c r="N40" s="21"/>
    </row>
    <row r="41" spans="1:32">
      <c r="A41" s="206">
        <f t="shared" si="0"/>
        <v>30</v>
      </c>
      <c r="B41" s="102" t="s">
        <v>199</v>
      </c>
      <c r="C41" s="102"/>
      <c r="D41" s="100">
        <v>13806</v>
      </c>
      <c r="E41" s="254">
        <v>5.25</v>
      </c>
      <c r="F41" s="102"/>
      <c r="G41" s="116">
        <f t="shared" ref="G41" si="11">ROUND(E41*$D41,0)</f>
        <v>72482</v>
      </c>
      <c r="H41" s="254">
        <f>E41</f>
        <v>5.25</v>
      </c>
      <c r="I41" s="102"/>
      <c r="J41" s="116">
        <f t="shared" ref="J41" si="12">ROUND(H41*$D41,0)</f>
        <v>72482</v>
      </c>
      <c r="K41" s="103"/>
      <c r="N41" s="21"/>
    </row>
    <row r="42" spans="1:32">
      <c r="A42" s="206">
        <f t="shared" si="0"/>
        <v>31</v>
      </c>
      <c r="B42" s="102"/>
      <c r="C42" s="102"/>
      <c r="D42" s="113"/>
      <c r="E42" s="108"/>
      <c r="F42" s="214"/>
      <c r="G42" s="103"/>
      <c r="H42" s="108"/>
      <c r="I42" s="214"/>
      <c r="J42" s="103"/>
      <c r="K42" s="103"/>
      <c r="N42" s="21"/>
    </row>
    <row r="43" spans="1:32">
      <c r="A43" s="206">
        <f t="shared" si="0"/>
        <v>32</v>
      </c>
      <c r="B43" s="207" t="s">
        <v>155</v>
      </c>
      <c r="C43" s="102"/>
      <c r="D43" s="100">
        <v>2144520</v>
      </c>
      <c r="E43" s="255">
        <v>2.5000000000000001E-4</v>
      </c>
      <c r="F43" s="102"/>
      <c r="G43" s="116">
        <f t="shared" ref="G43" si="13">ROUND(E43*$D43,0)</f>
        <v>536</v>
      </c>
      <c r="H43" s="255">
        <f>E43</f>
        <v>2.5000000000000001E-4</v>
      </c>
      <c r="I43" s="102"/>
      <c r="J43" s="116">
        <f t="shared" ref="J43" si="14">ROUND(H43*$D43,0)</f>
        <v>536</v>
      </c>
      <c r="K43" s="103"/>
      <c r="L43" s="238"/>
      <c r="N43" s="101"/>
    </row>
    <row r="44" spans="1:32">
      <c r="A44" s="206">
        <f t="shared" si="0"/>
        <v>33</v>
      </c>
      <c r="B44" s="207"/>
      <c r="C44" s="102"/>
      <c r="D44" s="100"/>
      <c r="E44" s="255"/>
      <c r="F44" s="102"/>
      <c r="G44" s="116"/>
      <c r="H44" s="255"/>
      <c r="I44" s="102"/>
      <c r="J44" s="116"/>
      <c r="K44" s="103"/>
      <c r="L44" s="238"/>
      <c r="N44" s="101"/>
    </row>
    <row r="45" spans="1:32">
      <c r="A45" s="206">
        <f t="shared" si="0"/>
        <v>34</v>
      </c>
      <c r="B45" s="207" t="s">
        <v>200</v>
      </c>
      <c r="C45" s="102"/>
      <c r="D45" s="100"/>
      <c r="E45" s="255"/>
      <c r="F45" s="102"/>
      <c r="G45" s="116"/>
      <c r="H45" s="255"/>
      <c r="I45" s="102"/>
      <c r="J45" s="116">
        <v>406090</v>
      </c>
      <c r="K45" s="103"/>
      <c r="L45" s="394" t="s">
        <v>201</v>
      </c>
      <c r="M45" s="394"/>
      <c r="N45" s="394"/>
    </row>
    <row r="46" spans="1:32">
      <c r="A46" s="206">
        <f t="shared" si="0"/>
        <v>35</v>
      </c>
      <c r="B46" s="123"/>
      <c r="C46" s="210"/>
      <c r="D46" s="113"/>
      <c r="E46" s="208"/>
      <c r="F46" s="102"/>
      <c r="G46" s="116"/>
      <c r="H46" s="208"/>
      <c r="I46" s="102"/>
      <c r="J46" s="116"/>
      <c r="K46" s="103"/>
      <c r="N46" s="93"/>
    </row>
    <row r="47" spans="1:32" ht="16.2" thickBot="1">
      <c r="A47" s="206">
        <f t="shared" si="0"/>
        <v>36</v>
      </c>
      <c r="B47" s="102" t="s">
        <v>30</v>
      </c>
      <c r="C47" s="102"/>
      <c r="D47" s="113"/>
      <c r="E47" s="108"/>
      <c r="F47" s="214"/>
      <c r="G47" s="215">
        <f>SUM(G41,G39,G34,G43)</f>
        <v>316393</v>
      </c>
      <c r="H47" s="108"/>
      <c r="I47" s="214"/>
      <c r="J47" s="215">
        <f>SUM(J41,J39,J34,J43,J45)</f>
        <v>722483</v>
      </c>
      <c r="K47" s="109"/>
      <c r="L47" s="110" t="s">
        <v>28</v>
      </c>
      <c r="M47" s="111">
        <f>406090+G47</f>
        <v>722483</v>
      </c>
      <c r="N47" s="112">
        <f>M47/SUM(G41,G47)-1</f>
        <v>0.85787978142076504</v>
      </c>
    </row>
    <row r="48" spans="1:32" ht="16.2" thickTop="1">
      <c r="A48" s="206">
        <f t="shared" si="0"/>
        <v>37</v>
      </c>
      <c r="B48" s="102"/>
      <c r="C48" s="102"/>
      <c r="D48" s="100"/>
      <c r="E48" s="216"/>
      <c r="F48" s="102"/>
      <c r="G48" s="116"/>
      <c r="H48" s="216"/>
      <c r="I48" s="102"/>
      <c r="J48" s="116"/>
      <c r="K48" s="116"/>
      <c r="L48" s="114" t="s">
        <v>29</v>
      </c>
      <c r="M48" s="115">
        <f>M47-J47</f>
        <v>0</v>
      </c>
      <c r="N48" s="38" t="s">
        <v>0</v>
      </c>
    </row>
  </sheetData>
  <mergeCells count="15">
    <mergeCell ref="L36:N36"/>
    <mergeCell ref="L38:N38"/>
    <mergeCell ref="L45:N45"/>
    <mergeCell ref="L14:N14"/>
    <mergeCell ref="L16:N16"/>
    <mergeCell ref="L18:N18"/>
    <mergeCell ref="L21:N21"/>
    <mergeCell ref="L22:N22"/>
    <mergeCell ref="L34:N34"/>
    <mergeCell ref="B1:J1"/>
    <mergeCell ref="B2:J2"/>
    <mergeCell ref="B3:J3"/>
    <mergeCell ref="B4:J4"/>
    <mergeCell ref="E9:G9"/>
    <mergeCell ref="H9:J9"/>
  </mergeCells>
  <printOptions horizontalCentered="1"/>
  <pageMargins left="0.7" right="0.7" top="0.75" bottom="0.71" header="0.3" footer="0.3"/>
  <pageSetup scale="57" fitToHeight="7" orientation="landscape" r:id="rId1"/>
  <headerFooter alignWithMargins="0">
    <oddFooter>&amp;L&amp;A&amp;RExhibit No.___(JAP-15)
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 codeName="Sheet13">
    <pageSetUpPr fitToPage="1"/>
  </sheetPr>
  <dimension ref="A1:X531"/>
  <sheetViews>
    <sheetView tabSelected="1" zoomScale="80" zoomScaleNormal="80" zoomScaleSheetLayoutView="80" workbookViewId="0">
      <pane xSplit="3" ySplit="10" topLeftCell="Q104" activePane="bottomRight" state="frozen"/>
      <selection sqref="A1:XFD1048576"/>
      <selection pane="topRight" sqref="A1:XFD1048576"/>
      <selection pane="bottomLeft" sqref="A1:XFD1048576"/>
      <selection pane="bottomRight" activeCell="A10" sqref="A10:X10"/>
    </sheetView>
  </sheetViews>
  <sheetFormatPr defaultColWidth="10.19921875" defaultRowHeight="15.6"/>
  <cols>
    <col min="1" max="1" width="4.59765625" style="29" bestFit="1" customWidth="1"/>
    <col min="2" max="2" width="60.5" style="29" bestFit="1" customWidth="1"/>
    <col min="3" max="3" width="19.19921875" style="29" customWidth="1"/>
    <col min="4" max="4" width="11.59765625" style="29" bestFit="1" customWidth="1"/>
    <col min="5" max="5" width="10.796875" style="29" bestFit="1" customWidth="1"/>
    <col min="6" max="6" width="2" style="29" bestFit="1" customWidth="1"/>
    <col min="7" max="7" width="11.59765625" style="29" bestFit="1" customWidth="1"/>
    <col min="8" max="8" width="10.796875" style="29" bestFit="1" customWidth="1"/>
    <col min="9" max="9" width="2" style="29" bestFit="1" customWidth="1"/>
    <col min="10" max="10" width="11.59765625" style="29" bestFit="1" customWidth="1"/>
    <col min="11" max="11" width="1.59765625" style="29" customWidth="1"/>
    <col min="12" max="12" width="11.296875" style="29" bestFit="1" customWidth="1"/>
    <col min="13" max="13" width="11.796875" style="29" customWidth="1"/>
    <col min="14" max="14" width="11" style="29" bestFit="1" customWidth="1"/>
    <col min="15" max="15" width="1.8984375" style="29" customWidth="1"/>
    <col min="16" max="17" width="11.59765625" style="29" bestFit="1" customWidth="1"/>
    <col min="18" max="18" width="10.5" style="29" bestFit="1" customWidth="1"/>
    <col min="19" max="19" width="10.19921875" style="29"/>
    <col min="20" max="20" width="7.09765625" style="29" bestFit="1" customWidth="1"/>
    <col min="21" max="21" width="11.59765625" style="29" bestFit="1" customWidth="1"/>
    <col min="22" max="22" width="12.296875" style="29" bestFit="1" customWidth="1"/>
    <col min="23" max="23" width="9.796875" style="29" bestFit="1" customWidth="1"/>
    <col min="24" max="24" width="12.296875" style="29" bestFit="1" customWidth="1"/>
    <col min="25" max="16384" width="10.19921875" style="29"/>
  </cols>
  <sheetData>
    <row r="1" spans="1:24" ht="17.399999999999999">
      <c r="B1" s="386" t="s">
        <v>44</v>
      </c>
      <c r="C1" s="386"/>
      <c r="D1" s="386"/>
      <c r="E1" s="386"/>
      <c r="F1" s="386"/>
      <c r="G1" s="386"/>
      <c r="H1" s="386"/>
      <c r="I1" s="386"/>
      <c r="J1" s="386"/>
      <c r="K1" s="94"/>
    </row>
    <row r="2" spans="1:24" ht="17.399999999999999">
      <c r="B2" s="386"/>
      <c r="C2" s="386"/>
      <c r="D2" s="386"/>
      <c r="E2" s="386"/>
      <c r="F2" s="386"/>
      <c r="G2" s="386"/>
      <c r="H2" s="386"/>
      <c r="I2" s="386"/>
      <c r="J2" s="386"/>
      <c r="K2" s="94"/>
    </row>
    <row r="3" spans="1:24">
      <c r="B3" s="387" t="str">
        <f>'Proforma-Proposed'!$A$6</f>
        <v>12 MONTHS ENDED SEPTEMBER 2016</v>
      </c>
      <c r="C3" s="387"/>
      <c r="D3" s="387"/>
      <c r="E3" s="387"/>
      <c r="F3" s="387"/>
      <c r="G3" s="387"/>
      <c r="H3" s="387"/>
      <c r="I3" s="387"/>
      <c r="J3" s="387"/>
      <c r="K3" s="95"/>
    </row>
    <row r="4" spans="1:24">
      <c r="B4" s="388" t="s">
        <v>21</v>
      </c>
      <c r="C4" s="388"/>
      <c r="D4" s="388"/>
      <c r="E4" s="388"/>
      <c r="F4" s="388"/>
      <c r="G4" s="388"/>
      <c r="H4" s="388"/>
      <c r="I4" s="388"/>
      <c r="J4" s="388"/>
      <c r="K4" s="23"/>
    </row>
    <row r="5" spans="1:24">
      <c r="B5" s="24" t="s">
        <v>202</v>
      </c>
      <c r="C5" s="96"/>
      <c r="D5" s="96"/>
      <c r="E5" s="97"/>
      <c r="F5" s="97"/>
      <c r="G5" s="96"/>
      <c r="H5" s="97"/>
      <c r="I5" s="96"/>
      <c r="J5" s="96"/>
      <c r="K5" s="96"/>
    </row>
    <row r="6" spans="1:24">
      <c r="B6" s="24"/>
      <c r="C6" s="96"/>
      <c r="D6" s="96"/>
      <c r="E6" s="97"/>
      <c r="F6" s="97"/>
      <c r="G6" s="96"/>
      <c r="H6" s="97"/>
      <c r="I6" s="96"/>
      <c r="J6" s="96"/>
      <c r="K6" s="96"/>
    </row>
    <row r="7" spans="1:24">
      <c r="B7" s="96"/>
      <c r="C7" s="96"/>
      <c r="D7" s="96"/>
      <c r="E7" s="97"/>
      <c r="F7" s="97"/>
      <c r="G7" s="96"/>
      <c r="H7" s="97"/>
      <c r="I7" s="96"/>
      <c r="J7" s="96"/>
      <c r="K7" s="96"/>
    </row>
    <row r="8" spans="1:24">
      <c r="B8" s="26"/>
      <c r="C8" s="26"/>
      <c r="D8" s="25"/>
      <c r="E8" s="26"/>
      <c r="F8" s="26"/>
      <c r="H8" s="26"/>
      <c r="I8" s="27"/>
      <c r="J8" s="27"/>
      <c r="K8" s="27"/>
      <c r="L8" s="176"/>
      <c r="M8" s="176"/>
      <c r="N8" s="176"/>
    </row>
    <row r="9" spans="1:24" ht="30" customHeight="1">
      <c r="A9" s="25" t="s">
        <v>7</v>
      </c>
      <c r="B9" s="26"/>
      <c r="C9" s="26"/>
      <c r="D9" s="25" t="s">
        <v>22</v>
      </c>
      <c r="E9" s="410" t="s">
        <v>3</v>
      </c>
      <c r="F9" s="407"/>
      <c r="G9" s="408"/>
      <c r="H9" s="411" t="str">
        <f>'Residential Rate Design'!$H$9</f>
        <v xml:space="preserve">Proposed </v>
      </c>
      <c r="I9" s="412"/>
      <c r="J9" s="413"/>
      <c r="K9" s="27"/>
      <c r="L9" s="406" t="s">
        <v>41</v>
      </c>
      <c r="M9" s="407"/>
      <c r="N9" s="408"/>
      <c r="P9" s="406" t="s">
        <v>576</v>
      </c>
      <c r="Q9" s="407"/>
      <c r="R9" s="408"/>
      <c r="T9" s="409" t="s">
        <v>887</v>
      </c>
      <c r="U9" s="409"/>
      <c r="V9" s="409"/>
    </row>
    <row r="10" spans="1:24" ht="28.2">
      <c r="A10" s="336" t="s">
        <v>13</v>
      </c>
      <c r="B10" s="340" t="s">
        <v>14</v>
      </c>
      <c r="C10" s="336"/>
      <c r="D10" s="336" t="s">
        <v>23</v>
      </c>
      <c r="E10" s="338" t="s">
        <v>24</v>
      </c>
      <c r="F10" s="338"/>
      <c r="G10" s="338" t="s">
        <v>25</v>
      </c>
      <c r="H10" s="338" t="s">
        <v>24</v>
      </c>
      <c r="I10" s="338"/>
      <c r="J10" s="338" t="s">
        <v>25</v>
      </c>
      <c r="K10" s="338"/>
      <c r="L10" s="341" t="s">
        <v>573</v>
      </c>
      <c r="M10" s="341" t="s">
        <v>574</v>
      </c>
      <c r="N10" s="341" t="s">
        <v>575</v>
      </c>
      <c r="O10" s="339"/>
      <c r="P10" s="341" t="s">
        <v>573</v>
      </c>
      <c r="Q10" s="341" t="s">
        <v>574</v>
      </c>
      <c r="R10" s="341" t="s">
        <v>575</v>
      </c>
      <c r="S10" s="339"/>
      <c r="T10" s="342" t="s">
        <v>6</v>
      </c>
      <c r="U10" s="342" t="s">
        <v>622</v>
      </c>
      <c r="V10" s="343" t="s">
        <v>939</v>
      </c>
      <c r="W10" s="342" t="s">
        <v>937</v>
      </c>
      <c r="X10" s="342" t="s">
        <v>938</v>
      </c>
    </row>
    <row r="11" spans="1:24">
      <c r="A11" s="205"/>
      <c r="B11" s="102"/>
      <c r="C11" s="102"/>
      <c r="D11" s="28" t="s">
        <v>966</v>
      </c>
      <c r="E11" s="28" t="s">
        <v>959</v>
      </c>
      <c r="F11" s="27"/>
      <c r="G11" s="27" t="s">
        <v>960</v>
      </c>
      <c r="H11" s="28" t="s">
        <v>961</v>
      </c>
      <c r="I11" s="28"/>
      <c r="J11" s="28" t="s">
        <v>962</v>
      </c>
      <c r="K11" s="28"/>
      <c r="L11" s="28" t="s">
        <v>963</v>
      </c>
      <c r="M11" s="28" t="s">
        <v>964</v>
      </c>
      <c r="N11" s="28" t="s">
        <v>965</v>
      </c>
      <c r="P11" s="28" t="s">
        <v>967</v>
      </c>
      <c r="Q11" s="28" t="s">
        <v>968</v>
      </c>
      <c r="R11" s="28" t="s">
        <v>969</v>
      </c>
      <c r="T11" s="28" t="s">
        <v>970</v>
      </c>
      <c r="U11" s="28" t="s">
        <v>971</v>
      </c>
      <c r="V11" s="28" t="s">
        <v>972</v>
      </c>
      <c r="W11" s="28" t="s">
        <v>973</v>
      </c>
      <c r="X11" s="28" t="s">
        <v>974</v>
      </c>
    </row>
    <row r="12" spans="1:24">
      <c r="A12" s="206">
        <v>1</v>
      </c>
      <c r="B12" s="405" t="s">
        <v>571</v>
      </c>
      <c r="C12" s="405"/>
      <c r="D12" s="405"/>
      <c r="E12" s="405"/>
      <c r="F12" s="405"/>
      <c r="G12" s="405"/>
      <c r="H12" s="405"/>
      <c r="I12" s="405"/>
      <c r="J12" s="405"/>
      <c r="K12" s="116"/>
    </row>
    <row r="13" spans="1:24">
      <c r="A13" s="206">
        <f>A12+1</f>
        <v>2</v>
      </c>
      <c r="B13" s="102" t="str">
        <f>B25</f>
        <v>SCHEDULE 50</v>
      </c>
      <c r="C13" s="102"/>
      <c r="D13" s="217">
        <f>D40</f>
        <v>144</v>
      </c>
      <c r="E13" s="36"/>
      <c r="F13" s="102"/>
      <c r="G13" s="116">
        <f>G44</f>
        <v>18514</v>
      </c>
      <c r="H13" s="36"/>
      <c r="I13" s="102"/>
      <c r="J13" s="116">
        <f>J44</f>
        <v>16354</v>
      </c>
      <c r="K13" s="116"/>
      <c r="L13" s="46">
        <f>SUM(M13:N13)</f>
        <v>104655</v>
      </c>
      <c r="M13" s="46">
        <f>D42</f>
        <v>179940</v>
      </c>
      <c r="N13" s="46">
        <f>D43</f>
        <v>-75285</v>
      </c>
      <c r="P13" s="116">
        <f>SUM(Q13:R13)</f>
        <v>18514</v>
      </c>
      <c r="Q13" s="116">
        <f>G38</f>
        <v>19066</v>
      </c>
      <c r="R13" s="116">
        <f>ROUND(Q13/($Q$22-$Q$21)*$R$22,0)</f>
        <v>-552</v>
      </c>
      <c r="T13" s="116">
        <f t="shared" ref="T13:T21" si="0">U13-V13</f>
        <v>0.31999999999970896</v>
      </c>
      <c r="U13" s="116">
        <f>J38</f>
        <v>16952</v>
      </c>
      <c r="V13" s="218">
        <v>16951.68</v>
      </c>
      <c r="W13" s="99">
        <f>J43</f>
        <v>-598</v>
      </c>
      <c r="X13" s="219">
        <f>SUM(V13:W13)</f>
        <v>16353.68</v>
      </c>
    </row>
    <row r="14" spans="1:24">
      <c r="A14" s="206">
        <f t="shared" ref="A14:A77" si="1">A13+1</f>
        <v>3</v>
      </c>
      <c r="B14" s="102" t="str">
        <f>B46</f>
        <v>SCHEDULE 51</v>
      </c>
      <c r="C14" s="102"/>
      <c r="D14" s="217">
        <f>D108</f>
        <v>1755</v>
      </c>
      <c r="E14" s="36"/>
      <c r="F14" s="102"/>
      <c r="G14" s="116">
        <f>G112</f>
        <v>129066</v>
      </c>
      <c r="H14" s="36"/>
      <c r="I14" s="102"/>
      <c r="J14" s="116">
        <f>J112</f>
        <v>155536</v>
      </c>
      <c r="K14" s="116"/>
      <c r="L14" s="46">
        <f t="shared" ref="L14:L21" si="2">SUM(M14:N14)</f>
        <v>473448.2585</v>
      </c>
      <c r="M14" s="46">
        <f>D110</f>
        <v>459949.408</v>
      </c>
      <c r="N14" s="46">
        <f>D111</f>
        <v>13498.850500000002</v>
      </c>
      <c r="P14" s="116">
        <f t="shared" ref="P14:P21" si="3">SUM(Q14:R14)</f>
        <v>129066</v>
      </c>
      <c r="Q14" s="116">
        <f>G106</f>
        <v>132913</v>
      </c>
      <c r="R14" s="116">
        <f t="shared" ref="R14:R20" si="4">ROUND(Q14/($Q$22-$Q$21)*$R$22,0)</f>
        <v>-3847</v>
      </c>
      <c r="T14" s="116">
        <f t="shared" si="0"/>
        <v>2.8923067628056742</v>
      </c>
      <c r="U14" s="116">
        <f>$J$106</f>
        <v>159703</v>
      </c>
      <c r="V14" s="218">
        <v>159700.10769323719</v>
      </c>
      <c r="W14" s="99">
        <f>J111</f>
        <v>-4167</v>
      </c>
      <c r="X14" s="219">
        <f t="shared" ref="X14:X21" si="5">SUM(V14:W14)</f>
        <v>155533.10769323719</v>
      </c>
    </row>
    <row r="15" spans="1:24">
      <c r="A15" s="206">
        <f t="shared" si="1"/>
        <v>4</v>
      </c>
      <c r="B15" s="102" t="str">
        <f>B114</f>
        <v>SCHEDULE 52</v>
      </c>
      <c r="C15" s="102"/>
      <c r="D15" s="217">
        <f>D138</f>
        <v>30201</v>
      </c>
      <c r="E15" s="36"/>
      <c r="F15" s="102"/>
      <c r="G15" s="116">
        <f>G142</f>
        <v>3091875</v>
      </c>
      <c r="H15" s="36"/>
      <c r="I15" s="102"/>
      <c r="J15" s="116">
        <f>J142</f>
        <v>2574055</v>
      </c>
      <c r="K15" s="116"/>
      <c r="L15" s="46">
        <f t="shared" si="2"/>
        <v>13754187.789999997</v>
      </c>
      <c r="M15" s="46">
        <f>D140</f>
        <v>13773730.199999997</v>
      </c>
      <c r="N15" s="46">
        <f>D141</f>
        <v>-19542.410000000033</v>
      </c>
      <c r="P15" s="116">
        <f t="shared" si="3"/>
        <v>3091875</v>
      </c>
      <c r="Q15" s="116">
        <f>G136</f>
        <v>3184030</v>
      </c>
      <c r="R15" s="116">
        <f t="shared" si="4"/>
        <v>-92155</v>
      </c>
      <c r="T15" s="116">
        <f t="shared" si="0"/>
        <v>3.6574742756783962E-2</v>
      </c>
      <c r="U15" s="116">
        <f>J136</f>
        <v>2673880</v>
      </c>
      <c r="V15" s="218">
        <v>2673879.9634252572</v>
      </c>
      <c r="W15" s="99">
        <f>J141</f>
        <v>-99825</v>
      </c>
      <c r="X15" s="219">
        <f t="shared" si="5"/>
        <v>2574054.9634252572</v>
      </c>
    </row>
    <row r="16" spans="1:24">
      <c r="A16" s="206">
        <f t="shared" si="1"/>
        <v>5</v>
      </c>
      <c r="B16" s="102" t="str">
        <f>B145</f>
        <v>SCHEDULE 53</v>
      </c>
      <c r="C16" s="102"/>
      <c r="D16" s="217">
        <f>D291</f>
        <v>29281</v>
      </c>
      <c r="E16" s="36"/>
      <c r="F16" s="102"/>
      <c r="G16" s="116">
        <f>G295</f>
        <v>11257552</v>
      </c>
      <c r="H16" s="36"/>
      <c r="I16" s="102"/>
      <c r="J16" s="116">
        <f>J295</f>
        <v>12890196</v>
      </c>
      <c r="K16" s="116"/>
      <c r="L16" s="46">
        <f t="shared" si="2"/>
        <v>43416005.963500001</v>
      </c>
      <c r="M16" s="46">
        <f>D293</f>
        <v>46174693.041000001</v>
      </c>
      <c r="N16" s="46">
        <f>D294</f>
        <v>-2758687.0775000006</v>
      </c>
      <c r="P16" s="116">
        <f t="shared" si="3"/>
        <v>11257552</v>
      </c>
      <c r="Q16" s="116">
        <f>G289</f>
        <v>11593090</v>
      </c>
      <c r="R16" s="116">
        <f t="shared" si="4"/>
        <v>-335538</v>
      </c>
      <c r="T16" s="116">
        <f t="shared" si="0"/>
        <v>-3.4400000032037497</v>
      </c>
      <c r="U16" s="116">
        <f>J289</f>
        <v>13253659</v>
      </c>
      <c r="V16" s="218">
        <v>13253662.440000003</v>
      </c>
      <c r="W16" s="99">
        <f>J294</f>
        <v>-363463</v>
      </c>
      <c r="X16" s="219">
        <f t="shared" si="5"/>
        <v>12890199.440000003</v>
      </c>
    </row>
    <row r="17" spans="1:24">
      <c r="A17" s="206">
        <f t="shared" si="1"/>
        <v>6</v>
      </c>
      <c r="B17" s="102" t="str">
        <f>B300</f>
        <v>SCHEDULE 54</v>
      </c>
      <c r="C17" s="102"/>
      <c r="D17" s="217">
        <f>D369</f>
        <v>528</v>
      </c>
      <c r="E17" s="36"/>
      <c r="F17" s="102"/>
      <c r="G17" s="116">
        <f>G373</f>
        <v>873551</v>
      </c>
      <c r="H17" s="36"/>
      <c r="I17" s="102"/>
      <c r="J17" s="116">
        <f>J373</f>
        <v>743698</v>
      </c>
      <c r="K17" s="116"/>
      <c r="L17" s="46">
        <f t="shared" si="2"/>
        <v>8045663.7919999994</v>
      </c>
      <c r="M17" s="46">
        <f>D371</f>
        <v>8926151.7919999994</v>
      </c>
      <c r="N17" s="46">
        <f>D372</f>
        <v>-880488</v>
      </c>
      <c r="P17" s="116">
        <f t="shared" si="3"/>
        <v>873551</v>
      </c>
      <c r="Q17" s="116">
        <f>G367</f>
        <v>899588</v>
      </c>
      <c r="R17" s="116">
        <f t="shared" si="4"/>
        <v>-26037</v>
      </c>
      <c r="T17" s="116">
        <f t="shared" si="0"/>
        <v>0.47999999998137355</v>
      </c>
      <c r="U17" s="116">
        <f>J367</f>
        <v>771902</v>
      </c>
      <c r="V17" s="218">
        <v>771901.52</v>
      </c>
      <c r="W17" s="99">
        <f>J372</f>
        <v>-28204</v>
      </c>
      <c r="X17" s="219">
        <f t="shared" si="5"/>
        <v>743697.52</v>
      </c>
    </row>
    <row r="18" spans="1:24">
      <c r="A18" s="206">
        <f t="shared" si="1"/>
        <v>7</v>
      </c>
      <c r="B18" s="102" t="str">
        <f>B376</f>
        <v>SCHEDULES 55 &amp; 56</v>
      </c>
      <c r="C18" s="102"/>
      <c r="D18" s="217">
        <f>D414</f>
        <v>19837</v>
      </c>
      <c r="E18" s="36"/>
      <c r="F18" s="102"/>
      <c r="G18" s="116">
        <f>G418</f>
        <v>1000299</v>
      </c>
      <c r="H18" s="36"/>
      <c r="I18" s="102"/>
      <c r="J18" s="116">
        <f>J418</f>
        <v>1143105</v>
      </c>
      <c r="K18" s="116"/>
      <c r="L18" s="46">
        <f t="shared" si="2"/>
        <v>3890374.6445000004</v>
      </c>
      <c r="M18" s="46">
        <f>D416</f>
        <v>3893849.0450000004</v>
      </c>
      <c r="N18" s="46">
        <f>D417</f>
        <v>-3474.4005000000179</v>
      </c>
      <c r="P18" s="116">
        <f t="shared" si="3"/>
        <v>953067</v>
      </c>
      <c r="Q18" s="116">
        <f>G412-G411-G410</f>
        <v>981474</v>
      </c>
      <c r="R18" s="116">
        <f t="shared" si="4"/>
        <v>-28407</v>
      </c>
      <c r="T18" s="116">
        <f t="shared" si="0"/>
        <v>-4.0000000037252903E-2</v>
      </c>
      <c r="U18" s="116">
        <f>J412-J410-J411</f>
        <v>1082345</v>
      </c>
      <c r="V18" s="218">
        <v>1082345.04</v>
      </c>
      <c r="W18" s="99">
        <f>J417</f>
        <v>-30771</v>
      </c>
      <c r="X18" s="219">
        <f t="shared" si="5"/>
        <v>1051574.04</v>
      </c>
    </row>
    <row r="19" spans="1:24">
      <c r="A19" s="206">
        <f t="shared" si="1"/>
        <v>8</v>
      </c>
      <c r="B19" s="102" t="str">
        <f>B421</f>
        <v>SCHEDULE 57</v>
      </c>
      <c r="C19" s="102"/>
      <c r="D19" s="217">
        <f>D428</f>
        <v>1310</v>
      </c>
      <c r="E19" s="36"/>
      <c r="F19" s="102"/>
      <c r="G19" s="116">
        <f>G432</f>
        <v>377189</v>
      </c>
      <c r="H19" s="36"/>
      <c r="I19" s="102"/>
      <c r="J19" s="116">
        <f>J432</f>
        <v>641063</v>
      </c>
      <c r="K19" s="116"/>
      <c r="L19" s="46">
        <f t="shared" si="2"/>
        <v>5939077.1749999998</v>
      </c>
      <c r="M19" s="46">
        <f>D430</f>
        <v>4534791.4849999994</v>
      </c>
      <c r="N19" s="46">
        <f>D431</f>
        <v>1404285.6900000002</v>
      </c>
      <c r="P19" s="116">
        <f t="shared" si="3"/>
        <v>377189</v>
      </c>
      <c r="Q19" s="116">
        <f>G426</f>
        <v>388431</v>
      </c>
      <c r="R19" s="116">
        <f t="shared" si="4"/>
        <v>-11242</v>
      </c>
      <c r="T19" s="116">
        <f t="shared" si="0"/>
        <v>-0.21659999992698431</v>
      </c>
      <c r="U19" s="116">
        <f>J426</f>
        <v>653241</v>
      </c>
      <c r="V19" s="218">
        <v>653241.21659999993</v>
      </c>
      <c r="W19" s="99">
        <f>J431</f>
        <v>-12178</v>
      </c>
      <c r="X19" s="219">
        <f t="shared" si="5"/>
        <v>641063.21659999993</v>
      </c>
    </row>
    <row r="20" spans="1:24">
      <c r="A20" s="206">
        <f t="shared" si="1"/>
        <v>9</v>
      </c>
      <c r="B20" s="102" t="str">
        <f>B435</f>
        <v>SCHEDULES 58 &amp; 59</v>
      </c>
      <c r="C20" s="102"/>
      <c r="D20" s="217">
        <f>D526</f>
        <v>3662</v>
      </c>
      <c r="E20" s="36"/>
      <c r="F20" s="102"/>
      <c r="G20" s="116">
        <f>G530</f>
        <v>419051</v>
      </c>
      <c r="H20" s="36"/>
      <c r="I20" s="102"/>
      <c r="J20" s="116">
        <f>J530</f>
        <v>434386</v>
      </c>
      <c r="K20" s="116"/>
      <c r="L20" s="46">
        <f t="shared" si="2"/>
        <v>2348936.6825000001</v>
      </c>
      <c r="M20" s="46">
        <f>D528</f>
        <v>2337951.7660000003</v>
      </c>
      <c r="N20" s="46">
        <f>D529</f>
        <v>10984.916500000007</v>
      </c>
      <c r="P20" s="116">
        <f t="shared" si="3"/>
        <v>403384</v>
      </c>
      <c r="Q20" s="116">
        <f>G524-G523</f>
        <v>415407</v>
      </c>
      <c r="R20" s="116">
        <f t="shared" si="4"/>
        <v>-12023</v>
      </c>
      <c r="T20" s="116">
        <f t="shared" si="0"/>
        <v>-2.839999999909196</v>
      </c>
      <c r="U20" s="116">
        <f>J524-J523</f>
        <v>427480</v>
      </c>
      <c r="V20" s="218">
        <v>427482.83999999991</v>
      </c>
      <c r="W20" s="99">
        <f>J529</f>
        <v>-13024</v>
      </c>
      <c r="X20" s="219">
        <f t="shared" si="5"/>
        <v>414458.83999999991</v>
      </c>
    </row>
    <row r="21" spans="1:24">
      <c r="A21" s="206">
        <f t="shared" si="1"/>
        <v>10</v>
      </c>
      <c r="B21" s="102" t="s">
        <v>577</v>
      </c>
      <c r="C21" s="102"/>
      <c r="D21" s="220"/>
      <c r="E21" s="36"/>
      <c r="F21" s="102"/>
      <c r="G21" s="116">
        <f>G531</f>
        <v>0</v>
      </c>
      <c r="H21" s="36"/>
      <c r="I21" s="102"/>
      <c r="J21" s="116"/>
      <c r="K21" s="116"/>
      <c r="L21" s="46">
        <f t="shared" si="2"/>
        <v>0</v>
      </c>
      <c r="M21" s="46">
        <v>0</v>
      </c>
      <c r="N21" s="46">
        <v>0</v>
      </c>
      <c r="P21" s="116">
        <f t="shared" si="3"/>
        <v>62899</v>
      </c>
      <c r="Q21" s="116">
        <f>SUM(G410:G411,G523)</f>
        <v>62899</v>
      </c>
      <c r="R21" s="116">
        <v>0</v>
      </c>
      <c r="T21" s="116">
        <f t="shared" si="0"/>
        <v>1.1599999999889405</v>
      </c>
      <c r="U21" s="116">
        <f>J410+J411+J523</f>
        <v>111461</v>
      </c>
      <c r="V21" s="218">
        <v>111459.84000000001</v>
      </c>
      <c r="W21" s="29">
        <v>0</v>
      </c>
      <c r="X21" s="219">
        <f t="shared" si="5"/>
        <v>111459.84000000001</v>
      </c>
    </row>
    <row r="22" spans="1:24" ht="16.2" thickBot="1">
      <c r="A22" s="206">
        <f t="shared" si="1"/>
        <v>11</v>
      </c>
      <c r="B22" s="102" t="s">
        <v>572</v>
      </c>
      <c r="C22" s="102"/>
      <c r="D22" s="221">
        <f>SUM(D13:D21)</f>
        <v>86718</v>
      </c>
      <c r="E22" s="36"/>
      <c r="F22" s="102"/>
      <c r="G22" s="215">
        <f>SUM(G13:G21)</f>
        <v>17167097</v>
      </c>
      <c r="H22" s="36"/>
      <c r="I22" s="102"/>
      <c r="J22" s="215">
        <f>SUM(J13:J21)</f>
        <v>18598393</v>
      </c>
      <c r="K22" s="116"/>
      <c r="L22" s="221">
        <f t="shared" ref="L22:N22" si="6">SUM(L13:L21)</f>
        <v>77972349.305999994</v>
      </c>
      <c r="M22" s="221">
        <f t="shared" si="6"/>
        <v>80281056.737000003</v>
      </c>
      <c r="N22" s="221">
        <f t="shared" si="6"/>
        <v>-2308707.4310000003</v>
      </c>
      <c r="P22" s="215">
        <f>SUM(P13:P21)</f>
        <v>17167097</v>
      </c>
      <c r="Q22" s="215">
        <f t="shared" ref="Q22" si="7">SUM(Q13:Q21)</f>
        <v>17676898</v>
      </c>
      <c r="R22" s="222">
        <v>-509800</v>
      </c>
      <c r="T22" s="215">
        <f>SUM(T12:T21)</f>
        <v>-1.6477184975447017</v>
      </c>
      <c r="U22" s="215">
        <f t="shared" ref="U22:V22" si="8">SUM(U12:U21)</f>
        <v>19150623</v>
      </c>
      <c r="V22" s="215">
        <f t="shared" si="8"/>
        <v>19150624.647718497</v>
      </c>
      <c r="W22" s="215">
        <f t="shared" ref="W22:X22" si="9">SUM(W12:W21)</f>
        <v>-552230</v>
      </c>
      <c r="X22" s="215">
        <f t="shared" si="9"/>
        <v>18598394.647718497</v>
      </c>
    </row>
    <row r="23" spans="1:24" ht="16.2" thickTop="1">
      <c r="A23" s="206">
        <f t="shared" si="1"/>
        <v>12</v>
      </c>
      <c r="B23" s="102"/>
      <c r="C23" s="102"/>
      <c r="D23" s="100"/>
      <c r="E23" s="36"/>
      <c r="F23" s="102"/>
      <c r="G23" s="116"/>
      <c r="H23" s="36"/>
      <c r="I23" s="102"/>
      <c r="J23" s="116"/>
      <c r="K23" s="116"/>
      <c r="Q23" s="99"/>
      <c r="R23" s="99"/>
    </row>
    <row r="24" spans="1:24">
      <c r="A24" s="206">
        <f t="shared" si="1"/>
        <v>13</v>
      </c>
      <c r="B24" s="102"/>
      <c r="C24" s="102"/>
      <c r="D24" s="100"/>
      <c r="E24" s="36"/>
      <c r="F24" s="102"/>
      <c r="G24" s="116"/>
      <c r="H24" s="36"/>
      <c r="I24" s="102"/>
      <c r="J24" s="99"/>
      <c r="K24" s="116"/>
      <c r="P24" s="219"/>
      <c r="Q24" s="223">
        <f>'Rate Spread'!I27</f>
        <v>8.3224326412326355E-2</v>
      </c>
      <c r="R24" s="101">
        <f>Q24</f>
        <v>8.3224326412326355E-2</v>
      </c>
    </row>
    <row r="25" spans="1:24">
      <c r="A25" s="206">
        <f t="shared" si="1"/>
        <v>14</v>
      </c>
      <c r="B25" s="405" t="s">
        <v>203</v>
      </c>
      <c r="C25" s="405"/>
      <c r="D25" s="405"/>
      <c r="E25" s="405"/>
      <c r="F25" s="405"/>
      <c r="G25" s="405"/>
      <c r="H25" s="405"/>
      <c r="I25" s="405"/>
      <c r="J25" s="405"/>
      <c r="K25" s="102"/>
      <c r="P25" s="116"/>
      <c r="Q25" s="116">
        <f>Q24*Q22</f>
        <v>1471147.929109399</v>
      </c>
      <c r="R25" s="116">
        <f>R24*R22</f>
        <v>-42427.761605003972</v>
      </c>
    </row>
    <row r="26" spans="1:24">
      <c r="A26" s="206">
        <f t="shared" si="1"/>
        <v>15</v>
      </c>
      <c r="B26" s="102" t="s">
        <v>204</v>
      </c>
      <c r="C26" s="102"/>
      <c r="D26" s="102"/>
      <c r="E26" s="102"/>
      <c r="F26" s="102"/>
      <c r="G26" s="116"/>
      <c r="H26" s="102"/>
      <c r="I26" s="102"/>
      <c r="J26" s="102"/>
      <c r="K26" s="102"/>
      <c r="Q26" s="99">
        <f>Q25+Q22</f>
        <v>19148045.929109398</v>
      </c>
      <c r="R26" s="99">
        <f>R25+R22</f>
        <v>-552227.76160500397</v>
      </c>
    </row>
    <row r="27" spans="1:24">
      <c r="A27" s="206">
        <f t="shared" si="1"/>
        <v>16</v>
      </c>
      <c r="B27" s="102"/>
      <c r="C27" s="102"/>
      <c r="D27" s="102"/>
      <c r="E27" s="102"/>
      <c r="F27" s="102"/>
      <c r="G27" s="116"/>
      <c r="H27" s="102"/>
      <c r="I27" s="102"/>
      <c r="J27" s="102"/>
      <c r="K27" s="102"/>
    </row>
    <row r="28" spans="1:24">
      <c r="A28" s="206">
        <f t="shared" si="1"/>
        <v>17</v>
      </c>
      <c r="B28" s="224" t="s">
        <v>205</v>
      </c>
      <c r="C28" s="29" t="str">
        <f>$B$25</f>
        <v>SCHEDULE 50</v>
      </c>
      <c r="D28" s="46">
        <v>59</v>
      </c>
      <c r="E28" s="225">
        <f>'Tariff Summary Lights'!F6</f>
        <v>0.87</v>
      </c>
      <c r="G28" s="116">
        <f>ROUND(D28*E28*12,0)</f>
        <v>616</v>
      </c>
      <c r="H28" s="225">
        <v>0.73</v>
      </c>
      <c r="J28" s="116">
        <f>ROUND(H28*$D28*12,0)</f>
        <v>517</v>
      </c>
      <c r="K28" s="116"/>
    </row>
    <row r="29" spans="1:24">
      <c r="A29" s="206">
        <f t="shared" si="1"/>
        <v>18</v>
      </c>
      <c r="B29" s="226"/>
      <c r="D29" s="46"/>
      <c r="E29" s="227"/>
      <c r="G29" s="116"/>
      <c r="H29" s="227"/>
      <c r="J29" s="116"/>
      <c r="K29" s="116"/>
    </row>
    <row r="30" spans="1:24">
      <c r="A30" s="206">
        <f t="shared" si="1"/>
        <v>19</v>
      </c>
      <c r="B30" s="224" t="s">
        <v>207</v>
      </c>
      <c r="C30" s="29" t="str">
        <f t="shared" ref="C30:C32" si="10">$B$25</f>
        <v>SCHEDULE 50</v>
      </c>
      <c r="D30" s="46">
        <v>13</v>
      </c>
      <c r="E30" s="225">
        <f>'Tariff Summary Lights'!F7</f>
        <v>5.94</v>
      </c>
      <c r="G30" s="116">
        <f t="shared" ref="G30:G32" si="11">ROUND(D30*E30*12,0)</f>
        <v>927</v>
      </c>
      <c r="H30" s="225">
        <v>5.63</v>
      </c>
      <c r="J30" s="116">
        <f t="shared" ref="J30:J32" si="12">ROUND(H30*$D30*12,0)</f>
        <v>878</v>
      </c>
      <c r="K30" s="116"/>
    </row>
    <row r="31" spans="1:24">
      <c r="A31" s="206">
        <f t="shared" si="1"/>
        <v>20</v>
      </c>
      <c r="B31" s="224" t="s">
        <v>206</v>
      </c>
      <c r="C31" s="29" t="str">
        <f t="shared" si="10"/>
        <v>SCHEDULE 50</v>
      </c>
      <c r="D31" s="46">
        <v>19</v>
      </c>
      <c r="E31" s="225">
        <f>'Tariff Summary Lights'!F8</f>
        <v>8.74</v>
      </c>
      <c r="G31" s="116">
        <f t="shared" si="11"/>
        <v>1993</v>
      </c>
      <c r="H31" s="225">
        <v>8.1300000000000008</v>
      </c>
      <c r="J31" s="116">
        <f t="shared" si="12"/>
        <v>1854</v>
      </c>
      <c r="K31" s="116"/>
    </row>
    <row r="32" spans="1:24">
      <c r="A32" s="206">
        <f t="shared" si="1"/>
        <v>21</v>
      </c>
      <c r="B32" s="224" t="s">
        <v>208</v>
      </c>
      <c r="C32" s="29" t="str">
        <f t="shared" si="10"/>
        <v>SCHEDULE 50</v>
      </c>
      <c r="D32" s="46">
        <v>22</v>
      </c>
      <c r="E32" s="225">
        <f>'Tariff Summary Lights'!F9</f>
        <v>17.149999999999999</v>
      </c>
      <c r="G32" s="116">
        <f t="shared" si="11"/>
        <v>4528</v>
      </c>
      <c r="H32" s="225">
        <v>15.61</v>
      </c>
      <c r="J32" s="116">
        <f t="shared" si="12"/>
        <v>4121</v>
      </c>
      <c r="K32" s="116"/>
    </row>
    <row r="33" spans="1:14">
      <c r="A33" s="206">
        <f t="shared" si="1"/>
        <v>22</v>
      </c>
      <c r="B33" s="226"/>
      <c r="D33" s="46"/>
      <c r="E33" s="227"/>
      <c r="G33" s="116"/>
      <c r="H33" s="227"/>
      <c r="J33" s="116"/>
      <c r="K33" s="116"/>
    </row>
    <row r="34" spans="1:14">
      <c r="A34" s="206">
        <f t="shared" si="1"/>
        <v>23</v>
      </c>
      <c r="B34" s="224" t="s">
        <v>209</v>
      </c>
      <c r="C34" s="29" t="str">
        <f t="shared" ref="C34:C38" si="13">$B$25</f>
        <v>SCHEDULE 50</v>
      </c>
      <c r="D34" s="46">
        <v>1</v>
      </c>
      <c r="E34" s="225">
        <f>'Tariff Summary Lights'!F11</f>
        <v>4.05</v>
      </c>
      <c r="G34" s="116">
        <f t="shared" ref="G34:G37" si="14">ROUND(D34*E34*12,0)</f>
        <v>49</v>
      </c>
      <c r="H34" s="225">
        <v>3.33</v>
      </c>
      <c r="J34" s="116">
        <f t="shared" ref="J34:J37" si="15">ROUND(H34*$D34*12,0)</f>
        <v>40</v>
      </c>
      <c r="K34" s="116"/>
    </row>
    <row r="35" spans="1:14">
      <c r="A35" s="206">
        <f t="shared" si="1"/>
        <v>24</v>
      </c>
      <c r="B35" s="224" t="s">
        <v>210</v>
      </c>
      <c r="C35" s="29" t="str">
        <f t="shared" si="13"/>
        <v>SCHEDULE 50</v>
      </c>
      <c r="D35" s="46">
        <v>36</v>
      </c>
      <c r="E35" s="225">
        <f>'Tariff Summary Lights'!F12</f>
        <v>6.85</v>
      </c>
      <c r="G35" s="116">
        <f t="shared" si="14"/>
        <v>2959</v>
      </c>
      <c r="H35" s="225">
        <v>5.82</v>
      </c>
      <c r="J35" s="116">
        <f t="shared" si="15"/>
        <v>2514</v>
      </c>
      <c r="K35" s="116"/>
    </row>
    <row r="36" spans="1:14">
      <c r="A36" s="206">
        <f t="shared" si="1"/>
        <v>25</v>
      </c>
      <c r="B36" s="224" t="s">
        <v>211</v>
      </c>
      <c r="C36" s="29" t="str">
        <f t="shared" si="13"/>
        <v>SCHEDULE 50</v>
      </c>
      <c r="D36" s="46">
        <v>44</v>
      </c>
      <c r="E36" s="225">
        <f>'Tariff Summary Lights'!F13</f>
        <v>15.14</v>
      </c>
      <c r="G36" s="116">
        <f t="shared" si="14"/>
        <v>7994</v>
      </c>
      <c r="H36" s="225">
        <v>13.31</v>
      </c>
      <c r="J36" s="116">
        <f t="shared" si="15"/>
        <v>7028</v>
      </c>
      <c r="K36" s="116"/>
    </row>
    <row r="37" spans="1:14">
      <c r="A37" s="206">
        <f t="shared" si="1"/>
        <v>26</v>
      </c>
      <c r="B37" s="224" t="s">
        <v>212</v>
      </c>
      <c r="C37" s="29" t="str">
        <f t="shared" si="13"/>
        <v>SCHEDULE 50</v>
      </c>
      <c r="D37" s="46">
        <v>0</v>
      </c>
      <c r="E37" s="225">
        <f>'Tariff Summary Lights'!F14</f>
        <v>28.57</v>
      </c>
      <c r="G37" s="116">
        <f t="shared" si="14"/>
        <v>0</v>
      </c>
      <c r="H37" s="225">
        <v>23.28</v>
      </c>
      <c r="J37" s="116">
        <f t="shared" si="15"/>
        <v>0</v>
      </c>
      <c r="K37" s="116"/>
    </row>
    <row r="38" spans="1:14">
      <c r="A38" s="206">
        <f t="shared" si="1"/>
        <v>27</v>
      </c>
      <c r="B38" s="228" t="s">
        <v>26</v>
      </c>
      <c r="C38" s="29" t="str">
        <f t="shared" si="13"/>
        <v>SCHEDULE 50</v>
      </c>
      <c r="D38" s="229">
        <f>SUM(D28:D37)</f>
        <v>194</v>
      </c>
      <c r="E38" s="312"/>
      <c r="G38" s="230">
        <f>SUM(G28:G37)</f>
        <v>19066</v>
      </c>
      <c r="H38" s="312"/>
      <c r="J38" s="230">
        <f>SUM(J28:J37)</f>
        <v>16952</v>
      </c>
      <c r="K38" s="116"/>
    </row>
    <row r="39" spans="1:14">
      <c r="A39" s="206">
        <f t="shared" si="1"/>
        <v>28</v>
      </c>
      <c r="B39" s="224"/>
      <c r="D39" s="46"/>
      <c r="E39" s="312"/>
      <c r="G39" s="116"/>
      <c r="H39" s="312"/>
      <c r="J39" s="116"/>
      <c r="K39" s="116"/>
    </row>
    <row r="40" spans="1:14">
      <c r="A40" s="206">
        <f t="shared" si="1"/>
        <v>29</v>
      </c>
      <c r="B40" s="209" t="s">
        <v>183</v>
      </c>
      <c r="C40" s="29" t="str">
        <f>$B$25</f>
        <v>SCHEDULE 50</v>
      </c>
      <c r="D40" s="220">
        <v>144</v>
      </c>
      <c r="E40" s="227"/>
      <c r="G40" s="116"/>
      <c r="H40" s="227"/>
      <c r="J40" s="116"/>
      <c r="K40" s="116"/>
    </row>
    <row r="41" spans="1:14">
      <c r="A41" s="206">
        <f t="shared" si="1"/>
        <v>30</v>
      </c>
      <c r="B41" s="226"/>
      <c r="D41" s="46"/>
      <c r="E41" s="227"/>
      <c r="G41" s="116"/>
      <c r="H41" s="227"/>
      <c r="J41" s="116"/>
      <c r="K41" s="116"/>
    </row>
    <row r="42" spans="1:14" s="231" customFormat="1">
      <c r="A42" s="206">
        <f t="shared" si="1"/>
        <v>31</v>
      </c>
      <c r="B42" s="45" t="s">
        <v>407</v>
      </c>
      <c r="C42" s="29" t="str">
        <f t="shared" ref="C42:C43" si="16">$B$25</f>
        <v>SCHEDULE 50</v>
      </c>
      <c r="D42" s="46">
        <v>179940</v>
      </c>
      <c r="F42" s="232"/>
      <c r="G42" s="37"/>
      <c r="I42" s="232"/>
      <c r="J42" s="37"/>
      <c r="K42" s="232"/>
      <c r="M42" s="233"/>
    </row>
    <row r="43" spans="1:14">
      <c r="A43" s="206">
        <f t="shared" si="1"/>
        <v>32</v>
      </c>
      <c r="B43" s="45" t="s">
        <v>408</v>
      </c>
      <c r="C43" s="29" t="str">
        <f t="shared" si="16"/>
        <v>SCHEDULE 50</v>
      </c>
      <c r="D43" s="46">
        <v>-75285</v>
      </c>
      <c r="E43" s="234">
        <f>ROUND(G43/D43,6)</f>
        <v>7.332E-3</v>
      </c>
      <c r="F43" s="313"/>
      <c r="G43" s="116">
        <f>$R$13</f>
        <v>-552</v>
      </c>
      <c r="H43" s="234">
        <f>ROUND(J43/D43,6)</f>
        <v>7.9430000000000004E-3</v>
      </c>
      <c r="I43" s="313"/>
      <c r="J43" s="116">
        <f>ROUND(+G43*(1+L45),0)</f>
        <v>-598</v>
      </c>
      <c r="K43" s="313"/>
    </row>
    <row r="44" spans="1:14" ht="16.2" thickBot="1">
      <c r="A44" s="206">
        <f t="shared" si="1"/>
        <v>33</v>
      </c>
      <c r="B44" s="212" t="s">
        <v>27</v>
      </c>
      <c r="C44" s="29" t="str">
        <f>$B$25</f>
        <v>SCHEDULE 50</v>
      </c>
      <c r="D44" s="235">
        <f>SUM(D42:D43)</f>
        <v>104655</v>
      </c>
      <c r="E44" s="103"/>
      <c r="G44" s="236">
        <f>SUM(G43,G38)</f>
        <v>18514</v>
      </c>
      <c r="H44" s="103"/>
      <c r="J44" s="236">
        <f>SUM(J43,J38)</f>
        <v>16354</v>
      </c>
    </row>
    <row r="45" spans="1:14" ht="16.2" thickTop="1">
      <c r="A45" s="206">
        <f t="shared" si="1"/>
        <v>34</v>
      </c>
      <c r="B45" s="237"/>
      <c r="D45" s="113"/>
      <c r="E45" s="103"/>
      <c r="F45" s="103"/>
      <c r="G45" s="103"/>
      <c r="H45" s="103"/>
      <c r="I45" s="103"/>
      <c r="J45" s="103"/>
      <c r="K45" s="103"/>
      <c r="L45" s="101">
        <f>'Rate Spread'!$I$27</f>
        <v>8.3224326412326355E-2</v>
      </c>
      <c r="M45" s="29" t="s">
        <v>847</v>
      </c>
    </row>
    <row r="46" spans="1:14">
      <c r="A46" s="206">
        <f t="shared" si="1"/>
        <v>35</v>
      </c>
      <c r="B46" s="405" t="s">
        <v>38</v>
      </c>
      <c r="C46" s="405"/>
      <c r="D46" s="405"/>
      <c r="E46" s="405"/>
      <c r="F46" s="405"/>
      <c r="G46" s="405"/>
      <c r="H46" s="405"/>
      <c r="I46" s="405"/>
      <c r="J46" s="405"/>
      <c r="K46" s="102"/>
    </row>
    <row r="47" spans="1:14">
      <c r="A47" s="206">
        <f t="shared" si="1"/>
        <v>36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2"/>
    </row>
    <row r="48" spans="1:14">
      <c r="A48" s="206">
        <f t="shared" si="1"/>
        <v>37</v>
      </c>
      <c r="B48" s="238" t="s">
        <v>213</v>
      </c>
      <c r="C48" s="102" t="str">
        <f t="shared" ref="C48:C101" si="17">$B$46</f>
        <v>SCHEDULE 51</v>
      </c>
      <c r="D48" s="46">
        <v>6</v>
      </c>
      <c r="E48" s="225">
        <f>'Tariff Summary Lights'!F19</f>
        <v>1.1399999999999999</v>
      </c>
      <c r="G48" s="116">
        <f t="shared" ref="G48" si="18">ROUND(D48*E48*12,0)</f>
        <v>82</v>
      </c>
      <c r="H48" s="225">
        <v>1.5</v>
      </c>
      <c r="J48" s="116">
        <f>ROUND(H48*$D48*12,0)</f>
        <v>108</v>
      </c>
      <c r="K48" s="102"/>
      <c r="N48" s="99"/>
    </row>
    <row r="49" spans="1:14">
      <c r="A49" s="206">
        <f t="shared" si="1"/>
        <v>38</v>
      </c>
      <c r="B49" s="238" t="s">
        <v>214</v>
      </c>
      <c r="C49" s="102" t="str">
        <f t="shared" si="17"/>
        <v>SCHEDULE 51</v>
      </c>
      <c r="D49" s="46">
        <v>23</v>
      </c>
      <c r="E49" s="225">
        <f>'Tariff Summary Lights'!F20</f>
        <v>1.3499999999999999</v>
      </c>
      <c r="G49" s="116">
        <f t="shared" ref="G49:G104" si="19">ROUND(D49*E49*12,0)</f>
        <v>373</v>
      </c>
      <c r="H49" s="225">
        <v>1.5</v>
      </c>
      <c r="J49" s="116">
        <f t="shared" ref="J49:J101" si="20">ROUND(H49*$D49*12,0)</f>
        <v>414</v>
      </c>
      <c r="K49" s="102"/>
      <c r="N49" s="99"/>
    </row>
    <row r="50" spans="1:14">
      <c r="A50" s="206">
        <f t="shared" si="1"/>
        <v>39</v>
      </c>
      <c r="B50" s="238" t="s">
        <v>215</v>
      </c>
      <c r="C50" s="102" t="str">
        <f t="shared" si="17"/>
        <v>SCHEDULE 51</v>
      </c>
      <c r="D50" s="46">
        <v>45</v>
      </c>
      <c r="E50" s="225">
        <f>'Tariff Summary Lights'!F21</f>
        <v>1.49</v>
      </c>
      <c r="G50" s="116">
        <f t="shared" si="19"/>
        <v>805</v>
      </c>
      <c r="H50" s="225">
        <v>1.5</v>
      </c>
      <c r="J50" s="116">
        <f t="shared" si="20"/>
        <v>810</v>
      </c>
      <c r="K50" s="102"/>
      <c r="N50" s="99"/>
    </row>
    <row r="51" spans="1:14">
      <c r="A51" s="206">
        <f t="shared" si="1"/>
        <v>40</v>
      </c>
      <c r="B51" s="238" t="s">
        <v>216</v>
      </c>
      <c r="C51" s="102" t="str">
        <f t="shared" si="17"/>
        <v>SCHEDULE 51</v>
      </c>
      <c r="D51" s="46">
        <v>21</v>
      </c>
      <c r="E51" s="225">
        <f>'Tariff Summary Lights'!F22</f>
        <v>1.67</v>
      </c>
      <c r="G51" s="116">
        <f t="shared" si="19"/>
        <v>421</v>
      </c>
      <c r="H51" s="225">
        <v>1.5</v>
      </c>
      <c r="J51" s="116">
        <f t="shared" si="20"/>
        <v>378</v>
      </c>
      <c r="K51" s="102"/>
      <c r="N51" s="99"/>
    </row>
    <row r="52" spans="1:14">
      <c r="A52" s="206">
        <f t="shared" si="1"/>
        <v>41</v>
      </c>
      <c r="B52" s="238" t="s">
        <v>217</v>
      </c>
      <c r="C52" s="102" t="str">
        <f t="shared" si="17"/>
        <v>SCHEDULE 51</v>
      </c>
      <c r="D52" s="46">
        <v>412</v>
      </c>
      <c r="E52" s="225">
        <f>'Tariff Summary Lights'!F23</f>
        <v>1.8399999999999999</v>
      </c>
      <c r="G52" s="116">
        <f t="shared" si="19"/>
        <v>9097</v>
      </c>
      <c r="H52" s="225">
        <v>1.5</v>
      </c>
      <c r="J52" s="116">
        <f t="shared" si="20"/>
        <v>7416</v>
      </c>
      <c r="K52" s="102"/>
      <c r="N52" s="99"/>
    </row>
    <row r="53" spans="1:14">
      <c r="A53" s="206">
        <f t="shared" si="1"/>
        <v>42</v>
      </c>
      <c r="B53" s="238" t="s">
        <v>218</v>
      </c>
      <c r="C53" s="102" t="str">
        <f t="shared" si="17"/>
        <v>SCHEDULE 51</v>
      </c>
      <c r="D53" s="46">
        <v>35</v>
      </c>
      <c r="E53" s="225">
        <f>'Tariff Summary Lights'!F24</f>
        <v>2.0299999999999998</v>
      </c>
      <c r="G53" s="116">
        <f t="shared" si="19"/>
        <v>853</v>
      </c>
      <c r="H53" s="225">
        <v>1.5</v>
      </c>
      <c r="J53" s="116">
        <f t="shared" si="20"/>
        <v>630</v>
      </c>
      <c r="K53" s="102"/>
      <c r="N53" s="99"/>
    </row>
    <row r="54" spans="1:14">
      <c r="A54" s="206">
        <f t="shared" si="1"/>
        <v>43</v>
      </c>
      <c r="B54" s="238" t="s">
        <v>219</v>
      </c>
      <c r="C54" s="102" t="str">
        <f t="shared" si="17"/>
        <v>SCHEDULE 51</v>
      </c>
      <c r="D54" s="46">
        <v>27</v>
      </c>
      <c r="E54" s="225">
        <f>'Tariff Summary Lights'!F25</f>
        <v>2.2000000000000002</v>
      </c>
      <c r="G54" s="116">
        <f t="shared" si="19"/>
        <v>713</v>
      </c>
      <c r="H54" s="225">
        <v>2.4900000000000002</v>
      </c>
      <c r="J54" s="116">
        <f t="shared" si="20"/>
        <v>807</v>
      </c>
      <c r="K54" s="102"/>
      <c r="N54" s="99"/>
    </row>
    <row r="55" spans="1:14">
      <c r="A55" s="206">
        <f t="shared" si="1"/>
        <v>44</v>
      </c>
      <c r="B55" s="238" t="s">
        <v>220</v>
      </c>
      <c r="C55" s="102" t="str">
        <f t="shared" si="17"/>
        <v>SCHEDULE 51</v>
      </c>
      <c r="D55" s="46">
        <v>7</v>
      </c>
      <c r="E55" s="225">
        <f>'Tariff Summary Lights'!F26</f>
        <v>2.3800000000000003</v>
      </c>
      <c r="G55" s="116">
        <f t="shared" si="19"/>
        <v>200</v>
      </c>
      <c r="H55" s="225">
        <v>2.4900000000000002</v>
      </c>
      <c r="J55" s="116">
        <f t="shared" si="20"/>
        <v>209</v>
      </c>
      <c r="K55" s="102"/>
      <c r="N55" s="99"/>
    </row>
    <row r="56" spans="1:14">
      <c r="A56" s="206">
        <f t="shared" si="1"/>
        <v>45</v>
      </c>
      <c r="B56" s="238" t="s">
        <v>221</v>
      </c>
      <c r="C56" s="102" t="str">
        <f t="shared" si="17"/>
        <v>SCHEDULE 51</v>
      </c>
      <c r="D56" s="46">
        <v>212</v>
      </c>
      <c r="E56" s="225">
        <f>'Tariff Summary Lights'!F27</f>
        <v>2.5499999999999998</v>
      </c>
      <c r="G56" s="116">
        <f t="shared" si="19"/>
        <v>6487</v>
      </c>
      <c r="H56" s="225">
        <v>2.4900000000000002</v>
      </c>
      <c r="J56" s="116">
        <f t="shared" si="20"/>
        <v>6335</v>
      </c>
      <c r="K56" s="102"/>
      <c r="N56" s="99"/>
    </row>
    <row r="57" spans="1:14">
      <c r="A57" s="206">
        <f t="shared" si="1"/>
        <v>46</v>
      </c>
      <c r="B57" s="238" t="s">
        <v>222</v>
      </c>
      <c r="C57" s="102" t="str">
        <f t="shared" si="17"/>
        <v>SCHEDULE 51</v>
      </c>
      <c r="D57" s="46">
        <v>14</v>
      </c>
      <c r="E57" s="225">
        <f>'Tariff Summary Lights'!F28</f>
        <v>2.73</v>
      </c>
      <c r="G57" s="116">
        <f t="shared" si="19"/>
        <v>459</v>
      </c>
      <c r="H57" s="225">
        <v>2.4900000000000002</v>
      </c>
      <c r="J57" s="116">
        <f t="shared" si="20"/>
        <v>418</v>
      </c>
      <c r="K57" s="102"/>
      <c r="N57" s="99"/>
    </row>
    <row r="58" spans="1:14">
      <c r="A58" s="206">
        <f t="shared" si="1"/>
        <v>47</v>
      </c>
      <c r="B58" s="238" t="s">
        <v>223</v>
      </c>
      <c r="C58" s="102" t="str">
        <f t="shared" si="17"/>
        <v>SCHEDULE 51</v>
      </c>
      <c r="D58" s="46">
        <v>0</v>
      </c>
      <c r="E58" s="225">
        <f>'Tariff Summary Lights'!F29</f>
        <v>2.9000000000000004</v>
      </c>
      <c r="G58" s="116">
        <f t="shared" si="19"/>
        <v>0</v>
      </c>
      <c r="H58" s="225">
        <v>2.4900000000000002</v>
      </c>
      <c r="J58" s="116">
        <f t="shared" si="20"/>
        <v>0</v>
      </c>
      <c r="K58" s="102"/>
      <c r="N58" s="99"/>
    </row>
    <row r="59" spans="1:14">
      <c r="A59" s="206">
        <f t="shared" si="1"/>
        <v>48</v>
      </c>
      <c r="B59" s="238" t="s">
        <v>224</v>
      </c>
      <c r="C59" s="102" t="str">
        <f t="shared" si="17"/>
        <v>SCHEDULE 51</v>
      </c>
      <c r="D59" s="46">
        <v>25</v>
      </c>
      <c r="E59" s="225">
        <f>'Tariff Summary Lights'!F30</f>
        <v>3.07</v>
      </c>
      <c r="G59" s="116">
        <f t="shared" si="19"/>
        <v>921</v>
      </c>
      <c r="H59" s="225">
        <v>2.4900000000000002</v>
      </c>
      <c r="J59" s="116">
        <f t="shared" si="20"/>
        <v>747</v>
      </c>
      <c r="K59" s="102"/>
      <c r="N59" s="99"/>
    </row>
    <row r="60" spans="1:14">
      <c r="A60" s="206">
        <f t="shared" si="1"/>
        <v>49</v>
      </c>
      <c r="B60" s="238" t="s">
        <v>225</v>
      </c>
      <c r="C60" s="102" t="str">
        <f t="shared" si="17"/>
        <v>SCHEDULE 51</v>
      </c>
      <c r="D60" s="46">
        <v>61</v>
      </c>
      <c r="E60" s="225">
        <f>'Tariff Summary Lights'!F31</f>
        <v>3.26</v>
      </c>
      <c r="G60" s="116">
        <f t="shared" si="19"/>
        <v>2386</v>
      </c>
      <c r="H60" s="225">
        <v>3.49</v>
      </c>
      <c r="J60" s="116">
        <f t="shared" si="20"/>
        <v>2555</v>
      </c>
      <c r="K60" s="102"/>
      <c r="N60" s="99"/>
    </row>
    <row r="61" spans="1:14">
      <c r="A61" s="206">
        <f t="shared" si="1"/>
        <v>50</v>
      </c>
      <c r="B61" s="238" t="s">
        <v>226</v>
      </c>
      <c r="C61" s="102" t="str">
        <f t="shared" si="17"/>
        <v>SCHEDULE 51</v>
      </c>
      <c r="D61" s="46">
        <v>63</v>
      </c>
      <c r="E61" s="225">
        <f>'Tariff Summary Lights'!F32</f>
        <v>3.43</v>
      </c>
      <c r="G61" s="116">
        <f t="shared" si="19"/>
        <v>2593</v>
      </c>
      <c r="H61" s="225">
        <v>3.49</v>
      </c>
      <c r="J61" s="116">
        <f t="shared" si="20"/>
        <v>2638</v>
      </c>
      <c r="K61" s="102"/>
      <c r="N61" s="99"/>
    </row>
    <row r="62" spans="1:14">
      <c r="A62" s="206">
        <f t="shared" si="1"/>
        <v>51</v>
      </c>
      <c r="B62" s="238" t="s">
        <v>227</v>
      </c>
      <c r="C62" s="102" t="str">
        <f t="shared" si="17"/>
        <v>SCHEDULE 51</v>
      </c>
      <c r="D62" s="46">
        <v>37</v>
      </c>
      <c r="E62" s="225">
        <f>'Tariff Summary Lights'!F33</f>
        <v>3.6100000000000003</v>
      </c>
      <c r="G62" s="116">
        <f t="shared" si="19"/>
        <v>1603</v>
      </c>
      <c r="H62" s="225">
        <v>3.49</v>
      </c>
      <c r="J62" s="116">
        <f t="shared" si="20"/>
        <v>1550</v>
      </c>
      <c r="K62" s="102"/>
      <c r="N62" s="99"/>
    </row>
    <row r="63" spans="1:14">
      <c r="A63" s="206">
        <f t="shared" si="1"/>
        <v>52</v>
      </c>
      <c r="B63" s="238" t="s">
        <v>228</v>
      </c>
      <c r="C63" s="102" t="str">
        <f t="shared" si="17"/>
        <v>SCHEDULE 51</v>
      </c>
      <c r="D63" s="46">
        <v>3</v>
      </c>
      <c r="E63" s="225">
        <f>'Tariff Summary Lights'!F34</f>
        <v>3.78</v>
      </c>
      <c r="G63" s="116">
        <f t="shared" si="19"/>
        <v>136</v>
      </c>
      <c r="H63" s="225">
        <v>3.49</v>
      </c>
      <c r="J63" s="116">
        <f t="shared" si="20"/>
        <v>126</v>
      </c>
      <c r="K63" s="102"/>
      <c r="N63" s="99"/>
    </row>
    <row r="64" spans="1:14">
      <c r="A64" s="206">
        <f t="shared" si="1"/>
        <v>53</v>
      </c>
      <c r="B64" s="238" t="s">
        <v>266</v>
      </c>
      <c r="C64" s="102" t="str">
        <f t="shared" si="17"/>
        <v>SCHEDULE 51</v>
      </c>
      <c r="D64" s="46">
        <v>0</v>
      </c>
      <c r="E64" s="225">
        <f>'Tariff Summary Lights'!F35</f>
        <v>3.96</v>
      </c>
      <c r="G64" s="116">
        <f t="shared" si="19"/>
        <v>0</v>
      </c>
      <c r="H64" s="225">
        <v>3.49</v>
      </c>
      <c r="J64" s="116">
        <f t="shared" si="20"/>
        <v>0</v>
      </c>
      <c r="K64" s="102"/>
      <c r="N64" s="99"/>
    </row>
    <row r="65" spans="1:14">
      <c r="A65" s="206">
        <f t="shared" si="1"/>
        <v>54</v>
      </c>
      <c r="B65" s="238" t="s">
        <v>229</v>
      </c>
      <c r="C65" s="102" t="str">
        <f t="shared" si="17"/>
        <v>SCHEDULE 51</v>
      </c>
      <c r="D65" s="46">
        <v>0</v>
      </c>
      <c r="E65" s="225">
        <f>'Tariff Summary Lights'!F36</f>
        <v>4.13</v>
      </c>
      <c r="G65" s="116">
        <f t="shared" si="19"/>
        <v>0</v>
      </c>
      <c r="H65" s="225">
        <v>3.49</v>
      </c>
      <c r="J65" s="116">
        <f t="shared" si="20"/>
        <v>0</v>
      </c>
      <c r="K65" s="102"/>
      <c r="N65" s="99"/>
    </row>
    <row r="66" spans="1:14">
      <c r="A66" s="206">
        <f t="shared" si="1"/>
        <v>55</v>
      </c>
      <c r="B66" s="238" t="s">
        <v>230</v>
      </c>
      <c r="C66" s="102" t="str">
        <f t="shared" si="17"/>
        <v>SCHEDULE 51</v>
      </c>
      <c r="D66" s="46">
        <v>0</v>
      </c>
      <c r="E66" s="225">
        <f>'Tariff Summary Lights'!F37</f>
        <v>4.3100000000000005</v>
      </c>
      <c r="G66" s="116">
        <f t="shared" si="19"/>
        <v>0</v>
      </c>
      <c r="H66" s="225">
        <v>4.49</v>
      </c>
      <c r="J66" s="116">
        <f t="shared" si="20"/>
        <v>0</v>
      </c>
      <c r="K66" s="102"/>
      <c r="N66" s="99"/>
    </row>
    <row r="67" spans="1:14">
      <c r="A67" s="206">
        <f t="shared" si="1"/>
        <v>56</v>
      </c>
      <c r="B67" s="238" t="s">
        <v>231</v>
      </c>
      <c r="C67" s="102" t="str">
        <f t="shared" si="17"/>
        <v>SCHEDULE 51</v>
      </c>
      <c r="D67" s="46">
        <v>26</v>
      </c>
      <c r="E67" s="225">
        <f>'Tariff Summary Lights'!F38</f>
        <v>4.49</v>
      </c>
      <c r="G67" s="116">
        <f t="shared" si="19"/>
        <v>1401</v>
      </c>
      <c r="H67" s="225">
        <v>4.49</v>
      </c>
      <c r="J67" s="116">
        <f t="shared" si="20"/>
        <v>1401</v>
      </c>
      <c r="K67" s="102"/>
      <c r="N67" s="99"/>
    </row>
    <row r="68" spans="1:14">
      <c r="A68" s="206">
        <f t="shared" si="1"/>
        <v>57</v>
      </c>
      <c r="B68" s="238" t="s">
        <v>232</v>
      </c>
      <c r="C68" s="102" t="str">
        <f t="shared" si="17"/>
        <v>SCHEDULE 51</v>
      </c>
      <c r="D68" s="46">
        <v>4</v>
      </c>
      <c r="E68" s="225">
        <f>'Tariff Summary Lights'!F39</f>
        <v>4.6599999999999993</v>
      </c>
      <c r="G68" s="116">
        <f t="shared" si="19"/>
        <v>224</v>
      </c>
      <c r="H68" s="225">
        <v>4.49</v>
      </c>
      <c r="J68" s="116">
        <f t="shared" si="20"/>
        <v>216</v>
      </c>
      <c r="K68" s="102"/>
      <c r="N68" s="99"/>
    </row>
    <row r="69" spans="1:14">
      <c r="A69" s="206">
        <f t="shared" si="1"/>
        <v>58</v>
      </c>
      <c r="B69" s="238" t="s">
        <v>233</v>
      </c>
      <c r="C69" s="102" t="str">
        <f t="shared" si="17"/>
        <v>SCHEDULE 51</v>
      </c>
      <c r="D69" s="46">
        <v>31</v>
      </c>
      <c r="E69" s="225">
        <f>'Tariff Summary Lights'!F40</f>
        <v>4.84</v>
      </c>
      <c r="G69" s="116">
        <f t="shared" si="19"/>
        <v>1800</v>
      </c>
      <c r="H69" s="225">
        <v>4.49</v>
      </c>
      <c r="J69" s="116">
        <f t="shared" si="20"/>
        <v>1670</v>
      </c>
      <c r="K69" s="102"/>
      <c r="N69" s="99"/>
    </row>
    <row r="70" spans="1:14">
      <c r="A70" s="206">
        <f t="shared" si="1"/>
        <v>59</v>
      </c>
      <c r="B70" s="238" t="s">
        <v>234</v>
      </c>
      <c r="C70" s="102" t="str">
        <f t="shared" si="17"/>
        <v>SCHEDULE 51</v>
      </c>
      <c r="D70" s="46">
        <v>0</v>
      </c>
      <c r="E70" s="225">
        <f>'Tariff Summary Lights'!F41</f>
        <v>5.01</v>
      </c>
      <c r="G70" s="116">
        <f t="shared" si="19"/>
        <v>0</v>
      </c>
      <c r="H70" s="225">
        <v>4.49</v>
      </c>
      <c r="J70" s="116">
        <f t="shared" si="20"/>
        <v>0</v>
      </c>
      <c r="K70" s="102"/>
      <c r="N70" s="99"/>
    </row>
    <row r="71" spans="1:14">
      <c r="A71" s="206">
        <f t="shared" si="1"/>
        <v>60</v>
      </c>
      <c r="B71" s="238" t="s">
        <v>235</v>
      </c>
      <c r="C71" s="102" t="str">
        <f t="shared" si="17"/>
        <v>SCHEDULE 51</v>
      </c>
      <c r="D71" s="46">
        <v>37</v>
      </c>
      <c r="E71" s="225">
        <f>'Tariff Summary Lights'!F42</f>
        <v>5.1899999999999995</v>
      </c>
      <c r="G71" s="116">
        <f t="shared" si="19"/>
        <v>2304</v>
      </c>
      <c r="H71" s="225">
        <v>4.49</v>
      </c>
      <c r="J71" s="116">
        <f t="shared" si="20"/>
        <v>1994</v>
      </c>
      <c r="K71" s="102"/>
      <c r="N71" s="99"/>
    </row>
    <row r="72" spans="1:14">
      <c r="A72" s="206">
        <f t="shared" si="1"/>
        <v>61</v>
      </c>
      <c r="B72" s="238" t="s">
        <v>236</v>
      </c>
      <c r="C72" s="102" t="str">
        <f t="shared" si="17"/>
        <v>SCHEDULE 51</v>
      </c>
      <c r="D72" s="46">
        <v>1</v>
      </c>
      <c r="E72" s="225">
        <f>'Tariff Summary Lights'!F43</f>
        <v>5.36</v>
      </c>
      <c r="G72" s="116">
        <f t="shared" si="19"/>
        <v>64</v>
      </c>
      <c r="H72" s="225">
        <v>5.49</v>
      </c>
      <c r="J72" s="116">
        <f t="shared" si="20"/>
        <v>66</v>
      </c>
      <c r="K72" s="102"/>
      <c r="N72" s="99"/>
    </row>
    <row r="73" spans="1:14">
      <c r="A73" s="206">
        <f t="shared" si="1"/>
        <v>62</v>
      </c>
      <c r="B73" s="238" t="s">
        <v>237</v>
      </c>
      <c r="C73" s="102" t="str">
        <f t="shared" si="17"/>
        <v>SCHEDULE 51</v>
      </c>
      <c r="D73" s="46">
        <v>10</v>
      </c>
      <c r="E73" s="225">
        <f>'Tariff Summary Lights'!F44</f>
        <v>5.54</v>
      </c>
      <c r="G73" s="116">
        <f t="shared" si="19"/>
        <v>665</v>
      </c>
      <c r="H73" s="225">
        <v>5.49</v>
      </c>
      <c r="J73" s="116">
        <f t="shared" si="20"/>
        <v>659</v>
      </c>
      <c r="K73" s="102"/>
      <c r="N73" s="99"/>
    </row>
    <row r="74" spans="1:14">
      <c r="A74" s="206">
        <f t="shared" si="1"/>
        <v>63</v>
      </c>
      <c r="B74" s="238" t="s">
        <v>238</v>
      </c>
      <c r="C74" s="102" t="str">
        <f t="shared" si="17"/>
        <v>SCHEDULE 51</v>
      </c>
      <c r="D74" s="46">
        <v>0</v>
      </c>
      <c r="E74" s="225">
        <f>'Tariff Summary Lights'!F45</f>
        <v>5.7200000000000006</v>
      </c>
      <c r="G74" s="116">
        <f t="shared" si="19"/>
        <v>0</v>
      </c>
      <c r="H74" s="225">
        <v>5.49</v>
      </c>
      <c r="J74" s="116">
        <f t="shared" si="20"/>
        <v>0</v>
      </c>
      <c r="K74" s="102"/>
      <c r="N74" s="99"/>
    </row>
    <row r="75" spans="1:14">
      <c r="A75" s="206">
        <f t="shared" si="1"/>
        <v>64</v>
      </c>
      <c r="B75" s="238" t="s">
        <v>239</v>
      </c>
      <c r="C75" s="102" t="str">
        <f t="shared" si="17"/>
        <v>SCHEDULE 51</v>
      </c>
      <c r="D75" s="46">
        <v>4</v>
      </c>
      <c r="E75" s="225">
        <f>'Tariff Summary Lights'!F46</f>
        <v>5.9</v>
      </c>
      <c r="G75" s="116">
        <f t="shared" si="19"/>
        <v>283</v>
      </c>
      <c r="H75" s="225">
        <v>5.49</v>
      </c>
      <c r="J75" s="116">
        <f t="shared" si="20"/>
        <v>264</v>
      </c>
      <c r="K75" s="102"/>
      <c r="N75" s="99"/>
    </row>
    <row r="76" spans="1:14">
      <c r="A76" s="206">
        <f t="shared" si="1"/>
        <v>65</v>
      </c>
      <c r="B76" s="238" t="s">
        <v>240</v>
      </c>
      <c r="C76" s="102" t="str">
        <f t="shared" si="17"/>
        <v>SCHEDULE 51</v>
      </c>
      <c r="D76" s="46">
        <v>0</v>
      </c>
      <c r="E76" s="225">
        <f>'Tariff Summary Lights'!F47</f>
        <v>6.0699999999999994</v>
      </c>
      <c r="G76" s="116">
        <f t="shared" si="19"/>
        <v>0</v>
      </c>
      <c r="H76" s="225">
        <v>5.49</v>
      </c>
      <c r="J76" s="116">
        <f t="shared" si="20"/>
        <v>0</v>
      </c>
      <c r="K76" s="102"/>
      <c r="N76" s="99"/>
    </row>
    <row r="77" spans="1:14">
      <c r="A77" s="206">
        <f t="shared" si="1"/>
        <v>66</v>
      </c>
      <c r="B77" s="238" t="s">
        <v>241</v>
      </c>
      <c r="C77" s="102" t="str">
        <f t="shared" si="17"/>
        <v>SCHEDULE 51</v>
      </c>
      <c r="D77" s="46">
        <v>1</v>
      </c>
      <c r="E77" s="225">
        <f>'Tariff Summary Lights'!F48</f>
        <v>6.25</v>
      </c>
      <c r="G77" s="116">
        <f t="shared" si="19"/>
        <v>75</v>
      </c>
      <c r="H77" s="225">
        <v>5.49</v>
      </c>
      <c r="J77" s="116">
        <f t="shared" si="20"/>
        <v>66</v>
      </c>
      <c r="K77" s="102"/>
      <c r="N77" s="99"/>
    </row>
    <row r="78" spans="1:14">
      <c r="A78" s="206">
        <f t="shared" ref="A78:A141" si="21">A77+1</f>
        <v>67</v>
      </c>
      <c r="B78" s="238" t="s">
        <v>242</v>
      </c>
      <c r="C78" s="102" t="str">
        <f t="shared" si="17"/>
        <v>SCHEDULE 51</v>
      </c>
      <c r="D78" s="46">
        <v>0</v>
      </c>
      <c r="E78" s="225">
        <f>'Tariff Summary Lights'!F49</f>
        <v>6.42</v>
      </c>
      <c r="G78" s="116">
        <f t="shared" si="19"/>
        <v>0</v>
      </c>
      <c r="H78" s="225">
        <v>6.49</v>
      </c>
      <c r="J78" s="116">
        <f t="shared" si="20"/>
        <v>0</v>
      </c>
      <c r="K78" s="102"/>
      <c r="N78" s="99"/>
    </row>
    <row r="79" spans="1:14">
      <c r="A79" s="206">
        <f t="shared" si="21"/>
        <v>68</v>
      </c>
      <c r="B79" s="238" t="s">
        <v>243</v>
      </c>
      <c r="C79" s="102" t="str">
        <f t="shared" si="17"/>
        <v>SCHEDULE 51</v>
      </c>
      <c r="D79" s="46">
        <v>0</v>
      </c>
      <c r="E79" s="225">
        <f>'Tariff Summary Lights'!F50</f>
        <v>6.59</v>
      </c>
      <c r="G79" s="116">
        <f t="shared" si="19"/>
        <v>0</v>
      </c>
      <c r="H79" s="225">
        <v>6.49</v>
      </c>
      <c r="J79" s="116">
        <f t="shared" si="20"/>
        <v>0</v>
      </c>
      <c r="K79" s="102"/>
      <c r="N79" s="99"/>
    </row>
    <row r="80" spans="1:14">
      <c r="A80" s="206">
        <f t="shared" si="21"/>
        <v>69</v>
      </c>
      <c r="B80" s="238" t="s">
        <v>244</v>
      </c>
      <c r="C80" s="102" t="str">
        <f t="shared" si="17"/>
        <v>SCHEDULE 51</v>
      </c>
      <c r="D80" s="46">
        <v>0</v>
      </c>
      <c r="E80" s="225">
        <f>'Tariff Summary Lights'!F51</f>
        <v>6.7700000000000005</v>
      </c>
      <c r="G80" s="116">
        <f t="shared" si="19"/>
        <v>0</v>
      </c>
      <c r="H80" s="225">
        <v>6.49</v>
      </c>
      <c r="J80" s="116">
        <f t="shared" si="20"/>
        <v>0</v>
      </c>
      <c r="K80" s="102"/>
      <c r="N80" s="99"/>
    </row>
    <row r="81" spans="1:14">
      <c r="A81" s="206">
        <f t="shared" si="21"/>
        <v>70</v>
      </c>
      <c r="B81" s="238" t="s">
        <v>245</v>
      </c>
      <c r="C81" s="102" t="str">
        <f t="shared" si="17"/>
        <v>SCHEDULE 51</v>
      </c>
      <c r="D81" s="46">
        <v>75</v>
      </c>
      <c r="E81" s="225">
        <f>'Tariff Summary Lights'!F52</f>
        <v>6.95</v>
      </c>
      <c r="G81" s="116">
        <f t="shared" si="19"/>
        <v>6255</v>
      </c>
      <c r="H81" s="225">
        <v>6.49</v>
      </c>
      <c r="J81" s="116">
        <f t="shared" si="20"/>
        <v>5841</v>
      </c>
      <c r="K81" s="102"/>
      <c r="N81" s="99"/>
    </row>
    <row r="82" spans="1:14">
      <c r="A82" s="206">
        <f t="shared" si="21"/>
        <v>71</v>
      </c>
      <c r="B82" s="238" t="s">
        <v>246</v>
      </c>
      <c r="C82" s="102" t="str">
        <f t="shared" si="17"/>
        <v>SCHEDULE 51</v>
      </c>
      <c r="D82" s="46">
        <v>17</v>
      </c>
      <c r="E82" s="225">
        <f>'Tariff Summary Lights'!F53</f>
        <v>7.13</v>
      </c>
      <c r="G82" s="116">
        <f t="shared" si="19"/>
        <v>1455</v>
      </c>
      <c r="H82" s="225">
        <v>6.49</v>
      </c>
      <c r="J82" s="116">
        <f t="shared" si="20"/>
        <v>1324</v>
      </c>
      <c r="K82" s="102"/>
      <c r="N82" s="99"/>
    </row>
    <row r="83" spans="1:14">
      <c r="A83" s="206">
        <f t="shared" si="21"/>
        <v>72</v>
      </c>
      <c r="B83" s="238" t="s">
        <v>247</v>
      </c>
      <c r="C83" s="102" t="str">
        <f t="shared" si="17"/>
        <v>SCHEDULE 51</v>
      </c>
      <c r="D83" s="46">
        <v>6</v>
      </c>
      <c r="E83" s="225">
        <f>'Tariff Summary Lights'!F54</f>
        <v>7.3</v>
      </c>
      <c r="G83" s="116">
        <f t="shared" si="19"/>
        <v>526</v>
      </c>
      <c r="H83" s="225">
        <v>6.49</v>
      </c>
      <c r="J83" s="116">
        <f t="shared" si="20"/>
        <v>467</v>
      </c>
      <c r="K83" s="102"/>
      <c r="N83" s="99"/>
    </row>
    <row r="84" spans="1:14">
      <c r="A84" s="206">
        <f t="shared" si="21"/>
        <v>73</v>
      </c>
      <c r="B84" s="238" t="s">
        <v>248</v>
      </c>
      <c r="C84" s="102" t="str">
        <f t="shared" si="17"/>
        <v>SCHEDULE 51</v>
      </c>
      <c r="D84" s="46">
        <v>0</v>
      </c>
      <c r="E84" s="225">
        <f>'Tariff Summary Lights'!F55</f>
        <v>7.4799999999999995</v>
      </c>
      <c r="G84" s="116">
        <f t="shared" si="19"/>
        <v>0</v>
      </c>
      <c r="H84" s="225">
        <v>7.48</v>
      </c>
      <c r="J84" s="116">
        <f t="shared" si="20"/>
        <v>0</v>
      </c>
      <c r="K84" s="102"/>
      <c r="N84" s="99"/>
    </row>
    <row r="85" spans="1:14">
      <c r="A85" s="206">
        <f t="shared" si="21"/>
        <v>74</v>
      </c>
      <c r="B85" s="238" t="s">
        <v>249</v>
      </c>
      <c r="C85" s="102" t="str">
        <f t="shared" si="17"/>
        <v>SCHEDULE 51</v>
      </c>
      <c r="D85" s="46">
        <v>0</v>
      </c>
      <c r="E85" s="225">
        <f>'Tariff Summary Lights'!F56</f>
        <v>7.6499999999999995</v>
      </c>
      <c r="G85" s="116">
        <f t="shared" si="19"/>
        <v>0</v>
      </c>
      <c r="H85" s="225">
        <v>7.48</v>
      </c>
      <c r="J85" s="116">
        <f t="shared" si="20"/>
        <v>0</v>
      </c>
      <c r="K85" s="102"/>
      <c r="N85" s="99"/>
    </row>
    <row r="86" spans="1:14">
      <c r="A86" s="206">
        <f t="shared" si="21"/>
        <v>75</v>
      </c>
      <c r="B86" s="238" t="s">
        <v>250</v>
      </c>
      <c r="C86" s="102" t="str">
        <f t="shared" si="17"/>
        <v>SCHEDULE 51</v>
      </c>
      <c r="D86" s="46">
        <v>0</v>
      </c>
      <c r="E86" s="225">
        <f>'Tariff Summary Lights'!F57</f>
        <v>7.83</v>
      </c>
      <c r="G86" s="116">
        <f t="shared" si="19"/>
        <v>0</v>
      </c>
      <c r="H86" s="225">
        <v>7.48</v>
      </c>
      <c r="J86" s="116">
        <f t="shared" si="20"/>
        <v>0</v>
      </c>
      <c r="K86" s="102"/>
      <c r="N86" s="99"/>
    </row>
    <row r="87" spans="1:14">
      <c r="A87" s="206">
        <f t="shared" si="21"/>
        <v>76</v>
      </c>
      <c r="B87" s="238" t="s">
        <v>251</v>
      </c>
      <c r="C87" s="102" t="str">
        <f t="shared" si="17"/>
        <v>SCHEDULE 51</v>
      </c>
      <c r="D87" s="46">
        <v>0</v>
      </c>
      <c r="E87" s="225">
        <f>'Tariff Summary Lights'!F58</f>
        <v>8</v>
      </c>
      <c r="G87" s="116">
        <f t="shared" si="19"/>
        <v>0</v>
      </c>
      <c r="H87" s="225">
        <v>7.48</v>
      </c>
      <c r="J87" s="116">
        <f t="shared" si="20"/>
        <v>0</v>
      </c>
      <c r="K87" s="102"/>
      <c r="N87" s="99"/>
    </row>
    <row r="88" spans="1:14">
      <c r="A88" s="206">
        <f t="shared" si="21"/>
        <v>77</v>
      </c>
      <c r="B88" s="238" t="s">
        <v>252</v>
      </c>
      <c r="C88" s="102" t="str">
        <f t="shared" si="17"/>
        <v>SCHEDULE 51</v>
      </c>
      <c r="D88" s="46">
        <v>0</v>
      </c>
      <c r="E88" s="225">
        <f>'Tariff Summary Lights'!F59</f>
        <v>8.19</v>
      </c>
      <c r="G88" s="116">
        <f t="shared" si="19"/>
        <v>0</v>
      </c>
      <c r="H88" s="225">
        <v>7.48</v>
      </c>
      <c r="J88" s="116">
        <f t="shared" si="20"/>
        <v>0</v>
      </c>
      <c r="K88" s="102"/>
      <c r="N88" s="99"/>
    </row>
    <row r="89" spans="1:14">
      <c r="A89" s="206">
        <f t="shared" si="21"/>
        <v>78</v>
      </c>
      <c r="B89" s="238" t="s">
        <v>253</v>
      </c>
      <c r="C89" s="102" t="str">
        <f t="shared" si="17"/>
        <v>SCHEDULE 51</v>
      </c>
      <c r="D89" s="46">
        <v>0</v>
      </c>
      <c r="E89" s="225">
        <f>'Tariff Summary Lights'!F60</f>
        <v>8.36</v>
      </c>
      <c r="G89" s="116">
        <f t="shared" si="19"/>
        <v>0</v>
      </c>
      <c r="H89" s="225">
        <v>7.48</v>
      </c>
      <c r="J89" s="116">
        <f t="shared" si="20"/>
        <v>0</v>
      </c>
      <c r="K89" s="102"/>
      <c r="N89" s="99"/>
    </row>
    <row r="90" spans="1:14">
      <c r="A90" s="206">
        <f t="shared" si="21"/>
        <v>79</v>
      </c>
      <c r="B90" s="238" t="s">
        <v>254</v>
      </c>
      <c r="C90" s="102" t="str">
        <f t="shared" si="17"/>
        <v>SCHEDULE 51</v>
      </c>
      <c r="D90" s="46">
        <v>0</v>
      </c>
      <c r="E90" s="225">
        <f>'Tariff Summary Lights'!F61</f>
        <v>8.5300000000000011</v>
      </c>
      <c r="G90" s="116">
        <f t="shared" si="19"/>
        <v>0</v>
      </c>
      <c r="H90" s="225">
        <v>8.48</v>
      </c>
      <c r="J90" s="116">
        <f t="shared" si="20"/>
        <v>0</v>
      </c>
      <c r="K90" s="102"/>
      <c r="N90" s="99"/>
    </row>
    <row r="91" spans="1:14">
      <c r="A91" s="206">
        <f t="shared" si="21"/>
        <v>80</v>
      </c>
      <c r="B91" s="238" t="s">
        <v>255</v>
      </c>
      <c r="C91" s="102" t="str">
        <f t="shared" si="17"/>
        <v>SCHEDULE 51</v>
      </c>
      <c r="D91" s="46">
        <v>0</v>
      </c>
      <c r="E91" s="225">
        <f>'Tariff Summary Lights'!F62</f>
        <v>8.7100000000000009</v>
      </c>
      <c r="G91" s="116">
        <f t="shared" si="19"/>
        <v>0</v>
      </c>
      <c r="H91" s="225">
        <v>8.48</v>
      </c>
      <c r="J91" s="116">
        <f t="shared" si="20"/>
        <v>0</v>
      </c>
      <c r="K91" s="102"/>
      <c r="N91" s="99"/>
    </row>
    <row r="92" spans="1:14">
      <c r="A92" s="206">
        <f t="shared" si="21"/>
        <v>81</v>
      </c>
      <c r="B92" s="238" t="s">
        <v>256</v>
      </c>
      <c r="C92" s="102" t="str">
        <f t="shared" si="17"/>
        <v>SCHEDULE 51</v>
      </c>
      <c r="D92" s="46">
        <v>0</v>
      </c>
      <c r="E92" s="225">
        <f>'Tariff Summary Lights'!F63</f>
        <v>8.8800000000000008</v>
      </c>
      <c r="G92" s="116">
        <f t="shared" si="19"/>
        <v>0</v>
      </c>
      <c r="H92" s="225">
        <v>8.48</v>
      </c>
      <c r="J92" s="116">
        <f t="shared" si="20"/>
        <v>0</v>
      </c>
      <c r="K92" s="102"/>
      <c r="N92" s="99"/>
    </row>
    <row r="93" spans="1:14">
      <c r="A93" s="206">
        <f t="shared" si="21"/>
        <v>82</v>
      </c>
      <c r="B93" s="238" t="s">
        <v>257</v>
      </c>
      <c r="C93" s="102" t="str">
        <f t="shared" si="17"/>
        <v>SCHEDULE 51</v>
      </c>
      <c r="D93" s="46">
        <v>21</v>
      </c>
      <c r="E93" s="225">
        <f>'Tariff Summary Lights'!F64</f>
        <v>9.06</v>
      </c>
      <c r="G93" s="116">
        <f t="shared" si="19"/>
        <v>2283</v>
      </c>
      <c r="H93" s="225">
        <v>8.48</v>
      </c>
      <c r="J93" s="116">
        <f t="shared" si="20"/>
        <v>2137</v>
      </c>
      <c r="K93" s="102"/>
      <c r="N93" s="99"/>
    </row>
    <row r="94" spans="1:14">
      <c r="A94" s="206">
        <f t="shared" si="21"/>
        <v>83</v>
      </c>
      <c r="B94" s="238" t="s">
        <v>258</v>
      </c>
      <c r="C94" s="102" t="str">
        <f t="shared" si="17"/>
        <v>SCHEDULE 51</v>
      </c>
      <c r="D94" s="46">
        <v>0</v>
      </c>
      <c r="E94" s="225">
        <f>'Tariff Summary Lights'!F65</f>
        <v>9.23</v>
      </c>
      <c r="G94" s="116">
        <f t="shared" si="19"/>
        <v>0</v>
      </c>
      <c r="H94" s="225">
        <v>8.48</v>
      </c>
      <c r="J94" s="116">
        <f t="shared" si="20"/>
        <v>0</v>
      </c>
      <c r="K94" s="102"/>
      <c r="N94" s="99"/>
    </row>
    <row r="95" spans="1:14">
      <c r="A95" s="206">
        <f t="shared" si="21"/>
        <v>84</v>
      </c>
      <c r="B95" s="238" t="s">
        <v>259</v>
      </c>
      <c r="C95" s="102" t="str">
        <f t="shared" si="17"/>
        <v>SCHEDULE 51</v>
      </c>
      <c r="D95" s="46">
        <v>0</v>
      </c>
      <c r="E95" s="225">
        <f>'Tariff Summary Lights'!F66</f>
        <v>9.4200000000000017</v>
      </c>
      <c r="G95" s="116">
        <f t="shared" si="19"/>
        <v>0</v>
      </c>
      <c r="H95" s="225">
        <v>8.48</v>
      </c>
      <c r="J95" s="116">
        <f t="shared" si="20"/>
        <v>0</v>
      </c>
      <c r="K95" s="102"/>
      <c r="N95" s="99"/>
    </row>
    <row r="96" spans="1:14">
      <c r="A96" s="206">
        <f t="shared" si="21"/>
        <v>85</v>
      </c>
      <c r="B96" s="238" t="s">
        <v>260</v>
      </c>
      <c r="C96" s="102" t="str">
        <f t="shared" si="17"/>
        <v>SCHEDULE 51</v>
      </c>
      <c r="D96" s="46">
        <v>0</v>
      </c>
      <c r="E96" s="225">
        <f>'Tariff Summary Lights'!F67</f>
        <v>9.59</v>
      </c>
      <c r="G96" s="116">
        <f t="shared" si="19"/>
        <v>0</v>
      </c>
      <c r="H96" s="225">
        <v>9.48</v>
      </c>
      <c r="J96" s="116">
        <f t="shared" si="20"/>
        <v>0</v>
      </c>
      <c r="K96" s="102"/>
      <c r="N96" s="99"/>
    </row>
    <row r="97" spans="1:14">
      <c r="A97" s="206">
        <f t="shared" si="21"/>
        <v>86</v>
      </c>
      <c r="B97" s="238" t="s">
        <v>261</v>
      </c>
      <c r="C97" s="102" t="str">
        <f t="shared" si="17"/>
        <v>SCHEDULE 51</v>
      </c>
      <c r="D97" s="46">
        <v>0</v>
      </c>
      <c r="E97" s="225">
        <f>'Tariff Summary Lights'!F68</f>
        <v>9.77</v>
      </c>
      <c r="G97" s="116">
        <f t="shared" si="19"/>
        <v>0</v>
      </c>
      <c r="H97" s="225">
        <v>9.48</v>
      </c>
      <c r="J97" s="116">
        <f t="shared" si="20"/>
        <v>0</v>
      </c>
      <c r="K97" s="102"/>
      <c r="N97" s="99"/>
    </row>
    <row r="98" spans="1:14">
      <c r="A98" s="206">
        <f t="shared" si="21"/>
        <v>87</v>
      </c>
      <c r="B98" s="238" t="s">
        <v>262</v>
      </c>
      <c r="C98" s="102" t="str">
        <f t="shared" si="17"/>
        <v>SCHEDULE 51</v>
      </c>
      <c r="D98" s="46">
        <v>17</v>
      </c>
      <c r="E98" s="225">
        <f>'Tariff Summary Lights'!F69</f>
        <v>9.94</v>
      </c>
      <c r="G98" s="116">
        <f t="shared" si="19"/>
        <v>2028</v>
      </c>
      <c r="H98" s="225">
        <v>9.48</v>
      </c>
      <c r="J98" s="116">
        <f t="shared" si="20"/>
        <v>1934</v>
      </c>
      <c r="K98" s="102"/>
      <c r="N98" s="99"/>
    </row>
    <row r="99" spans="1:14">
      <c r="A99" s="206">
        <f t="shared" si="21"/>
        <v>88</v>
      </c>
      <c r="B99" s="238" t="s">
        <v>263</v>
      </c>
      <c r="C99" s="102" t="str">
        <f t="shared" si="17"/>
        <v>SCHEDULE 51</v>
      </c>
      <c r="D99" s="46">
        <v>0</v>
      </c>
      <c r="E99" s="225">
        <f>'Tariff Summary Lights'!F70</f>
        <v>10.119999999999999</v>
      </c>
      <c r="G99" s="116">
        <f t="shared" si="19"/>
        <v>0</v>
      </c>
      <c r="H99" s="225">
        <v>9.48</v>
      </c>
      <c r="J99" s="116">
        <f t="shared" si="20"/>
        <v>0</v>
      </c>
      <c r="K99" s="102"/>
      <c r="N99" s="99"/>
    </row>
    <row r="100" spans="1:14">
      <c r="A100" s="206">
        <f t="shared" si="21"/>
        <v>89</v>
      </c>
      <c r="B100" s="238" t="s">
        <v>264</v>
      </c>
      <c r="C100" s="102" t="str">
        <f t="shared" si="17"/>
        <v>SCHEDULE 51</v>
      </c>
      <c r="D100" s="46">
        <v>0</v>
      </c>
      <c r="E100" s="225">
        <f>'Tariff Summary Lights'!F71</f>
        <v>10.29</v>
      </c>
      <c r="G100" s="116">
        <f t="shared" si="19"/>
        <v>0</v>
      </c>
      <c r="H100" s="225">
        <v>9.48</v>
      </c>
      <c r="J100" s="116">
        <f t="shared" si="20"/>
        <v>0</v>
      </c>
      <c r="K100" s="116"/>
      <c r="N100" s="99"/>
    </row>
    <row r="101" spans="1:14">
      <c r="A101" s="206">
        <f t="shared" si="21"/>
        <v>90</v>
      </c>
      <c r="B101" s="238" t="s">
        <v>265</v>
      </c>
      <c r="C101" s="102" t="str">
        <f t="shared" si="17"/>
        <v>SCHEDULE 51</v>
      </c>
      <c r="D101" s="46">
        <v>0</v>
      </c>
      <c r="E101" s="225">
        <f>'Tariff Summary Lights'!F72</f>
        <v>10.459999999999999</v>
      </c>
      <c r="G101" s="116">
        <f t="shared" si="19"/>
        <v>0</v>
      </c>
      <c r="H101" s="225">
        <v>9.48</v>
      </c>
      <c r="J101" s="116">
        <f t="shared" si="20"/>
        <v>0</v>
      </c>
      <c r="K101" s="116"/>
      <c r="N101" s="99"/>
    </row>
    <row r="102" spans="1:14">
      <c r="A102" s="206">
        <f t="shared" si="21"/>
        <v>91</v>
      </c>
      <c r="B102" s="102"/>
      <c r="C102" s="102"/>
      <c r="D102" s="105"/>
      <c r="E102" s="239"/>
      <c r="F102" s="102"/>
      <c r="G102" s="116"/>
      <c r="H102" s="239"/>
      <c r="I102" s="102"/>
      <c r="J102" s="116"/>
      <c r="K102" s="116"/>
    </row>
    <row r="103" spans="1:14">
      <c r="A103" s="206">
        <f t="shared" si="21"/>
        <v>92</v>
      </c>
      <c r="B103" s="238" t="s">
        <v>267</v>
      </c>
      <c r="C103" s="102" t="str">
        <f t="shared" ref="C103:C104" si="22">$B$46</f>
        <v>SCHEDULE 51</v>
      </c>
      <c r="D103" s="116">
        <v>0</v>
      </c>
      <c r="E103" s="240">
        <f>'Tariff Summary Lights'!F16</f>
        <v>1.4670000000000001E-2</v>
      </c>
      <c r="F103" s="232"/>
      <c r="G103" s="116">
        <f t="shared" si="19"/>
        <v>0</v>
      </c>
      <c r="H103" s="240">
        <v>1.5568301436960301E-2</v>
      </c>
      <c r="I103" s="232"/>
      <c r="J103" s="116">
        <f>ROUND(D103*H103*12,0)</f>
        <v>0</v>
      </c>
      <c r="K103" s="116"/>
    </row>
    <row r="104" spans="1:14">
      <c r="A104" s="206">
        <f t="shared" si="21"/>
        <v>93</v>
      </c>
      <c r="B104" s="238" t="s">
        <v>268</v>
      </c>
      <c r="C104" s="102" t="str">
        <f t="shared" si="22"/>
        <v>SCHEDULE 51</v>
      </c>
      <c r="D104" s="116">
        <v>4187059</v>
      </c>
      <c r="E104" s="240">
        <f>'Tariff Summary Lights'!F17</f>
        <v>1.72E-3</v>
      </c>
      <c r="F104" s="232"/>
      <c r="G104" s="116">
        <f t="shared" si="19"/>
        <v>86421</v>
      </c>
      <c r="H104" s="240">
        <v>2.3191009029893696E-3</v>
      </c>
      <c r="I104" s="232"/>
      <c r="J104" s="116">
        <f>ROUND(D104*H104*12,0)</f>
        <v>116523</v>
      </c>
      <c r="K104" s="116"/>
    </row>
    <row r="105" spans="1:14">
      <c r="A105" s="206">
        <f t="shared" si="21"/>
        <v>94</v>
      </c>
      <c r="B105" s="238"/>
      <c r="C105" s="102"/>
      <c r="D105" s="116"/>
      <c r="E105" s="171"/>
      <c r="F105" s="232"/>
      <c r="G105" s="116"/>
      <c r="H105" s="171"/>
      <c r="I105" s="232"/>
      <c r="J105" s="116"/>
      <c r="K105" s="116"/>
    </row>
    <row r="106" spans="1:14">
      <c r="A106" s="206">
        <f t="shared" si="21"/>
        <v>95</v>
      </c>
      <c r="B106" s="228" t="s">
        <v>26</v>
      </c>
      <c r="C106" s="102" t="str">
        <f>$B$46</f>
        <v>SCHEDULE 51</v>
      </c>
      <c r="D106" s="241">
        <f>SUM(D48:D101)</f>
        <v>1241</v>
      </c>
      <c r="E106" s="312"/>
      <c r="G106" s="242">
        <f>SUM(G48:G104)</f>
        <v>132913</v>
      </c>
      <c r="H106" s="312"/>
      <c r="J106" s="242">
        <f>SUM(J48:J104)</f>
        <v>159703</v>
      </c>
      <c r="K106" s="116"/>
    </row>
    <row r="107" spans="1:14">
      <c r="A107" s="206">
        <f t="shared" si="21"/>
        <v>96</v>
      </c>
      <c r="B107" s="228"/>
      <c r="D107" s="105"/>
      <c r="E107" s="312"/>
      <c r="G107" s="116"/>
      <c r="H107" s="312"/>
      <c r="J107" s="116"/>
      <c r="K107" s="116"/>
    </row>
    <row r="108" spans="1:14">
      <c r="A108" s="206">
        <f t="shared" si="21"/>
        <v>97</v>
      </c>
      <c r="B108" s="207" t="s">
        <v>183</v>
      </c>
      <c r="C108" s="102" t="str">
        <f>$B$46</f>
        <v>SCHEDULE 51</v>
      </c>
      <c r="D108" s="105">
        <v>1755</v>
      </c>
      <c r="E108" s="231"/>
      <c r="F108" s="232"/>
      <c r="G108" s="116"/>
      <c r="H108" s="231"/>
      <c r="I108" s="232"/>
      <c r="J108" s="116"/>
      <c r="K108" s="116"/>
    </row>
    <row r="109" spans="1:14">
      <c r="A109" s="206">
        <f t="shared" si="21"/>
        <v>98</v>
      </c>
      <c r="B109" s="207"/>
      <c r="C109" s="102"/>
      <c r="D109" s="100"/>
      <c r="E109" s="231"/>
      <c r="F109" s="232"/>
      <c r="G109" s="116"/>
      <c r="H109" s="231"/>
      <c r="I109" s="232"/>
      <c r="J109" s="116"/>
      <c r="K109" s="116"/>
    </row>
    <row r="110" spans="1:14" s="231" customFormat="1">
      <c r="A110" s="206">
        <f t="shared" si="21"/>
        <v>99</v>
      </c>
      <c r="B110" s="45" t="s">
        <v>407</v>
      </c>
      <c r="C110" s="102" t="str">
        <f t="shared" ref="C110:C111" si="23">$B$46</f>
        <v>SCHEDULE 51</v>
      </c>
      <c r="D110" s="243">
        <v>459949.408</v>
      </c>
      <c r="F110" s="232"/>
      <c r="G110" s="116"/>
      <c r="I110" s="232"/>
      <c r="J110" s="116"/>
      <c r="K110" s="37"/>
      <c r="M110" s="233"/>
    </row>
    <row r="111" spans="1:14">
      <c r="A111" s="206">
        <f t="shared" si="21"/>
        <v>100</v>
      </c>
      <c r="B111" s="45" t="s">
        <v>408</v>
      </c>
      <c r="C111" s="102" t="str">
        <f t="shared" si="23"/>
        <v>SCHEDULE 51</v>
      </c>
      <c r="D111" s="105">
        <v>13498.850500000002</v>
      </c>
      <c r="E111" s="234">
        <f>ROUND(G111/D111,6)</f>
        <v>-0.28498699999999999</v>
      </c>
      <c r="F111" s="313"/>
      <c r="G111" s="116">
        <f>$R$14</f>
        <v>-3847</v>
      </c>
      <c r="H111" s="234">
        <f>ROUND(J111/D111,6)</f>
        <v>-0.308693</v>
      </c>
      <c r="I111" s="313"/>
      <c r="J111" s="116">
        <f>ROUND(+G111*(1+L111),0)</f>
        <v>-4167</v>
      </c>
      <c r="K111" s="313"/>
      <c r="L111" s="101">
        <f>'Rate Spread'!$I$27</f>
        <v>8.3224326412326355E-2</v>
      </c>
      <c r="M111" s="29" t="s">
        <v>847</v>
      </c>
    </row>
    <row r="112" spans="1:14" ht="16.2" thickBot="1">
      <c r="A112" s="206">
        <f t="shared" si="21"/>
        <v>101</v>
      </c>
      <c r="B112" s="212" t="s">
        <v>27</v>
      </c>
      <c r="C112" s="102" t="str">
        <f>$B$46</f>
        <v>SCHEDULE 51</v>
      </c>
      <c r="D112" s="244">
        <f>SUM(D110:D111)</f>
        <v>473448.2585</v>
      </c>
      <c r="E112" s="103"/>
      <c r="G112" s="215">
        <f>SUM(G106:G111)</f>
        <v>129066</v>
      </c>
      <c r="H112" s="103"/>
      <c r="J112" s="215">
        <f>SUM(J106:J111)</f>
        <v>155536</v>
      </c>
    </row>
    <row r="113" spans="1:11" ht="16.2" thickTop="1">
      <c r="A113" s="206">
        <f t="shared" si="21"/>
        <v>102</v>
      </c>
      <c r="B113" s="102"/>
      <c r="C113" s="102"/>
      <c r="D113" s="102"/>
      <c r="E113" s="245" t="s">
        <v>0</v>
      </c>
      <c r="F113" s="102"/>
      <c r="G113" s="102"/>
      <c r="H113" s="245" t="s">
        <v>0</v>
      </c>
      <c r="I113" s="102"/>
      <c r="J113" s="116" t="s">
        <v>0</v>
      </c>
      <c r="K113" s="116"/>
    </row>
    <row r="114" spans="1:11">
      <c r="A114" s="206">
        <f t="shared" si="21"/>
        <v>103</v>
      </c>
      <c r="B114" s="405" t="s">
        <v>409</v>
      </c>
      <c r="C114" s="405"/>
      <c r="D114" s="405"/>
      <c r="E114" s="405"/>
      <c r="F114" s="405"/>
      <c r="G114" s="405"/>
      <c r="H114" s="405"/>
      <c r="I114" s="405"/>
      <c r="J114" s="405"/>
      <c r="K114" s="102"/>
    </row>
    <row r="115" spans="1:11">
      <c r="A115" s="206">
        <f t="shared" si="21"/>
        <v>104</v>
      </c>
      <c r="B115" s="207" t="s">
        <v>410</v>
      </c>
      <c r="C115" s="102"/>
      <c r="D115" s="102"/>
      <c r="E115" s="102"/>
      <c r="F115" s="102"/>
      <c r="G115" s="102"/>
      <c r="H115" s="102"/>
      <c r="I115" s="102"/>
      <c r="J115" s="102"/>
      <c r="K115" s="102"/>
    </row>
    <row r="116" spans="1:11">
      <c r="A116" s="206">
        <f t="shared" si="21"/>
        <v>105</v>
      </c>
      <c r="B116" s="209" t="s">
        <v>411</v>
      </c>
      <c r="C116" s="102" t="str">
        <f>$B$114</f>
        <v>SCHEDULE 52</v>
      </c>
      <c r="D116" s="46">
        <v>0</v>
      </c>
      <c r="E116" s="225">
        <f>'Tariff Summary Lights'!F77</f>
        <v>2.02</v>
      </c>
      <c r="F116" s="102"/>
      <c r="G116" s="116">
        <f t="shared" ref="G116:G123" si="24">ROUND(D116*E116*12,0)</f>
        <v>0</v>
      </c>
      <c r="H116" s="225">
        <v>1.66</v>
      </c>
      <c r="I116" s="102"/>
      <c r="J116" s="116">
        <f t="shared" ref="J116:J123" si="25">ROUND(H116*$D116*12,0)</f>
        <v>0</v>
      </c>
      <c r="K116" s="102"/>
    </row>
    <row r="117" spans="1:11">
      <c r="A117" s="206">
        <f t="shared" si="21"/>
        <v>106</v>
      </c>
      <c r="B117" s="123" t="s">
        <v>412</v>
      </c>
      <c r="C117" s="102" t="str">
        <f t="shared" ref="C117:C123" si="26">$B$114</f>
        <v>SCHEDULE 52</v>
      </c>
      <c r="D117" s="46">
        <v>713</v>
      </c>
      <c r="E117" s="225">
        <f>'Tariff Summary Lights'!F78</f>
        <v>2.94</v>
      </c>
      <c r="F117" s="102"/>
      <c r="G117" s="116">
        <f t="shared" si="24"/>
        <v>25155</v>
      </c>
      <c r="H117" s="225">
        <v>2.33</v>
      </c>
      <c r="I117" s="102"/>
      <c r="J117" s="116">
        <f t="shared" si="25"/>
        <v>19935</v>
      </c>
      <c r="K117" s="102"/>
    </row>
    <row r="118" spans="1:11">
      <c r="A118" s="206">
        <f t="shared" si="21"/>
        <v>107</v>
      </c>
      <c r="B118" s="123" t="s">
        <v>413</v>
      </c>
      <c r="C118" s="102" t="str">
        <f t="shared" si="26"/>
        <v>SCHEDULE 52</v>
      </c>
      <c r="D118" s="46">
        <v>10587</v>
      </c>
      <c r="E118" s="225">
        <f>'Tariff Summary Lights'!F79</f>
        <v>4.1500000000000004</v>
      </c>
      <c r="F118" s="102"/>
      <c r="G118" s="116">
        <f t="shared" si="24"/>
        <v>527233</v>
      </c>
      <c r="H118" s="225">
        <v>3.33</v>
      </c>
      <c r="I118" s="102"/>
      <c r="J118" s="116">
        <f t="shared" si="25"/>
        <v>423057</v>
      </c>
      <c r="K118" s="102"/>
    </row>
    <row r="119" spans="1:11">
      <c r="A119" s="206">
        <f t="shared" si="21"/>
        <v>108</v>
      </c>
      <c r="B119" s="123" t="s">
        <v>414</v>
      </c>
      <c r="C119" s="102" t="str">
        <f t="shared" si="26"/>
        <v>SCHEDULE 52</v>
      </c>
      <c r="D119" s="46">
        <v>4812</v>
      </c>
      <c r="E119" s="225">
        <f>'Tariff Summary Lights'!F80</f>
        <v>6.02</v>
      </c>
      <c r="F119" s="102"/>
      <c r="G119" s="116">
        <f t="shared" si="24"/>
        <v>347619</v>
      </c>
      <c r="H119" s="225">
        <v>4.99</v>
      </c>
      <c r="I119" s="102"/>
      <c r="J119" s="116">
        <f t="shared" si="25"/>
        <v>288143</v>
      </c>
      <c r="K119" s="102"/>
    </row>
    <row r="120" spans="1:11">
      <c r="A120" s="206">
        <f t="shared" si="21"/>
        <v>109</v>
      </c>
      <c r="B120" s="123" t="s">
        <v>415</v>
      </c>
      <c r="C120" s="102" t="str">
        <f t="shared" si="26"/>
        <v>SCHEDULE 52</v>
      </c>
      <c r="D120" s="46">
        <v>1157</v>
      </c>
      <c r="E120" s="225">
        <f>'Tariff Summary Lights'!F81</f>
        <v>7.9700000000000006</v>
      </c>
      <c r="F120" s="102"/>
      <c r="G120" s="116">
        <f t="shared" si="24"/>
        <v>110655</v>
      </c>
      <c r="H120" s="225">
        <v>6.65</v>
      </c>
      <c r="I120" s="102"/>
      <c r="J120" s="116">
        <f t="shared" si="25"/>
        <v>92329</v>
      </c>
      <c r="K120" s="102"/>
    </row>
    <row r="121" spans="1:11">
      <c r="A121" s="206">
        <f t="shared" si="21"/>
        <v>110</v>
      </c>
      <c r="B121" s="123" t="s">
        <v>416</v>
      </c>
      <c r="C121" s="102" t="str">
        <f t="shared" si="26"/>
        <v>SCHEDULE 52</v>
      </c>
      <c r="D121" s="46">
        <v>1495</v>
      </c>
      <c r="E121" s="225">
        <f>'Tariff Summary Lights'!F82</f>
        <v>9.91</v>
      </c>
      <c r="F121" s="102"/>
      <c r="G121" s="116">
        <f t="shared" si="24"/>
        <v>177785</v>
      </c>
      <c r="H121" s="225">
        <v>8.32</v>
      </c>
      <c r="I121" s="102"/>
      <c r="J121" s="116">
        <f t="shared" si="25"/>
        <v>149261</v>
      </c>
      <c r="K121" s="102"/>
    </row>
    <row r="122" spans="1:11">
      <c r="A122" s="206">
        <f t="shared" si="21"/>
        <v>111</v>
      </c>
      <c r="B122" s="123" t="s">
        <v>417</v>
      </c>
      <c r="C122" s="102" t="str">
        <f t="shared" si="26"/>
        <v>SCHEDULE 52</v>
      </c>
      <c r="D122" s="46">
        <v>152</v>
      </c>
      <c r="E122" s="225">
        <f>'Tariff Summary Lights'!F83</f>
        <v>13.51</v>
      </c>
      <c r="F122" s="102"/>
      <c r="G122" s="116">
        <f t="shared" si="24"/>
        <v>24642</v>
      </c>
      <c r="H122" s="225">
        <v>10.31</v>
      </c>
      <c r="I122" s="102"/>
      <c r="J122" s="116">
        <f t="shared" si="25"/>
        <v>18805</v>
      </c>
      <c r="K122" s="102"/>
    </row>
    <row r="123" spans="1:11">
      <c r="A123" s="206">
        <f t="shared" si="21"/>
        <v>112</v>
      </c>
      <c r="B123" s="123" t="s">
        <v>418</v>
      </c>
      <c r="C123" s="102" t="str">
        <f t="shared" si="26"/>
        <v>SCHEDULE 52</v>
      </c>
      <c r="D123" s="46">
        <v>611</v>
      </c>
      <c r="E123" s="225">
        <f>'Tariff Summary Lights'!F84</f>
        <v>15.45</v>
      </c>
      <c r="F123" s="102"/>
      <c r="G123" s="116">
        <f t="shared" si="24"/>
        <v>113279</v>
      </c>
      <c r="H123" s="225">
        <v>13.31</v>
      </c>
      <c r="I123" s="102"/>
      <c r="J123" s="116">
        <f t="shared" si="25"/>
        <v>97589</v>
      </c>
      <c r="K123" s="102"/>
    </row>
    <row r="124" spans="1:11">
      <c r="A124" s="206">
        <f t="shared" si="21"/>
        <v>113</v>
      </c>
      <c r="B124" s="123"/>
      <c r="C124" s="102"/>
      <c r="D124" s="46"/>
      <c r="E124" s="225"/>
      <c r="F124" s="102"/>
      <c r="G124" s="116"/>
      <c r="H124" s="225"/>
      <c r="I124" s="102"/>
      <c r="J124" s="102"/>
      <c r="K124" s="102"/>
    </row>
    <row r="125" spans="1:11">
      <c r="A125" s="206">
        <f t="shared" si="21"/>
        <v>114</v>
      </c>
      <c r="B125" s="123" t="s">
        <v>419</v>
      </c>
      <c r="C125" s="102" t="str">
        <f t="shared" ref="C125:C131" si="27">$B$114</f>
        <v>SCHEDULE 52</v>
      </c>
      <c r="D125" s="46">
        <v>65</v>
      </c>
      <c r="E125" s="225">
        <f>'Tariff Summary Lights'!F86</f>
        <v>3.19</v>
      </c>
      <c r="F125" s="102"/>
      <c r="G125" s="116">
        <f t="shared" ref="G125:G131" si="28">ROUND(D125*E125*12,0)</f>
        <v>2488</v>
      </c>
      <c r="H125" s="225">
        <v>2.33</v>
      </c>
      <c r="I125" s="102"/>
      <c r="J125" s="116">
        <f t="shared" ref="J125:J131" si="29">ROUND(H125*$D125*12,0)</f>
        <v>1817</v>
      </c>
      <c r="K125" s="102"/>
    </row>
    <row r="126" spans="1:11">
      <c r="A126" s="206">
        <f t="shared" si="21"/>
        <v>115</v>
      </c>
      <c r="B126" s="123" t="s">
        <v>420</v>
      </c>
      <c r="C126" s="102" t="str">
        <f t="shared" si="27"/>
        <v>SCHEDULE 52</v>
      </c>
      <c r="D126" s="46">
        <v>4</v>
      </c>
      <c r="E126" s="225">
        <f>'Tariff Summary Lights'!F87</f>
        <v>4.0600000000000005</v>
      </c>
      <c r="F126" s="102"/>
      <c r="G126" s="116">
        <f t="shared" si="28"/>
        <v>195</v>
      </c>
      <c r="H126" s="225">
        <v>3.33</v>
      </c>
      <c r="I126" s="102"/>
      <c r="J126" s="116">
        <f t="shared" si="29"/>
        <v>160</v>
      </c>
      <c r="K126" s="102"/>
    </row>
    <row r="127" spans="1:11">
      <c r="A127" s="206">
        <f t="shared" si="21"/>
        <v>116</v>
      </c>
      <c r="B127" s="123" t="s">
        <v>421</v>
      </c>
      <c r="C127" s="102" t="str">
        <f t="shared" si="27"/>
        <v>SCHEDULE 52</v>
      </c>
      <c r="D127" s="46">
        <v>204</v>
      </c>
      <c r="E127" s="225">
        <f>'Tariff Summary Lights'!F88</f>
        <v>5.8500000000000005</v>
      </c>
      <c r="F127" s="102"/>
      <c r="G127" s="116">
        <f t="shared" si="28"/>
        <v>14321</v>
      </c>
      <c r="H127" s="225">
        <v>4.99</v>
      </c>
      <c r="I127" s="102"/>
      <c r="J127" s="116">
        <f t="shared" si="29"/>
        <v>12216</v>
      </c>
      <c r="K127" s="102"/>
    </row>
    <row r="128" spans="1:11">
      <c r="A128" s="206">
        <f t="shared" si="21"/>
        <v>117</v>
      </c>
      <c r="B128" s="209" t="s">
        <v>424</v>
      </c>
      <c r="C128" s="102" t="str">
        <f t="shared" si="27"/>
        <v>SCHEDULE 52</v>
      </c>
      <c r="D128" s="46">
        <v>222</v>
      </c>
      <c r="E128" s="225">
        <f>'Tariff Summary Lights'!F89</f>
        <v>6.92</v>
      </c>
      <c r="F128" s="102"/>
      <c r="G128" s="116">
        <f t="shared" si="28"/>
        <v>18435</v>
      </c>
      <c r="H128" s="225">
        <v>5.82</v>
      </c>
      <c r="I128" s="102"/>
      <c r="J128" s="116">
        <f t="shared" si="29"/>
        <v>15504</v>
      </c>
      <c r="K128" s="102"/>
    </row>
    <row r="129" spans="1:13">
      <c r="A129" s="206">
        <f t="shared" si="21"/>
        <v>118</v>
      </c>
      <c r="B129" s="123" t="s">
        <v>422</v>
      </c>
      <c r="C129" s="102" t="str">
        <f t="shared" si="27"/>
        <v>SCHEDULE 52</v>
      </c>
      <c r="D129" s="46">
        <v>61</v>
      </c>
      <c r="E129" s="225">
        <f>'Tariff Summary Lights'!F90</f>
        <v>9.41</v>
      </c>
      <c r="F129" s="102"/>
      <c r="G129" s="116">
        <f t="shared" si="28"/>
        <v>6888</v>
      </c>
      <c r="H129" s="225">
        <v>8.32</v>
      </c>
      <c r="I129" s="102"/>
      <c r="J129" s="116">
        <f t="shared" si="29"/>
        <v>6090</v>
      </c>
      <c r="K129" s="102"/>
    </row>
    <row r="130" spans="1:13">
      <c r="A130" s="206">
        <f t="shared" si="21"/>
        <v>119</v>
      </c>
      <c r="B130" s="123" t="s">
        <v>423</v>
      </c>
      <c r="C130" s="102" t="str">
        <f t="shared" si="27"/>
        <v>SCHEDULE 52</v>
      </c>
      <c r="D130" s="46">
        <v>60</v>
      </c>
      <c r="E130" s="225">
        <f>'Tariff Summary Lights'!F91</f>
        <v>14.76</v>
      </c>
      <c r="F130" s="102"/>
      <c r="G130" s="116">
        <f t="shared" si="28"/>
        <v>10627</v>
      </c>
      <c r="H130" s="225">
        <v>13.31</v>
      </c>
      <c r="I130" s="102"/>
      <c r="J130" s="116">
        <f t="shared" si="29"/>
        <v>9583</v>
      </c>
      <c r="K130" s="102"/>
    </row>
    <row r="131" spans="1:13">
      <c r="A131" s="206">
        <f t="shared" si="21"/>
        <v>120</v>
      </c>
      <c r="B131" s="209" t="s">
        <v>425</v>
      </c>
      <c r="C131" s="102" t="str">
        <f t="shared" si="27"/>
        <v>SCHEDULE 52</v>
      </c>
      <c r="D131" s="46">
        <v>18</v>
      </c>
      <c r="E131" s="225">
        <f>'Tariff Summary Lights'!F92</f>
        <v>35.33</v>
      </c>
      <c r="F131" s="102"/>
      <c r="G131" s="116">
        <f t="shared" si="28"/>
        <v>7631</v>
      </c>
      <c r="H131" s="225">
        <v>33.26</v>
      </c>
      <c r="I131" s="102"/>
      <c r="J131" s="116">
        <f t="shared" si="29"/>
        <v>7184</v>
      </c>
      <c r="K131" s="102"/>
    </row>
    <row r="132" spans="1:13">
      <c r="A132" s="206">
        <f t="shared" si="21"/>
        <v>121</v>
      </c>
      <c r="B132" s="228"/>
      <c r="D132" s="246"/>
      <c r="E132" s="312"/>
      <c r="G132" s="247"/>
      <c r="H132" s="312"/>
      <c r="J132" s="247"/>
      <c r="K132" s="102"/>
    </row>
    <row r="133" spans="1:13">
      <c r="A133" s="206">
        <f t="shared" si="21"/>
        <v>122</v>
      </c>
      <c r="B133" s="238" t="s">
        <v>267</v>
      </c>
      <c r="C133" s="102" t="str">
        <f t="shared" ref="C133:C134" si="30">$B$114</f>
        <v>SCHEDULE 52</v>
      </c>
      <c r="D133" s="116">
        <v>0</v>
      </c>
      <c r="E133" s="240">
        <f>'Tariff Summary Lights'!F74</f>
        <v>1.567E-2</v>
      </c>
      <c r="F133" s="232"/>
      <c r="G133" s="116">
        <f t="shared" ref="G133:G134" si="31">ROUND(D133*E133*12,0)</f>
        <v>0</v>
      </c>
      <c r="H133" s="240">
        <v>1.5568301436960301E-2</v>
      </c>
      <c r="I133" s="232"/>
      <c r="J133" s="116">
        <f>ROUND(D133*H133*12,0)</f>
        <v>0</v>
      </c>
      <c r="K133" s="116"/>
    </row>
    <row r="134" spans="1:13">
      <c r="A134" s="206">
        <f t="shared" si="21"/>
        <v>123</v>
      </c>
      <c r="B134" s="238" t="s">
        <v>268</v>
      </c>
      <c r="C134" s="102" t="str">
        <f t="shared" si="30"/>
        <v>SCHEDULE 52</v>
      </c>
      <c r="D134" s="116">
        <v>55057501</v>
      </c>
      <c r="E134" s="240">
        <f>'Tariff Summary Lights'!F75</f>
        <v>2.7200000000000002E-3</v>
      </c>
      <c r="F134" s="232"/>
      <c r="G134" s="116">
        <f t="shared" si="31"/>
        <v>1797077</v>
      </c>
      <c r="H134" s="240">
        <v>2.3191009029893696E-3</v>
      </c>
      <c r="I134" s="232"/>
      <c r="J134" s="116">
        <f>ROUND(D134*H134*12,0)</f>
        <v>1532207</v>
      </c>
      <c r="K134" s="116"/>
    </row>
    <row r="135" spans="1:13">
      <c r="A135" s="206">
        <f t="shared" si="21"/>
        <v>124</v>
      </c>
      <c r="B135" s="207"/>
      <c r="C135" s="102"/>
      <c r="D135" s="100"/>
      <c r="E135" s="231"/>
      <c r="F135" s="232"/>
      <c r="G135" s="37"/>
      <c r="H135" s="231"/>
      <c r="I135" s="232"/>
      <c r="J135" s="37"/>
      <c r="K135" s="116"/>
    </row>
    <row r="136" spans="1:13">
      <c r="A136" s="206">
        <f t="shared" si="21"/>
        <v>125</v>
      </c>
      <c r="B136" s="228" t="s">
        <v>26</v>
      </c>
      <c r="C136" s="102" t="str">
        <f>$B$114</f>
        <v>SCHEDULE 52</v>
      </c>
      <c r="D136" s="46">
        <f>SUM(D116:D131)</f>
        <v>20161</v>
      </c>
      <c r="E136" s="312"/>
      <c r="G136" s="230">
        <f>SUM(G116:G134)</f>
        <v>3184030</v>
      </c>
      <c r="H136" s="312"/>
      <c r="J136" s="230">
        <f>SUM(J116:J134)</f>
        <v>2673880</v>
      </c>
      <c r="K136" s="102"/>
    </row>
    <row r="137" spans="1:13">
      <c r="A137" s="206">
        <f t="shared" si="21"/>
        <v>126</v>
      </c>
      <c r="B137" s="228"/>
      <c r="D137" s="217"/>
      <c r="E137" s="312"/>
      <c r="G137" s="247"/>
      <c r="H137" s="312"/>
      <c r="J137" s="247"/>
      <c r="K137" s="102"/>
    </row>
    <row r="138" spans="1:13">
      <c r="A138" s="206">
        <f t="shared" si="21"/>
        <v>127</v>
      </c>
      <c r="B138" s="207" t="s">
        <v>183</v>
      </c>
      <c r="C138" s="102" t="str">
        <f>$B$114</f>
        <v>SCHEDULE 52</v>
      </c>
      <c r="D138" s="220">
        <v>30201</v>
      </c>
      <c r="E138" s="231"/>
      <c r="F138" s="232"/>
      <c r="G138" s="37"/>
      <c r="H138" s="231"/>
      <c r="I138" s="232"/>
      <c r="J138" s="37"/>
      <c r="K138" s="116"/>
    </row>
    <row r="139" spans="1:13" s="231" customFormat="1">
      <c r="A139" s="206">
        <f t="shared" si="21"/>
        <v>128</v>
      </c>
      <c r="B139" s="207"/>
      <c r="C139" s="102"/>
      <c r="D139" s="220"/>
      <c r="F139" s="232"/>
      <c r="G139" s="37"/>
      <c r="I139" s="232"/>
      <c r="J139" s="37"/>
      <c r="K139" s="37"/>
      <c r="M139" s="233"/>
    </row>
    <row r="140" spans="1:13">
      <c r="A140" s="206">
        <f t="shared" si="21"/>
        <v>129</v>
      </c>
      <c r="B140" s="45" t="s">
        <v>407</v>
      </c>
      <c r="C140" s="102" t="str">
        <f t="shared" ref="C140:C141" si="32">$B$114</f>
        <v>SCHEDULE 52</v>
      </c>
      <c r="D140" s="46">
        <v>13773730.199999997</v>
      </c>
      <c r="E140" s="231"/>
      <c r="F140" s="232"/>
      <c r="G140" s="37"/>
      <c r="H140" s="231"/>
      <c r="I140" s="232"/>
      <c r="J140" s="37"/>
      <c r="K140" s="103"/>
    </row>
    <row r="141" spans="1:13">
      <c r="A141" s="206">
        <f t="shared" si="21"/>
        <v>130</v>
      </c>
      <c r="B141" s="45" t="s">
        <v>408</v>
      </c>
      <c r="C141" s="102" t="str">
        <f t="shared" si="32"/>
        <v>SCHEDULE 52</v>
      </c>
      <c r="D141" s="46">
        <v>-19542.410000000033</v>
      </c>
      <c r="E141" s="234">
        <f>ROUND(G141/D141,6)</f>
        <v>4.7156419999999999</v>
      </c>
      <c r="F141" s="313"/>
      <c r="G141" s="116">
        <f>$R$15</f>
        <v>-92155</v>
      </c>
      <c r="H141" s="234">
        <f>ROUND(J141/D141,6)</f>
        <v>5.1081209999999997</v>
      </c>
      <c r="I141" s="313"/>
      <c r="J141" s="116">
        <f>ROUND(+G141*(1+L141),0)</f>
        <v>-99825</v>
      </c>
      <c r="K141" s="313"/>
      <c r="L141" s="101">
        <f>'Rate Spread'!$I$27</f>
        <v>8.3224326412326355E-2</v>
      </c>
      <c r="M141" s="29" t="s">
        <v>847</v>
      </c>
    </row>
    <row r="142" spans="1:13" ht="16.2" thickBot="1">
      <c r="A142" s="206">
        <f t="shared" ref="A142:A205" si="33">A141+1</f>
        <v>131</v>
      </c>
      <c r="B142" s="212" t="s">
        <v>27</v>
      </c>
      <c r="C142" s="102" t="str">
        <f>$B$114</f>
        <v>SCHEDULE 52</v>
      </c>
      <c r="D142" s="235">
        <f>SUM(D140:D141)</f>
        <v>13754187.789999997</v>
      </c>
      <c r="E142" s="103"/>
      <c r="G142" s="236">
        <f>SUM(G136:G141)</f>
        <v>3091875</v>
      </c>
      <c r="H142" s="103"/>
      <c r="J142" s="236">
        <f>SUM(J136:J141)</f>
        <v>2574055</v>
      </c>
    </row>
    <row r="143" spans="1:13" ht="16.2" thickTop="1">
      <c r="A143" s="206">
        <f t="shared" si="33"/>
        <v>132</v>
      </c>
      <c r="B143" s="102"/>
      <c r="C143" s="102"/>
      <c r="D143" s="102"/>
      <c r="E143" s="245"/>
      <c r="F143" s="102"/>
      <c r="G143" s="102"/>
      <c r="H143" s="245"/>
      <c r="I143" s="102"/>
      <c r="J143" s="116"/>
      <c r="K143" s="116"/>
    </row>
    <row r="144" spans="1:13">
      <c r="A144" s="206">
        <f t="shared" si="33"/>
        <v>133</v>
      </c>
      <c r="B144" s="102"/>
      <c r="C144" s="102"/>
      <c r="D144" s="102"/>
      <c r="E144" s="245"/>
      <c r="F144" s="102"/>
      <c r="G144" s="102"/>
      <c r="H144" s="245"/>
      <c r="I144" s="102"/>
      <c r="J144" s="116"/>
      <c r="K144" s="116"/>
    </row>
    <row r="145" spans="1:14">
      <c r="A145" s="206">
        <f t="shared" si="33"/>
        <v>134</v>
      </c>
      <c r="B145" s="405" t="s">
        <v>39</v>
      </c>
      <c r="C145" s="405"/>
      <c r="D145" s="405"/>
      <c r="E145" s="405"/>
      <c r="F145" s="405"/>
      <c r="G145" s="405"/>
      <c r="H145" s="405"/>
      <c r="I145" s="405"/>
      <c r="J145" s="405"/>
      <c r="K145" s="102"/>
    </row>
    <row r="146" spans="1:14">
      <c r="A146" s="206">
        <f t="shared" si="33"/>
        <v>135</v>
      </c>
      <c r="B146" s="207" t="s">
        <v>269</v>
      </c>
      <c r="C146" s="102"/>
      <c r="D146" s="102"/>
      <c r="E146" s="102"/>
      <c r="F146" s="102"/>
      <c r="G146" s="102"/>
      <c r="H146" s="102"/>
      <c r="I146" s="102"/>
      <c r="J146" s="102"/>
      <c r="K146" s="102"/>
    </row>
    <row r="147" spans="1:14">
      <c r="A147" s="206">
        <f t="shared" si="33"/>
        <v>136</v>
      </c>
      <c r="B147" s="123" t="s">
        <v>270</v>
      </c>
      <c r="C147" s="102" t="str">
        <f>$B$145</f>
        <v>SCHEDULE 53</v>
      </c>
      <c r="D147" s="46">
        <v>8</v>
      </c>
      <c r="E147" s="225">
        <f>'Tariff Summary Lights'!F94</f>
        <v>9.0400000000000009</v>
      </c>
      <c r="G147" s="116">
        <f t="shared" ref="G147:G210" si="34">ROUND(D147*E147*12,0)</f>
        <v>868</v>
      </c>
      <c r="H147" s="225">
        <v>11.14</v>
      </c>
      <c r="J147" s="116">
        <f t="shared" ref="J147:J210" si="35">ROUND(H147*$D147*12,0)</f>
        <v>1069</v>
      </c>
      <c r="K147" s="102"/>
      <c r="N147" s="99"/>
    </row>
    <row r="148" spans="1:14">
      <c r="A148" s="206">
        <f t="shared" si="33"/>
        <v>137</v>
      </c>
      <c r="B148" s="123" t="s">
        <v>271</v>
      </c>
      <c r="C148" s="102" t="str">
        <f t="shared" ref="C148:C155" si="36">$B$145</f>
        <v>SCHEDULE 53</v>
      </c>
      <c r="D148" s="46">
        <v>5846</v>
      </c>
      <c r="E148" s="225">
        <f>'Tariff Summary Lights'!F95</f>
        <v>10.34</v>
      </c>
      <c r="F148" s="102"/>
      <c r="G148" s="116">
        <f t="shared" si="34"/>
        <v>725372</v>
      </c>
      <c r="H148" s="225">
        <v>11.97</v>
      </c>
      <c r="I148" s="102"/>
      <c r="J148" s="116">
        <f t="shared" si="35"/>
        <v>839719</v>
      </c>
      <c r="K148" s="102"/>
      <c r="N148" s="99"/>
    </row>
    <row r="149" spans="1:14">
      <c r="A149" s="206">
        <f t="shared" si="33"/>
        <v>138</v>
      </c>
      <c r="B149" s="123" t="s">
        <v>272</v>
      </c>
      <c r="C149" s="102" t="str">
        <f t="shared" si="36"/>
        <v>SCHEDULE 53</v>
      </c>
      <c r="D149" s="46">
        <v>41723</v>
      </c>
      <c r="E149" s="225">
        <f>'Tariff Summary Lights'!F96</f>
        <v>11.66</v>
      </c>
      <c r="F149" s="102"/>
      <c r="G149" s="116">
        <f t="shared" si="34"/>
        <v>5837882</v>
      </c>
      <c r="H149" s="225">
        <v>13.23</v>
      </c>
      <c r="I149" s="102"/>
      <c r="J149" s="116">
        <f t="shared" si="35"/>
        <v>6623943</v>
      </c>
      <c r="K149" s="102"/>
      <c r="N149" s="99"/>
    </row>
    <row r="150" spans="1:14">
      <c r="A150" s="206">
        <f t="shared" si="33"/>
        <v>139</v>
      </c>
      <c r="B150" s="123" t="s">
        <v>273</v>
      </c>
      <c r="C150" s="102" t="str">
        <f t="shared" si="36"/>
        <v>SCHEDULE 53</v>
      </c>
      <c r="D150" s="46">
        <v>5463</v>
      </c>
      <c r="E150" s="225">
        <f>'Tariff Summary Lights'!F97</f>
        <v>13.78</v>
      </c>
      <c r="F150" s="102"/>
      <c r="G150" s="116">
        <f t="shared" si="34"/>
        <v>903362</v>
      </c>
      <c r="H150" s="225">
        <v>15.32</v>
      </c>
      <c r="I150" s="102"/>
      <c r="J150" s="116">
        <f t="shared" si="35"/>
        <v>1004318</v>
      </c>
      <c r="K150" s="102"/>
      <c r="N150" s="99"/>
    </row>
    <row r="151" spans="1:14">
      <c r="A151" s="206">
        <f t="shared" si="33"/>
        <v>140</v>
      </c>
      <c r="B151" s="123" t="s">
        <v>274</v>
      </c>
      <c r="C151" s="102" t="str">
        <f t="shared" si="36"/>
        <v>SCHEDULE 53</v>
      </c>
      <c r="D151" s="46">
        <v>6823</v>
      </c>
      <c r="E151" s="225">
        <f>'Tariff Summary Lights'!F98</f>
        <v>16.57</v>
      </c>
      <c r="F151" s="102"/>
      <c r="G151" s="116">
        <f t="shared" si="34"/>
        <v>1356685</v>
      </c>
      <c r="H151" s="225">
        <v>17.41</v>
      </c>
      <c r="I151" s="102"/>
      <c r="J151" s="116">
        <f t="shared" si="35"/>
        <v>1425461</v>
      </c>
      <c r="K151" s="102"/>
      <c r="N151" s="99"/>
    </row>
    <row r="152" spans="1:14">
      <c r="A152" s="206">
        <f t="shared" si="33"/>
        <v>141</v>
      </c>
      <c r="B152" s="123" t="s">
        <v>275</v>
      </c>
      <c r="C152" s="102" t="str">
        <f t="shared" si="36"/>
        <v>SCHEDULE 53</v>
      </c>
      <c r="D152" s="46">
        <v>2469</v>
      </c>
      <c r="E152" s="225">
        <f>'Tariff Summary Lights'!F99</f>
        <v>18.650000000000002</v>
      </c>
      <c r="F152" s="102"/>
      <c r="G152" s="116">
        <f t="shared" si="34"/>
        <v>552562</v>
      </c>
      <c r="H152" s="225">
        <v>19.489999999999998</v>
      </c>
      <c r="I152" s="102"/>
      <c r="J152" s="116">
        <f t="shared" si="35"/>
        <v>577450</v>
      </c>
      <c r="K152" s="102"/>
      <c r="N152" s="99"/>
    </row>
    <row r="153" spans="1:14">
      <c r="A153" s="206">
        <f t="shared" si="33"/>
        <v>142</v>
      </c>
      <c r="B153" s="123" t="s">
        <v>276</v>
      </c>
      <c r="C153" s="102" t="str">
        <f t="shared" si="36"/>
        <v>SCHEDULE 53</v>
      </c>
      <c r="D153" s="46">
        <v>22</v>
      </c>
      <c r="E153" s="225">
        <f>'Tariff Summary Lights'!F100</f>
        <v>21.569999999999997</v>
      </c>
      <c r="F153" s="102"/>
      <c r="G153" s="116">
        <f t="shared" si="34"/>
        <v>5694</v>
      </c>
      <c r="H153" s="225">
        <v>22</v>
      </c>
      <c r="I153" s="102"/>
      <c r="J153" s="116">
        <f t="shared" si="35"/>
        <v>5808</v>
      </c>
      <c r="K153" s="102"/>
      <c r="N153" s="99"/>
    </row>
    <row r="154" spans="1:14">
      <c r="A154" s="206">
        <f t="shared" si="33"/>
        <v>143</v>
      </c>
      <c r="B154" s="123" t="s">
        <v>277</v>
      </c>
      <c r="C154" s="102" t="str">
        <f t="shared" si="36"/>
        <v>SCHEDULE 53</v>
      </c>
      <c r="D154" s="46">
        <v>1245</v>
      </c>
      <c r="E154" s="225">
        <f>'Tariff Summary Lights'!F101</f>
        <v>25.21</v>
      </c>
      <c r="F154" s="102"/>
      <c r="G154" s="116">
        <f t="shared" si="34"/>
        <v>376637</v>
      </c>
      <c r="H154" s="225">
        <v>25.76</v>
      </c>
      <c r="I154" s="102"/>
      <c r="J154" s="116">
        <f t="shared" si="35"/>
        <v>384854</v>
      </c>
      <c r="K154" s="102"/>
      <c r="N154" s="99"/>
    </row>
    <row r="155" spans="1:14">
      <c r="A155" s="206">
        <f t="shared" si="33"/>
        <v>144</v>
      </c>
      <c r="B155" s="123" t="s">
        <v>278</v>
      </c>
      <c r="C155" s="102" t="str">
        <f t="shared" si="36"/>
        <v>SCHEDULE 53</v>
      </c>
      <c r="D155" s="46">
        <v>0</v>
      </c>
      <c r="E155" s="225">
        <f>'Tariff Summary Lights'!F102</f>
        <v>55.879999999999995</v>
      </c>
      <c r="F155" s="102"/>
      <c r="G155" s="116">
        <f t="shared" si="34"/>
        <v>0</v>
      </c>
      <c r="H155" s="225">
        <v>50.83</v>
      </c>
      <c r="I155" s="102"/>
      <c r="J155" s="116">
        <f t="shared" si="35"/>
        <v>0</v>
      </c>
      <c r="K155" s="102"/>
    </row>
    <row r="156" spans="1:14">
      <c r="A156" s="206">
        <f t="shared" si="33"/>
        <v>145</v>
      </c>
      <c r="B156" s="123"/>
      <c r="C156" s="102"/>
      <c r="D156" s="46"/>
      <c r="E156" s="225"/>
      <c r="F156" s="102"/>
      <c r="G156" s="102"/>
      <c r="H156" s="225"/>
      <c r="I156" s="102"/>
      <c r="J156" s="102"/>
      <c r="K156" s="102"/>
    </row>
    <row r="157" spans="1:14">
      <c r="A157" s="206">
        <f t="shared" si="33"/>
        <v>146</v>
      </c>
      <c r="B157" s="123" t="s">
        <v>279</v>
      </c>
      <c r="C157" s="102" t="str">
        <f t="shared" ref="C157:C161" si="37">$B$145</f>
        <v>SCHEDULE 53</v>
      </c>
      <c r="D157" s="46">
        <v>0</v>
      </c>
      <c r="E157" s="225">
        <f>'Tariff Summary Lights'!F104</f>
        <v>14.13</v>
      </c>
      <c r="F157" s="102"/>
      <c r="G157" s="116">
        <f t="shared" si="34"/>
        <v>0</v>
      </c>
      <c r="H157" s="225">
        <v>14.87</v>
      </c>
      <c r="I157" s="102"/>
      <c r="J157" s="116">
        <f t="shared" si="35"/>
        <v>0</v>
      </c>
      <c r="K157" s="102"/>
    </row>
    <row r="158" spans="1:14">
      <c r="A158" s="206">
        <f t="shared" si="33"/>
        <v>147</v>
      </c>
      <c r="B158" s="123" t="s">
        <v>280</v>
      </c>
      <c r="C158" s="102" t="str">
        <f t="shared" si="37"/>
        <v>SCHEDULE 53</v>
      </c>
      <c r="D158" s="46">
        <v>0</v>
      </c>
      <c r="E158" s="225">
        <f>'Tariff Summary Lights'!F105</f>
        <v>15.11</v>
      </c>
      <c r="F158" s="102"/>
      <c r="G158" s="116">
        <f t="shared" si="34"/>
        <v>0</v>
      </c>
      <c r="H158" s="225">
        <v>16.2</v>
      </c>
      <c r="I158" s="102"/>
      <c r="J158" s="116">
        <f t="shared" si="35"/>
        <v>0</v>
      </c>
      <c r="K158" s="102"/>
    </row>
    <row r="159" spans="1:14">
      <c r="A159" s="206">
        <f t="shared" si="33"/>
        <v>148</v>
      </c>
      <c r="B159" s="123" t="s">
        <v>281</v>
      </c>
      <c r="C159" s="102" t="str">
        <f t="shared" si="37"/>
        <v>SCHEDULE 53</v>
      </c>
      <c r="D159" s="46">
        <v>0</v>
      </c>
      <c r="E159" s="225">
        <f>'Tariff Summary Lights'!F106</f>
        <v>17.440000000000001</v>
      </c>
      <c r="F159" s="102"/>
      <c r="G159" s="116">
        <f t="shared" si="34"/>
        <v>0</v>
      </c>
      <c r="H159" s="225">
        <v>18.41</v>
      </c>
      <c r="I159" s="102"/>
      <c r="J159" s="116">
        <f t="shared" si="35"/>
        <v>0</v>
      </c>
      <c r="K159" s="102"/>
    </row>
    <row r="160" spans="1:14">
      <c r="A160" s="206">
        <f t="shared" si="33"/>
        <v>149</v>
      </c>
      <c r="B160" s="123" t="s">
        <v>282</v>
      </c>
      <c r="C160" s="102" t="str">
        <f t="shared" si="37"/>
        <v>SCHEDULE 53</v>
      </c>
      <c r="D160" s="46">
        <v>0</v>
      </c>
      <c r="E160" s="225">
        <f>'Tariff Summary Lights'!F107</f>
        <v>22.43</v>
      </c>
      <c r="F160" s="102"/>
      <c r="G160" s="116">
        <f t="shared" si="34"/>
        <v>0</v>
      </c>
      <c r="H160" s="225">
        <v>22.84</v>
      </c>
      <c r="I160" s="102"/>
      <c r="J160" s="116">
        <f t="shared" si="35"/>
        <v>0</v>
      </c>
      <c r="K160" s="102"/>
    </row>
    <row r="161" spans="1:14">
      <c r="A161" s="206">
        <f t="shared" si="33"/>
        <v>150</v>
      </c>
      <c r="B161" s="123" t="s">
        <v>283</v>
      </c>
      <c r="C161" s="102" t="str">
        <f t="shared" si="37"/>
        <v>SCHEDULE 53</v>
      </c>
      <c r="D161" s="46">
        <v>0</v>
      </c>
      <c r="E161" s="225">
        <f>'Tariff Summary Lights'!F108</f>
        <v>25.41</v>
      </c>
      <c r="F161" s="102"/>
      <c r="G161" s="116">
        <f t="shared" si="34"/>
        <v>0</v>
      </c>
      <c r="H161" s="225">
        <v>29.48</v>
      </c>
      <c r="I161" s="102"/>
      <c r="J161" s="116">
        <f t="shared" si="35"/>
        <v>0</v>
      </c>
      <c r="K161" s="102"/>
    </row>
    <row r="162" spans="1:14">
      <c r="A162" s="206">
        <f t="shared" si="33"/>
        <v>151</v>
      </c>
      <c r="B162" s="123"/>
      <c r="C162" s="102"/>
      <c r="D162" s="46"/>
      <c r="E162" s="225"/>
      <c r="F162" s="102"/>
      <c r="G162" s="102"/>
      <c r="H162" s="225"/>
      <c r="I162" s="102"/>
      <c r="J162" s="102"/>
      <c r="K162" s="102"/>
    </row>
    <row r="163" spans="1:14">
      <c r="A163" s="206">
        <f t="shared" si="33"/>
        <v>152</v>
      </c>
      <c r="B163" s="123" t="s">
        <v>284</v>
      </c>
      <c r="C163" s="102" t="str">
        <f t="shared" ref="C163:C216" si="38">$B$145</f>
        <v>SCHEDULE 53</v>
      </c>
      <c r="D163" s="46"/>
      <c r="E163" s="225">
        <f>'Tariff Summary Lights'!F110</f>
        <v>7.43</v>
      </c>
      <c r="F163" s="102"/>
      <c r="G163" s="116">
        <f t="shared" si="34"/>
        <v>0</v>
      </c>
      <c r="H163" s="225">
        <v>12.58</v>
      </c>
      <c r="I163" s="102"/>
      <c r="J163" s="116">
        <f t="shared" si="35"/>
        <v>0</v>
      </c>
      <c r="K163" s="102"/>
      <c r="L163" s="99"/>
    </row>
    <row r="164" spans="1:14">
      <c r="A164" s="206">
        <f t="shared" si="33"/>
        <v>153</v>
      </c>
      <c r="B164" s="123" t="s">
        <v>285</v>
      </c>
      <c r="C164" s="102" t="str">
        <f t="shared" si="38"/>
        <v>SCHEDULE 53</v>
      </c>
      <c r="D164" s="46"/>
      <c r="E164" s="225">
        <f>'Tariff Summary Lights'!F111</f>
        <v>7.6</v>
      </c>
      <c r="F164" s="102"/>
      <c r="G164" s="116">
        <f t="shared" si="34"/>
        <v>0</v>
      </c>
      <c r="H164" s="225">
        <v>12.58</v>
      </c>
      <c r="I164" s="102"/>
      <c r="J164" s="116">
        <f t="shared" si="35"/>
        <v>0</v>
      </c>
      <c r="K164" s="102"/>
    </row>
    <row r="165" spans="1:14">
      <c r="A165" s="206">
        <f t="shared" si="33"/>
        <v>154</v>
      </c>
      <c r="B165" s="123" t="s">
        <v>286</v>
      </c>
      <c r="C165" s="102" t="str">
        <f t="shared" si="38"/>
        <v>SCHEDULE 53</v>
      </c>
      <c r="D165" s="46">
        <v>2093</v>
      </c>
      <c r="E165" s="225">
        <f>'Tariff Summary Lights'!F112</f>
        <v>7.7799999999999994</v>
      </c>
      <c r="F165" s="102"/>
      <c r="G165" s="116">
        <f t="shared" si="34"/>
        <v>195402</v>
      </c>
      <c r="H165" s="225">
        <v>12.58</v>
      </c>
      <c r="I165" s="102"/>
      <c r="J165" s="116">
        <f t="shared" si="35"/>
        <v>315959</v>
      </c>
      <c r="K165" s="102"/>
      <c r="N165" s="99"/>
    </row>
    <row r="166" spans="1:14">
      <c r="A166" s="206">
        <f t="shared" si="33"/>
        <v>155</v>
      </c>
      <c r="B166" s="123" t="s">
        <v>287</v>
      </c>
      <c r="C166" s="102" t="str">
        <f t="shared" si="38"/>
        <v>SCHEDULE 53</v>
      </c>
      <c r="D166" s="46">
        <v>2</v>
      </c>
      <c r="E166" s="225">
        <f>'Tariff Summary Lights'!F113</f>
        <v>7.9499999999999993</v>
      </c>
      <c r="F166" s="102"/>
      <c r="G166" s="116">
        <f t="shared" si="34"/>
        <v>191</v>
      </c>
      <c r="H166" s="225">
        <v>12.58</v>
      </c>
      <c r="I166" s="102"/>
      <c r="J166" s="116">
        <f t="shared" si="35"/>
        <v>302</v>
      </c>
      <c r="K166" s="102"/>
      <c r="N166" s="99"/>
    </row>
    <row r="167" spans="1:14">
      <c r="A167" s="206">
        <f t="shared" si="33"/>
        <v>156</v>
      </c>
      <c r="B167" s="123" t="s">
        <v>288</v>
      </c>
      <c r="C167" s="102" t="str">
        <f t="shared" si="38"/>
        <v>SCHEDULE 53</v>
      </c>
      <c r="D167" s="46">
        <v>7387</v>
      </c>
      <c r="E167" s="225">
        <f>'Tariff Summary Lights'!F114</f>
        <v>8.1300000000000008</v>
      </c>
      <c r="F167" s="102"/>
      <c r="G167" s="116">
        <f t="shared" si="34"/>
        <v>720676</v>
      </c>
      <c r="H167" s="225">
        <v>12.58</v>
      </c>
      <c r="I167" s="102"/>
      <c r="J167" s="116">
        <f t="shared" si="35"/>
        <v>1115142</v>
      </c>
      <c r="K167" s="102"/>
      <c r="N167" s="99"/>
    </row>
    <row r="168" spans="1:14">
      <c r="A168" s="206">
        <f t="shared" si="33"/>
        <v>157</v>
      </c>
      <c r="B168" s="123" t="s">
        <v>289</v>
      </c>
      <c r="C168" s="102" t="str">
        <f t="shared" si="38"/>
        <v>SCHEDULE 53</v>
      </c>
      <c r="D168" s="46">
        <v>32</v>
      </c>
      <c r="E168" s="225">
        <f>'Tariff Summary Lights'!F115</f>
        <v>8.31</v>
      </c>
      <c r="F168" s="102"/>
      <c r="G168" s="116">
        <f t="shared" si="34"/>
        <v>3191</v>
      </c>
      <c r="H168" s="225">
        <v>12.58</v>
      </c>
      <c r="I168" s="102"/>
      <c r="J168" s="116">
        <f t="shared" si="35"/>
        <v>4831</v>
      </c>
      <c r="K168" s="102"/>
      <c r="N168" s="99"/>
    </row>
    <row r="169" spans="1:14">
      <c r="A169" s="206">
        <f t="shared" si="33"/>
        <v>158</v>
      </c>
      <c r="B169" s="123" t="s">
        <v>290</v>
      </c>
      <c r="C169" s="102" t="str">
        <f t="shared" si="38"/>
        <v>SCHEDULE 53</v>
      </c>
      <c r="D169" s="46">
        <v>22</v>
      </c>
      <c r="E169" s="225">
        <f>'Tariff Summary Lights'!F116</f>
        <v>8.7800000000000011</v>
      </c>
      <c r="F169" s="102"/>
      <c r="G169" s="116">
        <f t="shared" si="34"/>
        <v>2318</v>
      </c>
      <c r="H169" s="225">
        <v>13.75</v>
      </c>
      <c r="I169" s="102"/>
      <c r="J169" s="116">
        <f t="shared" si="35"/>
        <v>3630</v>
      </c>
      <c r="K169" s="102"/>
      <c r="L169" s="99"/>
      <c r="N169" s="99"/>
    </row>
    <row r="170" spans="1:14">
      <c r="A170" s="206">
        <f t="shared" si="33"/>
        <v>159</v>
      </c>
      <c r="B170" s="123" t="s">
        <v>291</v>
      </c>
      <c r="C170" s="102" t="str">
        <f t="shared" si="38"/>
        <v>SCHEDULE 53</v>
      </c>
      <c r="D170" s="46">
        <v>8</v>
      </c>
      <c r="E170" s="225">
        <f>'Tariff Summary Lights'!F117</f>
        <v>8.9500000000000011</v>
      </c>
      <c r="F170" s="102"/>
      <c r="G170" s="116">
        <f t="shared" si="34"/>
        <v>859</v>
      </c>
      <c r="H170" s="225">
        <v>13.75</v>
      </c>
      <c r="I170" s="102"/>
      <c r="J170" s="116">
        <f t="shared" si="35"/>
        <v>1320</v>
      </c>
      <c r="K170" s="102"/>
      <c r="L170" s="99"/>
      <c r="N170" s="99"/>
    </row>
    <row r="171" spans="1:14">
      <c r="A171" s="206">
        <f t="shared" si="33"/>
        <v>160</v>
      </c>
      <c r="B171" s="123" t="s">
        <v>292</v>
      </c>
      <c r="C171" s="102" t="str">
        <f t="shared" si="38"/>
        <v>SCHEDULE 53</v>
      </c>
      <c r="D171" s="46">
        <v>16</v>
      </c>
      <c r="E171" s="225">
        <f>'Tariff Summary Lights'!F118</f>
        <v>9.1300000000000008</v>
      </c>
      <c r="F171" s="102"/>
      <c r="G171" s="116">
        <f t="shared" si="34"/>
        <v>1753</v>
      </c>
      <c r="H171" s="225">
        <v>13.75</v>
      </c>
      <c r="I171" s="102"/>
      <c r="J171" s="116">
        <f t="shared" si="35"/>
        <v>2640</v>
      </c>
      <c r="K171" s="102"/>
      <c r="N171" s="99"/>
    </row>
    <row r="172" spans="1:14">
      <c r="A172" s="206">
        <f t="shared" si="33"/>
        <v>161</v>
      </c>
      <c r="B172" s="123" t="s">
        <v>293</v>
      </c>
      <c r="C172" s="102" t="str">
        <f t="shared" si="38"/>
        <v>SCHEDULE 53</v>
      </c>
      <c r="D172" s="46">
        <v>19</v>
      </c>
      <c r="E172" s="225">
        <f>'Tariff Summary Lights'!F119</f>
        <v>9.3000000000000007</v>
      </c>
      <c r="F172" s="102"/>
      <c r="G172" s="116">
        <f t="shared" si="34"/>
        <v>2120</v>
      </c>
      <c r="H172" s="225">
        <v>13.75</v>
      </c>
      <c r="I172" s="102"/>
      <c r="J172" s="116">
        <f t="shared" si="35"/>
        <v>3135</v>
      </c>
      <c r="K172" s="102"/>
      <c r="N172" s="99"/>
    </row>
    <row r="173" spans="1:14">
      <c r="A173" s="206">
        <f t="shared" si="33"/>
        <v>162</v>
      </c>
      <c r="B173" s="123" t="s">
        <v>294</v>
      </c>
      <c r="C173" s="102" t="str">
        <f t="shared" si="38"/>
        <v>SCHEDULE 53</v>
      </c>
      <c r="D173" s="46">
        <v>31</v>
      </c>
      <c r="E173" s="225">
        <f>'Tariff Summary Lights'!F120</f>
        <v>9.4699999999999989</v>
      </c>
      <c r="F173" s="102"/>
      <c r="G173" s="116">
        <f t="shared" si="34"/>
        <v>3523</v>
      </c>
      <c r="H173" s="225">
        <v>13.75</v>
      </c>
      <c r="I173" s="102"/>
      <c r="J173" s="116">
        <f t="shared" si="35"/>
        <v>5115</v>
      </c>
      <c r="K173" s="102"/>
      <c r="N173" s="99"/>
    </row>
    <row r="174" spans="1:14">
      <c r="A174" s="206">
        <f t="shared" si="33"/>
        <v>163</v>
      </c>
      <c r="B174" s="123" t="s">
        <v>295</v>
      </c>
      <c r="C174" s="102" t="str">
        <f t="shared" si="38"/>
        <v>SCHEDULE 53</v>
      </c>
      <c r="D174" s="46">
        <v>1</v>
      </c>
      <c r="E174" s="225">
        <f>'Tariff Summary Lights'!F121</f>
        <v>9.7999999999999989</v>
      </c>
      <c r="F174" s="102"/>
      <c r="G174" s="116">
        <f t="shared" si="34"/>
        <v>118</v>
      </c>
      <c r="H174" s="225">
        <v>13.75</v>
      </c>
      <c r="I174" s="102"/>
      <c r="J174" s="116">
        <f t="shared" si="35"/>
        <v>165</v>
      </c>
      <c r="K174" s="102"/>
      <c r="N174" s="99"/>
    </row>
    <row r="175" spans="1:14">
      <c r="A175" s="206">
        <f t="shared" si="33"/>
        <v>164</v>
      </c>
      <c r="B175" s="123" t="s">
        <v>296</v>
      </c>
      <c r="C175" s="102" t="str">
        <f t="shared" si="38"/>
        <v>SCHEDULE 53</v>
      </c>
      <c r="D175" s="46">
        <v>84</v>
      </c>
      <c r="E175" s="225">
        <f>'Tariff Summary Lights'!F122</f>
        <v>9.9799999999999986</v>
      </c>
      <c r="F175" s="102"/>
      <c r="G175" s="116">
        <f t="shared" si="34"/>
        <v>10060</v>
      </c>
      <c r="H175" s="225">
        <v>14.93</v>
      </c>
      <c r="I175" s="102"/>
      <c r="J175" s="116">
        <f t="shared" si="35"/>
        <v>15049</v>
      </c>
      <c r="K175" s="102"/>
      <c r="N175" s="99"/>
    </row>
    <row r="176" spans="1:14">
      <c r="A176" s="206">
        <f t="shared" si="33"/>
        <v>165</v>
      </c>
      <c r="B176" s="123" t="s">
        <v>297</v>
      </c>
      <c r="C176" s="102" t="str">
        <f t="shared" si="38"/>
        <v>SCHEDULE 53</v>
      </c>
      <c r="D176" s="46">
        <v>136</v>
      </c>
      <c r="E176" s="225">
        <f>'Tariff Summary Lights'!F123</f>
        <v>10.15</v>
      </c>
      <c r="F176" s="102"/>
      <c r="G176" s="116">
        <f t="shared" si="34"/>
        <v>16565</v>
      </c>
      <c r="H176" s="225">
        <v>14.93</v>
      </c>
      <c r="I176" s="102"/>
      <c r="J176" s="116">
        <f t="shared" si="35"/>
        <v>24366</v>
      </c>
      <c r="K176" s="102"/>
      <c r="N176" s="99"/>
    </row>
    <row r="177" spans="1:14">
      <c r="A177" s="206">
        <f t="shared" si="33"/>
        <v>166</v>
      </c>
      <c r="B177" s="123" t="s">
        <v>298</v>
      </c>
      <c r="C177" s="102" t="str">
        <f t="shared" si="38"/>
        <v>SCHEDULE 53</v>
      </c>
      <c r="D177" s="46">
        <v>417</v>
      </c>
      <c r="E177" s="225">
        <f>'Tariff Summary Lights'!F124</f>
        <v>10.33</v>
      </c>
      <c r="F177" s="102"/>
      <c r="G177" s="116">
        <f t="shared" si="34"/>
        <v>51691</v>
      </c>
      <c r="H177" s="225">
        <v>14.93</v>
      </c>
      <c r="I177" s="102"/>
      <c r="J177" s="116">
        <f t="shared" si="35"/>
        <v>74710</v>
      </c>
      <c r="K177" s="102"/>
      <c r="N177" s="99"/>
    </row>
    <row r="178" spans="1:14">
      <c r="A178" s="206">
        <f t="shared" si="33"/>
        <v>167</v>
      </c>
      <c r="B178" s="123" t="s">
        <v>299</v>
      </c>
      <c r="C178" s="102" t="str">
        <f t="shared" si="38"/>
        <v>SCHEDULE 53</v>
      </c>
      <c r="D178" s="46">
        <v>2</v>
      </c>
      <c r="E178" s="225">
        <f>'Tariff Summary Lights'!F125</f>
        <v>10.5</v>
      </c>
      <c r="F178" s="102"/>
      <c r="G178" s="116">
        <f t="shared" si="34"/>
        <v>252</v>
      </c>
      <c r="H178" s="225">
        <v>14.93</v>
      </c>
      <c r="I178" s="102"/>
      <c r="J178" s="116">
        <f t="shared" si="35"/>
        <v>358</v>
      </c>
      <c r="K178" s="102"/>
      <c r="N178" s="99"/>
    </row>
    <row r="179" spans="1:14">
      <c r="A179" s="206">
        <f t="shared" si="33"/>
        <v>168</v>
      </c>
      <c r="B179" s="123" t="s">
        <v>300</v>
      </c>
      <c r="C179" s="102" t="str">
        <f t="shared" si="38"/>
        <v>SCHEDULE 53</v>
      </c>
      <c r="D179" s="46">
        <v>1</v>
      </c>
      <c r="E179" s="225">
        <f>'Tariff Summary Lights'!F126</f>
        <v>10.68</v>
      </c>
      <c r="F179" s="102"/>
      <c r="G179" s="116">
        <f t="shared" si="34"/>
        <v>128</v>
      </c>
      <c r="H179" s="225">
        <v>14.93</v>
      </c>
      <c r="I179" s="102"/>
      <c r="J179" s="116">
        <f t="shared" si="35"/>
        <v>179</v>
      </c>
      <c r="K179" s="102"/>
      <c r="N179" s="99"/>
    </row>
    <row r="180" spans="1:14">
      <c r="A180" s="206">
        <f t="shared" si="33"/>
        <v>169</v>
      </c>
      <c r="B180" s="123" t="s">
        <v>301</v>
      </c>
      <c r="C180" s="102" t="str">
        <f t="shared" si="38"/>
        <v>SCHEDULE 53</v>
      </c>
      <c r="D180" s="46">
        <v>2</v>
      </c>
      <c r="E180" s="225">
        <f>'Tariff Summary Lights'!F127</f>
        <v>10.85</v>
      </c>
      <c r="F180" s="102"/>
      <c r="G180" s="116">
        <f t="shared" si="34"/>
        <v>260</v>
      </c>
      <c r="H180" s="225">
        <v>14.93</v>
      </c>
      <c r="I180" s="102"/>
      <c r="J180" s="116">
        <f t="shared" si="35"/>
        <v>358</v>
      </c>
      <c r="K180" s="102"/>
      <c r="N180" s="99"/>
    </row>
    <row r="181" spans="1:14">
      <c r="A181" s="206">
        <f t="shared" si="33"/>
        <v>170</v>
      </c>
      <c r="B181" s="123" t="s">
        <v>302</v>
      </c>
      <c r="C181" s="102" t="str">
        <f t="shared" si="38"/>
        <v>SCHEDULE 53</v>
      </c>
      <c r="D181" s="46">
        <v>16</v>
      </c>
      <c r="E181" s="225">
        <f>'Tariff Summary Lights'!F128</f>
        <v>11.03</v>
      </c>
      <c r="F181" s="102"/>
      <c r="G181" s="116">
        <f t="shared" si="34"/>
        <v>2118</v>
      </c>
      <c r="H181" s="225">
        <v>16.11</v>
      </c>
      <c r="I181" s="102"/>
      <c r="J181" s="116">
        <f t="shared" si="35"/>
        <v>3093</v>
      </c>
      <c r="K181" s="102"/>
      <c r="N181" s="99"/>
    </row>
    <row r="182" spans="1:14">
      <c r="A182" s="206">
        <f t="shared" si="33"/>
        <v>171</v>
      </c>
      <c r="B182" s="123" t="s">
        <v>303</v>
      </c>
      <c r="C182" s="102" t="str">
        <f t="shared" si="38"/>
        <v>SCHEDULE 53</v>
      </c>
      <c r="D182" s="46">
        <v>223</v>
      </c>
      <c r="E182" s="225">
        <f>'Tariff Summary Lights'!F129</f>
        <v>11.39</v>
      </c>
      <c r="F182" s="102"/>
      <c r="G182" s="116">
        <f t="shared" si="34"/>
        <v>30480</v>
      </c>
      <c r="H182" s="225">
        <v>16.11</v>
      </c>
      <c r="I182" s="102"/>
      <c r="J182" s="116">
        <f t="shared" si="35"/>
        <v>43110</v>
      </c>
      <c r="K182" s="102"/>
      <c r="N182" s="99"/>
    </row>
    <row r="183" spans="1:14">
      <c r="A183" s="206">
        <f t="shared" si="33"/>
        <v>172</v>
      </c>
      <c r="B183" s="123" t="s">
        <v>304</v>
      </c>
      <c r="C183" s="102" t="str">
        <f t="shared" si="38"/>
        <v>SCHEDULE 53</v>
      </c>
      <c r="D183" s="46">
        <v>317</v>
      </c>
      <c r="E183" s="225">
        <f>'Tariff Summary Lights'!F130</f>
        <v>11.56</v>
      </c>
      <c r="F183" s="102"/>
      <c r="G183" s="116">
        <f t="shared" si="34"/>
        <v>43974</v>
      </c>
      <c r="H183" s="225">
        <v>16.11</v>
      </c>
      <c r="I183" s="102"/>
      <c r="J183" s="116">
        <f t="shared" si="35"/>
        <v>61282</v>
      </c>
      <c r="K183" s="102"/>
      <c r="N183" s="99"/>
    </row>
    <row r="184" spans="1:14">
      <c r="A184" s="206">
        <f t="shared" si="33"/>
        <v>173</v>
      </c>
      <c r="B184" s="123" t="s">
        <v>305</v>
      </c>
      <c r="C184" s="102" t="str">
        <f t="shared" si="38"/>
        <v>SCHEDULE 53</v>
      </c>
      <c r="D184" s="46">
        <v>650</v>
      </c>
      <c r="E184" s="225">
        <f>'Tariff Summary Lights'!F131</f>
        <v>11.73</v>
      </c>
      <c r="F184" s="102"/>
      <c r="G184" s="116">
        <f t="shared" si="34"/>
        <v>91494</v>
      </c>
      <c r="H184" s="225">
        <v>16.11</v>
      </c>
      <c r="I184" s="102"/>
      <c r="J184" s="116">
        <f t="shared" si="35"/>
        <v>125658</v>
      </c>
      <c r="K184" s="102"/>
      <c r="N184" s="99"/>
    </row>
    <row r="185" spans="1:14">
      <c r="A185" s="206">
        <f t="shared" si="33"/>
        <v>174</v>
      </c>
      <c r="B185" s="123" t="s">
        <v>306</v>
      </c>
      <c r="C185" s="102" t="str">
        <f t="shared" si="38"/>
        <v>SCHEDULE 53</v>
      </c>
      <c r="D185" s="46">
        <v>0</v>
      </c>
      <c r="E185" s="225">
        <f>'Tariff Summary Lights'!F132</f>
        <v>11.91</v>
      </c>
      <c r="F185" s="102"/>
      <c r="G185" s="116">
        <f t="shared" si="34"/>
        <v>0</v>
      </c>
      <c r="H185" s="225">
        <v>16.11</v>
      </c>
      <c r="I185" s="102"/>
      <c r="J185" s="116">
        <f t="shared" si="35"/>
        <v>0</v>
      </c>
      <c r="K185" s="102"/>
      <c r="N185" s="99"/>
    </row>
    <row r="186" spans="1:14">
      <c r="A186" s="206">
        <f t="shared" si="33"/>
        <v>175</v>
      </c>
      <c r="B186" s="123" t="s">
        <v>307</v>
      </c>
      <c r="C186" s="102" t="str">
        <f t="shared" si="38"/>
        <v>SCHEDULE 53</v>
      </c>
      <c r="D186" s="46">
        <v>0</v>
      </c>
      <c r="E186" s="225">
        <f>'Tariff Summary Lights'!F133</f>
        <v>12.08</v>
      </c>
      <c r="F186" s="102"/>
      <c r="G186" s="116">
        <f t="shared" si="34"/>
        <v>0</v>
      </c>
      <c r="H186" s="225">
        <v>16.11</v>
      </c>
      <c r="I186" s="102"/>
      <c r="J186" s="116">
        <f t="shared" si="35"/>
        <v>0</v>
      </c>
      <c r="K186" s="102"/>
      <c r="N186" s="99"/>
    </row>
    <row r="187" spans="1:14">
      <c r="A187" s="206">
        <f t="shared" si="33"/>
        <v>176</v>
      </c>
      <c r="B187" s="123" t="s">
        <v>308</v>
      </c>
      <c r="C187" s="102" t="str">
        <f t="shared" si="38"/>
        <v>SCHEDULE 53</v>
      </c>
      <c r="D187" s="46">
        <v>17</v>
      </c>
      <c r="E187" s="225">
        <f>'Tariff Summary Lights'!F134</f>
        <v>12.26</v>
      </c>
      <c r="F187" s="102"/>
      <c r="G187" s="116">
        <f t="shared" si="34"/>
        <v>2501</v>
      </c>
      <c r="H187" s="225">
        <v>17.29</v>
      </c>
      <c r="I187" s="102"/>
      <c r="J187" s="116">
        <f t="shared" si="35"/>
        <v>3527</v>
      </c>
      <c r="K187" s="102"/>
      <c r="N187" s="99"/>
    </row>
    <row r="188" spans="1:14">
      <c r="A188" s="206">
        <f t="shared" si="33"/>
        <v>177</v>
      </c>
      <c r="B188" s="123" t="s">
        <v>309</v>
      </c>
      <c r="C188" s="102" t="str">
        <f t="shared" si="38"/>
        <v>SCHEDULE 53</v>
      </c>
      <c r="D188" s="46">
        <v>0</v>
      </c>
      <c r="E188" s="225">
        <f>'Tariff Summary Lights'!F135</f>
        <v>12.43</v>
      </c>
      <c r="F188" s="102"/>
      <c r="G188" s="116">
        <f t="shared" si="34"/>
        <v>0</v>
      </c>
      <c r="H188" s="225">
        <v>17.29</v>
      </c>
      <c r="I188" s="102"/>
      <c r="J188" s="116">
        <f t="shared" si="35"/>
        <v>0</v>
      </c>
      <c r="K188" s="102"/>
      <c r="N188" s="99"/>
    </row>
    <row r="189" spans="1:14">
      <c r="A189" s="206">
        <f t="shared" si="33"/>
        <v>178</v>
      </c>
      <c r="B189" s="123" t="s">
        <v>310</v>
      </c>
      <c r="C189" s="102" t="str">
        <f t="shared" si="38"/>
        <v>SCHEDULE 53</v>
      </c>
      <c r="D189" s="46">
        <v>0</v>
      </c>
      <c r="E189" s="225">
        <f>'Tariff Summary Lights'!F136</f>
        <v>12.62</v>
      </c>
      <c r="F189" s="102"/>
      <c r="G189" s="116">
        <f t="shared" si="34"/>
        <v>0</v>
      </c>
      <c r="H189" s="225">
        <v>17.29</v>
      </c>
      <c r="I189" s="102"/>
      <c r="J189" s="116">
        <f t="shared" si="35"/>
        <v>0</v>
      </c>
      <c r="K189" s="102"/>
      <c r="N189" s="99"/>
    </row>
    <row r="190" spans="1:14">
      <c r="A190" s="206">
        <f t="shared" si="33"/>
        <v>179</v>
      </c>
      <c r="B190" s="123" t="s">
        <v>311</v>
      </c>
      <c r="C190" s="102" t="str">
        <f t="shared" si="38"/>
        <v>SCHEDULE 53</v>
      </c>
      <c r="D190" s="46">
        <v>0</v>
      </c>
      <c r="E190" s="225">
        <f>'Tariff Summary Lights'!F137</f>
        <v>12.79</v>
      </c>
      <c r="F190" s="102"/>
      <c r="G190" s="116">
        <f t="shared" si="34"/>
        <v>0</v>
      </c>
      <c r="H190" s="225">
        <v>17.29</v>
      </c>
      <c r="I190" s="102"/>
      <c r="J190" s="116">
        <f t="shared" si="35"/>
        <v>0</v>
      </c>
      <c r="K190" s="102"/>
      <c r="N190" s="99"/>
    </row>
    <row r="191" spans="1:14">
      <c r="A191" s="206">
        <f t="shared" si="33"/>
        <v>180</v>
      </c>
      <c r="B191" s="123" t="s">
        <v>312</v>
      </c>
      <c r="C191" s="102" t="str">
        <f t="shared" si="38"/>
        <v>SCHEDULE 53</v>
      </c>
      <c r="D191" s="46">
        <v>0</v>
      </c>
      <c r="E191" s="225">
        <f>'Tariff Summary Lights'!F138</f>
        <v>12.969999999999999</v>
      </c>
      <c r="F191" s="102"/>
      <c r="G191" s="116">
        <f t="shared" si="34"/>
        <v>0</v>
      </c>
      <c r="H191" s="225">
        <v>17.29</v>
      </c>
      <c r="I191" s="102"/>
      <c r="J191" s="116">
        <f t="shared" si="35"/>
        <v>0</v>
      </c>
      <c r="K191" s="102"/>
      <c r="N191" s="99"/>
    </row>
    <row r="192" spans="1:14">
      <c r="A192" s="206">
        <f t="shared" si="33"/>
        <v>181</v>
      </c>
      <c r="B192" s="123" t="s">
        <v>313</v>
      </c>
      <c r="C192" s="102" t="str">
        <f t="shared" si="38"/>
        <v>SCHEDULE 53</v>
      </c>
      <c r="D192" s="46">
        <v>0</v>
      </c>
      <c r="E192" s="225">
        <f>'Tariff Summary Lights'!F139</f>
        <v>14.020000000000001</v>
      </c>
      <c r="F192" s="102"/>
      <c r="G192" s="116">
        <f t="shared" si="34"/>
        <v>0</v>
      </c>
      <c r="H192" s="225">
        <v>17.29</v>
      </c>
      <c r="I192" s="102"/>
      <c r="J192" s="116">
        <f t="shared" si="35"/>
        <v>0</v>
      </c>
      <c r="K192" s="102"/>
      <c r="N192" s="99"/>
    </row>
    <row r="193" spans="1:14">
      <c r="A193" s="206">
        <f t="shared" si="33"/>
        <v>182</v>
      </c>
      <c r="B193" s="123" t="s">
        <v>314</v>
      </c>
      <c r="C193" s="102" t="str">
        <f t="shared" si="38"/>
        <v>SCHEDULE 53</v>
      </c>
      <c r="D193" s="46">
        <v>0</v>
      </c>
      <c r="E193" s="225">
        <f>'Tariff Summary Lights'!F140</f>
        <v>14.200000000000001</v>
      </c>
      <c r="F193" s="102"/>
      <c r="G193" s="116">
        <f t="shared" si="34"/>
        <v>0</v>
      </c>
      <c r="H193" s="225">
        <v>18.47</v>
      </c>
      <c r="I193" s="102"/>
      <c r="J193" s="116">
        <f t="shared" si="35"/>
        <v>0</v>
      </c>
      <c r="K193" s="102"/>
      <c r="N193" s="99"/>
    </row>
    <row r="194" spans="1:14">
      <c r="A194" s="206">
        <f t="shared" si="33"/>
        <v>183</v>
      </c>
      <c r="B194" s="123" t="s">
        <v>315</v>
      </c>
      <c r="C194" s="102" t="str">
        <f t="shared" si="38"/>
        <v>SCHEDULE 53</v>
      </c>
      <c r="D194" s="46">
        <v>2</v>
      </c>
      <c r="E194" s="225">
        <f>'Tariff Summary Lights'!F141</f>
        <v>14.370000000000001</v>
      </c>
      <c r="F194" s="102"/>
      <c r="G194" s="116">
        <f t="shared" si="34"/>
        <v>345</v>
      </c>
      <c r="H194" s="225">
        <v>18.47</v>
      </c>
      <c r="I194" s="102"/>
      <c r="J194" s="116">
        <f t="shared" si="35"/>
        <v>443</v>
      </c>
      <c r="K194" s="102"/>
      <c r="N194" s="99"/>
    </row>
    <row r="195" spans="1:14">
      <c r="A195" s="206">
        <f t="shared" si="33"/>
        <v>184</v>
      </c>
      <c r="B195" s="123" t="s">
        <v>316</v>
      </c>
      <c r="C195" s="102" t="str">
        <f t="shared" si="38"/>
        <v>SCHEDULE 53</v>
      </c>
      <c r="D195" s="46">
        <v>27</v>
      </c>
      <c r="E195" s="225">
        <f>'Tariff Summary Lights'!F142</f>
        <v>14.55</v>
      </c>
      <c r="F195" s="102"/>
      <c r="G195" s="116">
        <f t="shared" si="34"/>
        <v>4714</v>
      </c>
      <c r="H195" s="225">
        <v>18.47</v>
      </c>
      <c r="I195" s="102"/>
      <c r="J195" s="116">
        <f t="shared" si="35"/>
        <v>5984</v>
      </c>
      <c r="K195" s="102"/>
      <c r="N195" s="99"/>
    </row>
    <row r="196" spans="1:14">
      <c r="A196" s="206">
        <f t="shared" si="33"/>
        <v>185</v>
      </c>
      <c r="B196" s="123" t="s">
        <v>317</v>
      </c>
      <c r="C196" s="102" t="str">
        <f t="shared" si="38"/>
        <v>SCHEDULE 53</v>
      </c>
      <c r="D196" s="46">
        <v>62</v>
      </c>
      <c r="E196" s="225">
        <f>'Tariff Summary Lights'!F143</f>
        <v>14.729999999999999</v>
      </c>
      <c r="F196" s="102"/>
      <c r="G196" s="116">
        <f t="shared" si="34"/>
        <v>10959</v>
      </c>
      <c r="H196" s="225">
        <v>18.47</v>
      </c>
      <c r="I196" s="102"/>
      <c r="J196" s="116">
        <f t="shared" si="35"/>
        <v>13742</v>
      </c>
      <c r="K196" s="102"/>
      <c r="N196" s="99"/>
    </row>
    <row r="197" spans="1:14">
      <c r="A197" s="206">
        <f t="shared" si="33"/>
        <v>186</v>
      </c>
      <c r="B197" s="123" t="s">
        <v>318</v>
      </c>
      <c r="C197" s="102" t="str">
        <f t="shared" si="38"/>
        <v>SCHEDULE 53</v>
      </c>
      <c r="D197" s="46">
        <v>122</v>
      </c>
      <c r="E197" s="225">
        <f>'Tariff Summary Lights'!F144</f>
        <v>14.909999999999998</v>
      </c>
      <c r="F197" s="102"/>
      <c r="G197" s="116">
        <f t="shared" si="34"/>
        <v>21828</v>
      </c>
      <c r="H197" s="225">
        <v>18.47</v>
      </c>
      <c r="I197" s="102"/>
      <c r="J197" s="116">
        <f t="shared" si="35"/>
        <v>27040</v>
      </c>
      <c r="K197" s="102"/>
      <c r="N197" s="99"/>
    </row>
    <row r="198" spans="1:14">
      <c r="A198" s="206">
        <f t="shared" si="33"/>
        <v>187</v>
      </c>
      <c r="B198" s="123" t="s">
        <v>319</v>
      </c>
      <c r="C198" s="102" t="str">
        <f t="shared" si="38"/>
        <v>SCHEDULE 53</v>
      </c>
      <c r="D198" s="46">
        <v>0</v>
      </c>
      <c r="E198" s="225">
        <f>'Tariff Summary Lights'!F145</f>
        <v>15.08</v>
      </c>
      <c r="F198" s="102"/>
      <c r="G198" s="116">
        <f t="shared" si="34"/>
        <v>0</v>
      </c>
      <c r="H198" s="225">
        <v>18.47</v>
      </c>
      <c r="I198" s="102"/>
      <c r="J198" s="116">
        <f t="shared" si="35"/>
        <v>0</v>
      </c>
      <c r="K198" s="102"/>
      <c r="N198" s="99"/>
    </row>
    <row r="199" spans="1:14">
      <c r="A199" s="206">
        <f t="shared" si="33"/>
        <v>188</v>
      </c>
      <c r="B199" s="123" t="s">
        <v>320</v>
      </c>
      <c r="C199" s="102" t="str">
        <f t="shared" si="38"/>
        <v>SCHEDULE 53</v>
      </c>
      <c r="D199" s="46">
        <v>0</v>
      </c>
      <c r="E199" s="225">
        <f>'Tariff Summary Lights'!F146</f>
        <v>15.26</v>
      </c>
      <c r="F199" s="102"/>
      <c r="G199" s="116">
        <f t="shared" si="34"/>
        <v>0</v>
      </c>
      <c r="H199" s="225">
        <v>19.64</v>
      </c>
      <c r="I199" s="102"/>
      <c r="J199" s="116">
        <f t="shared" si="35"/>
        <v>0</v>
      </c>
      <c r="K199" s="102"/>
      <c r="N199" s="99"/>
    </row>
    <row r="200" spans="1:14">
      <c r="A200" s="206">
        <f t="shared" si="33"/>
        <v>189</v>
      </c>
      <c r="B200" s="123" t="s">
        <v>321</v>
      </c>
      <c r="C200" s="102" t="str">
        <f t="shared" si="38"/>
        <v>SCHEDULE 53</v>
      </c>
      <c r="D200" s="46">
        <v>0</v>
      </c>
      <c r="E200" s="225">
        <f>'Tariff Summary Lights'!F147</f>
        <v>15.43</v>
      </c>
      <c r="F200" s="102"/>
      <c r="G200" s="116">
        <f t="shared" si="34"/>
        <v>0</v>
      </c>
      <c r="H200" s="225">
        <v>19.64</v>
      </c>
      <c r="I200" s="102"/>
      <c r="J200" s="116">
        <f t="shared" si="35"/>
        <v>0</v>
      </c>
      <c r="K200" s="102"/>
      <c r="N200" s="99"/>
    </row>
    <row r="201" spans="1:14">
      <c r="A201" s="206">
        <f t="shared" si="33"/>
        <v>190</v>
      </c>
      <c r="B201" s="123" t="s">
        <v>322</v>
      </c>
      <c r="C201" s="102" t="str">
        <f t="shared" si="38"/>
        <v>SCHEDULE 53</v>
      </c>
      <c r="D201" s="46">
        <v>0</v>
      </c>
      <c r="E201" s="225">
        <f>'Tariff Summary Lights'!F148</f>
        <v>15.6</v>
      </c>
      <c r="F201" s="102"/>
      <c r="G201" s="116">
        <f t="shared" si="34"/>
        <v>0</v>
      </c>
      <c r="H201" s="225">
        <v>19.64</v>
      </c>
      <c r="I201" s="102"/>
      <c r="J201" s="116">
        <f t="shared" si="35"/>
        <v>0</v>
      </c>
      <c r="K201" s="102"/>
      <c r="N201" s="99"/>
    </row>
    <row r="202" spans="1:14">
      <c r="A202" s="206">
        <f t="shared" si="33"/>
        <v>191</v>
      </c>
      <c r="B202" s="123" t="s">
        <v>323</v>
      </c>
      <c r="C202" s="102" t="str">
        <f t="shared" si="38"/>
        <v>SCHEDULE 53</v>
      </c>
      <c r="D202" s="46">
        <v>0</v>
      </c>
      <c r="E202" s="225">
        <f>'Tariff Summary Lights'!F149</f>
        <v>15.860000000000001</v>
      </c>
      <c r="F202" s="102"/>
      <c r="G202" s="116">
        <f t="shared" si="34"/>
        <v>0</v>
      </c>
      <c r="H202" s="225">
        <v>19.64</v>
      </c>
      <c r="I202" s="102"/>
      <c r="J202" s="116">
        <f t="shared" si="35"/>
        <v>0</v>
      </c>
      <c r="K202" s="102"/>
      <c r="N202" s="99"/>
    </row>
    <row r="203" spans="1:14">
      <c r="A203" s="206">
        <f t="shared" si="33"/>
        <v>192</v>
      </c>
      <c r="B203" s="123" t="s">
        <v>324</v>
      </c>
      <c r="C203" s="102" t="str">
        <f t="shared" si="38"/>
        <v>SCHEDULE 53</v>
      </c>
      <c r="D203" s="46">
        <v>0</v>
      </c>
      <c r="E203" s="225">
        <f>'Tariff Summary Lights'!F150</f>
        <v>16.04</v>
      </c>
      <c r="F203" s="102"/>
      <c r="G203" s="116">
        <f t="shared" si="34"/>
        <v>0</v>
      </c>
      <c r="H203" s="225">
        <v>19.64</v>
      </c>
      <c r="I203" s="102"/>
      <c r="J203" s="116">
        <f t="shared" si="35"/>
        <v>0</v>
      </c>
      <c r="K203" s="102"/>
      <c r="N203" s="99"/>
    </row>
    <row r="204" spans="1:14">
      <c r="A204" s="206">
        <f t="shared" si="33"/>
        <v>193</v>
      </c>
      <c r="B204" s="123" t="s">
        <v>325</v>
      </c>
      <c r="C204" s="102" t="str">
        <f t="shared" si="38"/>
        <v>SCHEDULE 53</v>
      </c>
      <c r="D204" s="46">
        <v>0</v>
      </c>
      <c r="E204" s="225">
        <f>'Tariff Summary Lights'!F151</f>
        <v>16.22</v>
      </c>
      <c r="F204" s="102"/>
      <c r="G204" s="116">
        <f t="shared" si="34"/>
        <v>0</v>
      </c>
      <c r="H204" s="225">
        <v>19.64</v>
      </c>
      <c r="I204" s="102"/>
      <c r="J204" s="116">
        <f t="shared" si="35"/>
        <v>0</v>
      </c>
      <c r="K204" s="102"/>
      <c r="N204" s="99"/>
    </row>
    <row r="205" spans="1:14">
      <c r="A205" s="206">
        <f t="shared" si="33"/>
        <v>194</v>
      </c>
      <c r="B205" s="123" t="s">
        <v>326</v>
      </c>
      <c r="C205" s="102" t="str">
        <f t="shared" si="38"/>
        <v>SCHEDULE 53</v>
      </c>
      <c r="D205" s="46">
        <v>0</v>
      </c>
      <c r="E205" s="225">
        <f>'Tariff Summary Lights'!F152</f>
        <v>16.389999999999997</v>
      </c>
      <c r="F205" s="102"/>
      <c r="G205" s="116">
        <f t="shared" si="34"/>
        <v>0</v>
      </c>
      <c r="H205" s="225">
        <v>20.82</v>
      </c>
      <c r="I205" s="102"/>
      <c r="J205" s="116">
        <f t="shared" si="35"/>
        <v>0</v>
      </c>
      <c r="K205" s="102"/>
      <c r="N205" s="99"/>
    </row>
    <row r="206" spans="1:14">
      <c r="A206" s="206">
        <f t="shared" ref="A206:A269" si="39">A205+1</f>
        <v>195</v>
      </c>
      <c r="B206" s="123" t="s">
        <v>327</v>
      </c>
      <c r="C206" s="102" t="str">
        <f t="shared" si="38"/>
        <v>SCHEDULE 53</v>
      </c>
      <c r="D206" s="46">
        <v>0</v>
      </c>
      <c r="E206" s="225">
        <f>'Tariff Summary Lights'!F153</f>
        <v>16.559999999999999</v>
      </c>
      <c r="F206" s="102"/>
      <c r="G206" s="116">
        <f t="shared" si="34"/>
        <v>0</v>
      </c>
      <c r="H206" s="225">
        <v>20.82</v>
      </c>
      <c r="I206" s="102"/>
      <c r="J206" s="116">
        <f t="shared" si="35"/>
        <v>0</v>
      </c>
      <c r="K206" s="102"/>
      <c r="N206" s="99"/>
    </row>
    <row r="207" spans="1:14">
      <c r="A207" s="206">
        <f t="shared" si="39"/>
        <v>196</v>
      </c>
      <c r="B207" s="123" t="s">
        <v>328</v>
      </c>
      <c r="C207" s="102" t="str">
        <f t="shared" si="38"/>
        <v>SCHEDULE 53</v>
      </c>
      <c r="D207" s="46">
        <v>0</v>
      </c>
      <c r="E207" s="225">
        <f>'Tariff Summary Lights'!F154</f>
        <v>16.740000000000002</v>
      </c>
      <c r="F207" s="102"/>
      <c r="G207" s="116">
        <f t="shared" si="34"/>
        <v>0</v>
      </c>
      <c r="H207" s="225">
        <v>20.82</v>
      </c>
      <c r="I207" s="102"/>
      <c r="J207" s="116">
        <f t="shared" si="35"/>
        <v>0</v>
      </c>
      <c r="K207" s="102"/>
      <c r="N207" s="99"/>
    </row>
    <row r="208" spans="1:14">
      <c r="A208" s="206">
        <f t="shared" si="39"/>
        <v>197</v>
      </c>
      <c r="B208" s="123" t="s">
        <v>329</v>
      </c>
      <c r="C208" s="102" t="str">
        <f t="shared" si="38"/>
        <v>SCHEDULE 53</v>
      </c>
      <c r="D208" s="46">
        <v>25</v>
      </c>
      <c r="E208" s="225">
        <f>'Tariff Summary Lights'!F155</f>
        <v>16.91</v>
      </c>
      <c r="F208" s="102"/>
      <c r="G208" s="116">
        <f t="shared" si="34"/>
        <v>5073</v>
      </c>
      <c r="H208" s="225">
        <v>20.82</v>
      </c>
      <c r="I208" s="102"/>
      <c r="J208" s="116">
        <f t="shared" si="35"/>
        <v>6246</v>
      </c>
      <c r="K208" s="102"/>
      <c r="N208" s="99"/>
    </row>
    <row r="209" spans="1:14">
      <c r="A209" s="206">
        <f t="shared" si="39"/>
        <v>198</v>
      </c>
      <c r="B209" s="123" t="s">
        <v>330</v>
      </c>
      <c r="C209" s="102" t="str">
        <f t="shared" si="38"/>
        <v>SCHEDULE 53</v>
      </c>
      <c r="D209" s="46">
        <v>0</v>
      </c>
      <c r="E209" s="225">
        <f>'Tariff Summary Lights'!F156</f>
        <v>17.09</v>
      </c>
      <c r="F209" s="102"/>
      <c r="G209" s="116">
        <f t="shared" si="34"/>
        <v>0</v>
      </c>
      <c r="H209" s="225">
        <v>20.82</v>
      </c>
      <c r="I209" s="102"/>
      <c r="J209" s="116">
        <f t="shared" si="35"/>
        <v>0</v>
      </c>
      <c r="K209" s="102"/>
      <c r="N209" s="99"/>
    </row>
    <row r="210" spans="1:14">
      <c r="A210" s="206">
        <f t="shared" si="39"/>
        <v>199</v>
      </c>
      <c r="B210" s="123" t="s">
        <v>331</v>
      </c>
      <c r="C210" s="102" t="str">
        <f t="shared" si="38"/>
        <v>SCHEDULE 53</v>
      </c>
      <c r="D210" s="46">
        <v>0</v>
      </c>
      <c r="E210" s="225">
        <f>'Tariff Summary Lights'!F157</f>
        <v>17.27</v>
      </c>
      <c r="F210" s="102"/>
      <c r="G210" s="116">
        <f t="shared" si="34"/>
        <v>0</v>
      </c>
      <c r="H210" s="225">
        <v>20.82</v>
      </c>
      <c r="I210" s="102"/>
      <c r="J210" s="116">
        <f t="shared" si="35"/>
        <v>0</v>
      </c>
      <c r="K210" s="102"/>
      <c r="N210" s="99"/>
    </row>
    <row r="211" spans="1:14">
      <c r="A211" s="206">
        <f t="shared" si="39"/>
        <v>200</v>
      </c>
      <c r="B211" s="123" t="s">
        <v>332</v>
      </c>
      <c r="C211" s="102" t="str">
        <f t="shared" si="38"/>
        <v>SCHEDULE 53</v>
      </c>
      <c r="D211" s="46">
        <v>0</v>
      </c>
      <c r="E211" s="225">
        <f>'Tariff Summary Lights'!F158</f>
        <v>17.45</v>
      </c>
      <c r="F211" s="102"/>
      <c r="G211" s="116">
        <f t="shared" ref="G211:G216" si="40">ROUND(D211*E211*12,0)</f>
        <v>0</v>
      </c>
      <c r="H211" s="225">
        <v>22</v>
      </c>
      <c r="I211" s="102"/>
      <c r="J211" s="116">
        <f t="shared" ref="J211:J216" si="41">ROUND(H211*$D211*12,0)</f>
        <v>0</v>
      </c>
      <c r="K211" s="102"/>
      <c r="N211" s="99"/>
    </row>
    <row r="212" spans="1:14">
      <c r="A212" s="206">
        <f t="shared" si="39"/>
        <v>201</v>
      </c>
      <c r="B212" s="123" t="s">
        <v>333</v>
      </c>
      <c r="C212" s="102" t="str">
        <f t="shared" si="38"/>
        <v>SCHEDULE 53</v>
      </c>
      <c r="D212" s="46">
        <v>0</v>
      </c>
      <c r="E212" s="225">
        <f>'Tariff Summary Lights'!F159</f>
        <v>17.62</v>
      </c>
      <c r="F212" s="102"/>
      <c r="G212" s="116">
        <f t="shared" si="40"/>
        <v>0</v>
      </c>
      <c r="H212" s="225">
        <v>22</v>
      </c>
      <c r="I212" s="102"/>
      <c r="J212" s="116">
        <f t="shared" si="41"/>
        <v>0</v>
      </c>
      <c r="K212" s="102"/>
      <c r="N212" s="99"/>
    </row>
    <row r="213" spans="1:14">
      <c r="A213" s="206">
        <f t="shared" si="39"/>
        <v>202</v>
      </c>
      <c r="B213" s="123" t="s">
        <v>334</v>
      </c>
      <c r="C213" s="102" t="str">
        <f t="shared" si="38"/>
        <v>SCHEDULE 53</v>
      </c>
      <c r="D213" s="46">
        <v>11</v>
      </c>
      <c r="E213" s="225">
        <f>'Tariff Summary Lights'!F160</f>
        <v>18.22</v>
      </c>
      <c r="F213" s="102"/>
      <c r="G213" s="116">
        <f t="shared" si="40"/>
        <v>2405</v>
      </c>
      <c r="H213" s="225">
        <v>22</v>
      </c>
      <c r="I213" s="102"/>
      <c r="J213" s="116">
        <f t="shared" si="41"/>
        <v>2904</v>
      </c>
      <c r="K213" s="102"/>
      <c r="N213" s="99"/>
    </row>
    <row r="214" spans="1:14">
      <c r="A214" s="206">
        <f t="shared" si="39"/>
        <v>203</v>
      </c>
      <c r="B214" s="123" t="s">
        <v>335</v>
      </c>
      <c r="C214" s="102" t="str">
        <f t="shared" si="38"/>
        <v>SCHEDULE 53</v>
      </c>
      <c r="D214" s="46">
        <v>0</v>
      </c>
      <c r="E214" s="225">
        <f>'Tariff Summary Lights'!F161</f>
        <v>18.399999999999999</v>
      </c>
      <c r="F214" s="102"/>
      <c r="G214" s="116">
        <f t="shared" si="40"/>
        <v>0</v>
      </c>
      <c r="H214" s="225">
        <v>22</v>
      </c>
      <c r="I214" s="102"/>
      <c r="J214" s="116">
        <f t="shared" si="41"/>
        <v>0</v>
      </c>
      <c r="K214" s="102"/>
      <c r="N214" s="99"/>
    </row>
    <row r="215" spans="1:14">
      <c r="A215" s="206">
        <f t="shared" si="39"/>
        <v>204</v>
      </c>
      <c r="B215" s="123" t="s">
        <v>336</v>
      </c>
      <c r="C215" s="102" t="str">
        <f t="shared" si="38"/>
        <v>SCHEDULE 53</v>
      </c>
      <c r="D215" s="46">
        <v>63</v>
      </c>
      <c r="E215" s="225">
        <f>'Tariff Summary Lights'!F162</f>
        <v>18.57</v>
      </c>
      <c r="F215" s="102"/>
      <c r="G215" s="116">
        <f t="shared" si="40"/>
        <v>14039</v>
      </c>
      <c r="H215" s="225">
        <v>22</v>
      </c>
      <c r="I215" s="102"/>
      <c r="J215" s="116">
        <f t="shared" si="41"/>
        <v>16632</v>
      </c>
      <c r="K215" s="102"/>
      <c r="N215" s="99"/>
    </row>
    <row r="216" spans="1:14">
      <c r="A216" s="206">
        <f t="shared" si="39"/>
        <v>205</v>
      </c>
      <c r="B216" s="123" t="s">
        <v>337</v>
      </c>
      <c r="C216" s="102" t="str">
        <f t="shared" si="38"/>
        <v>SCHEDULE 53</v>
      </c>
      <c r="D216" s="46">
        <v>0</v>
      </c>
      <c r="E216" s="225">
        <f>'Tariff Summary Lights'!F163</f>
        <v>18.75</v>
      </c>
      <c r="F216" s="102"/>
      <c r="G216" s="116">
        <f t="shared" si="40"/>
        <v>0</v>
      </c>
      <c r="H216" s="225">
        <v>22</v>
      </c>
      <c r="I216" s="102"/>
      <c r="J216" s="116">
        <f t="shared" si="41"/>
        <v>0</v>
      </c>
      <c r="K216" s="102"/>
      <c r="N216" s="99"/>
    </row>
    <row r="217" spans="1:14">
      <c r="A217" s="206">
        <f t="shared" si="39"/>
        <v>206</v>
      </c>
      <c r="B217" s="123"/>
      <c r="C217" s="102"/>
      <c r="D217" s="46"/>
      <c r="E217" s="225"/>
      <c r="F217" s="102"/>
      <c r="G217" s="102"/>
      <c r="H217" s="225"/>
      <c r="I217" s="102"/>
      <c r="J217" s="102"/>
      <c r="K217" s="102"/>
      <c r="N217" s="99"/>
    </row>
    <row r="218" spans="1:14">
      <c r="A218" s="206">
        <f t="shared" si="39"/>
        <v>207</v>
      </c>
      <c r="B218" s="123" t="s">
        <v>338</v>
      </c>
      <c r="C218" s="102" t="str">
        <f t="shared" ref="C218:C226" si="42">$B$145</f>
        <v>SCHEDULE 53</v>
      </c>
      <c r="D218" s="46">
        <v>5</v>
      </c>
      <c r="E218" s="225">
        <f>'Tariff Summary Lights'!F165</f>
        <v>4.1000000000000005</v>
      </c>
      <c r="F218" s="102"/>
      <c r="G218" s="116">
        <f t="shared" ref="G218:G226" si="43">ROUND(D218*E218*12,0)</f>
        <v>246</v>
      </c>
      <c r="H218" s="225">
        <v>3.97</v>
      </c>
      <c r="I218" s="102"/>
      <c r="J218" s="116">
        <f t="shared" ref="J218:J226" si="44">ROUND(H218*$D218*12,0)</f>
        <v>238</v>
      </c>
      <c r="K218" s="102"/>
      <c r="N218" s="99"/>
    </row>
    <row r="219" spans="1:14">
      <c r="A219" s="206">
        <f t="shared" si="39"/>
        <v>208</v>
      </c>
      <c r="B219" s="123" t="s">
        <v>339</v>
      </c>
      <c r="C219" s="102" t="str">
        <f t="shared" si="42"/>
        <v>SCHEDULE 53</v>
      </c>
      <c r="D219" s="46">
        <v>91</v>
      </c>
      <c r="E219" s="225">
        <f>'Tariff Summary Lights'!F166</f>
        <v>5.1099999999999994</v>
      </c>
      <c r="F219" s="102"/>
      <c r="G219" s="116">
        <f t="shared" si="43"/>
        <v>5580</v>
      </c>
      <c r="H219" s="225">
        <v>4.63</v>
      </c>
      <c r="I219" s="102"/>
      <c r="J219" s="116">
        <f t="shared" si="44"/>
        <v>5056</v>
      </c>
      <c r="K219" s="102"/>
      <c r="N219" s="99"/>
    </row>
    <row r="220" spans="1:14">
      <c r="A220" s="206">
        <f t="shared" si="39"/>
        <v>209</v>
      </c>
      <c r="B220" s="123" t="s">
        <v>340</v>
      </c>
      <c r="C220" s="102" t="str">
        <f t="shared" si="42"/>
        <v>SCHEDULE 53</v>
      </c>
      <c r="D220" s="46">
        <v>409</v>
      </c>
      <c r="E220" s="225">
        <f>'Tariff Summary Lights'!F167</f>
        <v>6.28</v>
      </c>
      <c r="F220" s="102"/>
      <c r="G220" s="116">
        <f t="shared" si="43"/>
        <v>30822</v>
      </c>
      <c r="H220" s="225">
        <v>5.63</v>
      </c>
      <c r="I220" s="102"/>
      <c r="J220" s="116">
        <f t="shared" si="44"/>
        <v>27632</v>
      </c>
      <c r="K220" s="102"/>
      <c r="N220" s="99"/>
    </row>
    <row r="221" spans="1:14">
      <c r="A221" s="206">
        <f t="shared" si="39"/>
        <v>210</v>
      </c>
      <c r="B221" s="123" t="s">
        <v>341</v>
      </c>
      <c r="C221" s="102" t="str">
        <f t="shared" si="42"/>
        <v>SCHEDULE 53</v>
      </c>
      <c r="D221" s="46">
        <v>259</v>
      </c>
      <c r="E221" s="225">
        <f>'Tariff Summary Lights'!F168</f>
        <v>8.2100000000000009</v>
      </c>
      <c r="F221" s="102"/>
      <c r="G221" s="116">
        <f t="shared" si="43"/>
        <v>25517</v>
      </c>
      <c r="H221" s="225">
        <v>7.3</v>
      </c>
      <c r="I221" s="102"/>
      <c r="J221" s="116">
        <f t="shared" si="44"/>
        <v>22688</v>
      </c>
      <c r="K221" s="102"/>
      <c r="N221" s="99"/>
    </row>
    <row r="222" spans="1:14">
      <c r="A222" s="206">
        <f t="shared" si="39"/>
        <v>211</v>
      </c>
      <c r="B222" s="123" t="s">
        <v>342</v>
      </c>
      <c r="C222" s="102" t="str">
        <f t="shared" si="42"/>
        <v>SCHEDULE 53</v>
      </c>
      <c r="D222" s="46">
        <v>817</v>
      </c>
      <c r="E222" s="225">
        <f>'Tariff Summary Lights'!F169</f>
        <v>10.14</v>
      </c>
      <c r="F222" s="102"/>
      <c r="G222" s="116">
        <f t="shared" si="43"/>
        <v>99413</v>
      </c>
      <c r="H222" s="225">
        <v>8.9600000000000009</v>
      </c>
      <c r="I222" s="102"/>
      <c r="J222" s="116">
        <f t="shared" si="44"/>
        <v>87844</v>
      </c>
      <c r="K222" s="102"/>
      <c r="N222" s="99"/>
    </row>
    <row r="223" spans="1:14">
      <c r="A223" s="206">
        <f t="shared" si="39"/>
        <v>212</v>
      </c>
      <c r="B223" s="123" t="s">
        <v>343</v>
      </c>
      <c r="C223" s="102" t="str">
        <f t="shared" si="42"/>
        <v>SCHEDULE 53</v>
      </c>
      <c r="D223" s="46">
        <v>570</v>
      </c>
      <c r="E223" s="225">
        <f>'Tariff Summary Lights'!F170</f>
        <v>12.139999999999999</v>
      </c>
      <c r="F223" s="102"/>
      <c r="G223" s="116">
        <f t="shared" si="43"/>
        <v>83038</v>
      </c>
      <c r="H223" s="225">
        <v>10.62</v>
      </c>
      <c r="I223" s="102"/>
      <c r="J223" s="116">
        <f t="shared" si="44"/>
        <v>72641</v>
      </c>
      <c r="K223" s="102"/>
      <c r="N223" s="99"/>
    </row>
    <row r="224" spans="1:14">
      <c r="A224" s="206">
        <f t="shared" si="39"/>
        <v>213</v>
      </c>
      <c r="B224" s="123" t="s">
        <v>344</v>
      </c>
      <c r="C224" s="102" t="str">
        <f t="shared" si="42"/>
        <v>SCHEDULE 53</v>
      </c>
      <c r="D224" s="46">
        <v>19</v>
      </c>
      <c r="E224" s="225">
        <f>'Tariff Summary Lights'!F171</f>
        <v>14.629999999999999</v>
      </c>
      <c r="F224" s="102"/>
      <c r="G224" s="116">
        <f t="shared" si="43"/>
        <v>3336</v>
      </c>
      <c r="H224" s="225">
        <v>12.62</v>
      </c>
      <c r="I224" s="102"/>
      <c r="J224" s="116">
        <f t="shared" si="44"/>
        <v>2877</v>
      </c>
      <c r="K224" s="102"/>
      <c r="N224" s="99"/>
    </row>
    <row r="225" spans="1:14">
      <c r="A225" s="206">
        <f t="shared" si="39"/>
        <v>214</v>
      </c>
      <c r="B225" s="123" t="s">
        <v>345</v>
      </c>
      <c r="C225" s="102" t="str">
        <f t="shared" si="42"/>
        <v>SCHEDULE 53</v>
      </c>
      <c r="D225" s="46">
        <v>964</v>
      </c>
      <c r="E225" s="225">
        <f>'Tariff Summary Lights'!F172</f>
        <v>17.689999999999998</v>
      </c>
      <c r="F225" s="102"/>
      <c r="G225" s="116">
        <f t="shared" si="43"/>
        <v>204638</v>
      </c>
      <c r="H225" s="225">
        <v>15.61</v>
      </c>
      <c r="I225" s="102"/>
      <c r="J225" s="116">
        <f t="shared" si="44"/>
        <v>180576</v>
      </c>
      <c r="K225" s="102"/>
      <c r="N225" s="99"/>
    </row>
    <row r="226" spans="1:14">
      <c r="A226" s="206">
        <f t="shared" si="39"/>
        <v>215</v>
      </c>
      <c r="B226" s="123" t="s">
        <v>346</v>
      </c>
      <c r="C226" s="102" t="str">
        <f t="shared" si="42"/>
        <v>SCHEDULE 53</v>
      </c>
      <c r="D226" s="46">
        <v>0</v>
      </c>
      <c r="E226" s="225">
        <f>'Tariff Summary Lights'!F173</f>
        <v>42.79</v>
      </c>
      <c r="F226" s="102"/>
      <c r="G226" s="116">
        <f t="shared" si="43"/>
        <v>0</v>
      </c>
      <c r="H226" s="225">
        <v>35.57</v>
      </c>
      <c r="I226" s="102"/>
      <c r="J226" s="116">
        <f t="shared" si="44"/>
        <v>0</v>
      </c>
      <c r="K226" s="102"/>
      <c r="N226" s="99"/>
    </row>
    <row r="227" spans="1:14">
      <c r="A227" s="206">
        <f t="shared" si="39"/>
        <v>216</v>
      </c>
      <c r="B227" s="123"/>
      <c r="C227" s="102"/>
      <c r="D227" s="46"/>
      <c r="E227" s="225"/>
      <c r="F227" s="102"/>
      <c r="G227" s="102"/>
      <c r="H227" s="225"/>
      <c r="I227" s="102"/>
      <c r="J227" s="102"/>
      <c r="K227" s="102"/>
      <c r="N227" s="99"/>
    </row>
    <row r="228" spans="1:14">
      <c r="A228" s="206">
        <f t="shared" si="39"/>
        <v>217</v>
      </c>
      <c r="B228" s="123" t="s">
        <v>347</v>
      </c>
      <c r="C228" s="102" t="str">
        <f t="shared" ref="C228:C233" si="45">$B$145</f>
        <v>SCHEDULE 53</v>
      </c>
      <c r="D228" s="46">
        <v>0</v>
      </c>
      <c r="E228" s="225">
        <f>'Tariff Summary Lights'!F175</f>
        <v>9.1100000000000012</v>
      </c>
      <c r="F228" s="102"/>
      <c r="G228" s="116">
        <f t="shared" ref="G228:G233" si="46">ROUND(D228*E228*12,0)</f>
        <v>0</v>
      </c>
      <c r="H228" s="225">
        <v>6.94</v>
      </c>
      <c r="I228" s="102"/>
      <c r="J228" s="116">
        <f t="shared" ref="J228:J233" si="47">ROUND(H228*$D228*12,0)</f>
        <v>0</v>
      </c>
      <c r="K228" s="102"/>
      <c r="N228" s="99"/>
    </row>
    <row r="229" spans="1:14">
      <c r="A229" s="206">
        <f t="shared" si="39"/>
        <v>218</v>
      </c>
      <c r="B229" s="123" t="s">
        <v>348</v>
      </c>
      <c r="C229" s="102" t="str">
        <f t="shared" si="45"/>
        <v>SCHEDULE 53</v>
      </c>
      <c r="D229" s="46">
        <v>0</v>
      </c>
      <c r="E229" s="225">
        <f>'Tariff Summary Lights'!F176</f>
        <v>9.9799999999999986</v>
      </c>
      <c r="F229" s="102"/>
      <c r="G229" s="116">
        <f t="shared" si="46"/>
        <v>0</v>
      </c>
      <c r="H229" s="225">
        <v>7.94</v>
      </c>
      <c r="I229" s="102"/>
      <c r="J229" s="116">
        <f t="shared" si="47"/>
        <v>0</v>
      </c>
      <c r="K229" s="102"/>
      <c r="N229" s="99"/>
    </row>
    <row r="230" spans="1:14">
      <c r="A230" s="206">
        <f t="shared" si="39"/>
        <v>219</v>
      </c>
      <c r="B230" s="123" t="s">
        <v>349</v>
      </c>
      <c r="C230" s="102" t="str">
        <f t="shared" si="45"/>
        <v>SCHEDULE 53</v>
      </c>
      <c r="D230" s="46">
        <v>0</v>
      </c>
      <c r="E230" s="225">
        <f>'Tariff Summary Lights'!F177</f>
        <v>12.09</v>
      </c>
      <c r="F230" s="102"/>
      <c r="G230" s="116">
        <f t="shared" si="46"/>
        <v>0</v>
      </c>
      <c r="H230" s="225">
        <v>9.6</v>
      </c>
      <c r="I230" s="102"/>
      <c r="J230" s="116">
        <f t="shared" si="47"/>
        <v>0</v>
      </c>
      <c r="K230" s="102"/>
      <c r="N230" s="99"/>
    </row>
    <row r="231" spans="1:14">
      <c r="A231" s="206">
        <f t="shared" si="39"/>
        <v>220</v>
      </c>
      <c r="B231" s="123" t="s">
        <v>350</v>
      </c>
      <c r="C231" s="102" t="str">
        <f t="shared" si="45"/>
        <v>SCHEDULE 53</v>
      </c>
      <c r="D231" s="46">
        <v>4</v>
      </c>
      <c r="E231" s="225">
        <f>'Tariff Summary Lights'!F178</f>
        <v>15.579999999999998</v>
      </c>
      <c r="F231" s="102"/>
      <c r="G231" s="116">
        <f t="shared" si="46"/>
        <v>748</v>
      </c>
      <c r="H231" s="225">
        <v>10.43</v>
      </c>
      <c r="I231" s="102"/>
      <c r="J231" s="116">
        <f t="shared" si="47"/>
        <v>501</v>
      </c>
      <c r="K231" s="102"/>
      <c r="N231" s="99"/>
    </row>
    <row r="232" spans="1:14">
      <c r="A232" s="206">
        <f t="shared" si="39"/>
        <v>221</v>
      </c>
      <c r="B232" s="123" t="s">
        <v>351</v>
      </c>
      <c r="C232" s="102" t="str">
        <f t="shared" si="45"/>
        <v>SCHEDULE 53</v>
      </c>
      <c r="D232" s="46">
        <v>0</v>
      </c>
      <c r="E232" s="225">
        <f>'Tariff Summary Lights'!F179</f>
        <v>16.079999999999998</v>
      </c>
      <c r="F232" s="102"/>
      <c r="G232" s="116">
        <f t="shared" si="46"/>
        <v>0</v>
      </c>
      <c r="H232" s="225">
        <v>12.93</v>
      </c>
      <c r="I232" s="102"/>
      <c r="J232" s="116">
        <f t="shared" si="47"/>
        <v>0</v>
      </c>
      <c r="K232" s="102"/>
      <c r="N232" s="99"/>
    </row>
    <row r="233" spans="1:14">
      <c r="A233" s="206">
        <f t="shared" si="39"/>
        <v>222</v>
      </c>
      <c r="B233" s="123" t="s">
        <v>352</v>
      </c>
      <c r="C233" s="102" t="str">
        <f t="shared" si="45"/>
        <v>SCHEDULE 53</v>
      </c>
      <c r="D233" s="46">
        <v>0</v>
      </c>
      <c r="E233" s="225">
        <f>'Tariff Summary Lights'!F180</f>
        <v>18.09</v>
      </c>
      <c r="F233" s="102"/>
      <c r="G233" s="116">
        <f t="shared" si="46"/>
        <v>0</v>
      </c>
      <c r="H233" s="225">
        <v>17.920000000000002</v>
      </c>
      <c r="I233" s="102"/>
      <c r="J233" s="116">
        <f t="shared" si="47"/>
        <v>0</v>
      </c>
      <c r="K233" s="102"/>
      <c r="N233" s="99"/>
    </row>
    <row r="234" spans="1:14">
      <c r="A234" s="206">
        <f t="shared" si="39"/>
        <v>223</v>
      </c>
      <c r="B234" s="123"/>
      <c r="C234" s="102"/>
      <c r="D234" s="46"/>
      <c r="E234" s="225"/>
      <c r="F234" s="102"/>
      <c r="G234" s="102"/>
      <c r="H234" s="225"/>
      <c r="I234" s="102"/>
      <c r="J234" s="102"/>
      <c r="K234" s="102"/>
      <c r="N234" s="99"/>
    </row>
    <row r="235" spans="1:14">
      <c r="A235" s="206">
        <f t="shared" si="39"/>
        <v>224</v>
      </c>
      <c r="B235" s="123" t="s">
        <v>353</v>
      </c>
      <c r="C235" s="102" t="str">
        <f t="shared" ref="C235:C288" si="48">$B$145</f>
        <v>SCHEDULE 53</v>
      </c>
      <c r="D235" s="46">
        <v>42</v>
      </c>
      <c r="E235" s="225">
        <f>'Tariff Summary Lights'!F182</f>
        <v>2.4899999999999998</v>
      </c>
      <c r="F235" s="102"/>
      <c r="G235" s="116">
        <f t="shared" ref="G235:G288" si="49">ROUND(D235*E235*12,0)</f>
        <v>1255</v>
      </c>
      <c r="H235" s="225">
        <v>1.96</v>
      </c>
      <c r="I235" s="102"/>
      <c r="J235" s="116">
        <f t="shared" ref="J235:J288" si="50">ROUND(H235*$D235*12,0)</f>
        <v>988</v>
      </c>
      <c r="K235" s="102"/>
      <c r="N235" s="99"/>
    </row>
    <row r="236" spans="1:14">
      <c r="A236" s="206">
        <f t="shared" si="39"/>
        <v>225</v>
      </c>
      <c r="B236" s="123" t="s">
        <v>354</v>
      </c>
      <c r="C236" s="102" t="str">
        <f t="shared" si="48"/>
        <v>SCHEDULE 53</v>
      </c>
      <c r="D236" s="46">
        <v>3</v>
      </c>
      <c r="E236" s="225">
        <f>'Tariff Summary Lights'!F183</f>
        <v>2.67</v>
      </c>
      <c r="F236" s="102"/>
      <c r="G236" s="116">
        <f t="shared" si="49"/>
        <v>96</v>
      </c>
      <c r="H236" s="225">
        <v>1.96</v>
      </c>
      <c r="I236" s="102"/>
      <c r="J236" s="116">
        <f t="shared" si="50"/>
        <v>71</v>
      </c>
      <c r="K236" s="102"/>
      <c r="N236" s="99"/>
    </row>
    <row r="237" spans="1:14">
      <c r="A237" s="206">
        <f t="shared" si="39"/>
        <v>226</v>
      </c>
      <c r="B237" s="123" t="s">
        <v>355</v>
      </c>
      <c r="C237" s="102" t="str">
        <f t="shared" si="48"/>
        <v>SCHEDULE 53</v>
      </c>
      <c r="D237" s="46">
        <v>70</v>
      </c>
      <c r="E237" s="225">
        <f>'Tariff Summary Lights'!F184</f>
        <v>2.8400000000000003</v>
      </c>
      <c r="F237" s="102"/>
      <c r="G237" s="116">
        <f t="shared" si="49"/>
        <v>2386</v>
      </c>
      <c r="H237" s="225">
        <v>1.96</v>
      </c>
      <c r="I237" s="102"/>
      <c r="J237" s="116">
        <f t="shared" si="50"/>
        <v>1646</v>
      </c>
      <c r="K237" s="102"/>
      <c r="N237" s="99"/>
    </row>
    <row r="238" spans="1:14">
      <c r="A238" s="206">
        <f t="shared" si="39"/>
        <v>227</v>
      </c>
      <c r="B238" s="123" t="s">
        <v>356</v>
      </c>
      <c r="C238" s="102" t="str">
        <f t="shared" si="48"/>
        <v>SCHEDULE 53</v>
      </c>
      <c r="D238" s="46">
        <v>171</v>
      </c>
      <c r="E238" s="225">
        <f>'Tariff Summary Lights'!F185</f>
        <v>3.02</v>
      </c>
      <c r="F238" s="102"/>
      <c r="G238" s="116">
        <f t="shared" si="49"/>
        <v>6197</v>
      </c>
      <c r="H238" s="225">
        <v>1.96</v>
      </c>
      <c r="I238" s="102"/>
      <c r="J238" s="116">
        <f t="shared" si="50"/>
        <v>4022</v>
      </c>
      <c r="K238" s="102"/>
      <c r="N238" s="99"/>
    </row>
    <row r="239" spans="1:14">
      <c r="A239" s="206">
        <f t="shared" si="39"/>
        <v>228</v>
      </c>
      <c r="B239" s="123" t="s">
        <v>357</v>
      </c>
      <c r="C239" s="102" t="str">
        <f t="shared" si="48"/>
        <v>SCHEDULE 53</v>
      </c>
      <c r="D239" s="46">
        <v>10</v>
      </c>
      <c r="E239" s="225">
        <f>'Tariff Summary Lights'!F186</f>
        <v>3.19</v>
      </c>
      <c r="F239" s="102"/>
      <c r="G239" s="116">
        <f t="shared" si="49"/>
        <v>383</v>
      </c>
      <c r="H239" s="225">
        <v>1.96</v>
      </c>
      <c r="I239" s="102"/>
      <c r="J239" s="116">
        <f t="shared" si="50"/>
        <v>235</v>
      </c>
      <c r="K239" s="102"/>
      <c r="N239" s="99"/>
    </row>
    <row r="240" spans="1:14">
      <c r="A240" s="206">
        <f t="shared" si="39"/>
        <v>229</v>
      </c>
      <c r="B240" s="123" t="s">
        <v>358</v>
      </c>
      <c r="C240" s="102" t="str">
        <f t="shared" si="48"/>
        <v>SCHEDULE 53</v>
      </c>
      <c r="D240" s="46">
        <v>0</v>
      </c>
      <c r="E240" s="225">
        <f>'Tariff Summary Lights'!F187</f>
        <v>3.37</v>
      </c>
      <c r="F240" s="102"/>
      <c r="G240" s="116">
        <f t="shared" si="49"/>
        <v>0</v>
      </c>
      <c r="H240" s="225">
        <v>1.96</v>
      </c>
      <c r="I240" s="102"/>
      <c r="J240" s="116">
        <f t="shared" si="50"/>
        <v>0</v>
      </c>
      <c r="K240" s="102"/>
      <c r="N240" s="99"/>
    </row>
    <row r="241" spans="1:14">
      <c r="A241" s="206">
        <f t="shared" si="39"/>
        <v>230</v>
      </c>
      <c r="B241" s="123" t="s">
        <v>359</v>
      </c>
      <c r="C241" s="102" t="str">
        <f t="shared" si="48"/>
        <v>SCHEDULE 53</v>
      </c>
      <c r="D241" s="46">
        <v>0</v>
      </c>
      <c r="E241" s="225">
        <f>'Tariff Summary Lights'!F188</f>
        <v>3.5500000000000003</v>
      </c>
      <c r="F241" s="102"/>
      <c r="G241" s="116">
        <f t="shared" si="49"/>
        <v>0</v>
      </c>
      <c r="H241" s="225">
        <v>2.96</v>
      </c>
      <c r="I241" s="102"/>
      <c r="J241" s="116">
        <f t="shared" si="50"/>
        <v>0</v>
      </c>
      <c r="K241" s="102"/>
      <c r="N241" s="99"/>
    </row>
    <row r="242" spans="1:14">
      <c r="A242" s="206">
        <f t="shared" si="39"/>
        <v>231</v>
      </c>
      <c r="B242" s="123" t="s">
        <v>360</v>
      </c>
      <c r="C242" s="102" t="str">
        <f t="shared" si="48"/>
        <v>SCHEDULE 53</v>
      </c>
      <c r="D242" s="46">
        <v>1</v>
      </c>
      <c r="E242" s="225">
        <f>'Tariff Summary Lights'!F189</f>
        <v>3.7199999999999998</v>
      </c>
      <c r="F242" s="102"/>
      <c r="G242" s="116">
        <f t="shared" si="49"/>
        <v>45</v>
      </c>
      <c r="H242" s="225">
        <v>2.96</v>
      </c>
      <c r="I242" s="102"/>
      <c r="J242" s="116">
        <f t="shared" si="50"/>
        <v>36</v>
      </c>
      <c r="K242" s="102"/>
      <c r="N242" s="99"/>
    </row>
    <row r="243" spans="1:14">
      <c r="A243" s="206">
        <f t="shared" si="39"/>
        <v>232</v>
      </c>
      <c r="B243" s="123" t="s">
        <v>361</v>
      </c>
      <c r="C243" s="102" t="str">
        <f t="shared" si="48"/>
        <v>SCHEDULE 53</v>
      </c>
      <c r="D243" s="46">
        <v>0</v>
      </c>
      <c r="E243" s="225">
        <f>'Tariff Summary Lights'!F190</f>
        <v>3.8999999999999995</v>
      </c>
      <c r="F243" s="102"/>
      <c r="G243" s="116">
        <f t="shared" si="49"/>
        <v>0</v>
      </c>
      <c r="H243" s="225">
        <v>2.96</v>
      </c>
      <c r="I243" s="102"/>
      <c r="J243" s="116">
        <f t="shared" si="50"/>
        <v>0</v>
      </c>
      <c r="K243" s="102"/>
      <c r="N243" s="99"/>
    </row>
    <row r="244" spans="1:14">
      <c r="A244" s="206">
        <f t="shared" si="39"/>
        <v>233</v>
      </c>
      <c r="B244" s="123" t="s">
        <v>362</v>
      </c>
      <c r="C244" s="102" t="str">
        <f t="shared" si="48"/>
        <v>SCHEDULE 53</v>
      </c>
      <c r="D244" s="46">
        <v>0</v>
      </c>
      <c r="E244" s="225">
        <f>'Tariff Summary Lights'!F191</f>
        <v>4.07</v>
      </c>
      <c r="F244" s="102"/>
      <c r="G244" s="116">
        <f t="shared" si="49"/>
        <v>0</v>
      </c>
      <c r="H244" s="225">
        <v>2.96</v>
      </c>
      <c r="I244" s="102"/>
      <c r="J244" s="116">
        <f t="shared" si="50"/>
        <v>0</v>
      </c>
      <c r="K244" s="102"/>
      <c r="N244" s="99"/>
    </row>
    <row r="245" spans="1:14">
      <c r="A245" s="206">
        <f t="shared" si="39"/>
        <v>234</v>
      </c>
      <c r="B245" s="123" t="s">
        <v>363</v>
      </c>
      <c r="C245" s="102" t="str">
        <f t="shared" si="48"/>
        <v>SCHEDULE 53</v>
      </c>
      <c r="D245" s="46">
        <v>408</v>
      </c>
      <c r="E245" s="225">
        <f>'Tariff Summary Lights'!F192</f>
        <v>4.25</v>
      </c>
      <c r="F245" s="102"/>
      <c r="G245" s="116">
        <f t="shared" si="49"/>
        <v>20808</v>
      </c>
      <c r="H245" s="225">
        <v>2.96</v>
      </c>
      <c r="I245" s="102"/>
      <c r="J245" s="116">
        <f t="shared" si="50"/>
        <v>14492</v>
      </c>
      <c r="K245" s="102"/>
      <c r="N245" s="99"/>
    </row>
    <row r="246" spans="1:14">
      <c r="A246" s="206">
        <f t="shared" si="39"/>
        <v>235</v>
      </c>
      <c r="B246" s="123" t="s">
        <v>364</v>
      </c>
      <c r="C246" s="102" t="str">
        <f t="shared" si="48"/>
        <v>SCHEDULE 53</v>
      </c>
      <c r="D246" s="46">
        <v>0</v>
      </c>
      <c r="E246" s="225">
        <f>'Tariff Summary Lights'!F193</f>
        <v>4.42</v>
      </c>
      <c r="F246" s="102"/>
      <c r="G246" s="116">
        <f t="shared" si="49"/>
        <v>0</v>
      </c>
      <c r="H246" s="225">
        <v>2.96</v>
      </c>
      <c r="I246" s="102"/>
      <c r="J246" s="116">
        <f t="shared" si="50"/>
        <v>0</v>
      </c>
      <c r="K246" s="102"/>
      <c r="N246" s="99"/>
    </row>
    <row r="247" spans="1:14">
      <c r="A247" s="206">
        <f t="shared" si="39"/>
        <v>236</v>
      </c>
      <c r="B247" s="123" t="s">
        <v>365</v>
      </c>
      <c r="C247" s="102" t="str">
        <f t="shared" si="48"/>
        <v>SCHEDULE 53</v>
      </c>
      <c r="D247" s="46">
        <v>244</v>
      </c>
      <c r="E247" s="225">
        <f>'Tariff Summary Lights'!F194</f>
        <v>4.6100000000000003</v>
      </c>
      <c r="F247" s="102"/>
      <c r="G247" s="116">
        <f t="shared" si="49"/>
        <v>13498</v>
      </c>
      <c r="H247" s="225">
        <v>3.95</v>
      </c>
      <c r="I247" s="102"/>
      <c r="J247" s="116">
        <f t="shared" si="50"/>
        <v>11566</v>
      </c>
      <c r="K247" s="102"/>
      <c r="N247" s="99"/>
    </row>
    <row r="248" spans="1:14">
      <c r="A248" s="206">
        <f t="shared" si="39"/>
        <v>237</v>
      </c>
      <c r="B248" s="123" t="s">
        <v>366</v>
      </c>
      <c r="C248" s="102" t="str">
        <f t="shared" si="48"/>
        <v>SCHEDULE 53</v>
      </c>
      <c r="D248" s="46">
        <v>0</v>
      </c>
      <c r="E248" s="225">
        <f>'Tariff Summary Lights'!F195</f>
        <v>4.7799999999999994</v>
      </c>
      <c r="F248" s="102"/>
      <c r="G248" s="116">
        <f t="shared" si="49"/>
        <v>0</v>
      </c>
      <c r="H248" s="225">
        <v>3.95</v>
      </c>
      <c r="I248" s="102"/>
      <c r="J248" s="116">
        <f t="shared" si="50"/>
        <v>0</v>
      </c>
      <c r="K248" s="102"/>
      <c r="N248" s="99"/>
    </row>
    <row r="249" spans="1:14">
      <c r="A249" s="206">
        <f t="shared" si="39"/>
        <v>238</v>
      </c>
      <c r="B249" s="123" t="s">
        <v>367</v>
      </c>
      <c r="C249" s="102" t="str">
        <f t="shared" si="48"/>
        <v>SCHEDULE 53</v>
      </c>
      <c r="D249" s="46">
        <v>208</v>
      </c>
      <c r="E249" s="225">
        <f>'Tariff Summary Lights'!F196</f>
        <v>4.96</v>
      </c>
      <c r="F249" s="102"/>
      <c r="G249" s="116">
        <f t="shared" si="49"/>
        <v>12380</v>
      </c>
      <c r="H249" s="225">
        <v>3.95</v>
      </c>
      <c r="I249" s="102"/>
      <c r="J249" s="116">
        <f t="shared" si="50"/>
        <v>9859</v>
      </c>
      <c r="K249" s="102"/>
      <c r="N249" s="99"/>
    </row>
    <row r="250" spans="1:14">
      <c r="A250" s="206">
        <f t="shared" si="39"/>
        <v>239</v>
      </c>
      <c r="B250" s="123" t="s">
        <v>368</v>
      </c>
      <c r="C250" s="102" t="str">
        <f t="shared" si="48"/>
        <v>SCHEDULE 53</v>
      </c>
      <c r="D250" s="46">
        <v>0</v>
      </c>
      <c r="E250" s="225">
        <f>'Tariff Summary Lights'!F197</f>
        <v>5.13</v>
      </c>
      <c r="F250" s="102"/>
      <c r="G250" s="116">
        <f t="shared" si="49"/>
        <v>0</v>
      </c>
      <c r="H250" s="225">
        <v>3.95</v>
      </c>
      <c r="I250" s="102"/>
      <c r="J250" s="116">
        <f t="shared" si="50"/>
        <v>0</v>
      </c>
      <c r="K250" s="102"/>
      <c r="N250" s="99"/>
    </row>
    <row r="251" spans="1:14">
      <c r="A251" s="206">
        <f t="shared" si="39"/>
        <v>240</v>
      </c>
      <c r="B251" s="123" t="s">
        <v>369</v>
      </c>
      <c r="C251" s="102" t="str">
        <f t="shared" si="48"/>
        <v>SCHEDULE 53</v>
      </c>
      <c r="D251" s="46">
        <v>0</v>
      </c>
      <c r="E251" s="225">
        <f>'Tariff Summary Lights'!F198</f>
        <v>5.3</v>
      </c>
      <c r="F251" s="102"/>
      <c r="G251" s="116">
        <f t="shared" si="49"/>
        <v>0</v>
      </c>
      <c r="H251" s="225">
        <v>3.95</v>
      </c>
      <c r="I251" s="102"/>
      <c r="J251" s="116">
        <f t="shared" si="50"/>
        <v>0</v>
      </c>
      <c r="K251" s="102"/>
      <c r="N251" s="99"/>
    </row>
    <row r="252" spans="1:14">
      <c r="A252" s="206">
        <f t="shared" si="39"/>
        <v>241</v>
      </c>
      <c r="B252" s="123" t="s">
        <v>370</v>
      </c>
      <c r="C252" s="102" t="str">
        <f t="shared" si="48"/>
        <v>SCHEDULE 53</v>
      </c>
      <c r="D252" s="46">
        <v>0</v>
      </c>
      <c r="E252" s="225">
        <f>'Tariff Summary Lights'!F199</f>
        <v>5.48</v>
      </c>
      <c r="F252" s="102"/>
      <c r="G252" s="116">
        <f t="shared" si="49"/>
        <v>0</v>
      </c>
      <c r="H252" s="225">
        <v>3.95</v>
      </c>
      <c r="I252" s="102"/>
      <c r="J252" s="116">
        <f t="shared" si="50"/>
        <v>0</v>
      </c>
      <c r="K252" s="102"/>
      <c r="N252" s="99"/>
    </row>
    <row r="253" spans="1:14">
      <c r="A253" s="206">
        <f t="shared" si="39"/>
        <v>242</v>
      </c>
      <c r="B253" s="123" t="s">
        <v>371</v>
      </c>
      <c r="C253" s="102" t="str">
        <f t="shared" si="48"/>
        <v>SCHEDULE 53</v>
      </c>
      <c r="D253" s="46">
        <v>0</v>
      </c>
      <c r="E253" s="225">
        <f>'Tariff Summary Lights'!F200</f>
        <v>5.65</v>
      </c>
      <c r="F253" s="102"/>
      <c r="G253" s="116">
        <f t="shared" si="49"/>
        <v>0</v>
      </c>
      <c r="H253" s="225">
        <v>4.95</v>
      </c>
      <c r="I253" s="102"/>
      <c r="J253" s="116">
        <f t="shared" si="50"/>
        <v>0</v>
      </c>
      <c r="K253" s="102"/>
      <c r="N253" s="99"/>
    </row>
    <row r="254" spans="1:14">
      <c r="A254" s="206">
        <f t="shared" si="39"/>
        <v>243</v>
      </c>
      <c r="B254" s="123" t="s">
        <v>372</v>
      </c>
      <c r="C254" s="102" t="str">
        <f t="shared" si="48"/>
        <v>SCHEDULE 53</v>
      </c>
      <c r="D254" s="46">
        <v>0</v>
      </c>
      <c r="E254" s="225">
        <f>'Tariff Summary Lights'!F201</f>
        <v>5.84</v>
      </c>
      <c r="F254" s="102"/>
      <c r="G254" s="116">
        <f t="shared" si="49"/>
        <v>0</v>
      </c>
      <c r="H254" s="225">
        <v>4.95</v>
      </c>
      <c r="I254" s="102"/>
      <c r="J254" s="116">
        <f t="shared" si="50"/>
        <v>0</v>
      </c>
      <c r="K254" s="102"/>
      <c r="N254" s="99"/>
    </row>
    <row r="255" spans="1:14">
      <c r="A255" s="206">
        <f t="shared" si="39"/>
        <v>244</v>
      </c>
      <c r="B255" s="123" t="s">
        <v>373</v>
      </c>
      <c r="C255" s="102" t="str">
        <f t="shared" si="48"/>
        <v>SCHEDULE 53</v>
      </c>
      <c r="D255" s="46">
        <v>2</v>
      </c>
      <c r="E255" s="225">
        <f>'Tariff Summary Lights'!F202</f>
        <v>6.01</v>
      </c>
      <c r="F255" s="102"/>
      <c r="G255" s="116">
        <f t="shared" si="49"/>
        <v>144</v>
      </c>
      <c r="H255" s="225">
        <v>4.95</v>
      </c>
      <c r="I255" s="102"/>
      <c r="J255" s="116">
        <f t="shared" si="50"/>
        <v>119</v>
      </c>
      <c r="K255" s="102"/>
      <c r="N255" s="99"/>
    </row>
    <row r="256" spans="1:14">
      <c r="A256" s="206">
        <f t="shared" si="39"/>
        <v>245</v>
      </c>
      <c r="B256" s="123" t="s">
        <v>374</v>
      </c>
      <c r="C256" s="102" t="str">
        <f t="shared" si="48"/>
        <v>SCHEDULE 53</v>
      </c>
      <c r="D256" s="46">
        <v>8</v>
      </c>
      <c r="E256" s="225">
        <f>'Tariff Summary Lights'!F203</f>
        <v>6.1899999999999995</v>
      </c>
      <c r="F256" s="102"/>
      <c r="G256" s="116">
        <f t="shared" si="49"/>
        <v>594</v>
      </c>
      <c r="H256" s="225">
        <v>4.95</v>
      </c>
      <c r="I256" s="102"/>
      <c r="J256" s="116">
        <f t="shared" si="50"/>
        <v>475</v>
      </c>
      <c r="K256" s="102"/>
      <c r="N256" s="99"/>
    </row>
    <row r="257" spans="1:11">
      <c r="A257" s="206">
        <f t="shared" si="39"/>
        <v>246</v>
      </c>
      <c r="B257" s="123" t="s">
        <v>375</v>
      </c>
      <c r="C257" s="102" t="str">
        <f t="shared" si="48"/>
        <v>SCHEDULE 53</v>
      </c>
      <c r="D257" s="46">
        <v>0</v>
      </c>
      <c r="E257" s="225">
        <f>'Tariff Summary Lights'!F204</f>
        <v>6.3599999999999994</v>
      </c>
      <c r="F257" s="102"/>
      <c r="G257" s="116">
        <f t="shared" si="49"/>
        <v>0</v>
      </c>
      <c r="H257" s="225">
        <v>4.95</v>
      </c>
      <c r="I257" s="102"/>
      <c r="J257" s="116">
        <f t="shared" si="50"/>
        <v>0</v>
      </c>
      <c r="K257" s="102"/>
    </row>
    <row r="258" spans="1:11">
      <c r="A258" s="206">
        <f t="shared" si="39"/>
        <v>247</v>
      </c>
      <c r="B258" s="123" t="s">
        <v>376</v>
      </c>
      <c r="C258" s="102" t="str">
        <f t="shared" si="48"/>
        <v>SCHEDULE 53</v>
      </c>
      <c r="D258" s="46">
        <v>0</v>
      </c>
      <c r="E258" s="225">
        <f>'Tariff Summary Lights'!F205</f>
        <v>6.54</v>
      </c>
      <c r="F258" s="102"/>
      <c r="G258" s="116">
        <f t="shared" si="49"/>
        <v>0</v>
      </c>
      <c r="H258" s="225">
        <v>4.95</v>
      </c>
      <c r="I258" s="102"/>
      <c r="J258" s="116">
        <f t="shared" si="50"/>
        <v>0</v>
      </c>
      <c r="K258" s="102"/>
    </row>
    <row r="259" spans="1:11">
      <c r="A259" s="206">
        <f t="shared" si="39"/>
        <v>248</v>
      </c>
      <c r="B259" s="123" t="s">
        <v>377</v>
      </c>
      <c r="C259" s="102" t="str">
        <f t="shared" si="48"/>
        <v>SCHEDULE 53</v>
      </c>
      <c r="D259" s="46">
        <v>0</v>
      </c>
      <c r="E259" s="225">
        <f>'Tariff Summary Lights'!F206</f>
        <v>6.71</v>
      </c>
      <c r="F259" s="102"/>
      <c r="G259" s="116">
        <f t="shared" si="49"/>
        <v>0</v>
      </c>
      <c r="H259" s="225">
        <v>5.95</v>
      </c>
      <c r="I259" s="102"/>
      <c r="J259" s="116">
        <f t="shared" si="50"/>
        <v>0</v>
      </c>
      <c r="K259" s="102"/>
    </row>
    <row r="260" spans="1:11">
      <c r="A260" s="206">
        <f t="shared" si="39"/>
        <v>249</v>
      </c>
      <c r="B260" s="123" t="s">
        <v>378</v>
      </c>
      <c r="C260" s="102" t="str">
        <f t="shared" si="48"/>
        <v>SCHEDULE 53</v>
      </c>
      <c r="D260" s="46">
        <v>0</v>
      </c>
      <c r="E260" s="225">
        <f>'Tariff Summary Lights'!F207</f>
        <v>6.89</v>
      </c>
      <c r="F260" s="102"/>
      <c r="G260" s="116">
        <f t="shared" si="49"/>
        <v>0</v>
      </c>
      <c r="H260" s="225">
        <v>5.95</v>
      </c>
      <c r="I260" s="102"/>
      <c r="J260" s="116">
        <f t="shared" si="50"/>
        <v>0</v>
      </c>
      <c r="K260" s="102"/>
    </row>
    <row r="261" spans="1:11">
      <c r="A261" s="206">
        <f t="shared" si="39"/>
        <v>250</v>
      </c>
      <c r="B261" s="123" t="s">
        <v>379</v>
      </c>
      <c r="C261" s="102" t="str">
        <f t="shared" si="48"/>
        <v>SCHEDULE 53</v>
      </c>
      <c r="D261" s="46">
        <v>972</v>
      </c>
      <c r="E261" s="225">
        <f>'Tariff Summary Lights'!F208</f>
        <v>7.07</v>
      </c>
      <c r="F261" s="102"/>
      <c r="G261" s="116">
        <f t="shared" si="49"/>
        <v>82464</v>
      </c>
      <c r="H261" s="225">
        <v>5.95</v>
      </c>
      <c r="I261" s="102"/>
      <c r="J261" s="116">
        <f t="shared" si="50"/>
        <v>69401</v>
      </c>
      <c r="K261" s="102"/>
    </row>
    <row r="262" spans="1:11">
      <c r="A262" s="206">
        <f t="shared" si="39"/>
        <v>251</v>
      </c>
      <c r="B262" s="123" t="s">
        <v>380</v>
      </c>
      <c r="C262" s="102" t="str">
        <f t="shared" si="48"/>
        <v>SCHEDULE 53</v>
      </c>
      <c r="D262" s="46">
        <v>15</v>
      </c>
      <c r="E262" s="225">
        <f>'Tariff Summary Lights'!F209</f>
        <v>7.2399999999999993</v>
      </c>
      <c r="F262" s="102"/>
      <c r="G262" s="116">
        <f t="shared" si="49"/>
        <v>1303</v>
      </c>
      <c r="H262" s="225">
        <v>5.95</v>
      </c>
      <c r="I262" s="102"/>
      <c r="J262" s="116">
        <f t="shared" si="50"/>
        <v>1071</v>
      </c>
      <c r="K262" s="102"/>
    </row>
    <row r="263" spans="1:11">
      <c r="A263" s="206">
        <f t="shared" si="39"/>
        <v>252</v>
      </c>
      <c r="B263" s="123" t="s">
        <v>381</v>
      </c>
      <c r="C263" s="102" t="str">
        <f t="shared" si="48"/>
        <v>SCHEDULE 53</v>
      </c>
      <c r="D263" s="46">
        <v>0</v>
      </c>
      <c r="E263" s="225">
        <f>'Tariff Summary Lights'!F210</f>
        <v>7.42</v>
      </c>
      <c r="F263" s="102"/>
      <c r="G263" s="116">
        <f t="shared" si="49"/>
        <v>0</v>
      </c>
      <c r="H263" s="225">
        <v>5.95</v>
      </c>
      <c r="I263" s="102"/>
      <c r="J263" s="116">
        <f t="shared" si="50"/>
        <v>0</v>
      </c>
      <c r="K263" s="102"/>
    </row>
    <row r="264" spans="1:11">
      <c r="A264" s="206">
        <f t="shared" si="39"/>
        <v>253</v>
      </c>
      <c r="B264" s="123" t="s">
        <v>382</v>
      </c>
      <c r="C264" s="102" t="str">
        <f t="shared" si="48"/>
        <v>SCHEDULE 53</v>
      </c>
      <c r="D264" s="46">
        <v>0</v>
      </c>
      <c r="E264" s="225">
        <f>'Tariff Summary Lights'!F211</f>
        <v>7.59</v>
      </c>
      <c r="F264" s="102"/>
      <c r="G264" s="116">
        <f t="shared" si="49"/>
        <v>0</v>
      </c>
      <c r="H264" s="225">
        <v>5.95</v>
      </c>
      <c r="I264" s="102"/>
      <c r="J264" s="116">
        <f t="shared" si="50"/>
        <v>0</v>
      </c>
      <c r="K264" s="102"/>
    </row>
    <row r="265" spans="1:11">
      <c r="A265" s="206">
        <f t="shared" si="39"/>
        <v>254</v>
      </c>
      <c r="B265" s="123" t="s">
        <v>383</v>
      </c>
      <c r="C265" s="102" t="str">
        <f t="shared" si="48"/>
        <v>SCHEDULE 53</v>
      </c>
      <c r="D265" s="46">
        <v>0</v>
      </c>
      <c r="E265" s="225">
        <f>'Tariff Summary Lights'!F212</f>
        <v>7.77</v>
      </c>
      <c r="F265" s="102"/>
      <c r="G265" s="116">
        <f t="shared" si="49"/>
        <v>0</v>
      </c>
      <c r="H265" s="225">
        <v>6.95</v>
      </c>
      <c r="I265" s="102"/>
      <c r="J265" s="116">
        <f t="shared" si="50"/>
        <v>0</v>
      </c>
      <c r="K265" s="102"/>
    </row>
    <row r="266" spans="1:11">
      <c r="A266" s="206">
        <f t="shared" si="39"/>
        <v>255</v>
      </c>
      <c r="B266" s="123" t="s">
        <v>384</v>
      </c>
      <c r="C266" s="102" t="str">
        <f t="shared" si="48"/>
        <v>SCHEDULE 53</v>
      </c>
      <c r="D266" s="46">
        <v>0</v>
      </c>
      <c r="E266" s="225">
        <f>'Tariff Summary Lights'!F213</f>
        <v>7.9399999999999995</v>
      </c>
      <c r="F266" s="102"/>
      <c r="G266" s="116">
        <f t="shared" si="49"/>
        <v>0</v>
      </c>
      <c r="H266" s="225">
        <v>6.95</v>
      </c>
      <c r="I266" s="102"/>
      <c r="J266" s="116">
        <f t="shared" si="50"/>
        <v>0</v>
      </c>
      <c r="K266" s="102"/>
    </row>
    <row r="267" spans="1:11">
      <c r="A267" s="206">
        <f t="shared" si="39"/>
        <v>256</v>
      </c>
      <c r="B267" s="123" t="s">
        <v>385</v>
      </c>
      <c r="C267" s="102" t="str">
        <f t="shared" si="48"/>
        <v>SCHEDULE 53</v>
      </c>
      <c r="D267" s="46">
        <v>0</v>
      </c>
      <c r="E267" s="225">
        <f>'Tariff Summary Lights'!F214</f>
        <v>8.1199999999999992</v>
      </c>
      <c r="F267" s="102"/>
      <c r="G267" s="116">
        <f t="shared" si="49"/>
        <v>0</v>
      </c>
      <c r="H267" s="225">
        <v>6.95</v>
      </c>
      <c r="I267" s="102"/>
      <c r="J267" s="116">
        <f t="shared" si="50"/>
        <v>0</v>
      </c>
      <c r="K267" s="102"/>
    </row>
    <row r="268" spans="1:11">
      <c r="A268" s="206">
        <f t="shared" si="39"/>
        <v>257</v>
      </c>
      <c r="B268" s="123" t="s">
        <v>386</v>
      </c>
      <c r="C268" s="102" t="str">
        <f t="shared" si="48"/>
        <v>SCHEDULE 53</v>
      </c>
      <c r="D268" s="46">
        <v>1</v>
      </c>
      <c r="E268" s="225">
        <f>'Tariff Summary Lights'!F215</f>
        <v>8.3000000000000007</v>
      </c>
      <c r="F268" s="102"/>
      <c r="G268" s="116">
        <f t="shared" si="49"/>
        <v>100</v>
      </c>
      <c r="H268" s="225">
        <v>6.95</v>
      </c>
      <c r="I268" s="102"/>
      <c r="J268" s="116">
        <f t="shared" si="50"/>
        <v>83</v>
      </c>
      <c r="K268" s="102"/>
    </row>
    <row r="269" spans="1:11">
      <c r="A269" s="206">
        <f t="shared" si="39"/>
        <v>258</v>
      </c>
      <c r="B269" s="123" t="s">
        <v>387</v>
      </c>
      <c r="C269" s="102" t="str">
        <f t="shared" si="48"/>
        <v>SCHEDULE 53</v>
      </c>
      <c r="D269" s="46">
        <v>0</v>
      </c>
      <c r="E269" s="225">
        <f>'Tariff Summary Lights'!F216</f>
        <v>8.48</v>
      </c>
      <c r="F269" s="102"/>
      <c r="G269" s="116">
        <f t="shared" si="49"/>
        <v>0</v>
      </c>
      <c r="H269" s="225">
        <v>6.95</v>
      </c>
      <c r="I269" s="102"/>
      <c r="J269" s="116">
        <f t="shared" si="50"/>
        <v>0</v>
      </c>
      <c r="K269" s="102"/>
    </row>
    <row r="270" spans="1:11">
      <c r="A270" s="206">
        <f t="shared" ref="A270:A333" si="51">A269+1</f>
        <v>259</v>
      </c>
      <c r="B270" s="123" t="s">
        <v>388</v>
      </c>
      <c r="C270" s="102" t="str">
        <f t="shared" si="48"/>
        <v>SCHEDULE 53</v>
      </c>
      <c r="D270" s="46">
        <v>0</v>
      </c>
      <c r="E270" s="225">
        <f>'Tariff Summary Lights'!F217</f>
        <v>8.65</v>
      </c>
      <c r="F270" s="102"/>
      <c r="G270" s="116">
        <f t="shared" si="49"/>
        <v>0</v>
      </c>
      <c r="H270" s="225">
        <v>6.95</v>
      </c>
      <c r="I270" s="102"/>
      <c r="J270" s="116">
        <f t="shared" si="50"/>
        <v>0</v>
      </c>
      <c r="K270" s="102"/>
    </row>
    <row r="271" spans="1:11">
      <c r="A271" s="206">
        <f t="shared" si="51"/>
        <v>260</v>
      </c>
      <c r="B271" s="123" t="s">
        <v>389</v>
      </c>
      <c r="C271" s="102" t="str">
        <f t="shared" si="48"/>
        <v>SCHEDULE 53</v>
      </c>
      <c r="D271" s="46">
        <v>0</v>
      </c>
      <c r="E271" s="225">
        <f>'Tariff Summary Lights'!F218</f>
        <v>8.83</v>
      </c>
      <c r="F271" s="102"/>
      <c r="G271" s="116">
        <f t="shared" si="49"/>
        <v>0</v>
      </c>
      <c r="H271" s="225">
        <v>7.95</v>
      </c>
      <c r="I271" s="102"/>
      <c r="J271" s="116">
        <f t="shared" si="50"/>
        <v>0</v>
      </c>
      <c r="K271" s="102"/>
    </row>
    <row r="272" spans="1:11">
      <c r="A272" s="206">
        <f t="shared" si="51"/>
        <v>261</v>
      </c>
      <c r="B272" s="123" t="s">
        <v>390</v>
      </c>
      <c r="C272" s="102" t="str">
        <f t="shared" si="48"/>
        <v>SCHEDULE 53</v>
      </c>
      <c r="D272" s="46">
        <v>0</v>
      </c>
      <c r="E272" s="225">
        <f>'Tariff Summary Lights'!F219</f>
        <v>9</v>
      </c>
      <c r="F272" s="102"/>
      <c r="G272" s="116">
        <f t="shared" si="49"/>
        <v>0</v>
      </c>
      <c r="H272" s="225">
        <v>7.95</v>
      </c>
      <c r="I272" s="102"/>
      <c r="J272" s="116">
        <f t="shared" si="50"/>
        <v>0</v>
      </c>
      <c r="K272" s="102"/>
    </row>
    <row r="273" spans="1:11">
      <c r="A273" s="206">
        <f t="shared" si="51"/>
        <v>262</v>
      </c>
      <c r="B273" s="123" t="s">
        <v>391</v>
      </c>
      <c r="C273" s="102" t="str">
        <f t="shared" si="48"/>
        <v>SCHEDULE 53</v>
      </c>
      <c r="D273" s="46">
        <v>0</v>
      </c>
      <c r="E273" s="225">
        <f>'Tariff Summary Lights'!F220</f>
        <v>9.1700000000000017</v>
      </c>
      <c r="F273" s="102"/>
      <c r="G273" s="116">
        <f t="shared" si="49"/>
        <v>0</v>
      </c>
      <c r="H273" s="225">
        <v>7.95</v>
      </c>
      <c r="I273" s="102"/>
      <c r="J273" s="116">
        <f t="shared" si="50"/>
        <v>0</v>
      </c>
      <c r="K273" s="102"/>
    </row>
    <row r="274" spans="1:11">
      <c r="A274" s="206">
        <f t="shared" si="51"/>
        <v>263</v>
      </c>
      <c r="B274" s="123" t="s">
        <v>392</v>
      </c>
      <c r="C274" s="102" t="str">
        <f t="shared" si="48"/>
        <v>SCHEDULE 53</v>
      </c>
      <c r="D274" s="46">
        <v>0</v>
      </c>
      <c r="E274" s="225">
        <f>'Tariff Summary Lights'!F221</f>
        <v>9.3500000000000014</v>
      </c>
      <c r="F274" s="102"/>
      <c r="G274" s="116">
        <f t="shared" si="49"/>
        <v>0</v>
      </c>
      <c r="H274" s="225">
        <v>7.95</v>
      </c>
      <c r="I274" s="102"/>
      <c r="J274" s="116">
        <f t="shared" si="50"/>
        <v>0</v>
      </c>
      <c r="K274" s="102"/>
    </row>
    <row r="275" spans="1:11">
      <c r="A275" s="206">
        <f t="shared" si="51"/>
        <v>264</v>
      </c>
      <c r="B275" s="123" t="s">
        <v>393</v>
      </c>
      <c r="C275" s="102" t="str">
        <f t="shared" si="48"/>
        <v>SCHEDULE 53</v>
      </c>
      <c r="D275" s="46">
        <v>0</v>
      </c>
      <c r="E275" s="225">
        <f>'Tariff Summary Lights'!F222</f>
        <v>9.5299999999999994</v>
      </c>
      <c r="F275" s="102"/>
      <c r="G275" s="116">
        <f t="shared" si="49"/>
        <v>0</v>
      </c>
      <c r="H275" s="225">
        <v>7.95</v>
      </c>
      <c r="I275" s="102"/>
      <c r="J275" s="116">
        <f t="shared" si="50"/>
        <v>0</v>
      </c>
      <c r="K275" s="102"/>
    </row>
    <row r="276" spans="1:11">
      <c r="A276" s="206">
        <f t="shared" si="51"/>
        <v>265</v>
      </c>
      <c r="B276" s="123" t="s">
        <v>394</v>
      </c>
      <c r="C276" s="102" t="str">
        <f t="shared" si="48"/>
        <v>SCHEDULE 53</v>
      </c>
      <c r="D276" s="46">
        <v>0</v>
      </c>
      <c r="E276" s="225">
        <f>'Tariff Summary Lights'!F223</f>
        <v>9.7099999999999991</v>
      </c>
      <c r="F276" s="102"/>
      <c r="G276" s="116">
        <f t="shared" si="49"/>
        <v>0</v>
      </c>
      <c r="H276" s="225">
        <v>7.95</v>
      </c>
      <c r="I276" s="102"/>
      <c r="J276" s="116">
        <f t="shared" si="50"/>
        <v>0</v>
      </c>
      <c r="K276" s="102"/>
    </row>
    <row r="277" spans="1:11">
      <c r="A277" s="206">
        <f t="shared" si="51"/>
        <v>266</v>
      </c>
      <c r="B277" s="123" t="s">
        <v>395</v>
      </c>
      <c r="C277" s="102" t="str">
        <f t="shared" si="48"/>
        <v>SCHEDULE 53</v>
      </c>
      <c r="D277" s="46">
        <v>0</v>
      </c>
      <c r="E277" s="225">
        <f>'Tariff Summary Lights'!F224</f>
        <v>9.879999999999999</v>
      </c>
      <c r="F277" s="102"/>
      <c r="G277" s="116">
        <f t="shared" si="49"/>
        <v>0</v>
      </c>
      <c r="H277" s="225">
        <v>8.94</v>
      </c>
      <c r="I277" s="102"/>
      <c r="J277" s="116">
        <f t="shared" si="50"/>
        <v>0</v>
      </c>
      <c r="K277" s="102"/>
    </row>
    <row r="278" spans="1:11">
      <c r="A278" s="206">
        <f t="shared" si="51"/>
        <v>267</v>
      </c>
      <c r="B278" s="123" t="s">
        <v>396</v>
      </c>
      <c r="C278" s="102" t="str">
        <f t="shared" si="48"/>
        <v>SCHEDULE 53</v>
      </c>
      <c r="D278" s="46">
        <v>0</v>
      </c>
      <c r="E278" s="225">
        <f>'Tariff Summary Lights'!F225</f>
        <v>10.059999999999999</v>
      </c>
      <c r="F278" s="102"/>
      <c r="G278" s="116">
        <f t="shared" si="49"/>
        <v>0</v>
      </c>
      <c r="H278" s="225">
        <v>8.94</v>
      </c>
      <c r="I278" s="102"/>
      <c r="J278" s="116">
        <f t="shared" si="50"/>
        <v>0</v>
      </c>
      <c r="K278" s="102"/>
    </row>
    <row r="279" spans="1:11">
      <c r="A279" s="206">
        <f t="shared" si="51"/>
        <v>268</v>
      </c>
      <c r="B279" s="123" t="s">
        <v>397</v>
      </c>
      <c r="C279" s="102" t="str">
        <f t="shared" si="48"/>
        <v>SCHEDULE 53</v>
      </c>
      <c r="D279" s="46">
        <v>0</v>
      </c>
      <c r="E279" s="225">
        <f>'Tariff Summary Lights'!F226</f>
        <v>10.23</v>
      </c>
      <c r="F279" s="102"/>
      <c r="G279" s="116">
        <f t="shared" si="49"/>
        <v>0</v>
      </c>
      <c r="H279" s="225">
        <v>8.94</v>
      </c>
      <c r="I279" s="102"/>
      <c r="J279" s="116">
        <f t="shared" si="50"/>
        <v>0</v>
      </c>
      <c r="K279" s="102"/>
    </row>
    <row r="280" spans="1:11">
      <c r="A280" s="206">
        <f t="shared" si="51"/>
        <v>269</v>
      </c>
      <c r="B280" s="123" t="s">
        <v>398</v>
      </c>
      <c r="C280" s="102" t="str">
        <f t="shared" si="48"/>
        <v>SCHEDULE 53</v>
      </c>
      <c r="D280" s="46">
        <v>0</v>
      </c>
      <c r="E280" s="225">
        <f>'Tariff Summary Lights'!F227</f>
        <v>10.41</v>
      </c>
      <c r="F280" s="102"/>
      <c r="G280" s="116">
        <f t="shared" si="49"/>
        <v>0</v>
      </c>
      <c r="H280" s="225">
        <v>8.94</v>
      </c>
      <c r="I280" s="102"/>
      <c r="J280" s="116">
        <f t="shared" si="50"/>
        <v>0</v>
      </c>
      <c r="K280" s="102"/>
    </row>
    <row r="281" spans="1:11">
      <c r="A281" s="206">
        <f t="shared" si="51"/>
        <v>270</v>
      </c>
      <c r="B281" s="123" t="s">
        <v>399</v>
      </c>
      <c r="C281" s="102" t="str">
        <f t="shared" si="48"/>
        <v>SCHEDULE 53</v>
      </c>
      <c r="D281" s="46">
        <v>0</v>
      </c>
      <c r="E281" s="225">
        <f>'Tariff Summary Lights'!F228</f>
        <v>10.58</v>
      </c>
      <c r="F281" s="102"/>
      <c r="G281" s="116">
        <f t="shared" si="49"/>
        <v>0</v>
      </c>
      <c r="H281" s="225">
        <v>8.94</v>
      </c>
      <c r="I281" s="102"/>
      <c r="J281" s="116">
        <f t="shared" si="50"/>
        <v>0</v>
      </c>
      <c r="K281" s="102"/>
    </row>
    <row r="282" spans="1:11">
      <c r="A282" s="206">
        <f t="shared" si="51"/>
        <v>271</v>
      </c>
      <c r="B282" s="123" t="s">
        <v>400</v>
      </c>
      <c r="C282" s="102" t="str">
        <f t="shared" si="48"/>
        <v>SCHEDULE 53</v>
      </c>
      <c r="D282" s="46">
        <v>0</v>
      </c>
      <c r="E282" s="225">
        <f>'Tariff Summary Lights'!F229</f>
        <v>10.76</v>
      </c>
      <c r="F282" s="102"/>
      <c r="G282" s="116">
        <f t="shared" si="49"/>
        <v>0</v>
      </c>
      <c r="H282" s="225">
        <v>8.94</v>
      </c>
      <c r="I282" s="102"/>
      <c r="J282" s="116">
        <f t="shared" si="50"/>
        <v>0</v>
      </c>
      <c r="K282" s="102"/>
    </row>
    <row r="283" spans="1:11">
      <c r="A283" s="206">
        <f t="shared" si="51"/>
        <v>272</v>
      </c>
      <c r="B283" s="123" t="s">
        <v>401</v>
      </c>
      <c r="C283" s="102" t="str">
        <f t="shared" si="48"/>
        <v>SCHEDULE 53</v>
      </c>
      <c r="D283" s="46">
        <v>0</v>
      </c>
      <c r="E283" s="225">
        <f>'Tariff Summary Lights'!F230</f>
        <v>10.94</v>
      </c>
      <c r="F283" s="102"/>
      <c r="G283" s="116">
        <f t="shared" si="49"/>
        <v>0</v>
      </c>
      <c r="H283" s="225">
        <v>9.94</v>
      </c>
      <c r="I283" s="102"/>
      <c r="J283" s="116">
        <f t="shared" si="50"/>
        <v>0</v>
      </c>
      <c r="K283" s="102"/>
    </row>
    <row r="284" spans="1:11">
      <c r="A284" s="206">
        <f t="shared" si="51"/>
        <v>273</v>
      </c>
      <c r="B284" s="123" t="s">
        <v>402</v>
      </c>
      <c r="C284" s="102" t="str">
        <f t="shared" si="48"/>
        <v>SCHEDULE 53</v>
      </c>
      <c r="D284" s="46">
        <v>0</v>
      </c>
      <c r="E284" s="225">
        <f>'Tariff Summary Lights'!F231</f>
        <v>11.110000000000001</v>
      </c>
      <c r="F284" s="102"/>
      <c r="G284" s="116">
        <f t="shared" si="49"/>
        <v>0</v>
      </c>
      <c r="H284" s="225">
        <v>9.94</v>
      </c>
      <c r="I284" s="102"/>
      <c r="J284" s="116">
        <f t="shared" si="50"/>
        <v>0</v>
      </c>
      <c r="K284" s="102"/>
    </row>
    <row r="285" spans="1:11">
      <c r="A285" s="206">
        <f t="shared" si="51"/>
        <v>274</v>
      </c>
      <c r="B285" s="123" t="s">
        <v>403</v>
      </c>
      <c r="C285" s="102" t="str">
        <f t="shared" si="48"/>
        <v>SCHEDULE 53</v>
      </c>
      <c r="D285" s="46">
        <v>0</v>
      </c>
      <c r="E285" s="225">
        <f>'Tariff Summary Lights'!F232</f>
        <v>11.290000000000001</v>
      </c>
      <c r="F285" s="102"/>
      <c r="G285" s="116">
        <f t="shared" si="49"/>
        <v>0</v>
      </c>
      <c r="H285" s="225">
        <v>9.94</v>
      </c>
      <c r="I285" s="102"/>
      <c r="J285" s="116">
        <f t="shared" si="50"/>
        <v>0</v>
      </c>
      <c r="K285" s="102"/>
    </row>
    <row r="286" spans="1:11">
      <c r="A286" s="206">
        <f t="shared" si="51"/>
        <v>275</v>
      </c>
      <c r="B286" s="123" t="s">
        <v>404</v>
      </c>
      <c r="C286" s="102" t="str">
        <f t="shared" si="48"/>
        <v>SCHEDULE 53</v>
      </c>
      <c r="D286" s="46">
        <v>0</v>
      </c>
      <c r="E286" s="225">
        <f>'Tariff Summary Lights'!F233</f>
        <v>11.46</v>
      </c>
      <c r="F286" s="102"/>
      <c r="G286" s="116">
        <f t="shared" si="49"/>
        <v>0</v>
      </c>
      <c r="H286" s="225">
        <v>9.94</v>
      </c>
      <c r="I286" s="102"/>
      <c r="J286" s="116">
        <f t="shared" si="50"/>
        <v>0</v>
      </c>
      <c r="K286" s="102"/>
    </row>
    <row r="287" spans="1:11">
      <c r="A287" s="206">
        <f t="shared" si="51"/>
        <v>276</v>
      </c>
      <c r="B287" s="123" t="s">
        <v>405</v>
      </c>
      <c r="C287" s="102" t="str">
        <f t="shared" si="48"/>
        <v>SCHEDULE 53</v>
      </c>
      <c r="D287" s="46">
        <v>0</v>
      </c>
      <c r="E287" s="225">
        <f>'Tariff Summary Lights'!F234</f>
        <v>11.64</v>
      </c>
      <c r="F287" s="102"/>
      <c r="G287" s="116">
        <f t="shared" si="49"/>
        <v>0</v>
      </c>
      <c r="H287" s="225">
        <v>9.94</v>
      </c>
      <c r="I287" s="102"/>
      <c r="J287" s="116">
        <f t="shared" si="50"/>
        <v>0</v>
      </c>
      <c r="K287" s="102"/>
    </row>
    <row r="288" spans="1:11">
      <c r="A288" s="206">
        <f t="shared" si="51"/>
        <v>277</v>
      </c>
      <c r="B288" s="123" t="s">
        <v>406</v>
      </c>
      <c r="C288" s="102" t="str">
        <f t="shared" si="48"/>
        <v>SCHEDULE 53</v>
      </c>
      <c r="D288" s="46">
        <v>0</v>
      </c>
      <c r="E288" s="225">
        <f>'Tariff Summary Lights'!F235</f>
        <v>11.81</v>
      </c>
      <c r="F288" s="102"/>
      <c r="G288" s="116">
        <f t="shared" si="49"/>
        <v>0</v>
      </c>
      <c r="H288" s="225">
        <v>9.94</v>
      </c>
      <c r="I288" s="102"/>
      <c r="J288" s="116">
        <f t="shared" si="50"/>
        <v>0</v>
      </c>
      <c r="K288" s="102"/>
    </row>
    <row r="289" spans="1:14">
      <c r="A289" s="206">
        <f t="shared" si="51"/>
        <v>278</v>
      </c>
      <c r="B289" s="228" t="s">
        <v>26</v>
      </c>
      <c r="C289" s="102" t="str">
        <f>$B$145</f>
        <v>SCHEDULE 53</v>
      </c>
      <c r="D289" s="229">
        <f>SUM(D147:D288)</f>
        <v>80680</v>
      </c>
      <c r="E289" s="312"/>
      <c r="G289" s="242">
        <f>SUM(G147:G288)</f>
        <v>11593090</v>
      </c>
      <c r="H289" s="312"/>
      <c r="J289" s="242">
        <f>SUM(J147:J288)</f>
        <v>13253659</v>
      </c>
      <c r="K289" s="102"/>
    </row>
    <row r="290" spans="1:14">
      <c r="A290" s="206">
        <f t="shared" si="51"/>
        <v>279</v>
      </c>
      <c r="B290" s="228"/>
      <c r="D290" s="217"/>
      <c r="E290" s="312"/>
      <c r="G290" s="247"/>
      <c r="H290" s="312"/>
      <c r="J290" s="247"/>
      <c r="K290" s="102"/>
    </row>
    <row r="291" spans="1:14">
      <c r="A291" s="206">
        <f t="shared" si="51"/>
        <v>280</v>
      </c>
      <c r="B291" s="207" t="s">
        <v>183</v>
      </c>
      <c r="C291" s="102" t="str">
        <f>$B$145</f>
        <v>SCHEDULE 53</v>
      </c>
      <c r="D291" s="220">
        <v>29281</v>
      </c>
      <c r="E291" s="231"/>
      <c r="F291" s="232"/>
      <c r="G291" s="37"/>
      <c r="H291" s="231"/>
      <c r="I291" s="232"/>
      <c r="J291" s="37"/>
      <c r="K291" s="116"/>
    </row>
    <row r="292" spans="1:14" s="231" customFormat="1">
      <c r="A292" s="206">
        <f t="shared" si="51"/>
        <v>281</v>
      </c>
      <c r="B292" s="207"/>
      <c r="C292" s="102"/>
      <c r="D292" s="220"/>
      <c r="F292" s="232"/>
      <c r="G292" s="37"/>
      <c r="I292" s="232"/>
      <c r="J292" s="37"/>
      <c r="K292" s="37"/>
      <c r="M292" s="233"/>
    </row>
    <row r="293" spans="1:14">
      <c r="A293" s="206">
        <f t="shared" si="51"/>
        <v>282</v>
      </c>
      <c r="B293" s="45" t="s">
        <v>407</v>
      </c>
      <c r="C293" s="102" t="str">
        <f t="shared" ref="C293:C295" si="52">$B$145</f>
        <v>SCHEDULE 53</v>
      </c>
      <c r="D293" s="46">
        <v>46174693.041000001</v>
      </c>
      <c r="E293" s="231"/>
      <c r="F293" s="232"/>
      <c r="G293" s="37"/>
      <c r="H293" s="231"/>
      <c r="I293" s="232"/>
      <c r="J293" s="37"/>
      <c r="K293" s="103"/>
    </row>
    <row r="294" spans="1:14">
      <c r="A294" s="206">
        <f t="shared" si="51"/>
        <v>283</v>
      </c>
      <c r="B294" s="45" t="s">
        <v>408</v>
      </c>
      <c r="C294" s="102" t="str">
        <f t="shared" si="52"/>
        <v>SCHEDULE 53</v>
      </c>
      <c r="D294" s="46">
        <v>-2758687.0775000006</v>
      </c>
      <c r="E294" s="234">
        <f>ROUND(G294/D294,6)</f>
        <v>0.12163</v>
      </c>
      <c r="F294" s="313"/>
      <c r="G294" s="116">
        <f>$R$16</f>
        <v>-335538</v>
      </c>
      <c r="H294" s="234">
        <f>ROUND(J294/D294,6)</f>
        <v>0.13175200000000001</v>
      </c>
      <c r="I294" s="313"/>
      <c r="J294" s="116">
        <f>ROUND(+G294*(1+L294),0)</f>
        <v>-363463</v>
      </c>
      <c r="K294" s="313"/>
      <c r="L294" s="101">
        <f>'Rate Spread'!$I$27</f>
        <v>8.3224326412326355E-2</v>
      </c>
      <c r="M294" s="29" t="s">
        <v>847</v>
      </c>
    </row>
    <row r="295" spans="1:14" ht="16.2" thickBot="1">
      <c r="A295" s="206">
        <f t="shared" si="51"/>
        <v>284</v>
      </c>
      <c r="B295" s="212" t="s">
        <v>27</v>
      </c>
      <c r="C295" s="102" t="str">
        <f t="shared" si="52"/>
        <v>SCHEDULE 53</v>
      </c>
      <c r="D295" s="235">
        <f>SUM(D293:D294)</f>
        <v>43416005.963500001</v>
      </c>
      <c r="E295" s="103"/>
      <c r="G295" s="236">
        <f>SUM(G294,G289)</f>
        <v>11257552</v>
      </c>
      <c r="H295" s="103"/>
      <c r="J295" s="236">
        <f>SUM(J294,J289)</f>
        <v>12890196</v>
      </c>
      <c r="K295" s="109"/>
    </row>
    <row r="296" spans="1:14" ht="16.2" thickTop="1">
      <c r="A296" s="206">
        <f t="shared" si="51"/>
        <v>285</v>
      </c>
      <c r="B296" s="248"/>
      <c r="C296" s="102"/>
      <c r="D296" s="113"/>
      <c r="E296" s="249"/>
      <c r="F296" s="214"/>
      <c r="G296" s="103"/>
      <c r="H296" s="249"/>
      <c r="I296" s="214"/>
      <c r="J296" s="103"/>
      <c r="K296" s="103"/>
    </row>
    <row r="297" spans="1:14">
      <c r="A297" s="206">
        <f t="shared" si="51"/>
        <v>286</v>
      </c>
      <c r="B297" s="102"/>
      <c r="C297" s="102"/>
      <c r="D297" s="113"/>
      <c r="E297" s="249"/>
      <c r="F297" s="214"/>
      <c r="G297" s="103"/>
      <c r="H297" s="249"/>
      <c r="I297" s="214"/>
      <c r="J297" s="103"/>
      <c r="K297" s="103"/>
    </row>
    <row r="298" spans="1:14">
      <c r="A298" s="206">
        <f t="shared" si="51"/>
        <v>287</v>
      </c>
      <c r="B298" s="102"/>
      <c r="C298" s="102"/>
      <c r="D298" s="113"/>
      <c r="E298" s="249"/>
      <c r="F298" s="214"/>
      <c r="G298" s="103"/>
      <c r="H298" s="249"/>
      <c r="I298" s="214"/>
      <c r="J298" s="103"/>
      <c r="K298" s="103"/>
    </row>
    <row r="299" spans="1:14">
      <c r="A299" s="206">
        <f t="shared" si="51"/>
        <v>288</v>
      </c>
      <c r="B299" s="102"/>
      <c r="C299" s="102"/>
      <c r="D299" s="113"/>
      <c r="E299" s="249" t="s">
        <v>0</v>
      </c>
      <c r="F299" s="214"/>
      <c r="G299" s="103"/>
      <c r="H299" s="249" t="s">
        <v>0</v>
      </c>
      <c r="I299" s="214"/>
      <c r="J299" s="103" t="s">
        <v>0</v>
      </c>
      <c r="K299" s="103"/>
    </row>
    <row r="300" spans="1:14">
      <c r="A300" s="206">
        <f t="shared" si="51"/>
        <v>289</v>
      </c>
      <c r="B300" s="405" t="s">
        <v>40</v>
      </c>
      <c r="C300" s="405"/>
      <c r="D300" s="405"/>
      <c r="E300" s="405"/>
      <c r="F300" s="405"/>
      <c r="G300" s="405"/>
      <c r="H300" s="405"/>
      <c r="I300" s="405"/>
      <c r="J300" s="405"/>
      <c r="K300" s="102"/>
    </row>
    <row r="301" spans="1:14">
      <c r="A301" s="206">
        <f t="shared" si="51"/>
        <v>290</v>
      </c>
      <c r="B301" s="207" t="s">
        <v>426</v>
      </c>
      <c r="C301" s="102"/>
      <c r="D301" s="102"/>
      <c r="E301" s="102"/>
      <c r="F301" s="102"/>
      <c r="G301" s="102"/>
      <c r="H301" s="102"/>
      <c r="I301" s="102"/>
      <c r="J301" s="102"/>
      <c r="K301" s="102"/>
    </row>
    <row r="302" spans="1:14">
      <c r="A302" s="206">
        <f t="shared" si="51"/>
        <v>291</v>
      </c>
      <c r="B302" s="102"/>
      <c r="C302" s="102"/>
      <c r="D302" s="102"/>
      <c r="E302" s="245"/>
      <c r="F302" s="102"/>
      <c r="G302" s="102"/>
      <c r="H302" s="245"/>
      <c r="I302" s="102"/>
      <c r="J302" s="102"/>
      <c r="K302" s="102"/>
    </row>
    <row r="303" spans="1:14">
      <c r="A303" s="206">
        <f t="shared" si="51"/>
        <v>292</v>
      </c>
      <c r="B303" s="123" t="s">
        <v>427</v>
      </c>
      <c r="C303" s="102" t="str">
        <f>$B$300</f>
        <v>SCHEDULE 54</v>
      </c>
      <c r="D303" s="46">
        <v>38</v>
      </c>
      <c r="E303" s="225">
        <f>'Tariff Summary Lights'!F237</f>
        <v>2.02</v>
      </c>
      <c r="F303" s="102"/>
      <c r="G303" s="116">
        <f t="shared" ref="G303:G366" si="53">ROUND(D303*E303*12,0)</f>
        <v>921</v>
      </c>
      <c r="H303" s="225">
        <v>1.66</v>
      </c>
      <c r="I303" s="102"/>
      <c r="J303" s="116">
        <f t="shared" ref="J303:J311" si="54">ROUND(H303*$D303*12,0)</f>
        <v>757</v>
      </c>
      <c r="K303" s="116"/>
      <c r="N303" s="99"/>
    </row>
    <row r="304" spans="1:14">
      <c r="A304" s="206">
        <f t="shared" si="51"/>
        <v>293</v>
      </c>
      <c r="B304" s="123" t="s">
        <v>428</v>
      </c>
      <c r="C304" s="102" t="str">
        <f t="shared" ref="C304:C311" si="55">$B$300</f>
        <v>SCHEDULE 54</v>
      </c>
      <c r="D304" s="46">
        <v>797</v>
      </c>
      <c r="E304" s="225">
        <f>'Tariff Summary Lights'!F238</f>
        <v>2.94</v>
      </c>
      <c r="F304" s="102"/>
      <c r="G304" s="116">
        <f t="shared" si="53"/>
        <v>28118</v>
      </c>
      <c r="H304" s="225">
        <v>2.33</v>
      </c>
      <c r="I304" s="102"/>
      <c r="J304" s="116">
        <f t="shared" si="54"/>
        <v>22284</v>
      </c>
      <c r="K304" s="116"/>
      <c r="N304" s="99"/>
    </row>
    <row r="305" spans="1:16">
      <c r="A305" s="206">
        <f t="shared" si="51"/>
        <v>294</v>
      </c>
      <c r="B305" s="123" t="s">
        <v>429</v>
      </c>
      <c r="C305" s="102" t="str">
        <f t="shared" si="55"/>
        <v>SCHEDULE 54</v>
      </c>
      <c r="D305" s="46">
        <v>1936</v>
      </c>
      <c r="E305" s="225">
        <f>'Tariff Summary Lights'!F239</f>
        <v>4.1399999999999997</v>
      </c>
      <c r="F305" s="102"/>
      <c r="G305" s="116">
        <f t="shared" si="53"/>
        <v>96180</v>
      </c>
      <c r="H305" s="225">
        <v>3.33</v>
      </c>
      <c r="I305" s="102"/>
      <c r="J305" s="116">
        <f t="shared" si="54"/>
        <v>77363</v>
      </c>
      <c r="K305" s="116"/>
      <c r="N305" s="99"/>
    </row>
    <row r="306" spans="1:16">
      <c r="A306" s="206">
        <f t="shared" si="51"/>
        <v>295</v>
      </c>
      <c r="B306" s="123" t="s">
        <v>430</v>
      </c>
      <c r="C306" s="102" t="str">
        <f t="shared" si="55"/>
        <v>SCHEDULE 54</v>
      </c>
      <c r="D306" s="46">
        <v>746</v>
      </c>
      <c r="E306" s="225">
        <f>'Tariff Summary Lights'!F240</f>
        <v>6.01</v>
      </c>
      <c r="F306" s="102"/>
      <c r="G306" s="116">
        <f t="shared" si="53"/>
        <v>53802</v>
      </c>
      <c r="H306" s="225">
        <v>4.99</v>
      </c>
      <c r="I306" s="102"/>
      <c r="J306" s="116">
        <f t="shared" si="54"/>
        <v>44670</v>
      </c>
      <c r="K306" s="116"/>
      <c r="N306" s="99"/>
    </row>
    <row r="307" spans="1:16">
      <c r="A307" s="206">
        <f t="shared" si="51"/>
        <v>296</v>
      </c>
      <c r="B307" s="123" t="s">
        <v>431</v>
      </c>
      <c r="C307" s="102" t="str">
        <f t="shared" si="55"/>
        <v>SCHEDULE 54</v>
      </c>
      <c r="D307" s="46">
        <v>756</v>
      </c>
      <c r="E307" s="225">
        <f>'Tariff Summary Lights'!F241</f>
        <v>7.9600000000000009</v>
      </c>
      <c r="F307" s="102"/>
      <c r="G307" s="116">
        <f t="shared" si="53"/>
        <v>72213</v>
      </c>
      <c r="H307" s="225">
        <v>6.65</v>
      </c>
      <c r="I307" s="102"/>
      <c r="J307" s="116">
        <f t="shared" si="54"/>
        <v>60329</v>
      </c>
      <c r="K307" s="116"/>
      <c r="N307" s="99"/>
    </row>
    <row r="308" spans="1:16">
      <c r="A308" s="206">
        <f t="shared" si="51"/>
        <v>297</v>
      </c>
      <c r="B308" s="123" t="s">
        <v>432</v>
      </c>
      <c r="C308" s="102" t="str">
        <f t="shared" si="55"/>
        <v>SCHEDULE 54</v>
      </c>
      <c r="D308" s="46">
        <v>1872</v>
      </c>
      <c r="E308" s="225">
        <f>'Tariff Summary Lights'!F242</f>
        <v>9.879999999999999</v>
      </c>
      <c r="F308" s="102"/>
      <c r="G308" s="116">
        <f t="shared" si="53"/>
        <v>221944</v>
      </c>
      <c r="H308" s="225">
        <v>8.32</v>
      </c>
      <c r="I308" s="102"/>
      <c r="J308" s="116">
        <f t="shared" si="54"/>
        <v>186900</v>
      </c>
      <c r="K308" s="116"/>
      <c r="N308" s="99"/>
    </row>
    <row r="309" spans="1:16">
      <c r="A309" s="206">
        <f t="shared" si="51"/>
        <v>298</v>
      </c>
      <c r="B309" s="123" t="s">
        <v>433</v>
      </c>
      <c r="C309" s="102" t="str">
        <f t="shared" si="55"/>
        <v>SCHEDULE 54</v>
      </c>
      <c r="D309" s="46">
        <v>77</v>
      </c>
      <c r="E309" s="225">
        <f>'Tariff Summary Lights'!F243</f>
        <v>13.49</v>
      </c>
      <c r="F309" s="102"/>
      <c r="G309" s="116">
        <f t="shared" si="53"/>
        <v>12465</v>
      </c>
      <c r="H309" s="225">
        <v>10.31</v>
      </c>
      <c r="I309" s="102"/>
      <c r="J309" s="116">
        <f t="shared" si="54"/>
        <v>9526</v>
      </c>
      <c r="K309" s="116"/>
      <c r="N309" s="99"/>
    </row>
    <row r="310" spans="1:16">
      <c r="A310" s="206">
        <f t="shared" si="51"/>
        <v>299</v>
      </c>
      <c r="B310" s="123" t="s">
        <v>434</v>
      </c>
      <c r="C310" s="102" t="str">
        <f t="shared" si="55"/>
        <v>SCHEDULE 54</v>
      </c>
      <c r="D310" s="46">
        <v>1401</v>
      </c>
      <c r="E310" s="225">
        <f>'Tariff Summary Lights'!F244</f>
        <v>15.43</v>
      </c>
      <c r="F310" s="102"/>
      <c r="G310" s="116">
        <f t="shared" si="53"/>
        <v>259409</v>
      </c>
      <c r="H310" s="225">
        <v>13.31</v>
      </c>
      <c r="I310" s="102"/>
      <c r="J310" s="116">
        <f t="shared" si="54"/>
        <v>223768</v>
      </c>
      <c r="K310" s="116"/>
      <c r="N310" s="99"/>
    </row>
    <row r="311" spans="1:16">
      <c r="A311" s="206">
        <f t="shared" si="51"/>
        <v>300</v>
      </c>
      <c r="B311" s="123" t="s">
        <v>435</v>
      </c>
      <c r="C311" s="102" t="str">
        <f t="shared" si="55"/>
        <v>SCHEDULE 54</v>
      </c>
      <c r="D311" s="46">
        <v>11</v>
      </c>
      <c r="E311" s="225">
        <f>'Tariff Summary Lights'!F245</f>
        <v>38.839999999999996</v>
      </c>
      <c r="F311" s="102"/>
      <c r="G311" s="116">
        <f t="shared" si="53"/>
        <v>5127</v>
      </c>
      <c r="H311" s="225">
        <v>33.26</v>
      </c>
      <c r="I311" s="102"/>
      <c r="J311" s="116">
        <f t="shared" si="54"/>
        <v>4390</v>
      </c>
      <c r="K311" s="116"/>
      <c r="N311" s="99"/>
    </row>
    <row r="312" spans="1:16">
      <c r="A312" s="206">
        <f t="shared" si="51"/>
        <v>301</v>
      </c>
      <c r="B312" s="123"/>
      <c r="C312" s="102"/>
      <c r="D312" s="46"/>
      <c r="E312" s="225"/>
      <c r="F312" s="102"/>
      <c r="G312" s="116"/>
      <c r="H312" s="225"/>
      <c r="I312" s="102"/>
      <c r="J312" s="116"/>
      <c r="K312" s="116"/>
      <c r="N312" s="99"/>
    </row>
    <row r="313" spans="1:16">
      <c r="A313" s="206">
        <f t="shared" si="51"/>
        <v>302</v>
      </c>
      <c r="B313" s="123" t="s">
        <v>436</v>
      </c>
      <c r="C313" s="102" t="str">
        <f t="shared" ref="C313:C367" si="56">$B$300</f>
        <v>SCHEDULE 54</v>
      </c>
      <c r="D313" s="46">
        <v>136</v>
      </c>
      <c r="E313" s="225">
        <f>'Tariff Summary Lights'!F247</f>
        <v>1.1399999999999999</v>
      </c>
      <c r="F313" s="102"/>
      <c r="G313" s="116">
        <f t="shared" si="53"/>
        <v>1860</v>
      </c>
      <c r="H313" s="225">
        <v>1.5</v>
      </c>
      <c r="I313" s="102"/>
      <c r="J313" s="116">
        <f t="shared" ref="J313:J366" si="57">ROUND(H313*$D313*12,0)</f>
        <v>2448</v>
      </c>
      <c r="K313" s="116"/>
      <c r="N313" s="99"/>
      <c r="P313" s="99"/>
    </row>
    <row r="314" spans="1:16">
      <c r="A314" s="206">
        <f t="shared" si="51"/>
        <v>303</v>
      </c>
      <c r="B314" s="123" t="s">
        <v>437</v>
      </c>
      <c r="C314" s="102" t="str">
        <f t="shared" si="56"/>
        <v>SCHEDULE 54</v>
      </c>
      <c r="D314" s="46">
        <v>98</v>
      </c>
      <c r="E314" s="225">
        <f>'Tariff Summary Lights'!F248</f>
        <v>1.3499999999999999</v>
      </c>
      <c r="F314" s="102"/>
      <c r="G314" s="116">
        <f t="shared" si="53"/>
        <v>1588</v>
      </c>
      <c r="H314" s="225">
        <v>1.5</v>
      </c>
      <c r="I314" s="102"/>
      <c r="J314" s="116">
        <f t="shared" si="57"/>
        <v>1764</v>
      </c>
      <c r="K314" s="116"/>
      <c r="N314" s="99"/>
      <c r="P314" s="99"/>
    </row>
    <row r="315" spans="1:16">
      <c r="A315" s="206">
        <f t="shared" si="51"/>
        <v>304</v>
      </c>
      <c r="B315" s="123" t="s">
        <v>438</v>
      </c>
      <c r="C315" s="102" t="str">
        <f t="shared" si="56"/>
        <v>SCHEDULE 54</v>
      </c>
      <c r="D315" s="46">
        <v>456</v>
      </c>
      <c r="E315" s="225">
        <f>'Tariff Summary Lights'!F249</f>
        <v>1.49</v>
      </c>
      <c r="F315" s="102"/>
      <c r="G315" s="116">
        <f t="shared" si="53"/>
        <v>8153</v>
      </c>
      <c r="H315" s="225">
        <v>1.5</v>
      </c>
      <c r="I315" s="102"/>
      <c r="J315" s="116">
        <f t="shared" si="57"/>
        <v>8208</v>
      </c>
      <c r="K315" s="116"/>
      <c r="N315" s="99"/>
      <c r="P315" s="99"/>
    </row>
    <row r="316" spans="1:16">
      <c r="A316" s="206">
        <f t="shared" si="51"/>
        <v>305</v>
      </c>
      <c r="B316" s="123" t="s">
        <v>439</v>
      </c>
      <c r="C316" s="102" t="str">
        <f t="shared" si="56"/>
        <v>SCHEDULE 54</v>
      </c>
      <c r="D316" s="46">
        <v>0</v>
      </c>
      <c r="E316" s="225">
        <f>'Tariff Summary Lights'!F250</f>
        <v>1.67</v>
      </c>
      <c r="F316" s="102"/>
      <c r="G316" s="116">
        <f t="shared" si="53"/>
        <v>0</v>
      </c>
      <c r="H316" s="225">
        <v>1.5</v>
      </c>
      <c r="I316" s="102"/>
      <c r="J316" s="116">
        <f t="shared" si="57"/>
        <v>0</v>
      </c>
      <c r="K316" s="116"/>
      <c r="N316" s="99"/>
      <c r="P316" s="99"/>
    </row>
    <row r="317" spans="1:16">
      <c r="A317" s="206">
        <f t="shared" si="51"/>
        <v>306</v>
      </c>
      <c r="B317" s="123" t="s">
        <v>440</v>
      </c>
      <c r="C317" s="102" t="str">
        <f t="shared" si="56"/>
        <v>SCHEDULE 54</v>
      </c>
      <c r="D317" s="46">
        <v>442</v>
      </c>
      <c r="E317" s="225">
        <f>'Tariff Summary Lights'!F251</f>
        <v>1.8399999999999999</v>
      </c>
      <c r="F317" s="102"/>
      <c r="G317" s="116">
        <f t="shared" si="53"/>
        <v>9759</v>
      </c>
      <c r="H317" s="225">
        <v>1.5</v>
      </c>
      <c r="I317" s="102"/>
      <c r="J317" s="116">
        <f t="shared" si="57"/>
        <v>7956</v>
      </c>
      <c r="K317" s="116"/>
      <c r="N317" s="99"/>
      <c r="P317" s="99"/>
    </row>
    <row r="318" spans="1:16">
      <c r="A318" s="206">
        <f t="shared" si="51"/>
        <v>307</v>
      </c>
      <c r="B318" s="123" t="s">
        <v>441</v>
      </c>
      <c r="C318" s="102" t="str">
        <f t="shared" si="56"/>
        <v>SCHEDULE 54</v>
      </c>
      <c r="D318" s="46">
        <v>0</v>
      </c>
      <c r="E318" s="225">
        <f>'Tariff Summary Lights'!F252</f>
        <v>2.0299999999999998</v>
      </c>
      <c r="F318" s="102"/>
      <c r="G318" s="116">
        <f t="shared" si="53"/>
        <v>0</v>
      </c>
      <c r="H318" s="225">
        <v>1.5</v>
      </c>
      <c r="I318" s="102"/>
      <c r="J318" s="116">
        <f t="shared" si="57"/>
        <v>0</v>
      </c>
      <c r="K318" s="116"/>
      <c r="N318" s="99"/>
      <c r="P318" s="99"/>
    </row>
    <row r="319" spans="1:16">
      <c r="A319" s="206">
        <f t="shared" si="51"/>
        <v>308</v>
      </c>
      <c r="B319" s="123" t="s">
        <v>442</v>
      </c>
      <c r="C319" s="102" t="str">
        <f t="shared" si="56"/>
        <v>SCHEDULE 54</v>
      </c>
      <c r="D319" s="46">
        <v>0</v>
      </c>
      <c r="E319" s="225">
        <f>'Tariff Summary Lights'!F253</f>
        <v>2.2000000000000002</v>
      </c>
      <c r="F319" s="102"/>
      <c r="G319" s="116">
        <f t="shared" si="53"/>
        <v>0</v>
      </c>
      <c r="H319" s="225">
        <v>2.4900000000000002</v>
      </c>
      <c r="I319" s="102"/>
      <c r="J319" s="116">
        <f t="shared" si="57"/>
        <v>0</v>
      </c>
      <c r="K319" s="116"/>
      <c r="N319" s="99"/>
      <c r="P319" s="99"/>
    </row>
    <row r="320" spans="1:16">
      <c r="A320" s="206">
        <f t="shared" si="51"/>
        <v>309</v>
      </c>
      <c r="B320" s="123" t="s">
        <v>443</v>
      </c>
      <c r="C320" s="102" t="str">
        <f t="shared" si="56"/>
        <v>SCHEDULE 54</v>
      </c>
      <c r="D320" s="46">
        <v>0</v>
      </c>
      <c r="E320" s="225">
        <f>'Tariff Summary Lights'!F254</f>
        <v>2.3800000000000003</v>
      </c>
      <c r="F320" s="102"/>
      <c r="G320" s="116">
        <f t="shared" si="53"/>
        <v>0</v>
      </c>
      <c r="H320" s="225">
        <v>2.4900000000000002</v>
      </c>
      <c r="I320" s="102"/>
      <c r="J320" s="116">
        <f t="shared" si="57"/>
        <v>0</v>
      </c>
      <c r="K320" s="116"/>
      <c r="N320" s="99"/>
      <c r="P320" s="99"/>
    </row>
    <row r="321" spans="1:16">
      <c r="A321" s="206">
        <f t="shared" si="51"/>
        <v>310</v>
      </c>
      <c r="B321" s="123" t="s">
        <v>444</v>
      </c>
      <c r="C321" s="102" t="str">
        <f t="shared" si="56"/>
        <v>SCHEDULE 54</v>
      </c>
      <c r="D321" s="46">
        <v>0</v>
      </c>
      <c r="E321" s="225">
        <f>'Tariff Summary Lights'!F255</f>
        <v>2.5499999999999998</v>
      </c>
      <c r="F321" s="102"/>
      <c r="G321" s="116">
        <f t="shared" si="53"/>
        <v>0</v>
      </c>
      <c r="H321" s="225">
        <v>2.4900000000000002</v>
      </c>
      <c r="I321" s="102"/>
      <c r="J321" s="116">
        <f t="shared" si="57"/>
        <v>0</v>
      </c>
      <c r="K321" s="116"/>
      <c r="N321" s="99"/>
      <c r="P321" s="99"/>
    </row>
    <row r="322" spans="1:16">
      <c r="A322" s="206">
        <f t="shared" si="51"/>
        <v>311</v>
      </c>
      <c r="B322" s="123" t="s">
        <v>445</v>
      </c>
      <c r="C322" s="102" t="str">
        <f t="shared" si="56"/>
        <v>SCHEDULE 54</v>
      </c>
      <c r="D322" s="46">
        <v>0</v>
      </c>
      <c r="E322" s="225">
        <f>'Tariff Summary Lights'!F256</f>
        <v>2.73</v>
      </c>
      <c r="F322" s="102"/>
      <c r="G322" s="116">
        <f t="shared" si="53"/>
        <v>0</v>
      </c>
      <c r="H322" s="225">
        <v>2.4900000000000002</v>
      </c>
      <c r="I322" s="102"/>
      <c r="J322" s="116">
        <f t="shared" si="57"/>
        <v>0</v>
      </c>
      <c r="K322" s="116"/>
      <c r="N322" s="99"/>
      <c r="P322" s="99"/>
    </row>
    <row r="323" spans="1:16">
      <c r="A323" s="206">
        <f t="shared" si="51"/>
        <v>312</v>
      </c>
      <c r="B323" s="123" t="s">
        <v>446</v>
      </c>
      <c r="C323" s="102" t="str">
        <f t="shared" si="56"/>
        <v>SCHEDULE 54</v>
      </c>
      <c r="D323" s="46">
        <v>0</v>
      </c>
      <c r="E323" s="225">
        <f>'Tariff Summary Lights'!F257</f>
        <v>2.9000000000000004</v>
      </c>
      <c r="F323" s="102"/>
      <c r="G323" s="116">
        <f t="shared" si="53"/>
        <v>0</v>
      </c>
      <c r="H323" s="225">
        <v>2.4900000000000002</v>
      </c>
      <c r="I323" s="102"/>
      <c r="J323" s="116">
        <f t="shared" si="57"/>
        <v>0</v>
      </c>
      <c r="K323" s="116"/>
      <c r="N323" s="99"/>
      <c r="P323" s="99"/>
    </row>
    <row r="324" spans="1:16">
      <c r="A324" s="206">
        <f t="shared" si="51"/>
        <v>313</v>
      </c>
      <c r="B324" s="123" t="s">
        <v>447</v>
      </c>
      <c r="C324" s="102" t="str">
        <f t="shared" si="56"/>
        <v>SCHEDULE 54</v>
      </c>
      <c r="D324" s="46">
        <v>0</v>
      </c>
      <c r="E324" s="225">
        <f>'Tariff Summary Lights'!F258</f>
        <v>3.07</v>
      </c>
      <c r="F324" s="102"/>
      <c r="G324" s="116">
        <f t="shared" si="53"/>
        <v>0</v>
      </c>
      <c r="H324" s="225">
        <v>2.4900000000000002</v>
      </c>
      <c r="I324" s="102"/>
      <c r="J324" s="116">
        <f t="shared" si="57"/>
        <v>0</v>
      </c>
      <c r="K324" s="116"/>
      <c r="N324" s="99"/>
      <c r="P324" s="99"/>
    </row>
    <row r="325" spans="1:16">
      <c r="A325" s="206">
        <f t="shared" si="51"/>
        <v>314</v>
      </c>
      <c r="B325" s="123" t="s">
        <v>448</v>
      </c>
      <c r="C325" s="102" t="str">
        <f t="shared" si="56"/>
        <v>SCHEDULE 54</v>
      </c>
      <c r="D325" s="46">
        <v>26</v>
      </c>
      <c r="E325" s="225">
        <f>'Tariff Summary Lights'!F259</f>
        <v>3.26</v>
      </c>
      <c r="F325" s="102"/>
      <c r="G325" s="116">
        <f t="shared" si="53"/>
        <v>1017</v>
      </c>
      <c r="H325" s="225">
        <v>3.49</v>
      </c>
      <c r="I325" s="102"/>
      <c r="J325" s="116">
        <f t="shared" si="57"/>
        <v>1089</v>
      </c>
      <c r="K325" s="116"/>
      <c r="N325" s="99"/>
      <c r="P325" s="99"/>
    </row>
    <row r="326" spans="1:16">
      <c r="A326" s="206">
        <f t="shared" si="51"/>
        <v>315</v>
      </c>
      <c r="B326" s="123" t="s">
        <v>449</v>
      </c>
      <c r="C326" s="102" t="str">
        <f t="shared" si="56"/>
        <v>SCHEDULE 54</v>
      </c>
      <c r="D326" s="46">
        <v>0</v>
      </c>
      <c r="E326" s="225">
        <f>'Tariff Summary Lights'!F260</f>
        <v>3.43</v>
      </c>
      <c r="F326" s="102"/>
      <c r="G326" s="116">
        <f t="shared" si="53"/>
        <v>0</v>
      </c>
      <c r="H326" s="225">
        <v>3.49</v>
      </c>
      <c r="I326" s="102"/>
      <c r="J326" s="116">
        <f t="shared" si="57"/>
        <v>0</v>
      </c>
      <c r="K326" s="116"/>
      <c r="N326" s="99"/>
      <c r="P326" s="99"/>
    </row>
    <row r="327" spans="1:16">
      <c r="A327" s="206">
        <f t="shared" si="51"/>
        <v>316</v>
      </c>
      <c r="B327" s="123" t="s">
        <v>450</v>
      </c>
      <c r="C327" s="102" t="str">
        <f t="shared" si="56"/>
        <v>SCHEDULE 54</v>
      </c>
      <c r="D327" s="46">
        <v>1491</v>
      </c>
      <c r="E327" s="225">
        <f>'Tariff Summary Lights'!F261</f>
        <v>3.6100000000000003</v>
      </c>
      <c r="F327" s="102"/>
      <c r="G327" s="116">
        <f t="shared" si="53"/>
        <v>64590</v>
      </c>
      <c r="H327" s="225">
        <v>3.49</v>
      </c>
      <c r="I327" s="102"/>
      <c r="J327" s="116">
        <f t="shared" si="57"/>
        <v>62443</v>
      </c>
      <c r="K327" s="116"/>
      <c r="N327" s="99"/>
      <c r="P327" s="99"/>
    </row>
    <row r="328" spans="1:16">
      <c r="A328" s="206">
        <f t="shared" si="51"/>
        <v>317</v>
      </c>
      <c r="B328" s="123" t="s">
        <v>451</v>
      </c>
      <c r="C328" s="102" t="str">
        <f t="shared" si="56"/>
        <v>SCHEDULE 54</v>
      </c>
      <c r="D328" s="46">
        <v>0</v>
      </c>
      <c r="E328" s="225">
        <f>'Tariff Summary Lights'!F262</f>
        <v>3.78</v>
      </c>
      <c r="F328" s="102"/>
      <c r="G328" s="116">
        <f t="shared" si="53"/>
        <v>0</v>
      </c>
      <c r="H328" s="225">
        <v>3.49</v>
      </c>
      <c r="I328" s="102"/>
      <c r="J328" s="116">
        <f t="shared" si="57"/>
        <v>0</v>
      </c>
      <c r="K328" s="116"/>
      <c r="N328" s="99"/>
      <c r="P328" s="99"/>
    </row>
    <row r="329" spans="1:16">
      <c r="A329" s="206">
        <f t="shared" si="51"/>
        <v>318</v>
      </c>
      <c r="B329" s="123" t="s">
        <v>452</v>
      </c>
      <c r="C329" s="102" t="str">
        <f t="shared" si="56"/>
        <v>SCHEDULE 54</v>
      </c>
      <c r="D329" s="46">
        <v>0</v>
      </c>
      <c r="E329" s="225">
        <f>'Tariff Summary Lights'!F263</f>
        <v>3.96</v>
      </c>
      <c r="F329" s="102"/>
      <c r="G329" s="116">
        <f t="shared" si="53"/>
        <v>0</v>
      </c>
      <c r="H329" s="225">
        <v>3.49</v>
      </c>
      <c r="I329" s="102"/>
      <c r="J329" s="116">
        <f t="shared" si="57"/>
        <v>0</v>
      </c>
      <c r="K329" s="116"/>
      <c r="N329" s="99"/>
      <c r="P329" s="99"/>
    </row>
    <row r="330" spans="1:16">
      <c r="A330" s="206">
        <f t="shared" si="51"/>
        <v>319</v>
      </c>
      <c r="B330" s="123" t="s">
        <v>453</v>
      </c>
      <c r="C330" s="102" t="str">
        <f t="shared" si="56"/>
        <v>SCHEDULE 54</v>
      </c>
      <c r="D330" s="46">
        <v>0</v>
      </c>
      <c r="E330" s="225">
        <f>'Tariff Summary Lights'!F264</f>
        <v>4.13</v>
      </c>
      <c r="F330" s="102"/>
      <c r="G330" s="116">
        <f t="shared" si="53"/>
        <v>0</v>
      </c>
      <c r="H330" s="225">
        <v>3.49</v>
      </c>
      <c r="I330" s="102"/>
      <c r="J330" s="116">
        <f t="shared" si="57"/>
        <v>0</v>
      </c>
      <c r="K330" s="116"/>
      <c r="N330" s="99"/>
      <c r="P330" s="99"/>
    </row>
    <row r="331" spans="1:16">
      <c r="A331" s="206">
        <f t="shared" si="51"/>
        <v>320</v>
      </c>
      <c r="B331" s="123" t="s">
        <v>454</v>
      </c>
      <c r="C331" s="102" t="str">
        <f t="shared" si="56"/>
        <v>SCHEDULE 54</v>
      </c>
      <c r="D331" s="46">
        <v>0</v>
      </c>
      <c r="E331" s="225">
        <f>'Tariff Summary Lights'!F265</f>
        <v>4.3100000000000005</v>
      </c>
      <c r="F331" s="102"/>
      <c r="G331" s="116">
        <f t="shared" si="53"/>
        <v>0</v>
      </c>
      <c r="H331" s="225">
        <v>4.49</v>
      </c>
      <c r="I331" s="102"/>
      <c r="J331" s="116">
        <f t="shared" si="57"/>
        <v>0</v>
      </c>
      <c r="K331" s="116"/>
      <c r="N331" s="99"/>
      <c r="P331" s="99"/>
    </row>
    <row r="332" spans="1:16">
      <c r="A332" s="206">
        <f t="shared" si="51"/>
        <v>321</v>
      </c>
      <c r="B332" s="123" t="s">
        <v>455</v>
      </c>
      <c r="C332" s="102" t="str">
        <f t="shared" si="56"/>
        <v>SCHEDULE 54</v>
      </c>
      <c r="D332" s="46">
        <v>0</v>
      </c>
      <c r="E332" s="225">
        <f>'Tariff Summary Lights'!F266</f>
        <v>4.49</v>
      </c>
      <c r="F332" s="102"/>
      <c r="G332" s="116">
        <f t="shared" si="53"/>
        <v>0</v>
      </c>
      <c r="H332" s="225">
        <v>4.49</v>
      </c>
      <c r="I332" s="102"/>
      <c r="J332" s="116">
        <f t="shared" si="57"/>
        <v>0</v>
      </c>
      <c r="K332" s="116"/>
      <c r="N332" s="99"/>
      <c r="P332" s="99"/>
    </row>
    <row r="333" spans="1:16">
      <c r="A333" s="206">
        <f t="shared" si="51"/>
        <v>322</v>
      </c>
      <c r="B333" s="123" t="s">
        <v>456</v>
      </c>
      <c r="C333" s="102" t="str">
        <f t="shared" si="56"/>
        <v>SCHEDULE 54</v>
      </c>
      <c r="D333" s="46">
        <v>11</v>
      </c>
      <c r="E333" s="225">
        <f>'Tariff Summary Lights'!F267</f>
        <v>4.6599999999999993</v>
      </c>
      <c r="F333" s="102"/>
      <c r="G333" s="116">
        <f t="shared" si="53"/>
        <v>615</v>
      </c>
      <c r="H333" s="225">
        <v>4.49</v>
      </c>
      <c r="I333" s="102"/>
      <c r="J333" s="116">
        <f t="shared" si="57"/>
        <v>593</v>
      </c>
      <c r="K333" s="116"/>
      <c r="N333" s="99"/>
      <c r="P333" s="99"/>
    </row>
    <row r="334" spans="1:16">
      <c r="A334" s="206">
        <f t="shared" ref="A334:A397" si="58">A333+1</f>
        <v>323</v>
      </c>
      <c r="B334" s="123" t="s">
        <v>457</v>
      </c>
      <c r="C334" s="102" t="str">
        <f t="shared" si="56"/>
        <v>SCHEDULE 54</v>
      </c>
      <c r="D334" s="46">
        <v>711</v>
      </c>
      <c r="E334" s="225">
        <f>'Tariff Summary Lights'!F268</f>
        <v>4.84</v>
      </c>
      <c r="F334" s="102"/>
      <c r="G334" s="116">
        <f t="shared" si="53"/>
        <v>41295</v>
      </c>
      <c r="H334" s="225">
        <v>4.49</v>
      </c>
      <c r="I334" s="102"/>
      <c r="J334" s="116">
        <f t="shared" si="57"/>
        <v>38309</v>
      </c>
      <c r="K334" s="116"/>
      <c r="N334" s="99"/>
      <c r="P334" s="99"/>
    </row>
    <row r="335" spans="1:16">
      <c r="A335" s="206">
        <f t="shared" si="58"/>
        <v>324</v>
      </c>
      <c r="B335" s="123" t="s">
        <v>458</v>
      </c>
      <c r="C335" s="102" t="str">
        <f t="shared" si="56"/>
        <v>SCHEDULE 54</v>
      </c>
      <c r="D335" s="46">
        <v>0</v>
      </c>
      <c r="E335" s="225">
        <f>'Tariff Summary Lights'!F269</f>
        <v>5.01</v>
      </c>
      <c r="F335" s="102"/>
      <c r="G335" s="116">
        <f t="shared" si="53"/>
        <v>0</v>
      </c>
      <c r="H335" s="225">
        <v>4.49</v>
      </c>
      <c r="I335" s="102"/>
      <c r="J335" s="116">
        <f t="shared" si="57"/>
        <v>0</v>
      </c>
      <c r="K335" s="116"/>
      <c r="N335" s="99"/>
      <c r="P335" s="99"/>
    </row>
    <row r="336" spans="1:16">
      <c r="A336" s="206">
        <f t="shared" si="58"/>
        <v>325</v>
      </c>
      <c r="B336" s="123" t="s">
        <v>459</v>
      </c>
      <c r="C336" s="102" t="str">
        <f t="shared" si="56"/>
        <v>SCHEDULE 54</v>
      </c>
      <c r="D336" s="46">
        <v>0</v>
      </c>
      <c r="E336" s="225">
        <f>'Tariff Summary Lights'!F270</f>
        <v>5.1899999999999995</v>
      </c>
      <c r="F336" s="102"/>
      <c r="G336" s="116">
        <f t="shared" si="53"/>
        <v>0</v>
      </c>
      <c r="H336" s="225">
        <v>4.49</v>
      </c>
      <c r="I336" s="102"/>
      <c r="J336" s="116">
        <f t="shared" si="57"/>
        <v>0</v>
      </c>
      <c r="K336" s="116"/>
      <c r="N336" s="99"/>
      <c r="P336" s="99"/>
    </row>
    <row r="337" spans="1:16">
      <c r="A337" s="206">
        <f t="shared" si="58"/>
        <v>326</v>
      </c>
      <c r="B337" s="123" t="s">
        <v>460</v>
      </c>
      <c r="C337" s="102" t="str">
        <f t="shared" si="56"/>
        <v>SCHEDULE 54</v>
      </c>
      <c r="D337" s="46">
        <v>0</v>
      </c>
      <c r="E337" s="225">
        <f>'Tariff Summary Lights'!F271</f>
        <v>5.36</v>
      </c>
      <c r="F337" s="102"/>
      <c r="G337" s="116">
        <f t="shared" si="53"/>
        <v>0</v>
      </c>
      <c r="H337" s="225">
        <v>5.49</v>
      </c>
      <c r="I337" s="102"/>
      <c r="J337" s="116">
        <f t="shared" si="57"/>
        <v>0</v>
      </c>
      <c r="K337" s="116"/>
      <c r="N337" s="99"/>
      <c r="P337" s="99"/>
    </row>
    <row r="338" spans="1:16">
      <c r="A338" s="206">
        <f t="shared" si="58"/>
        <v>327</v>
      </c>
      <c r="B338" s="123" t="s">
        <v>461</v>
      </c>
      <c r="C338" s="102" t="str">
        <f t="shared" si="56"/>
        <v>SCHEDULE 54</v>
      </c>
      <c r="D338" s="46">
        <v>0</v>
      </c>
      <c r="E338" s="225">
        <f>'Tariff Summary Lights'!F272</f>
        <v>5.54</v>
      </c>
      <c r="F338" s="102"/>
      <c r="G338" s="116">
        <f t="shared" si="53"/>
        <v>0</v>
      </c>
      <c r="H338" s="225">
        <v>5.49</v>
      </c>
      <c r="I338" s="102"/>
      <c r="J338" s="116">
        <f t="shared" si="57"/>
        <v>0</v>
      </c>
      <c r="K338" s="116"/>
      <c r="N338" s="99"/>
      <c r="P338" s="99"/>
    </row>
    <row r="339" spans="1:16">
      <c r="A339" s="206">
        <f t="shared" si="58"/>
        <v>328</v>
      </c>
      <c r="B339" s="123" t="s">
        <v>462</v>
      </c>
      <c r="C339" s="102" t="str">
        <f t="shared" si="56"/>
        <v>SCHEDULE 54</v>
      </c>
      <c r="D339" s="46">
        <v>0</v>
      </c>
      <c r="E339" s="225">
        <f>'Tariff Summary Lights'!F273</f>
        <v>5.7200000000000006</v>
      </c>
      <c r="F339" s="102"/>
      <c r="G339" s="116">
        <f t="shared" si="53"/>
        <v>0</v>
      </c>
      <c r="H339" s="225">
        <v>5.49</v>
      </c>
      <c r="I339" s="102"/>
      <c r="J339" s="116">
        <f t="shared" si="57"/>
        <v>0</v>
      </c>
      <c r="K339" s="116"/>
      <c r="N339" s="99"/>
      <c r="P339" s="99"/>
    </row>
    <row r="340" spans="1:16">
      <c r="A340" s="206">
        <f t="shared" si="58"/>
        <v>329</v>
      </c>
      <c r="B340" s="123" t="s">
        <v>463</v>
      </c>
      <c r="C340" s="102" t="str">
        <f t="shared" si="56"/>
        <v>SCHEDULE 54</v>
      </c>
      <c r="D340" s="46">
        <v>290</v>
      </c>
      <c r="E340" s="225">
        <f>'Tariff Summary Lights'!F274</f>
        <v>5.9</v>
      </c>
      <c r="F340" s="102"/>
      <c r="G340" s="116">
        <f t="shared" si="53"/>
        <v>20532</v>
      </c>
      <c r="H340" s="225">
        <v>5.49</v>
      </c>
      <c r="I340" s="102"/>
      <c r="J340" s="116">
        <f t="shared" si="57"/>
        <v>19105</v>
      </c>
      <c r="K340" s="116"/>
      <c r="N340" s="99"/>
      <c r="P340" s="99"/>
    </row>
    <row r="341" spans="1:16">
      <c r="A341" s="206">
        <f t="shared" si="58"/>
        <v>330</v>
      </c>
      <c r="B341" s="123" t="s">
        <v>464</v>
      </c>
      <c r="C341" s="102" t="str">
        <f t="shared" si="56"/>
        <v>SCHEDULE 54</v>
      </c>
      <c r="D341" s="46">
        <v>0</v>
      </c>
      <c r="E341" s="225">
        <f>'Tariff Summary Lights'!F275</f>
        <v>6.0699999999999994</v>
      </c>
      <c r="F341" s="102"/>
      <c r="G341" s="116">
        <f t="shared" si="53"/>
        <v>0</v>
      </c>
      <c r="H341" s="225">
        <v>5.49</v>
      </c>
      <c r="I341" s="102"/>
      <c r="J341" s="116">
        <f t="shared" si="57"/>
        <v>0</v>
      </c>
      <c r="K341" s="116"/>
      <c r="N341" s="99"/>
      <c r="P341" s="99"/>
    </row>
    <row r="342" spans="1:16">
      <c r="A342" s="206">
        <f t="shared" si="58"/>
        <v>331</v>
      </c>
      <c r="B342" s="123" t="s">
        <v>465</v>
      </c>
      <c r="C342" s="102" t="str">
        <f t="shared" si="56"/>
        <v>SCHEDULE 54</v>
      </c>
      <c r="D342" s="46">
        <v>0</v>
      </c>
      <c r="E342" s="225">
        <f>'Tariff Summary Lights'!F276</f>
        <v>6.25</v>
      </c>
      <c r="F342" s="102"/>
      <c r="G342" s="116">
        <f t="shared" si="53"/>
        <v>0</v>
      </c>
      <c r="H342" s="225">
        <v>5.49</v>
      </c>
      <c r="I342" s="102"/>
      <c r="J342" s="116">
        <f t="shared" si="57"/>
        <v>0</v>
      </c>
      <c r="K342" s="116"/>
      <c r="N342" s="99"/>
      <c r="P342" s="99"/>
    </row>
    <row r="343" spans="1:16">
      <c r="A343" s="206">
        <f t="shared" si="58"/>
        <v>332</v>
      </c>
      <c r="B343" s="123" t="s">
        <v>466</v>
      </c>
      <c r="C343" s="102" t="str">
        <f t="shared" si="56"/>
        <v>SCHEDULE 54</v>
      </c>
      <c r="D343" s="46">
        <v>0</v>
      </c>
      <c r="E343" s="225">
        <f>'Tariff Summary Lights'!F277</f>
        <v>6.42</v>
      </c>
      <c r="F343" s="102"/>
      <c r="G343" s="116">
        <f t="shared" si="53"/>
        <v>0</v>
      </c>
      <c r="H343" s="225">
        <v>6.49</v>
      </c>
      <c r="I343" s="102"/>
      <c r="J343" s="116">
        <f t="shared" si="57"/>
        <v>0</v>
      </c>
      <c r="K343" s="116"/>
      <c r="N343" s="99"/>
      <c r="P343" s="99"/>
    </row>
    <row r="344" spans="1:16">
      <c r="A344" s="206">
        <f t="shared" si="58"/>
        <v>333</v>
      </c>
      <c r="B344" s="123" t="s">
        <v>467</v>
      </c>
      <c r="C344" s="102" t="str">
        <f t="shared" si="56"/>
        <v>SCHEDULE 54</v>
      </c>
      <c r="D344" s="46">
        <v>0</v>
      </c>
      <c r="E344" s="225">
        <f>'Tariff Summary Lights'!F278</f>
        <v>6.59</v>
      </c>
      <c r="F344" s="102"/>
      <c r="G344" s="116">
        <f t="shared" si="53"/>
        <v>0</v>
      </c>
      <c r="H344" s="225">
        <v>6.49</v>
      </c>
      <c r="I344" s="102"/>
      <c r="J344" s="116">
        <f t="shared" si="57"/>
        <v>0</v>
      </c>
      <c r="K344" s="116"/>
      <c r="N344" s="99"/>
      <c r="P344" s="99"/>
    </row>
    <row r="345" spans="1:16">
      <c r="A345" s="206">
        <f t="shared" si="58"/>
        <v>334</v>
      </c>
      <c r="B345" s="123" t="s">
        <v>468</v>
      </c>
      <c r="C345" s="102" t="str">
        <f t="shared" si="56"/>
        <v>SCHEDULE 54</v>
      </c>
      <c r="D345" s="46">
        <v>0</v>
      </c>
      <c r="E345" s="225">
        <f>'Tariff Summary Lights'!F279</f>
        <v>6.7700000000000005</v>
      </c>
      <c r="F345" s="102"/>
      <c r="G345" s="116">
        <f t="shared" si="53"/>
        <v>0</v>
      </c>
      <c r="H345" s="225">
        <v>6.49</v>
      </c>
      <c r="I345" s="102"/>
      <c r="J345" s="116">
        <f t="shared" si="57"/>
        <v>0</v>
      </c>
      <c r="K345" s="116"/>
      <c r="N345" s="99"/>
      <c r="P345" s="99"/>
    </row>
    <row r="346" spans="1:16">
      <c r="A346" s="206">
        <f t="shared" si="58"/>
        <v>335</v>
      </c>
      <c r="B346" s="123" t="s">
        <v>469</v>
      </c>
      <c r="C346" s="102" t="str">
        <f t="shared" si="56"/>
        <v>SCHEDULE 54</v>
      </c>
      <c r="D346" s="46">
        <v>0</v>
      </c>
      <c r="E346" s="225">
        <f>'Tariff Summary Lights'!F280</f>
        <v>6.95</v>
      </c>
      <c r="F346" s="102"/>
      <c r="G346" s="116">
        <f t="shared" si="53"/>
        <v>0</v>
      </c>
      <c r="H346" s="225">
        <v>6.49</v>
      </c>
      <c r="I346" s="102"/>
      <c r="J346" s="116">
        <f t="shared" si="57"/>
        <v>0</v>
      </c>
      <c r="K346" s="116"/>
      <c r="N346" s="99"/>
      <c r="P346" s="99"/>
    </row>
    <row r="347" spans="1:16">
      <c r="A347" s="206">
        <f t="shared" si="58"/>
        <v>336</v>
      </c>
      <c r="B347" s="123" t="s">
        <v>470</v>
      </c>
      <c r="C347" s="102" t="str">
        <f t="shared" si="56"/>
        <v>SCHEDULE 54</v>
      </c>
      <c r="D347" s="46">
        <v>0</v>
      </c>
      <c r="E347" s="225">
        <f>'Tariff Summary Lights'!F281</f>
        <v>7.13</v>
      </c>
      <c r="F347" s="102"/>
      <c r="G347" s="116">
        <f t="shared" si="53"/>
        <v>0</v>
      </c>
      <c r="H347" s="225">
        <v>6.49</v>
      </c>
      <c r="I347" s="102"/>
      <c r="J347" s="116">
        <f t="shared" si="57"/>
        <v>0</v>
      </c>
      <c r="K347" s="116"/>
      <c r="N347" s="99"/>
      <c r="P347" s="99"/>
    </row>
    <row r="348" spans="1:16">
      <c r="A348" s="206">
        <f t="shared" si="58"/>
        <v>337</v>
      </c>
      <c r="B348" s="123" t="s">
        <v>471</v>
      </c>
      <c r="C348" s="102" t="str">
        <f t="shared" si="56"/>
        <v>SCHEDULE 54</v>
      </c>
      <c r="D348" s="46">
        <v>0</v>
      </c>
      <c r="E348" s="225">
        <f>'Tariff Summary Lights'!F282</f>
        <v>7.3</v>
      </c>
      <c r="F348" s="102"/>
      <c r="G348" s="116">
        <f t="shared" si="53"/>
        <v>0</v>
      </c>
      <c r="H348" s="225">
        <v>6.49</v>
      </c>
      <c r="I348" s="102"/>
      <c r="J348" s="116">
        <f t="shared" si="57"/>
        <v>0</v>
      </c>
      <c r="K348" s="116"/>
      <c r="N348" s="99"/>
      <c r="P348" s="99"/>
    </row>
    <row r="349" spans="1:16">
      <c r="A349" s="206">
        <f t="shared" si="58"/>
        <v>338</v>
      </c>
      <c r="B349" s="123" t="s">
        <v>472</v>
      </c>
      <c r="C349" s="102" t="str">
        <f t="shared" si="56"/>
        <v>SCHEDULE 54</v>
      </c>
      <c r="D349" s="46">
        <v>0</v>
      </c>
      <c r="E349" s="225">
        <f>'Tariff Summary Lights'!F283</f>
        <v>7.4799999999999995</v>
      </c>
      <c r="F349" s="102"/>
      <c r="G349" s="116">
        <f t="shared" si="53"/>
        <v>0</v>
      </c>
      <c r="H349" s="225">
        <v>7.48</v>
      </c>
      <c r="I349" s="102"/>
      <c r="J349" s="116">
        <f t="shared" si="57"/>
        <v>0</v>
      </c>
      <c r="K349" s="116"/>
      <c r="N349" s="99"/>
      <c r="P349" s="99"/>
    </row>
    <row r="350" spans="1:16">
      <c r="A350" s="206">
        <f t="shared" si="58"/>
        <v>339</v>
      </c>
      <c r="B350" s="123" t="s">
        <v>473</v>
      </c>
      <c r="C350" s="102" t="str">
        <f t="shared" si="56"/>
        <v>SCHEDULE 54</v>
      </c>
      <c r="D350" s="46">
        <v>0</v>
      </c>
      <c r="E350" s="225">
        <f>'Tariff Summary Lights'!F284</f>
        <v>7.6499999999999995</v>
      </c>
      <c r="F350" s="102"/>
      <c r="G350" s="116">
        <f t="shared" si="53"/>
        <v>0</v>
      </c>
      <c r="H350" s="225">
        <v>7.48</v>
      </c>
      <c r="I350" s="102"/>
      <c r="J350" s="116">
        <f t="shared" si="57"/>
        <v>0</v>
      </c>
      <c r="K350" s="116"/>
      <c r="N350" s="99"/>
      <c r="P350" s="99"/>
    </row>
    <row r="351" spans="1:16">
      <c r="A351" s="206">
        <f t="shared" si="58"/>
        <v>340</v>
      </c>
      <c r="B351" s="123" t="s">
        <v>474</v>
      </c>
      <c r="C351" s="102" t="str">
        <f t="shared" si="56"/>
        <v>SCHEDULE 54</v>
      </c>
      <c r="D351" s="46">
        <v>0</v>
      </c>
      <c r="E351" s="225">
        <f>'Tariff Summary Lights'!F285</f>
        <v>7.83</v>
      </c>
      <c r="F351" s="102"/>
      <c r="G351" s="116">
        <f t="shared" si="53"/>
        <v>0</v>
      </c>
      <c r="H351" s="225">
        <v>7.48</v>
      </c>
      <c r="I351" s="102"/>
      <c r="J351" s="116">
        <f t="shared" si="57"/>
        <v>0</v>
      </c>
      <c r="K351" s="116"/>
      <c r="N351" s="99"/>
      <c r="P351" s="99"/>
    </row>
    <row r="352" spans="1:16">
      <c r="A352" s="206">
        <f t="shared" si="58"/>
        <v>341</v>
      </c>
      <c r="B352" s="123" t="s">
        <v>475</v>
      </c>
      <c r="C352" s="102" t="str">
        <f t="shared" si="56"/>
        <v>SCHEDULE 54</v>
      </c>
      <c r="D352" s="46">
        <v>0</v>
      </c>
      <c r="E352" s="225">
        <f>'Tariff Summary Lights'!F286</f>
        <v>8</v>
      </c>
      <c r="F352" s="102"/>
      <c r="G352" s="116">
        <f t="shared" si="53"/>
        <v>0</v>
      </c>
      <c r="H352" s="225">
        <v>7.48</v>
      </c>
      <c r="I352" s="102"/>
      <c r="J352" s="116">
        <f t="shared" si="57"/>
        <v>0</v>
      </c>
      <c r="K352" s="116"/>
      <c r="N352" s="99"/>
      <c r="P352" s="99"/>
    </row>
    <row r="353" spans="1:16">
      <c r="A353" s="206">
        <f t="shared" si="58"/>
        <v>342</v>
      </c>
      <c r="B353" s="123" t="s">
        <v>476</v>
      </c>
      <c r="C353" s="102" t="str">
        <f t="shared" si="56"/>
        <v>SCHEDULE 54</v>
      </c>
      <c r="D353" s="46">
        <v>0</v>
      </c>
      <c r="E353" s="225">
        <f>'Tariff Summary Lights'!F287</f>
        <v>8.19</v>
      </c>
      <c r="F353" s="102"/>
      <c r="G353" s="116">
        <f t="shared" si="53"/>
        <v>0</v>
      </c>
      <c r="H353" s="225">
        <v>7.48</v>
      </c>
      <c r="I353" s="102"/>
      <c r="J353" s="116">
        <f t="shared" si="57"/>
        <v>0</v>
      </c>
      <c r="K353" s="116"/>
      <c r="N353" s="99"/>
      <c r="P353" s="99"/>
    </row>
    <row r="354" spans="1:16">
      <c r="A354" s="206">
        <f t="shared" si="58"/>
        <v>343</v>
      </c>
      <c r="B354" s="123" t="s">
        <v>477</v>
      </c>
      <c r="C354" s="102" t="str">
        <f t="shared" si="56"/>
        <v>SCHEDULE 54</v>
      </c>
      <c r="D354" s="46">
        <v>0</v>
      </c>
      <c r="E354" s="225">
        <f>'Tariff Summary Lights'!F288</f>
        <v>8.36</v>
      </c>
      <c r="F354" s="102"/>
      <c r="G354" s="116">
        <f t="shared" si="53"/>
        <v>0</v>
      </c>
      <c r="H354" s="225">
        <v>7.48</v>
      </c>
      <c r="I354" s="102"/>
      <c r="J354" s="116">
        <f t="shared" si="57"/>
        <v>0</v>
      </c>
      <c r="K354" s="116"/>
      <c r="N354" s="99"/>
      <c r="P354" s="99"/>
    </row>
    <row r="355" spans="1:16">
      <c r="A355" s="206">
        <f t="shared" si="58"/>
        <v>344</v>
      </c>
      <c r="B355" s="123" t="s">
        <v>478</v>
      </c>
      <c r="C355" s="102" t="str">
        <f t="shared" si="56"/>
        <v>SCHEDULE 54</v>
      </c>
      <c r="D355" s="46">
        <v>0</v>
      </c>
      <c r="E355" s="225">
        <f>'Tariff Summary Lights'!F289</f>
        <v>8.5300000000000011</v>
      </c>
      <c r="F355" s="102"/>
      <c r="G355" s="116">
        <f t="shared" si="53"/>
        <v>0</v>
      </c>
      <c r="H355" s="225">
        <v>8.48</v>
      </c>
      <c r="I355" s="102"/>
      <c r="J355" s="116">
        <f t="shared" si="57"/>
        <v>0</v>
      </c>
      <c r="K355" s="116"/>
      <c r="N355" s="99"/>
      <c r="P355" s="99"/>
    </row>
    <row r="356" spans="1:16">
      <c r="A356" s="206">
        <f t="shared" si="58"/>
        <v>345</v>
      </c>
      <c r="B356" s="123" t="s">
        <v>479</v>
      </c>
      <c r="C356" s="102" t="str">
        <f t="shared" si="56"/>
        <v>SCHEDULE 54</v>
      </c>
      <c r="D356" s="46">
        <v>0</v>
      </c>
      <c r="E356" s="225">
        <f>'Tariff Summary Lights'!F290</f>
        <v>8.7100000000000009</v>
      </c>
      <c r="F356" s="102"/>
      <c r="G356" s="116">
        <f t="shared" si="53"/>
        <v>0</v>
      </c>
      <c r="H356" s="225">
        <v>8.48</v>
      </c>
      <c r="I356" s="102"/>
      <c r="J356" s="116">
        <f t="shared" si="57"/>
        <v>0</v>
      </c>
      <c r="K356" s="116"/>
      <c r="N356" s="99"/>
      <c r="P356" s="99"/>
    </row>
    <row r="357" spans="1:16">
      <c r="A357" s="206">
        <f t="shared" si="58"/>
        <v>346</v>
      </c>
      <c r="B357" s="123" t="s">
        <v>480</v>
      </c>
      <c r="C357" s="102" t="str">
        <f t="shared" si="56"/>
        <v>SCHEDULE 54</v>
      </c>
      <c r="D357" s="46">
        <v>0</v>
      </c>
      <c r="E357" s="225">
        <f>'Tariff Summary Lights'!F291</f>
        <v>8.8800000000000008</v>
      </c>
      <c r="F357" s="102"/>
      <c r="G357" s="116">
        <f t="shared" si="53"/>
        <v>0</v>
      </c>
      <c r="H357" s="225">
        <v>8.48</v>
      </c>
      <c r="I357" s="102"/>
      <c r="J357" s="116">
        <f t="shared" si="57"/>
        <v>0</v>
      </c>
      <c r="K357" s="116"/>
      <c r="N357" s="99"/>
      <c r="P357" s="99"/>
    </row>
    <row r="358" spans="1:16">
      <c r="A358" s="206">
        <f t="shared" si="58"/>
        <v>347</v>
      </c>
      <c r="B358" s="123" t="s">
        <v>481</v>
      </c>
      <c r="C358" s="102" t="str">
        <f t="shared" si="56"/>
        <v>SCHEDULE 54</v>
      </c>
      <c r="D358" s="46">
        <v>0</v>
      </c>
      <c r="E358" s="225">
        <f>'Tariff Summary Lights'!F292</f>
        <v>9.06</v>
      </c>
      <c r="F358" s="102"/>
      <c r="G358" s="116">
        <f t="shared" si="53"/>
        <v>0</v>
      </c>
      <c r="H358" s="225">
        <v>8.48</v>
      </c>
      <c r="I358" s="102"/>
      <c r="J358" s="116">
        <f t="shared" si="57"/>
        <v>0</v>
      </c>
      <c r="K358" s="116"/>
      <c r="N358" s="99"/>
      <c r="P358" s="99"/>
    </row>
    <row r="359" spans="1:16">
      <c r="A359" s="206">
        <f t="shared" si="58"/>
        <v>348</v>
      </c>
      <c r="B359" s="123" t="s">
        <v>482</v>
      </c>
      <c r="C359" s="102" t="str">
        <f t="shared" si="56"/>
        <v>SCHEDULE 54</v>
      </c>
      <c r="D359" s="46">
        <v>0</v>
      </c>
      <c r="E359" s="225">
        <f>'Tariff Summary Lights'!F293</f>
        <v>9.23</v>
      </c>
      <c r="F359" s="102"/>
      <c r="G359" s="116">
        <f t="shared" si="53"/>
        <v>0</v>
      </c>
      <c r="H359" s="225">
        <v>8.48</v>
      </c>
      <c r="I359" s="102"/>
      <c r="J359" s="116">
        <f t="shared" si="57"/>
        <v>0</v>
      </c>
      <c r="K359" s="116"/>
      <c r="N359" s="99"/>
      <c r="P359" s="99"/>
    </row>
    <row r="360" spans="1:16">
      <c r="A360" s="206">
        <f t="shared" si="58"/>
        <v>349</v>
      </c>
      <c r="B360" s="123" t="s">
        <v>483</v>
      </c>
      <c r="C360" s="102" t="str">
        <f t="shared" si="56"/>
        <v>SCHEDULE 54</v>
      </c>
      <c r="D360" s="46">
        <v>0</v>
      </c>
      <c r="E360" s="225">
        <f>'Tariff Summary Lights'!F294</f>
        <v>9.4200000000000017</v>
      </c>
      <c r="F360" s="102"/>
      <c r="G360" s="116">
        <f t="shared" si="53"/>
        <v>0</v>
      </c>
      <c r="H360" s="225">
        <v>8.48</v>
      </c>
      <c r="I360" s="102"/>
      <c r="J360" s="116">
        <f t="shared" si="57"/>
        <v>0</v>
      </c>
      <c r="K360" s="116"/>
      <c r="N360" s="99"/>
      <c r="P360" s="99"/>
    </row>
    <row r="361" spans="1:16">
      <c r="A361" s="206">
        <f t="shared" si="58"/>
        <v>350</v>
      </c>
      <c r="B361" s="123" t="s">
        <v>484</v>
      </c>
      <c r="C361" s="102" t="str">
        <f t="shared" si="56"/>
        <v>SCHEDULE 54</v>
      </c>
      <c r="D361" s="46">
        <v>0</v>
      </c>
      <c r="E361" s="225">
        <f>'Tariff Summary Lights'!F295</f>
        <v>9.59</v>
      </c>
      <c r="F361" s="102"/>
      <c r="G361" s="116">
        <f t="shared" si="53"/>
        <v>0</v>
      </c>
      <c r="H361" s="225">
        <v>9.48</v>
      </c>
      <c r="I361" s="102"/>
      <c r="J361" s="116">
        <f t="shared" si="57"/>
        <v>0</v>
      </c>
      <c r="K361" s="116"/>
      <c r="N361" s="99"/>
      <c r="P361" s="99"/>
    </row>
    <row r="362" spans="1:16">
      <c r="A362" s="206">
        <f t="shared" si="58"/>
        <v>351</v>
      </c>
      <c r="B362" s="123" t="s">
        <v>485</v>
      </c>
      <c r="C362" s="102" t="str">
        <f t="shared" si="56"/>
        <v>SCHEDULE 54</v>
      </c>
      <c r="D362" s="46">
        <v>0</v>
      </c>
      <c r="E362" s="225">
        <f>'Tariff Summary Lights'!F296</f>
        <v>9.77</v>
      </c>
      <c r="F362" s="102"/>
      <c r="G362" s="116">
        <f t="shared" si="53"/>
        <v>0</v>
      </c>
      <c r="H362" s="225">
        <v>9.48</v>
      </c>
      <c r="I362" s="102"/>
      <c r="J362" s="116">
        <f t="shared" si="57"/>
        <v>0</v>
      </c>
      <c r="K362" s="116"/>
      <c r="N362" s="99"/>
      <c r="P362" s="99"/>
    </row>
    <row r="363" spans="1:16">
      <c r="A363" s="206">
        <f t="shared" si="58"/>
        <v>352</v>
      </c>
      <c r="B363" s="123" t="s">
        <v>486</v>
      </c>
      <c r="C363" s="102" t="str">
        <f t="shared" si="56"/>
        <v>SCHEDULE 54</v>
      </c>
      <c r="D363" s="46">
        <v>0</v>
      </c>
      <c r="E363" s="225">
        <f>'Tariff Summary Lights'!F297</f>
        <v>9.94</v>
      </c>
      <c r="F363" s="102"/>
      <c r="G363" s="116">
        <f t="shared" si="53"/>
        <v>0</v>
      </c>
      <c r="H363" s="225">
        <v>9.48</v>
      </c>
      <c r="I363" s="102"/>
      <c r="J363" s="116">
        <f t="shared" si="57"/>
        <v>0</v>
      </c>
      <c r="K363" s="116"/>
      <c r="N363" s="99"/>
      <c r="P363" s="99"/>
    </row>
    <row r="364" spans="1:16">
      <c r="A364" s="206">
        <f t="shared" si="58"/>
        <v>353</v>
      </c>
      <c r="B364" s="123" t="s">
        <v>487</v>
      </c>
      <c r="C364" s="102" t="str">
        <f t="shared" si="56"/>
        <v>SCHEDULE 54</v>
      </c>
      <c r="D364" s="46">
        <v>0</v>
      </c>
      <c r="E364" s="225">
        <f>'Tariff Summary Lights'!F298</f>
        <v>10.119999999999999</v>
      </c>
      <c r="F364" s="102"/>
      <c r="G364" s="116">
        <f t="shared" si="53"/>
        <v>0</v>
      </c>
      <c r="H364" s="225">
        <v>9.48</v>
      </c>
      <c r="I364" s="102"/>
      <c r="J364" s="116">
        <f t="shared" si="57"/>
        <v>0</v>
      </c>
      <c r="K364" s="116"/>
      <c r="N364" s="99"/>
      <c r="P364" s="99"/>
    </row>
    <row r="365" spans="1:16">
      <c r="A365" s="206">
        <f t="shared" si="58"/>
        <v>354</v>
      </c>
      <c r="B365" s="123" t="s">
        <v>488</v>
      </c>
      <c r="C365" s="102" t="str">
        <f t="shared" si="56"/>
        <v>SCHEDULE 54</v>
      </c>
      <c r="D365" s="46">
        <v>0</v>
      </c>
      <c r="E365" s="225">
        <f>'Tariff Summary Lights'!F299</f>
        <v>10.29</v>
      </c>
      <c r="F365" s="102"/>
      <c r="G365" s="116">
        <f t="shared" si="53"/>
        <v>0</v>
      </c>
      <c r="H365" s="225">
        <v>9.48</v>
      </c>
      <c r="I365" s="102"/>
      <c r="J365" s="116">
        <f t="shared" si="57"/>
        <v>0</v>
      </c>
      <c r="K365" s="116"/>
      <c r="N365" s="99"/>
      <c r="P365" s="99"/>
    </row>
    <row r="366" spans="1:16">
      <c r="A366" s="206">
        <f t="shared" si="58"/>
        <v>355</v>
      </c>
      <c r="B366" s="123" t="s">
        <v>489</v>
      </c>
      <c r="C366" s="102" t="str">
        <f t="shared" si="56"/>
        <v>SCHEDULE 54</v>
      </c>
      <c r="D366" s="46">
        <v>0</v>
      </c>
      <c r="E366" s="225">
        <f>'Tariff Summary Lights'!F300</f>
        <v>10.459999999999999</v>
      </c>
      <c r="F366" s="102"/>
      <c r="G366" s="116">
        <f t="shared" si="53"/>
        <v>0</v>
      </c>
      <c r="H366" s="225">
        <v>9.48</v>
      </c>
      <c r="I366" s="102"/>
      <c r="J366" s="116">
        <f t="shared" si="57"/>
        <v>0</v>
      </c>
      <c r="K366" s="116"/>
      <c r="N366" s="99"/>
      <c r="P366" s="99"/>
    </row>
    <row r="367" spans="1:16">
      <c r="A367" s="206">
        <f t="shared" si="58"/>
        <v>356</v>
      </c>
      <c r="B367" s="228" t="s">
        <v>26</v>
      </c>
      <c r="C367" s="102" t="str">
        <f t="shared" si="56"/>
        <v>SCHEDULE 54</v>
      </c>
      <c r="D367" s="229">
        <f>SUM(D303:D366)</f>
        <v>11295</v>
      </c>
      <c r="E367" s="312"/>
      <c r="G367" s="242">
        <f>SUM(G303:G366)</f>
        <v>899588</v>
      </c>
      <c r="H367" s="312"/>
      <c r="J367" s="242">
        <f>SUM(J303:J366)</f>
        <v>771902</v>
      </c>
      <c r="K367" s="116"/>
      <c r="N367" s="99"/>
    </row>
    <row r="368" spans="1:16">
      <c r="A368" s="206">
        <f t="shared" si="58"/>
        <v>357</v>
      </c>
      <c r="B368" s="228"/>
      <c r="D368" s="217"/>
      <c r="E368" s="312"/>
      <c r="G368" s="247"/>
      <c r="H368" s="312"/>
      <c r="J368" s="247"/>
      <c r="K368" s="116"/>
    </row>
    <row r="369" spans="1:13">
      <c r="A369" s="206">
        <f t="shared" si="58"/>
        <v>358</v>
      </c>
      <c r="B369" s="207" t="s">
        <v>183</v>
      </c>
      <c r="C369" s="102" t="str">
        <f>$B$300</f>
        <v>SCHEDULE 54</v>
      </c>
      <c r="D369" s="220">
        <v>528</v>
      </c>
      <c r="E369" s="231"/>
      <c r="F369" s="232"/>
      <c r="G369" s="37"/>
      <c r="H369" s="231"/>
      <c r="I369" s="232"/>
      <c r="J369" s="37"/>
      <c r="K369" s="116"/>
    </row>
    <row r="370" spans="1:13">
      <c r="A370" s="206">
        <f t="shared" si="58"/>
        <v>359</v>
      </c>
      <c r="B370" s="207"/>
      <c r="C370" s="102"/>
      <c r="D370" s="220"/>
      <c r="E370" s="231"/>
      <c r="F370" s="232"/>
      <c r="G370" s="37"/>
      <c r="H370" s="231"/>
      <c r="I370" s="232"/>
      <c r="J370" s="37"/>
      <c r="K370" s="116"/>
    </row>
    <row r="371" spans="1:13">
      <c r="A371" s="206">
        <f t="shared" si="58"/>
        <v>360</v>
      </c>
      <c r="B371" s="45" t="s">
        <v>407</v>
      </c>
      <c r="C371" s="102" t="str">
        <f t="shared" ref="C371:C373" si="59">$B$300</f>
        <v>SCHEDULE 54</v>
      </c>
      <c r="D371" s="46">
        <v>8926151.7919999994</v>
      </c>
      <c r="E371" s="231"/>
      <c r="F371" s="232"/>
      <c r="G371" s="37"/>
      <c r="H371" s="231"/>
      <c r="I371" s="232"/>
      <c r="J371" s="37"/>
      <c r="K371" s="116"/>
    </row>
    <row r="372" spans="1:13">
      <c r="A372" s="206">
        <f t="shared" si="58"/>
        <v>361</v>
      </c>
      <c r="B372" s="45" t="s">
        <v>408</v>
      </c>
      <c r="C372" s="102" t="str">
        <f t="shared" si="59"/>
        <v>SCHEDULE 54</v>
      </c>
      <c r="D372" s="46">
        <v>-880488</v>
      </c>
      <c r="E372" s="234">
        <f>ROUND(G372/D372,6)</f>
        <v>2.9571E-2</v>
      </c>
      <c r="F372" s="313"/>
      <c r="G372" s="116">
        <f>$R$17</f>
        <v>-26037</v>
      </c>
      <c r="H372" s="234">
        <f>ROUND(J372/D372,6)</f>
        <v>3.2031999999999998E-2</v>
      </c>
      <c r="I372" s="313"/>
      <c r="J372" s="116">
        <f>ROUND(+G372*(1+L372),0)</f>
        <v>-28204</v>
      </c>
      <c r="K372" s="313"/>
      <c r="L372" s="101">
        <f>'Rate Spread'!$I$27</f>
        <v>8.3224326412326355E-2</v>
      </c>
      <c r="M372" s="29" t="s">
        <v>847</v>
      </c>
    </row>
    <row r="373" spans="1:13" ht="16.2" thickBot="1">
      <c r="A373" s="206">
        <f t="shared" si="58"/>
        <v>362</v>
      </c>
      <c r="B373" s="212" t="s">
        <v>27</v>
      </c>
      <c r="C373" s="102" t="str">
        <f t="shared" si="59"/>
        <v>SCHEDULE 54</v>
      </c>
      <c r="D373" s="235">
        <f>SUM(D371:D372)</f>
        <v>8045663.7919999994</v>
      </c>
      <c r="E373" s="103"/>
      <c r="G373" s="236">
        <f>SUM(G367,G372)</f>
        <v>873551</v>
      </c>
      <c r="H373" s="103"/>
      <c r="J373" s="236">
        <f>SUM(J367,J372)</f>
        <v>743698</v>
      </c>
      <c r="K373" s="116"/>
    </row>
    <row r="374" spans="1:13" ht="16.2" thickTop="1">
      <c r="A374" s="206">
        <f t="shared" si="58"/>
        <v>363</v>
      </c>
      <c r="B374" s="102"/>
      <c r="C374" s="102"/>
      <c r="D374" s="113"/>
      <c r="E374" s="249" t="s">
        <v>0</v>
      </c>
      <c r="F374" s="214"/>
      <c r="G374" s="103"/>
      <c r="H374" s="249" t="s">
        <v>0</v>
      </c>
      <c r="I374" s="214"/>
      <c r="J374" s="103" t="s">
        <v>0</v>
      </c>
      <c r="K374" s="103"/>
    </row>
    <row r="375" spans="1:13">
      <c r="A375" s="206">
        <f t="shared" si="58"/>
        <v>364</v>
      </c>
      <c r="D375" s="113"/>
      <c r="E375" s="246"/>
      <c r="F375" s="246"/>
      <c r="G375" s="39"/>
      <c r="J375" s="105"/>
      <c r="K375" s="105"/>
    </row>
    <row r="376" spans="1:13">
      <c r="A376" s="206">
        <f t="shared" si="58"/>
        <v>365</v>
      </c>
      <c r="B376" s="405" t="s">
        <v>514</v>
      </c>
      <c r="C376" s="405"/>
      <c r="D376" s="405"/>
      <c r="E376" s="405"/>
      <c r="F376" s="405"/>
      <c r="G376" s="405"/>
      <c r="H376" s="405"/>
      <c r="I376" s="405"/>
      <c r="J376" s="405"/>
    </row>
    <row r="377" spans="1:13">
      <c r="A377" s="206">
        <f t="shared" si="58"/>
        <v>366</v>
      </c>
      <c r="B377" s="207" t="s">
        <v>520</v>
      </c>
      <c r="C377" s="102"/>
      <c r="D377" s="102"/>
      <c r="E377" s="102"/>
      <c r="F377" s="102"/>
      <c r="G377" s="102"/>
      <c r="H377" s="102"/>
      <c r="I377" s="102"/>
      <c r="J377" s="102"/>
      <c r="K377" s="99"/>
    </row>
    <row r="378" spans="1:13">
      <c r="A378" s="206">
        <f t="shared" si="58"/>
        <v>367</v>
      </c>
      <c r="B378" s="102"/>
      <c r="C378" s="102"/>
      <c r="D378" s="102"/>
      <c r="E378" s="245"/>
      <c r="F378" s="102"/>
      <c r="G378" s="102"/>
      <c r="H378" s="245"/>
      <c r="I378" s="102"/>
      <c r="J378" s="102"/>
    </row>
    <row r="379" spans="1:13">
      <c r="A379" s="206">
        <f t="shared" si="58"/>
        <v>368</v>
      </c>
      <c r="B379" s="123" t="s">
        <v>490</v>
      </c>
      <c r="C379" s="102" t="str">
        <f>$B$376</f>
        <v>SCHEDULES 55 &amp; 56</v>
      </c>
      <c r="D379" s="46">
        <v>19</v>
      </c>
      <c r="E379" s="225">
        <f>'Tariff Summary Lights'!F302</f>
        <v>10.42</v>
      </c>
      <c r="F379" s="102"/>
      <c r="G379" s="116">
        <f t="shared" ref="G379:G386" si="60">ROUND(D379*E379*12,0)</f>
        <v>2376</v>
      </c>
      <c r="H379" s="225">
        <v>12</v>
      </c>
      <c r="I379" s="102"/>
      <c r="J379" s="116">
        <f t="shared" ref="J379:J386" si="61">ROUND(H379*$D379*12,0)</f>
        <v>2736</v>
      </c>
    </row>
    <row r="380" spans="1:13">
      <c r="A380" s="206">
        <f t="shared" si="58"/>
        <v>369</v>
      </c>
      <c r="B380" s="123" t="s">
        <v>491</v>
      </c>
      <c r="C380" s="102" t="str">
        <f t="shared" ref="C380:C384" si="62">$B$376</f>
        <v>SCHEDULES 55 &amp; 56</v>
      </c>
      <c r="D380" s="46">
        <v>4211</v>
      </c>
      <c r="E380" s="225">
        <f>'Tariff Summary Lights'!F303</f>
        <v>11.72</v>
      </c>
      <c r="F380" s="102"/>
      <c r="G380" s="116">
        <f t="shared" si="60"/>
        <v>592235</v>
      </c>
      <c r="H380" s="225">
        <v>13.27</v>
      </c>
      <c r="I380" s="102"/>
      <c r="J380" s="116">
        <f t="shared" si="61"/>
        <v>670560</v>
      </c>
    </row>
    <row r="381" spans="1:13">
      <c r="A381" s="206">
        <f t="shared" si="58"/>
        <v>370</v>
      </c>
      <c r="B381" s="123" t="s">
        <v>492</v>
      </c>
      <c r="C381" s="102" t="str">
        <f t="shared" si="62"/>
        <v>SCHEDULES 55 &amp; 56</v>
      </c>
      <c r="D381" s="46">
        <v>575</v>
      </c>
      <c r="E381" s="225">
        <f>'Tariff Summary Lights'!F304</f>
        <v>13.97</v>
      </c>
      <c r="F381" s="102"/>
      <c r="G381" s="116">
        <f t="shared" si="60"/>
        <v>96393</v>
      </c>
      <c r="H381" s="225">
        <v>15.38</v>
      </c>
      <c r="I381" s="102"/>
      <c r="J381" s="116">
        <f t="shared" si="61"/>
        <v>106122</v>
      </c>
    </row>
    <row r="382" spans="1:13">
      <c r="A382" s="206">
        <f t="shared" si="58"/>
        <v>371</v>
      </c>
      <c r="B382" s="123" t="s">
        <v>493</v>
      </c>
      <c r="C382" s="102" t="str">
        <f t="shared" si="62"/>
        <v>SCHEDULES 55 &amp; 56</v>
      </c>
      <c r="D382" s="46">
        <v>1208</v>
      </c>
      <c r="E382" s="225">
        <f>'Tariff Summary Lights'!F305</f>
        <v>16.75</v>
      </c>
      <c r="F382" s="102"/>
      <c r="G382" s="116">
        <f t="shared" si="60"/>
        <v>242808</v>
      </c>
      <c r="H382" s="225">
        <v>17.489999999999998</v>
      </c>
      <c r="I382" s="102"/>
      <c r="J382" s="116">
        <f t="shared" si="61"/>
        <v>253535</v>
      </c>
    </row>
    <row r="383" spans="1:13">
      <c r="A383" s="206">
        <f t="shared" si="58"/>
        <v>372</v>
      </c>
      <c r="B383" s="123" t="s">
        <v>494</v>
      </c>
      <c r="C383" s="102" t="str">
        <f t="shared" si="62"/>
        <v>SCHEDULES 55 &amp; 56</v>
      </c>
      <c r="D383" s="46">
        <v>128</v>
      </c>
      <c r="E383" s="225">
        <f>'Tariff Summary Lights'!F306</f>
        <v>18.88</v>
      </c>
      <c r="F383" s="102"/>
      <c r="G383" s="116">
        <f t="shared" si="60"/>
        <v>29000</v>
      </c>
      <c r="H383" s="225">
        <v>19.600000000000001</v>
      </c>
      <c r="I383" s="102"/>
      <c r="J383" s="116">
        <f t="shared" si="61"/>
        <v>30106</v>
      </c>
    </row>
    <row r="384" spans="1:13">
      <c r="A384" s="206">
        <f t="shared" si="58"/>
        <v>373</v>
      </c>
      <c r="B384" s="123" t="s">
        <v>495</v>
      </c>
      <c r="C384" s="102" t="str">
        <f t="shared" si="62"/>
        <v>SCHEDULES 55 &amp; 56</v>
      </c>
      <c r="D384" s="46">
        <v>53</v>
      </c>
      <c r="E384" s="225">
        <f>'Tariff Summary Lights'!F307</f>
        <v>25.48</v>
      </c>
      <c r="F384" s="102"/>
      <c r="G384" s="116">
        <f t="shared" si="60"/>
        <v>16205</v>
      </c>
      <c r="H384" s="225">
        <v>25.93</v>
      </c>
      <c r="I384" s="102"/>
      <c r="J384" s="116">
        <f t="shared" si="61"/>
        <v>16491</v>
      </c>
    </row>
    <row r="385" spans="1:10">
      <c r="A385" s="206">
        <f t="shared" si="58"/>
        <v>374</v>
      </c>
      <c r="B385" s="123"/>
      <c r="C385" s="102"/>
      <c r="D385" s="46"/>
      <c r="E385" s="225"/>
      <c r="F385" s="102"/>
      <c r="G385" s="116"/>
      <c r="H385" s="225"/>
      <c r="I385" s="102"/>
      <c r="J385" s="116"/>
    </row>
    <row r="386" spans="1:10">
      <c r="A386" s="206">
        <f t="shared" si="58"/>
        <v>375</v>
      </c>
      <c r="B386" s="123" t="s">
        <v>496</v>
      </c>
      <c r="C386" s="102" t="str">
        <f>$B$376</f>
        <v>SCHEDULES 55 &amp; 56</v>
      </c>
      <c r="D386" s="46">
        <v>6</v>
      </c>
      <c r="E386" s="225">
        <f>'Tariff Summary Lights'!F309</f>
        <v>21.79</v>
      </c>
      <c r="F386" s="102"/>
      <c r="G386" s="116">
        <f t="shared" si="60"/>
        <v>1569</v>
      </c>
      <c r="H386" s="225">
        <v>22.94</v>
      </c>
      <c r="I386" s="102"/>
      <c r="J386" s="116">
        <f t="shared" si="61"/>
        <v>1652</v>
      </c>
    </row>
    <row r="387" spans="1:10">
      <c r="A387" s="206">
        <f t="shared" si="58"/>
        <v>376</v>
      </c>
      <c r="B387" s="123"/>
      <c r="C387" s="102"/>
      <c r="D387" s="46"/>
      <c r="E387" s="225"/>
      <c r="F387" s="102"/>
      <c r="G387" s="116"/>
      <c r="H387" s="225"/>
      <c r="I387" s="102"/>
      <c r="J387" s="116"/>
    </row>
    <row r="388" spans="1:10">
      <c r="A388" s="206">
        <f t="shared" si="58"/>
        <v>377</v>
      </c>
      <c r="B388" s="123" t="s">
        <v>497</v>
      </c>
      <c r="C388" s="102" t="str">
        <f t="shared" ref="C388:C408" si="63">$B$376</f>
        <v>SCHEDULES 55 &amp; 56</v>
      </c>
      <c r="D388" s="46">
        <v>0</v>
      </c>
      <c r="E388" s="225">
        <f>'Tariff Summary Lights'!F311</f>
        <v>9.2100000000000009</v>
      </c>
      <c r="F388" s="102"/>
      <c r="G388" s="116">
        <f t="shared" ref="G388" si="64">ROUND(D388*E388*12,0)</f>
        <v>0</v>
      </c>
      <c r="H388" s="225">
        <v>12.59</v>
      </c>
      <c r="I388" s="102"/>
      <c r="J388" s="116">
        <f t="shared" ref="J388" si="65">ROUND(H388*$D388*12,0)</f>
        <v>0</v>
      </c>
    </row>
    <row r="389" spans="1:10">
      <c r="A389" s="206">
        <f t="shared" si="58"/>
        <v>378</v>
      </c>
      <c r="B389" s="123" t="s">
        <v>498</v>
      </c>
      <c r="C389" s="102" t="str">
        <f t="shared" si="63"/>
        <v>SCHEDULES 55 &amp; 56</v>
      </c>
      <c r="D389" s="46">
        <v>0</v>
      </c>
      <c r="E389" s="225">
        <f>'Tariff Summary Lights'!F312</f>
        <v>9.39</v>
      </c>
      <c r="F389" s="102"/>
      <c r="G389" s="116">
        <f t="shared" ref="G389" si="66">ROUND(D389*E389*12,0)</f>
        <v>0</v>
      </c>
      <c r="H389" s="225">
        <v>12.59</v>
      </c>
      <c r="I389" s="102"/>
      <c r="J389" s="116">
        <f t="shared" ref="J389" si="67">ROUND(H389*$D389*12,0)</f>
        <v>0</v>
      </c>
    </row>
    <row r="390" spans="1:10">
      <c r="A390" s="206">
        <f t="shared" si="58"/>
        <v>379</v>
      </c>
      <c r="B390" s="123" t="s">
        <v>499</v>
      </c>
      <c r="C390" s="102" t="str">
        <f t="shared" si="63"/>
        <v>SCHEDULES 55 &amp; 56</v>
      </c>
      <c r="D390" s="46">
        <v>0</v>
      </c>
      <c r="E390" s="225">
        <f>'Tariff Summary Lights'!F313</f>
        <v>9.56</v>
      </c>
      <c r="F390" s="102"/>
      <c r="G390" s="116">
        <f t="shared" ref="G390:G411" si="68">ROUND(D390*E390*12,0)</f>
        <v>0</v>
      </c>
      <c r="H390" s="225">
        <v>12.59</v>
      </c>
      <c r="I390" s="102"/>
      <c r="J390" s="116">
        <f t="shared" ref="J390:J411" si="69">ROUND(H390*$D390*12,0)</f>
        <v>0</v>
      </c>
    </row>
    <row r="391" spans="1:10">
      <c r="A391" s="206">
        <f t="shared" si="58"/>
        <v>380</v>
      </c>
      <c r="B391" s="123" t="s">
        <v>500</v>
      </c>
      <c r="C391" s="102" t="str">
        <f t="shared" si="63"/>
        <v>SCHEDULES 55 &amp; 56</v>
      </c>
      <c r="D391" s="46">
        <v>1</v>
      </c>
      <c r="E391" s="225">
        <f>'Tariff Summary Lights'!F314</f>
        <v>9.74</v>
      </c>
      <c r="F391" s="102"/>
      <c r="G391" s="116">
        <f t="shared" si="68"/>
        <v>117</v>
      </c>
      <c r="H391" s="225">
        <v>12.59</v>
      </c>
      <c r="I391" s="102"/>
      <c r="J391" s="116">
        <f t="shared" si="69"/>
        <v>151</v>
      </c>
    </row>
    <row r="392" spans="1:10">
      <c r="A392" s="206">
        <f t="shared" si="58"/>
        <v>381</v>
      </c>
      <c r="B392" s="123" t="s">
        <v>501</v>
      </c>
      <c r="C392" s="102" t="str">
        <f t="shared" si="63"/>
        <v>SCHEDULES 55 &amp; 56</v>
      </c>
      <c r="D392" s="46">
        <v>3</v>
      </c>
      <c r="E392" s="225">
        <f>'Tariff Summary Lights'!F315</f>
        <v>9.91</v>
      </c>
      <c r="F392" s="102"/>
      <c r="G392" s="116">
        <f t="shared" si="68"/>
        <v>357</v>
      </c>
      <c r="H392" s="225">
        <v>12.59</v>
      </c>
      <c r="I392" s="102"/>
      <c r="J392" s="116">
        <f t="shared" si="69"/>
        <v>453</v>
      </c>
    </row>
    <row r="393" spans="1:10">
      <c r="A393" s="206">
        <f t="shared" si="58"/>
        <v>382</v>
      </c>
      <c r="B393" s="123" t="s">
        <v>502</v>
      </c>
      <c r="C393" s="102" t="str">
        <f t="shared" si="63"/>
        <v>SCHEDULES 55 &amp; 56</v>
      </c>
      <c r="D393" s="46">
        <v>0</v>
      </c>
      <c r="E393" s="225">
        <f>'Tariff Summary Lights'!F316</f>
        <v>10.09</v>
      </c>
      <c r="F393" s="102"/>
      <c r="G393" s="116">
        <f t="shared" si="68"/>
        <v>0</v>
      </c>
      <c r="H393" s="225">
        <v>12.59</v>
      </c>
      <c r="I393" s="102"/>
      <c r="J393" s="116">
        <f t="shared" si="69"/>
        <v>0</v>
      </c>
    </row>
    <row r="394" spans="1:10">
      <c r="A394" s="206">
        <f t="shared" si="58"/>
        <v>383</v>
      </c>
      <c r="B394" s="123" t="s">
        <v>503</v>
      </c>
      <c r="C394" s="102" t="str">
        <f t="shared" si="63"/>
        <v>SCHEDULES 55 &amp; 56</v>
      </c>
      <c r="D394" s="46">
        <v>0</v>
      </c>
      <c r="E394" s="225">
        <f>'Tariff Summary Lights'!F317</f>
        <v>10.27</v>
      </c>
      <c r="F394" s="102"/>
      <c r="G394" s="116">
        <f t="shared" si="68"/>
        <v>0</v>
      </c>
      <c r="H394" s="225">
        <v>13.79</v>
      </c>
      <c r="I394" s="102"/>
      <c r="J394" s="116">
        <f t="shared" si="69"/>
        <v>0</v>
      </c>
    </row>
    <row r="395" spans="1:10">
      <c r="A395" s="206">
        <f t="shared" si="58"/>
        <v>384</v>
      </c>
      <c r="B395" s="123" t="s">
        <v>504</v>
      </c>
      <c r="C395" s="102" t="str">
        <f t="shared" si="63"/>
        <v>SCHEDULES 55 &amp; 56</v>
      </c>
      <c r="D395" s="46">
        <v>0</v>
      </c>
      <c r="E395" s="225">
        <f>'Tariff Summary Lights'!F318</f>
        <v>10.44</v>
      </c>
      <c r="F395" s="102"/>
      <c r="G395" s="116">
        <f t="shared" si="68"/>
        <v>0</v>
      </c>
      <c r="H395" s="225">
        <v>13.79</v>
      </c>
      <c r="I395" s="102"/>
      <c r="J395" s="116">
        <f t="shared" si="69"/>
        <v>0</v>
      </c>
    </row>
    <row r="396" spans="1:10">
      <c r="A396" s="206">
        <f t="shared" si="58"/>
        <v>385</v>
      </c>
      <c r="B396" s="123" t="s">
        <v>505</v>
      </c>
      <c r="C396" s="102" t="str">
        <f t="shared" si="63"/>
        <v>SCHEDULES 55 &amp; 56</v>
      </c>
      <c r="D396" s="46">
        <v>0</v>
      </c>
      <c r="E396" s="225">
        <f>'Tariff Summary Lights'!F319</f>
        <v>10.62</v>
      </c>
      <c r="F396" s="102"/>
      <c r="G396" s="116">
        <f t="shared" si="68"/>
        <v>0</v>
      </c>
      <c r="H396" s="225">
        <v>13.79</v>
      </c>
      <c r="I396" s="102"/>
      <c r="J396" s="116">
        <f t="shared" si="69"/>
        <v>0</v>
      </c>
    </row>
    <row r="397" spans="1:10">
      <c r="A397" s="206">
        <f t="shared" si="58"/>
        <v>386</v>
      </c>
      <c r="B397" s="123" t="s">
        <v>506</v>
      </c>
      <c r="C397" s="102" t="str">
        <f t="shared" si="63"/>
        <v>SCHEDULES 55 &amp; 56</v>
      </c>
      <c r="D397" s="46">
        <v>0</v>
      </c>
      <c r="E397" s="225">
        <f>'Tariff Summary Lights'!F320</f>
        <v>10.79</v>
      </c>
      <c r="F397" s="102"/>
      <c r="G397" s="116">
        <f t="shared" si="68"/>
        <v>0</v>
      </c>
      <c r="H397" s="225">
        <v>13.79</v>
      </c>
      <c r="I397" s="102"/>
      <c r="J397" s="116">
        <f t="shared" si="69"/>
        <v>0</v>
      </c>
    </row>
    <row r="398" spans="1:10">
      <c r="A398" s="206">
        <f t="shared" ref="A398:A461" si="70">A397+1</f>
        <v>387</v>
      </c>
      <c r="B398" s="123" t="s">
        <v>507</v>
      </c>
      <c r="C398" s="102" t="str">
        <f t="shared" si="63"/>
        <v>SCHEDULES 55 &amp; 56</v>
      </c>
      <c r="D398" s="46">
        <v>0</v>
      </c>
      <c r="E398" s="225">
        <f>'Tariff Summary Lights'!F321</f>
        <v>10.97</v>
      </c>
      <c r="F398" s="102"/>
      <c r="G398" s="116">
        <f t="shared" si="68"/>
        <v>0</v>
      </c>
      <c r="H398" s="225">
        <v>13.79</v>
      </c>
      <c r="I398" s="102"/>
      <c r="J398" s="116">
        <f t="shared" si="69"/>
        <v>0</v>
      </c>
    </row>
    <row r="399" spans="1:10">
      <c r="A399" s="206">
        <f t="shared" si="70"/>
        <v>388</v>
      </c>
      <c r="B399" s="123" t="s">
        <v>508</v>
      </c>
      <c r="C399" s="102" t="str">
        <f t="shared" si="63"/>
        <v>SCHEDULES 55 &amp; 56</v>
      </c>
      <c r="D399" s="46">
        <v>0</v>
      </c>
      <c r="E399" s="225">
        <f>'Tariff Summary Lights'!F322</f>
        <v>11.14</v>
      </c>
      <c r="F399" s="102"/>
      <c r="G399" s="116">
        <f t="shared" si="68"/>
        <v>0</v>
      </c>
      <c r="H399" s="225">
        <v>13.79</v>
      </c>
      <c r="I399" s="102"/>
      <c r="J399" s="116">
        <f t="shared" si="69"/>
        <v>0</v>
      </c>
    </row>
    <row r="400" spans="1:10">
      <c r="A400" s="206">
        <f t="shared" si="70"/>
        <v>389</v>
      </c>
      <c r="B400" s="123" t="s">
        <v>509</v>
      </c>
      <c r="C400" s="102" t="str">
        <f t="shared" si="63"/>
        <v>SCHEDULES 55 &amp; 56</v>
      </c>
      <c r="D400" s="46">
        <v>0</v>
      </c>
      <c r="E400" s="225">
        <f>'Tariff Summary Lights'!F323</f>
        <v>11.33</v>
      </c>
      <c r="F400" s="102"/>
      <c r="G400" s="116">
        <f t="shared" si="68"/>
        <v>0</v>
      </c>
      <c r="H400" s="225">
        <v>14.98</v>
      </c>
      <c r="I400" s="102"/>
      <c r="J400" s="116">
        <f t="shared" si="69"/>
        <v>0</v>
      </c>
    </row>
    <row r="401" spans="1:10">
      <c r="A401" s="206">
        <f t="shared" si="70"/>
        <v>390</v>
      </c>
      <c r="B401" s="123" t="s">
        <v>510</v>
      </c>
      <c r="C401" s="102" t="str">
        <f t="shared" si="63"/>
        <v>SCHEDULES 55 &amp; 56</v>
      </c>
      <c r="D401" s="46">
        <v>3</v>
      </c>
      <c r="E401" s="225">
        <f>'Tariff Summary Lights'!F324</f>
        <v>11.5</v>
      </c>
      <c r="F401" s="102"/>
      <c r="G401" s="116">
        <f t="shared" si="68"/>
        <v>414</v>
      </c>
      <c r="H401" s="225">
        <v>14.98</v>
      </c>
      <c r="I401" s="102"/>
      <c r="J401" s="116">
        <f t="shared" si="69"/>
        <v>539</v>
      </c>
    </row>
    <row r="402" spans="1:10">
      <c r="A402" s="206">
        <f t="shared" si="70"/>
        <v>391</v>
      </c>
      <c r="B402" s="209" t="s">
        <v>881</v>
      </c>
      <c r="C402" s="102" t="str">
        <f t="shared" si="63"/>
        <v>SCHEDULES 55 &amp; 56</v>
      </c>
      <c r="D402" s="46">
        <v>0</v>
      </c>
      <c r="E402" s="250" t="str">
        <f>'Tariff Summary Lights'!F325</f>
        <v>n/a</v>
      </c>
      <c r="F402" s="102"/>
      <c r="G402" s="116">
        <f t="shared" si="68"/>
        <v>0</v>
      </c>
      <c r="H402" s="225">
        <v>14.98</v>
      </c>
      <c r="I402" s="102"/>
      <c r="J402" s="116">
        <f t="shared" si="69"/>
        <v>0</v>
      </c>
    </row>
    <row r="403" spans="1:10">
      <c r="A403" s="206">
        <f t="shared" si="70"/>
        <v>392</v>
      </c>
      <c r="B403" s="209" t="s">
        <v>880</v>
      </c>
      <c r="C403" s="102" t="str">
        <f t="shared" si="63"/>
        <v>SCHEDULES 55 &amp; 56</v>
      </c>
      <c r="D403" s="46">
        <v>0</v>
      </c>
      <c r="E403" s="250" t="str">
        <f>'Tariff Summary Lights'!F326</f>
        <v>n/a</v>
      </c>
      <c r="F403" s="102"/>
      <c r="G403" s="116">
        <f t="shared" si="68"/>
        <v>0</v>
      </c>
      <c r="H403" s="225">
        <v>16.170000000000002</v>
      </c>
      <c r="I403" s="102"/>
      <c r="J403" s="116">
        <f t="shared" si="69"/>
        <v>0</v>
      </c>
    </row>
    <row r="404" spans="1:10">
      <c r="A404" s="206">
        <f t="shared" si="70"/>
        <v>393</v>
      </c>
      <c r="B404" s="209" t="s">
        <v>882</v>
      </c>
      <c r="C404" s="102" t="str">
        <f t="shared" si="63"/>
        <v>SCHEDULES 55 &amp; 56</v>
      </c>
      <c r="D404" s="46">
        <v>0</v>
      </c>
      <c r="E404" s="250" t="str">
        <f>'Tariff Summary Lights'!F327</f>
        <v>n/a</v>
      </c>
      <c r="F404" s="102"/>
      <c r="G404" s="116">
        <f t="shared" si="68"/>
        <v>0</v>
      </c>
      <c r="H404" s="225">
        <v>17.36</v>
      </c>
      <c r="I404" s="102"/>
      <c r="J404" s="116">
        <f t="shared" si="69"/>
        <v>0</v>
      </c>
    </row>
    <row r="405" spans="1:10">
      <c r="A405" s="206">
        <f t="shared" si="70"/>
        <v>394</v>
      </c>
      <c r="B405" s="209" t="s">
        <v>883</v>
      </c>
      <c r="C405" s="102" t="str">
        <f t="shared" si="63"/>
        <v>SCHEDULES 55 &amp; 56</v>
      </c>
      <c r="D405" s="46">
        <v>0</v>
      </c>
      <c r="E405" s="250" t="str">
        <f>'Tariff Summary Lights'!F328</f>
        <v>n/a</v>
      </c>
      <c r="F405" s="102"/>
      <c r="G405" s="116">
        <f t="shared" si="68"/>
        <v>0</v>
      </c>
      <c r="H405" s="225">
        <v>18.55</v>
      </c>
      <c r="I405" s="102"/>
      <c r="J405" s="116">
        <f t="shared" si="69"/>
        <v>0</v>
      </c>
    </row>
    <row r="406" spans="1:10">
      <c r="A406" s="206">
        <f t="shared" si="70"/>
        <v>395</v>
      </c>
      <c r="B406" s="209" t="s">
        <v>884</v>
      </c>
      <c r="C406" s="102" t="str">
        <f t="shared" si="63"/>
        <v>SCHEDULES 55 &amp; 56</v>
      </c>
      <c r="D406" s="46">
        <v>0</v>
      </c>
      <c r="E406" s="250" t="str">
        <f>'Tariff Summary Lights'!F329</f>
        <v>n/a</v>
      </c>
      <c r="F406" s="102"/>
      <c r="G406" s="116">
        <f t="shared" si="68"/>
        <v>0</v>
      </c>
      <c r="H406" s="225">
        <v>19.739999999999998</v>
      </c>
      <c r="I406" s="102"/>
      <c r="J406" s="116">
        <f t="shared" si="69"/>
        <v>0</v>
      </c>
    </row>
    <row r="407" spans="1:10">
      <c r="A407" s="206">
        <f t="shared" si="70"/>
        <v>396</v>
      </c>
      <c r="B407" s="209" t="s">
        <v>885</v>
      </c>
      <c r="C407" s="102" t="str">
        <f t="shared" si="63"/>
        <v>SCHEDULES 55 &amp; 56</v>
      </c>
      <c r="D407" s="46">
        <v>0</v>
      </c>
      <c r="E407" s="250" t="str">
        <f>'Tariff Summary Lights'!F330</f>
        <v>n/a</v>
      </c>
      <c r="F407" s="102"/>
      <c r="G407" s="116">
        <f t="shared" si="68"/>
        <v>0</v>
      </c>
      <c r="H407" s="225">
        <v>20.93</v>
      </c>
      <c r="I407" s="102"/>
      <c r="J407" s="116">
        <f t="shared" si="69"/>
        <v>0</v>
      </c>
    </row>
    <row r="408" spans="1:10">
      <c r="A408" s="206">
        <f t="shared" si="70"/>
        <v>397</v>
      </c>
      <c r="B408" s="209" t="s">
        <v>886</v>
      </c>
      <c r="C408" s="102" t="str">
        <f t="shared" si="63"/>
        <v>SCHEDULES 55 &amp; 56</v>
      </c>
      <c r="D408" s="46">
        <v>0</v>
      </c>
      <c r="E408" s="250" t="str">
        <f>'Tariff Summary Lights'!F331</f>
        <v>n/a</v>
      </c>
      <c r="F408" s="102"/>
      <c r="G408" s="116">
        <f t="shared" si="68"/>
        <v>0</v>
      </c>
      <c r="H408" s="225">
        <v>22.12</v>
      </c>
      <c r="I408" s="102"/>
      <c r="J408" s="116">
        <f t="shared" si="69"/>
        <v>0</v>
      </c>
    </row>
    <row r="409" spans="1:10">
      <c r="A409" s="206">
        <f t="shared" si="70"/>
        <v>398</v>
      </c>
      <c r="B409" s="123"/>
      <c r="C409" s="102"/>
      <c r="D409" s="46"/>
      <c r="E409" s="225"/>
      <c r="F409" s="102"/>
      <c r="G409" s="116"/>
      <c r="H409" s="225"/>
      <c r="I409" s="102"/>
      <c r="J409" s="116"/>
    </row>
    <row r="410" spans="1:10">
      <c r="A410" s="206">
        <f t="shared" si="70"/>
        <v>399</v>
      </c>
      <c r="B410" s="123" t="s">
        <v>511</v>
      </c>
      <c r="C410" s="102" t="str">
        <f t="shared" ref="C410:C411" si="71">$B$376</f>
        <v>SCHEDULES 55 &amp; 56</v>
      </c>
      <c r="D410" s="46">
        <v>707</v>
      </c>
      <c r="E410" s="225">
        <v>2.0699999999999998</v>
      </c>
      <c r="F410" s="102"/>
      <c r="G410" s="116">
        <f t="shared" si="68"/>
        <v>17562</v>
      </c>
      <c r="H410" s="225">
        <v>6.34</v>
      </c>
      <c r="I410" s="102"/>
      <c r="J410" s="116">
        <f t="shared" si="69"/>
        <v>53789</v>
      </c>
    </row>
    <row r="411" spans="1:10">
      <c r="A411" s="206">
        <f t="shared" si="70"/>
        <v>400</v>
      </c>
      <c r="B411" s="123" t="s">
        <v>512</v>
      </c>
      <c r="C411" s="102" t="str">
        <f t="shared" si="71"/>
        <v>SCHEDULES 55 &amp; 56</v>
      </c>
      <c r="D411" s="46">
        <v>303</v>
      </c>
      <c r="E411" s="225">
        <v>8.16</v>
      </c>
      <c r="F411" s="102"/>
      <c r="G411" s="116">
        <f t="shared" si="68"/>
        <v>29670</v>
      </c>
      <c r="H411" s="225">
        <v>10.38</v>
      </c>
      <c r="I411" s="102"/>
      <c r="J411" s="116">
        <f t="shared" si="69"/>
        <v>37742</v>
      </c>
    </row>
    <row r="412" spans="1:10">
      <c r="A412" s="206">
        <f t="shared" si="70"/>
        <v>401</v>
      </c>
      <c r="B412" s="228" t="s">
        <v>26</v>
      </c>
      <c r="D412" s="229">
        <f>SUM(D379:D411)</f>
        <v>7217</v>
      </c>
      <c r="E412" s="312"/>
      <c r="G412" s="230">
        <f>SUM(G379:G411)</f>
        <v>1028706</v>
      </c>
      <c r="H412" s="312"/>
      <c r="J412" s="230">
        <f>SUM(J379:J411)</f>
        <v>1173876</v>
      </c>
    </row>
    <row r="413" spans="1:10">
      <c r="A413" s="206">
        <f t="shared" si="70"/>
        <v>402</v>
      </c>
      <c r="B413" s="228"/>
      <c r="D413" s="217"/>
      <c r="E413" s="312"/>
      <c r="G413" s="247"/>
      <c r="H413" s="312"/>
      <c r="J413" s="247"/>
    </row>
    <row r="414" spans="1:10">
      <c r="A414" s="206">
        <f t="shared" si="70"/>
        <v>403</v>
      </c>
      <c r="B414" s="207" t="s">
        <v>183</v>
      </c>
      <c r="C414" s="102" t="str">
        <f>$B$376</f>
        <v>SCHEDULES 55 &amp; 56</v>
      </c>
      <c r="D414" s="220">
        <v>19837</v>
      </c>
      <c r="E414" s="231"/>
      <c r="F414" s="232"/>
      <c r="G414" s="37"/>
      <c r="H414" s="231"/>
      <c r="I414" s="232"/>
      <c r="J414" s="37"/>
    </row>
    <row r="415" spans="1:10">
      <c r="A415" s="206">
        <f t="shared" si="70"/>
        <v>404</v>
      </c>
      <c r="B415" s="207"/>
      <c r="C415" s="102"/>
      <c r="D415" s="220"/>
      <c r="E415" s="231"/>
      <c r="F415" s="232"/>
      <c r="G415" s="37"/>
      <c r="H415" s="231"/>
      <c r="I415" s="232"/>
      <c r="J415" s="37"/>
    </row>
    <row r="416" spans="1:10">
      <c r="A416" s="206">
        <f t="shared" si="70"/>
        <v>405</v>
      </c>
      <c r="B416" s="45" t="s">
        <v>407</v>
      </c>
      <c r="C416" s="102" t="str">
        <f t="shared" ref="C416:C418" si="72">$B$376</f>
        <v>SCHEDULES 55 &amp; 56</v>
      </c>
      <c r="D416" s="46">
        <v>3893849.0450000004</v>
      </c>
      <c r="E416" s="231"/>
      <c r="F416" s="232"/>
      <c r="G416" s="37"/>
      <c r="H416" s="231"/>
      <c r="I416" s="232"/>
      <c r="J416" s="37"/>
    </row>
    <row r="417" spans="1:13">
      <c r="A417" s="206">
        <f t="shared" si="70"/>
        <v>406</v>
      </c>
      <c r="B417" s="45" t="s">
        <v>408</v>
      </c>
      <c r="C417" s="102" t="str">
        <f t="shared" si="72"/>
        <v>SCHEDULES 55 &amp; 56</v>
      </c>
      <c r="D417" s="46">
        <v>-3474.4005000000179</v>
      </c>
      <c r="E417" s="234">
        <f>ROUND(G417/D417,6)</f>
        <v>8.1760870000000008</v>
      </c>
      <c r="F417" s="313"/>
      <c r="G417" s="116">
        <f>$R$18</f>
        <v>-28407</v>
      </c>
      <c r="H417" s="234">
        <f>ROUND(J417/D417,6)</f>
        <v>8.8564919999999994</v>
      </c>
      <c r="I417" s="313"/>
      <c r="J417" s="116">
        <f>ROUND(+G417*(1+L417),0)</f>
        <v>-30771</v>
      </c>
      <c r="K417" s="313"/>
      <c r="L417" s="101">
        <f>'Rate Spread'!$I$27</f>
        <v>8.3224326412326355E-2</v>
      </c>
      <c r="M417" s="29" t="s">
        <v>847</v>
      </c>
    </row>
    <row r="418" spans="1:13" ht="16.2" thickBot="1">
      <c r="A418" s="206">
        <f t="shared" si="70"/>
        <v>407</v>
      </c>
      <c r="B418" s="212" t="s">
        <v>27</v>
      </c>
      <c r="C418" s="102" t="str">
        <f t="shared" si="72"/>
        <v>SCHEDULES 55 &amp; 56</v>
      </c>
      <c r="D418" s="235">
        <f>SUM(D416:D417)</f>
        <v>3890374.6445000004</v>
      </c>
      <c r="E418" s="103"/>
      <c r="G418" s="236">
        <f>SUM(G412,G417)</f>
        <v>1000299</v>
      </c>
      <c r="H418" s="103"/>
      <c r="J418" s="236">
        <f>SUM(J412,J417)</f>
        <v>1143105</v>
      </c>
    </row>
    <row r="419" spans="1:13" ht="16.2" thickTop="1">
      <c r="A419" s="206">
        <f t="shared" si="70"/>
        <v>408</v>
      </c>
      <c r="B419" s="102"/>
      <c r="C419" s="102"/>
      <c r="D419" s="113"/>
      <c r="E419" s="249" t="s">
        <v>0</v>
      </c>
      <c r="F419" s="214"/>
      <c r="G419" s="103"/>
      <c r="H419" s="249" t="s">
        <v>0</v>
      </c>
      <c r="I419" s="214"/>
      <c r="J419" s="103" t="s">
        <v>0</v>
      </c>
    </row>
    <row r="420" spans="1:13">
      <c r="A420" s="206">
        <f t="shared" si="70"/>
        <v>409</v>
      </c>
      <c r="D420" s="113"/>
      <c r="E420" s="246"/>
      <c r="F420" s="246"/>
      <c r="G420" s="39"/>
      <c r="J420" s="105"/>
    </row>
    <row r="421" spans="1:13">
      <c r="A421" s="206">
        <f t="shared" si="70"/>
        <v>410</v>
      </c>
      <c r="B421" s="405" t="s">
        <v>513</v>
      </c>
      <c r="C421" s="405"/>
      <c r="D421" s="405"/>
      <c r="E421" s="405"/>
      <c r="F421" s="405"/>
      <c r="G421" s="405"/>
      <c r="H421" s="405"/>
      <c r="I421" s="405"/>
      <c r="J421" s="405"/>
    </row>
    <row r="422" spans="1:13">
      <c r="A422" s="206">
        <f t="shared" si="70"/>
        <v>411</v>
      </c>
      <c r="B422" s="207" t="s">
        <v>515</v>
      </c>
      <c r="C422" s="102"/>
      <c r="D422" s="102"/>
      <c r="E422" s="102"/>
      <c r="F422" s="102"/>
      <c r="G422" s="102"/>
      <c r="H422" s="102"/>
      <c r="I422" s="102"/>
      <c r="J422" s="102"/>
    </row>
    <row r="423" spans="1:13">
      <c r="A423" s="206">
        <f t="shared" si="70"/>
        <v>412</v>
      </c>
      <c r="B423" s="102"/>
      <c r="C423" s="102"/>
      <c r="D423" s="102"/>
      <c r="E423" s="245"/>
      <c r="F423" s="102"/>
      <c r="G423" s="102"/>
      <c r="H423" s="245"/>
      <c r="I423" s="102"/>
      <c r="J423" s="102"/>
    </row>
    <row r="424" spans="1:13">
      <c r="A424" s="206">
        <f t="shared" si="70"/>
        <v>413</v>
      </c>
      <c r="B424" s="123" t="s">
        <v>516</v>
      </c>
      <c r="C424" s="102" t="str">
        <f>$B$421</f>
        <v>SCHEDULE 57</v>
      </c>
      <c r="D424" s="105">
        <v>1295805</v>
      </c>
      <c r="E424" s="39">
        <f>'Tariff Summary Lights'!F336</f>
        <v>2.4980000000000002E-2</v>
      </c>
      <c r="F424" s="102"/>
      <c r="G424" s="116">
        <f t="shared" ref="G424" si="73">ROUND(D424*E424*12,0)</f>
        <v>388431</v>
      </c>
      <c r="H424" s="39">
        <v>4.2009999999999999E-2</v>
      </c>
      <c r="I424" s="102"/>
      <c r="J424" s="116">
        <f t="shared" ref="J424" si="74">ROUND(H424*$D424*12,0)</f>
        <v>653241</v>
      </c>
    </row>
    <row r="425" spans="1:13">
      <c r="A425" s="206">
        <f t="shared" si="70"/>
        <v>414</v>
      </c>
      <c r="B425" s="123" t="s">
        <v>517</v>
      </c>
      <c r="C425" s="102" t="str">
        <f>$B$421</f>
        <v>SCHEDULE 57</v>
      </c>
      <c r="D425" s="105"/>
      <c r="E425" s="225">
        <f>'Tariff Summary Lights'!F337</f>
        <v>4.08</v>
      </c>
      <c r="F425" s="102"/>
      <c r="G425" s="116">
        <f t="shared" ref="G425" si="75">ROUND(D425*E425*12,0)</f>
        <v>0</v>
      </c>
      <c r="H425" s="251" t="s">
        <v>888</v>
      </c>
      <c r="I425" s="102"/>
      <c r="J425" s="116">
        <f t="shared" ref="J425" si="76">ROUND(H425*$D425*12,0)</f>
        <v>0</v>
      </c>
    </row>
    <row r="426" spans="1:13">
      <c r="A426" s="206">
        <f t="shared" si="70"/>
        <v>415</v>
      </c>
      <c r="B426" s="228" t="s">
        <v>26</v>
      </c>
      <c r="C426" s="102" t="str">
        <f>$B$421</f>
        <v>SCHEDULE 57</v>
      </c>
      <c r="D426" s="241">
        <f>SUM(D424:D425)</f>
        <v>1295805</v>
      </c>
      <c r="E426" s="312"/>
      <c r="G426" s="230">
        <f>SUM(G424:G425)</f>
        <v>388431</v>
      </c>
      <c r="H426" s="312"/>
      <c r="J426" s="230">
        <f>SUM(J424:J425)</f>
        <v>653241</v>
      </c>
    </row>
    <row r="427" spans="1:13">
      <c r="A427" s="206">
        <f t="shared" si="70"/>
        <v>416</v>
      </c>
      <c r="B427" s="228"/>
      <c r="D427" s="246"/>
      <c r="E427" s="312"/>
      <c r="G427" s="247"/>
      <c r="H427" s="312"/>
      <c r="J427" s="247"/>
    </row>
    <row r="428" spans="1:13">
      <c r="A428" s="206">
        <f t="shared" si="70"/>
        <v>417</v>
      </c>
      <c r="B428" s="207" t="s">
        <v>183</v>
      </c>
      <c r="C428" s="102" t="str">
        <f>$B$421</f>
        <v>SCHEDULE 57</v>
      </c>
      <c r="D428" s="100">
        <v>1310</v>
      </c>
      <c r="E428" s="231"/>
      <c r="F428" s="232"/>
      <c r="G428" s="37"/>
      <c r="H428" s="231"/>
      <c r="I428" s="232"/>
      <c r="J428" s="37"/>
    </row>
    <row r="429" spans="1:13">
      <c r="A429" s="206">
        <f t="shared" si="70"/>
        <v>418</v>
      </c>
      <c r="B429" s="207"/>
      <c r="C429" s="102"/>
      <c r="D429" s="100"/>
      <c r="E429" s="231"/>
      <c r="F429" s="232"/>
      <c r="G429" s="37"/>
      <c r="H429" s="231"/>
      <c r="I429" s="232"/>
      <c r="J429" s="37"/>
    </row>
    <row r="430" spans="1:13">
      <c r="A430" s="206">
        <f t="shared" si="70"/>
        <v>419</v>
      </c>
      <c r="B430" s="45" t="s">
        <v>407</v>
      </c>
      <c r="C430" s="102" t="str">
        <f t="shared" ref="C430:C432" si="77">$B$421</f>
        <v>SCHEDULE 57</v>
      </c>
      <c r="D430" s="243">
        <v>4534791.4849999994</v>
      </c>
      <c r="E430" s="231"/>
      <c r="F430" s="232"/>
      <c r="G430" s="37"/>
      <c r="H430" s="231"/>
      <c r="I430" s="232"/>
      <c r="J430" s="37"/>
    </row>
    <row r="431" spans="1:13">
      <c r="A431" s="206">
        <f t="shared" si="70"/>
        <v>420</v>
      </c>
      <c r="B431" s="45" t="s">
        <v>408</v>
      </c>
      <c r="C431" s="102" t="str">
        <f t="shared" si="77"/>
        <v>SCHEDULE 57</v>
      </c>
      <c r="D431" s="105">
        <v>1404285.6900000002</v>
      </c>
      <c r="E431" s="234">
        <f>ROUND(G431/D431,6)</f>
        <v>-8.005E-3</v>
      </c>
      <c r="F431" s="313"/>
      <c r="G431" s="116">
        <f>$R$19</f>
        <v>-11242</v>
      </c>
      <c r="H431" s="234">
        <f>ROUND(J431/D431,6)</f>
        <v>-8.6719999999999992E-3</v>
      </c>
      <c r="I431" s="313"/>
      <c r="J431" s="116">
        <f>ROUND(+G431*(1+L431),0)</f>
        <v>-12178</v>
      </c>
      <c r="K431" s="313"/>
      <c r="L431" s="101">
        <f>'Rate Spread'!$I$27</f>
        <v>8.3224326412326355E-2</v>
      </c>
      <c r="M431" s="29" t="s">
        <v>847</v>
      </c>
    </row>
    <row r="432" spans="1:13" ht="16.2" thickBot="1">
      <c r="A432" s="206">
        <f t="shared" si="70"/>
        <v>421</v>
      </c>
      <c r="B432" s="212" t="s">
        <v>27</v>
      </c>
      <c r="C432" s="102" t="str">
        <f t="shared" si="77"/>
        <v>SCHEDULE 57</v>
      </c>
      <c r="D432" s="244">
        <f>SUM(D430:D431)</f>
        <v>5939077.1749999998</v>
      </c>
      <c r="E432" s="103"/>
      <c r="G432" s="236">
        <f>SUM(G426,G431)</f>
        <v>377189</v>
      </c>
      <c r="H432" s="103"/>
      <c r="J432" s="236">
        <f>SUM(J426,J431)</f>
        <v>641063</v>
      </c>
    </row>
    <row r="433" spans="1:14" ht="16.2" thickTop="1">
      <c r="A433" s="206">
        <f t="shared" si="70"/>
        <v>422</v>
      </c>
      <c r="B433" s="102"/>
      <c r="C433" s="102"/>
      <c r="D433" s="113"/>
      <c r="E433" s="249" t="s">
        <v>0</v>
      </c>
      <c r="F433" s="214"/>
      <c r="G433" s="103"/>
      <c r="H433" s="249" t="s">
        <v>0</v>
      </c>
      <c r="I433" s="214"/>
      <c r="J433" s="103" t="s">
        <v>0</v>
      </c>
    </row>
    <row r="434" spans="1:14">
      <c r="A434" s="206">
        <f t="shared" si="70"/>
        <v>423</v>
      </c>
      <c r="D434" s="113"/>
      <c r="E434" s="246"/>
      <c r="F434" s="246"/>
      <c r="G434" s="39"/>
      <c r="J434" s="105"/>
    </row>
    <row r="435" spans="1:14">
      <c r="A435" s="206">
        <f t="shared" si="70"/>
        <v>424</v>
      </c>
      <c r="B435" s="405" t="s">
        <v>518</v>
      </c>
      <c r="C435" s="405"/>
      <c r="D435" s="405"/>
      <c r="E435" s="405"/>
      <c r="F435" s="405"/>
      <c r="G435" s="405"/>
      <c r="H435" s="405"/>
      <c r="I435" s="405"/>
      <c r="J435" s="405"/>
    </row>
    <row r="436" spans="1:14">
      <c r="A436" s="206">
        <f t="shared" si="70"/>
        <v>425</v>
      </c>
      <c r="B436" s="207" t="s">
        <v>519</v>
      </c>
      <c r="C436" s="102"/>
      <c r="D436" s="102"/>
      <c r="E436" s="102"/>
      <c r="F436" s="102"/>
      <c r="G436" s="102"/>
      <c r="H436" s="102"/>
      <c r="I436" s="102"/>
      <c r="J436" s="102"/>
    </row>
    <row r="437" spans="1:14">
      <c r="A437" s="206">
        <f t="shared" si="70"/>
        <v>426</v>
      </c>
      <c r="B437" s="102"/>
      <c r="C437" s="102"/>
      <c r="D437" s="102"/>
      <c r="E437" s="245"/>
      <c r="F437" s="102"/>
      <c r="G437" s="102"/>
      <c r="H437" s="245"/>
      <c r="I437" s="102"/>
      <c r="J437" s="102"/>
    </row>
    <row r="438" spans="1:14">
      <c r="A438" s="206">
        <f t="shared" si="70"/>
        <v>427</v>
      </c>
      <c r="B438" s="123" t="s">
        <v>521</v>
      </c>
      <c r="C438" s="102" t="str">
        <f>$B$435</f>
        <v>SCHEDULES 58 &amp; 59</v>
      </c>
      <c r="D438" s="46">
        <v>58</v>
      </c>
      <c r="E438" s="225">
        <f>'Tariff Summary Lights'!F339</f>
        <v>12.44</v>
      </c>
      <c r="F438" s="102"/>
      <c r="G438" s="116">
        <f t="shared" ref="G438" si="78">ROUND(D438*E438*12,0)</f>
        <v>8658</v>
      </c>
      <c r="H438" s="225">
        <v>12</v>
      </c>
      <c r="I438" s="102"/>
      <c r="J438" s="116">
        <f t="shared" ref="J438" si="79">ROUND(H438*$D438*12,0)</f>
        <v>8352</v>
      </c>
      <c r="N438" s="99"/>
    </row>
    <row r="439" spans="1:14">
      <c r="A439" s="206">
        <f t="shared" si="70"/>
        <v>428</v>
      </c>
      <c r="B439" s="123" t="s">
        <v>522</v>
      </c>
      <c r="C439" s="102" t="str">
        <f t="shared" ref="C439:C443" si="80">$B$435</f>
        <v>SCHEDULES 58 &amp; 59</v>
      </c>
      <c r="D439" s="46">
        <v>6</v>
      </c>
      <c r="E439" s="225">
        <f>'Tariff Summary Lights'!F340</f>
        <v>13.65</v>
      </c>
      <c r="F439" s="102"/>
      <c r="G439" s="116">
        <f t="shared" ref="G439:G519" si="81">ROUND(D439*E439*12,0)</f>
        <v>983</v>
      </c>
      <c r="H439" s="225">
        <v>13.27</v>
      </c>
      <c r="I439" s="102"/>
      <c r="J439" s="116">
        <f t="shared" ref="J439:J519" si="82">ROUND(H439*$D439*12,0)</f>
        <v>955</v>
      </c>
      <c r="N439" s="99"/>
    </row>
    <row r="440" spans="1:14">
      <c r="A440" s="206">
        <f t="shared" si="70"/>
        <v>429</v>
      </c>
      <c r="B440" s="123" t="s">
        <v>523</v>
      </c>
      <c r="C440" s="102" t="str">
        <f t="shared" si="80"/>
        <v>SCHEDULES 58 &amp; 59</v>
      </c>
      <c r="D440" s="46">
        <v>170</v>
      </c>
      <c r="E440" s="225">
        <f>'Tariff Summary Lights'!F341</f>
        <v>15.58</v>
      </c>
      <c r="F440" s="102"/>
      <c r="G440" s="116">
        <f t="shared" si="81"/>
        <v>31783</v>
      </c>
      <c r="H440" s="225">
        <v>15.38</v>
      </c>
      <c r="I440" s="102"/>
      <c r="J440" s="116">
        <f t="shared" si="82"/>
        <v>31375</v>
      </c>
      <c r="N440" s="99"/>
    </row>
    <row r="441" spans="1:14">
      <c r="A441" s="206">
        <f t="shared" si="70"/>
        <v>430</v>
      </c>
      <c r="B441" s="123" t="s">
        <v>524</v>
      </c>
      <c r="C441" s="102" t="str">
        <f t="shared" si="80"/>
        <v>SCHEDULES 58 &amp; 59</v>
      </c>
      <c r="D441" s="46">
        <v>303</v>
      </c>
      <c r="E441" s="225">
        <f>'Tariff Summary Lights'!F342</f>
        <v>18.190000000000001</v>
      </c>
      <c r="F441" s="102"/>
      <c r="G441" s="116">
        <f t="shared" si="81"/>
        <v>66139</v>
      </c>
      <c r="H441" s="225">
        <v>17.489999999999998</v>
      </c>
      <c r="I441" s="102"/>
      <c r="J441" s="116">
        <f t="shared" si="82"/>
        <v>63594</v>
      </c>
      <c r="N441" s="99"/>
    </row>
    <row r="442" spans="1:14">
      <c r="A442" s="206">
        <f t="shared" si="70"/>
        <v>431</v>
      </c>
      <c r="B442" s="123" t="s">
        <v>525</v>
      </c>
      <c r="C442" s="102" t="str">
        <f t="shared" si="80"/>
        <v>SCHEDULES 58 &amp; 59</v>
      </c>
      <c r="D442" s="46">
        <v>41</v>
      </c>
      <c r="E442" s="225">
        <f>'Tariff Summary Lights'!F343</f>
        <v>20.25</v>
      </c>
      <c r="F442" s="102"/>
      <c r="G442" s="116">
        <f t="shared" si="81"/>
        <v>9963</v>
      </c>
      <c r="H442" s="225">
        <v>19.600000000000001</v>
      </c>
      <c r="I442" s="102"/>
      <c r="J442" s="116">
        <f t="shared" si="82"/>
        <v>9643</v>
      </c>
      <c r="N442" s="99"/>
    </row>
    <row r="443" spans="1:14">
      <c r="A443" s="206">
        <f t="shared" si="70"/>
        <v>432</v>
      </c>
      <c r="B443" s="123" t="s">
        <v>526</v>
      </c>
      <c r="C443" s="102" t="str">
        <f t="shared" si="80"/>
        <v>SCHEDULES 58 &amp; 59</v>
      </c>
      <c r="D443" s="46">
        <v>406</v>
      </c>
      <c r="E443" s="225">
        <f>'Tariff Summary Lights'!F344</f>
        <v>25.72</v>
      </c>
      <c r="F443" s="102"/>
      <c r="G443" s="116">
        <f t="shared" si="81"/>
        <v>125308</v>
      </c>
      <c r="H443" s="225">
        <v>25.93</v>
      </c>
      <c r="I443" s="102"/>
      <c r="J443" s="116">
        <f t="shared" si="82"/>
        <v>126331</v>
      </c>
      <c r="L443" s="99"/>
      <c r="M443" s="252"/>
      <c r="N443" s="99"/>
    </row>
    <row r="444" spans="1:14">
      <c r="A444" s="206">
        <f t="shared" si="70"/>
        <v>433</v>
      </c>
      <c r="B444" s="123"/>
      <c r="C444" s="102"/>
      <c r="D444" s="105"/>
      <c r="E444" s="225"/>
      <c r="F444" s="102"/>
      <c r="G444" s="116"/>
      <c r="H444" s="225"/>
      <c r="I444" s="102"/>
      <c r="J444" s="116"/>
      <c r="L444" s="99"/>
      <c r="M444" s="99"/>
      <c r="N444" s="99"/>
    </row>
    <row r="445" spans="1:14">
      <c r="A445" s="206">
        <f t="shared" si="70"/>
        <v>434</v>
      </c>
      <c r="B445" s="123" t="s">
        <v>527</v>
      </c>
      <c r="C445" s="102" t="str">
        <f t="shared" ref="C445:C448" si="83">$B$435</f>
        <v>SCHEDULES 58 &amp; 59</v>
      </c>
      <c r="D445" s="46">
        <v>3</v>
      </c>
      <c r="E445" s="225">
        <f>'Tariff Summary Lights'!F346</f>
        <v>17.77</v>
      </c>
      <c r="F445" s="102"/>
      <c r="G445" s="116">
        <f t="shared" si="81"/>
        <v>640</v>
      </c>
      <c r="H445" s="225">
        <v>19.59</v>
      </c>
      <c r="I445" s="102"/>
      <c r="J445" s="116">
        <f t="shared" si="82"/>
        <v>705</v>
      </c>
      <c r="L445" s="99"/>
      <c r="M445" s="99"/>
      <c r="N445" s="99"/>
    </row>
    <row r="446" spans="1:14">
      <c r="A446" s="206">
        <f t="shared" si="70"/>
        <v>435</v>
      </c>
      <c r="B446" s="123" t="s">
        <v>528</v>
      </c>
      <c r="C446" s="102" t="str">
        <f t="shared" si="83"/>
        <v>SCHEDULES 58 &amp; 59</v>
      </c>
      <c r="D446" s="46">
        <v>22</v>
      </c>
      <c r="E446" s="225">
        <f>'Tariff Summary Lights'!F347</f>
        <v>20.810000000000002</v>
      </c>
      <c r="F446" s="102"/>
      <c r="G446" s="116">
        <f t="shared" si="81"/>
        <v>5494</v>
      </c>
      <c r="H446" s="225">
        <v>22.94</v>
      </c>
      <c r="I446" s="102"/>
      <c r="J446" s="116">
        <f t="shared" si="82"/>
        <v>6056</v>
      </c>
      <c r="L446" s="99"/>
      <c r="M446" s="99"/>
      <c r="N446" s="99"/>
    </row>
    <row r="447" spans="1:14">
      <c r="A447" s="206">
        <f t="shared" si="70"/>
        <v>436</v>
      </c>
      <c r="B447" s="123" t="s">
        <v>529</v>
      </c>
      <c r="C447" s="102" t="str">
        <f t="shared" si="83"/>
        <v>SCHEDULES 58 &amp; 59</v>
      </c>
      <c r="D447" s="46">
        <v>86</v>
      </c>
      <c r="E447" s="225">
        <f>'Tariff Summary Lights'!F348</f>
        <v>25.880000000000003</v>
      </c>
      <c r="F447" s="102"/>
      <c r="G447" s="116">
        <f t="shared" si="81"/>
        <v>26708</v>
      </c>
      <c r="H447" s="225">
        <v>29.64</v>
      </c>
      <c r="I447" s="102"/>
      <c r="J447" s="116">
        <f t="shared" si="82"/>
        <v>30588</v>
      </c>
      <c r="L447" s="99"/>
      <c r="M447" s="99"/>
      <c r="N447" s="99"/>
    </row>
    <row r="448" spans="1:14">
      <c r="A448" s="206">
        <f t="shared" si="70"/>
        <v>437</v>
      </c>
      <c r="B448" s="123" t="s">
        <v>530</v>
      </c>
      <c r="C448" s="102" t="str">
        <f t="shared" si="83"/>
        <v>SCHEDULES 58 &amp; 59</v>
      </c>
      <c r="D448" s="46">
        <v>139</v>
      </c>
      <c r="E448" s="225">
        <f>'Tariff Summary Lights'!F349</f>
        <v>47.91</v>
      </c>
      <c r="F448" s="102"/>
      <c r="G448" s="116">
        <f t="shared" si="81"/>
        <v>79914</v>
      </c>
      <c r="H448" s="225">
        <v>56.45</v>
      </c>
      <c r="I448" s="102"/>
      <c r="J448" s="116">
        <f t="shared" si="82"/>
        <v>94159</v>
      </c>
      <c r="L448" s="99"/>
      <c r="M448" s="252"/>
      <c r="N448" s="99"/>
    </row>
    <row r="449" spans="1:14">
      <c r="A449" s="206">
        <f t="shared" si="70"/>
        <v>438</v>
      </c>
      <c r="B449" s="123"/>
      <c r="C449" s="102"/>
      <c r="D449" s="105"/>
      <c r="E449" s="225"/>
      <c r="F449" s="102"/>
      <c r="G449" s="116"/>
      <c r="H449" s="225"/>
      <c r="I449" s="102"/>
      <c r="J449" s="116"/>
      <c r="L449" s="99"/>
      <c r="M449" s="99"/>
      <c r="N449" s="99"/>
    </row>
    <row r="450" spans="1:14">
      <c r="A450" s="206">
        <f t="shared" si="70"/>
        <v>439</v>
      </c>
      <c r="B450" s="123" t="s">
        <v>531</v>
      </c>
      <c r="C450" s="102" t="str">
        <f t="shared" ref="C450:C454" si="84">$B$435</f>
        <v>SCHEDULES 58 &amp; 59</v>
      </c>
      <c r="D450" s="46">
        <v>1</v>
      </c>
      <c r="E450" s="225">
        <f>'Tariff Summary Lights'!F351</f>
        <v>15.579999999999998</v>
      </c>
      <c r="F450" s="102"/>
      <c r="G450" s="116">
        <f t="shared" si="81"/>
        <v>187</v>
      </c>
      <c r="H450" s="225">
        <v>13.27</v>
      </c>
      <c r="I450" s="102"/>
      <c r="J450" s="116">
        <f t="shared" si="82"/>
        <v>159</v>
      </c>
      <c r="L450" s="99"/>
      <c r="M450" s="99"/>
      <c r="N450" s="99"/>
    </row>
    <row r="451" spans="1:14">
      <c r="A451" s="206">
        <f t="shared" si="70"/>
        <v>440</v>
      </c>
      <c r="B451" s="123" t="s">
        <v>532</v>
      </c>
      <c r="C451" s="102" t="str">
        <f t="shared" si="84"/>
        <v>SCHEDULES 58 &amp; 59</v>
      </c>
      <c r="D451" s="46">
        <v>25</v>
      </c>
      <c r="E451" s="225">
        <f>'Tariff Summary Lights'!F352</f>
        <v>17.43</v>
      </c>
      <c r="F451" s="102"/>
      <c r="G451" s="116">
        <f t="shared" si="81"/>
        <v>5229</v>
      </c>
      <c r="H451" s="225">
        <v>15.38</v>
      </c>
      <c r="I451" s="102"/>
      <c r="J451" s="116">
        <f t="shared" si="82"/>
        <v>4614</v>
      </c>
      <c r="L451" s="99"/>
      <c r="M451" s="99"/>
      <c r="N451" s="99"/>
    </row>
    <row r="452" spans="1:14">
      <c r="A452" s="206">
        <f t="shared" si="70"/>
        <v>441</v>
      </c>
      <c r="B452" s="123" t="s">
        <v>533</v>
      </c>
      <c r="C452" s="102" t="str">
        <f t="shared" si="84"/>
        <v>SCHEDULES 58 &amp; 59</v>
      </c>
      <c r="D452" s="46">
        <v>13</v>
      </c>
      <c r="E452" s="225">
        <f>'Tariff Summary Lights'!F353</f>
        <v>20.260000000000002</v>
      </c>
      <c r="F452" s="102"/>
      <c r="G452" s="116">
        <f t="shared" si="81"/>
        <v>3161</v>
      </c>
      <c r="H452" s="225">
        <v>17.489999999999998</v>
      </c>
      <c r="I452" s="102"/>
      <c r="J452" s="116">
        <f t="shared" si="82"/>
        <v>2728</v>
      </c>
      <c r="L452" s="99"/>
      <c r="M452" s="99"/>
      <c r="N452" s="99"/>
    </row>
    <row r="453" spans="1:14">
      <c r="A453" s="206">
        <f t="shared" si="70"/>
        <v>442</v>
      </c>
      <c r="B453" s="123" t="s">
        <v>534</v>
      </c>
      <c r="C453" s="102" t="str">
        <f t="shared" si="84"/>
        <v>SCHEDULES 58 &amp; 59</v>
      </c>
      <c r="D453" s="46">
        <v>34</v>
      </c>
      <c r="E453" s="225">
        <f>'Tariff Summary Lights'!F354</f>
        <v>21.08</v>
      </c>
      <c r="F453" s="102"/>
      <c r="G453" s="116">
        <f t="shared" si="81"/>
        <v>8601</v>
      </c>
      <c r="H453" s="225">
        <v>19.600000000000001</v>
      </c>
      <c r="I453" s="102"/>
      <c r="J453" s="116">
        <f t="shared" si="82"/>
        <v>7997</v>
      </c>
      <c r="L453" s="99"/>
      <c r="M453" s="99"/>
      <c r="N453" s="99"/>
    </row>
    <row r="454" spans="1:14">
      <c r="A454" s="206">
        <f t="shared" si="70"/>
        <v>443</v>
      </c>
      <c r="B454" s="123" t="s">
        <v>535</v>
      </c>
      <c r="C454" s="102" t="str">
        <f t="shared" si="84"/>
        <v>SCHEDULES 58 &amp; 59</v>
      </c>
      <c r="D454" s="46">
        <v>65</v>
      </c>
      <c r="E454" s="225">
        <f>'Tariff Summary Lights'!F355</f>
        <v>27.560000000000002</v>
      </c>
      <c r="F454" s="102"/>
      <c r="G454" s="116">
        <f t="shared" si="81"/>
        <v>21497</v>
      </c>
      <c r="H454" s="225">
        <v>25.93</v>
      </c>
      <c r="I454" s="102"/>
      <c r="J454" s="116">
        <f t="shared" si="82"/>
        <v>20225</v>
      </c>
      <c r="L454" s="99"/>
      <c r="M454" s="252"/>
      <c r="N454" s="99"/>
    </row>
    <row r="455" spans="1:14">
      <c r="A455" s="206">
        <f t="shared" si="70"/>
        <v>444</v>
      </c>
      <c r="B455" s="123"/>
      <c r="C455" s="102"/>
      <c r="D455" s="105"/>
      <c r="E455" s="225"/>
      <c r="F455" s="102"/>
      <c r="G455" s="116"/>
      <c r="H455" s="225"/>
      <c r="I455" s="102"/>
      <c r="J455" s="116"/>
      <c r="L455" s="99"/>
      <c r="M455" s="99"/>
      <c r="N455" s="99"/>
    </row>
    <row r="456" spans="1:14">
      <c r="A456" s="206">
        <f t="shared" si="70"/>
        <v>445</v>
      </c>
      <c r="B456" s="123" t="s">
        <v>536</v>
      </c>
      <c r="C456" s="102" t="str">
        <f t="shared" ref="C456:C457" si="85">$B$435</f>
        <v>SCHEDULES 58 &amp; 59</v>
      </c>
      <c r="D456" s="46">
        <v>11</v>
      </c>
      <c r="E456" s="225">
        <f>'Tariff Summary Lights'!F357</f>
        <v>24.75</v>
      </c>
      <c r="F456" s="102"/>
      <c r="G456" s="116">
        <f t="shared" si="81"/>
        <v>3267</v>
      </c>
      <c r="H456" s="225">
        <v>22.94</v>
      </c>
      <c r="I456" s="102"/>
      <c r="J456" s="116">
        <f t="shared" si="82"/>
        <v>3028</v>
      </c>
      <c r="L456" s="99"/>
      <c r="M456" s="99"/>
      <c r="N456" s="99"/>
    </row>
    <row r="457" spans="1:14">
      <c r="A457" s="206">
        <f t="shared" si="70"/>
        <v>446</v>
      </c>
      <c r="B457" s="123" t="s">
        <v>537</v>
      </c>
      <c r="C457" s="102" t="str">
        <f t="shared" si="85"/>
        <v>SCHEDULES 58 &amp; 59</v>
      </c>
      <c r="D457" s="46">
        <v>46</v>
      </c>
      <c r="E457" s="225">
        <f>'Tariff Summary Lights'!F358</f>
        <v>31.29</v>
      </c>
      <c r="F457" s="102"/>
      <c r="G457" s="116">
        <f t="shared" si="81"/>
        <v>17272</v>
      </c>
      <c r="H457" s="225">
        <v>29.64</v>
      </c>
      <c r="I457" s="102"/>
      <c r="J457" s="116">
        <f t="shared" si="82"/>
        <v>16361</v>
      </c>
      <c r="L457" s="99"/>
      <c r="M457" s="252"/>
      <c r="N457" s="99"/>
    </row>
    <row r="458" spans="1:14">
      <c r="A458" s="206">
        <f t="shared" si="70"/>
        <v>447</v>
      </c>
      <c r="B458" s="123"/>
      <c r="C458" s="102"/>
      <c r="D458" s="105"/>
      <c r="E458" s="225"/>
      <c r="F458" s="102"/>
      <c r="G458" s="116"/>
      <c r="H458" s="225"/>
      <c r="I458" s="102"/>
      <c r="J458" s="116"/>
      <c r="N458" s="99"/>
    </row>
    <row r="459" spans="1:14">
      <c r="A459" s="206">
        <f t="shared" si="70"/>
        <v>448</v>
      </c>
      <c r="B459" s="209" t="s">
        <v>916</v>
      </c>
      <c r="C459" s="102" t="str">
        <f t="shared" ref="C459:C523" si="86">$B$435</f>
        <v>SCHEDULES 58 &amp; 59</v>
      </c>
      <c r="D459" s="46">
        <v>0</v>
      </c>
      <c r="E459" s="253" t="str">
        <f>'Tariff Summary Lights'!F360</f>
        <v>n/a</v>
      </c>
      <c r="F459" s="102"/>
      <c r="G459" s="116">
        <f t="shared" ref="G459" si="87">ROUND(D459*E459*12,0)</f>
        <v>0</v>
      </c>
      <c r="H459" s="225">
        <v>12.594728155683717</v>
      </c>
      <c r="I459" s="102"/>
      <c r="J459" s="116">
        <f t="shared" ref="J459" si="88">ROUND(H459*$D459*12,0)</f>
        <v>0</v>
      </c>
      <c r="N459" s="99"/>
    </row>
    <row r="460" spans="1:14">
      <c r="A460" s="206">
        <f t="shared" si="70"/>
        <v>449</v>
      </c>
      <c r="B460" s="123" t="s">
        <v>538</v>
      </c>
      <c r="C460" s="102" t="str">
        <f t="shared" si="86"/>
        <v>SCHEDULES 58 &amp; 59</v>
      </c>
      <c r="D460" s="46">
        <v>0</v>
      </c>
      <c r="E460" s="225">
        <f>'Tariff Summary Lights'!F361</f>
        <v>10.09</v>
      </c>
      <c r="F460" s="102"/>
      <c r="G460" s="116">
        <f t="shared" si="81"/>
        <v>0</v>
      </c>
      <c r="H460" s="225">
        <v>12.59</v>
      </c>
      <c r="I460" s="102"/>
      <c r="J460" s="116">
        <f t="shared" si="82"/>
        <v>0</v>
      </c>
      <c r="N460" s="99"/>
    </row>
    <row r="461" spans="1:14">
      <c r="A461" s="206">
        <f t="shared" si="70"/>
        <v>450</v>
      </c>
      <c r="B461" s="123" t="s">
        <v>539</v>
      </c>
      <c r="C461" s="102" t="str">
        <f t="shared" si="86"/>
        <v>SCHEDULES 58 &amp; 59</v>
      </c>
      <c r="D461" s="46">
        <v>0</v>
      </c>
      <c r="E461" s="225">
        <f>'Tariff Summary Lights'!F362</f>
        <v>10.26</v>
      </c>
      <c r="F461" s="102"/>
      <c r="G461" s="116">
        <f t="shared" si="81"/>
        <v>0</v>
      </c>
      <c r="H461" s="225">
        <v>12.59</v>
      </c>
      <c r="I461" s="102"/>
      <c r="J461" s="116">
        <f t="shared" si="82"/>
        <v>0</v>
      </c>
      <c r="N461" s="99"/>
    </row>
    <row r="462" spans="1:14">
      <c r="A462" s="206">
        <f t="shared" ref="A462:A525" si="89">A461+1</f>
        <v>451</v>
      </c>
      <c r="B462" s="123" t="s">
        <v>540</v>
      </c>
      <c r="C462" s="102" t="str">
        <f t="shared" si="86"/>
        <v>SCHEDULES 58 &amp; 59</v>
      </c>
      <c r="D462" s="46">
        <v>0</v>
      </c>
      <c r="E462" s="225">
        <f>'Tariff Summary Lights'!F363</f>
        <v>10.44</v>
      </c>
      <c r="F462" s="102"/>
      <c r="G462" s="116">
        <f t="shared" si="81"/>
        <v>0</v>
      </c>
      <c r="H462" s="225">
        <v>13.79</v>
      </c>
      <c r="I462" s="102"/>
      <c r="J462" s="116">
        <f t="shared" si="82"/>
        <v>0</v>
      </c>
      <c r="N462" s="99"/>
    </row>
    <row r="463" spans="1:14">
      <c r="A463" s="206">
        <f t="shared" si="89"/>
        <v>452</v>
      </c>
      <c r="B463" s="123" t="s">
        <v>541</v>
      </c>
      <c r="C463" s="102" t="str">
        <f t="shared" si="86"/>
        <v>SCHEDULES 58 &amp; 59</v>
      </c>
      <c r="D463" s="46">
        <v>0</v>
      </c>
      <c r="E463" s="225">
        <f>'Tariff Summary Lights'!F364</f>
        <v>10.62</v>
      </c>
      <c r="F463" s="102"/>
      <c r="G463" s="116">
        <f t="shared" si="81"/>
        <v>0</v>
      </c>
      <c r="H463" s="225">
        <v>13.79</v>
      </c>
      <c r="I463" s="102"/>
      <c r="J463" s="116">
        <f t="shared" si="82"/>
        <v>0</v>
      </c>
      <c r="N463" s="99"/>
    </row>
    <row r="464" spans="1:14">
      <c r="A464" s="206">
        <f t="shared" si="89"/>
        <v>453</v>
      </c>
      <c r="B464" s="123" t="s">
        <v>542</v>
      </c>
      <c r="C464" s="102" t="str">
        <f t="shared" si="86"/>
        <v>SCHEDULES 58 &amp; 59</v>
      </c>
      <c r="D464" s="46">
        <v>0</v>
      </c>
      <c r="E464" s="225">
        <f>'Tariff Summary Lights'!F365</f>
        <v>10.79</v>
      </c>
      <c r="F464" s="102"/>
      <c r="G464" s="116">
        <f t="shared" si="81"/>
        <v>0</v>
      </c>
      <c r="H464" s="225">
        <v>13.79</v>
      </c>
      <c r="I464" s="102"/>
      <c r="J464" s="116">
        <f t="shared" si="82"/>
        <v>0</v>
      </c>
      <c r="N464" s="99"/>
    </row>
    <row r="465" spans="1:14">
      <c r="A465" s="206">
        <f t="shared" si="89"/>
        <v>454</v>
      </c>
      <c r="B465" s="123" t="s">
        <v>543</v>
      </c>
      <c r="C465" s="102" t="str">
        <f t="shared" si="86"/>
        <v>SCHEDULES 58 &amp; 59</v>
      </c>
      <c r="D465" s="46">
        <v>0</v>
      </c>
      <c r="E465" s="225">
        <f>'Tariff Summary Lights'!F366</f>
        <v>10.97</v>
      </c>
      <c r="F465" s="102"/>
      <c r="G465" s="116">
        <f t="shared" si="81"/>
        <v>0</v>
      </c>
      <c r="H465" s="225">
        <v>13.79</v>
      </c>
      <c r="I465" s="102"/>
      <c r="J465" s="116">
        <f t="shared" si="82"/>
        <v>0</v>
      </c>
      <c r="N465" s="99"/>
    </row>
    <row r="466" spans="1:14">
      <c r="A466" s="206">
        <f t="shared" si="89"/>
        <v>455</v>
      </c>
      <c r="B466" s="123" t="s">
        <v>544</v>
      </c>
      <c r="C466" s="102" t="str">
        <f t="shared" si="86"/>
        <v>SCHEDULES 58 &amp; 59</v>
      </c>
      <c r="D466" s="46">
        <v>1</v>
      </c>
      <c r="E466" s="225">
        <f>'Tariff Summary Lights'!F367</f>
        <v>11.14</v>
      </c>
      <c r="F466" s="102"/>
      <c r="G466" s="116">
        <f t="shared" si="81"/>
        <v>134</v>
      </c>
      <c r="H466" s="225">
        <v>13.79</v>
      </c>
      <c r="I466" s="102"/>
      <c r="J466" s="116">
        <f t="shared" si="82"/>
        <v>165</v>
      </c>
      <c r="N466" s="99"/>
    </row>
    <row r="467" spans="1:14">
      <c r="A467" s="206">
        <f t="shared" si="89"/>
        <v>456</v>
      </c>
      <c r="B467" s="209" t="s">
        <v>917</v>
      </c>
      <c r="C467" s="102" t="str">
        <f t="shared" si="86"/>
        <v>SCHEDULES 58 &amp; 59</v>
      </c>
      <c r="D467" s="46">
        <v>0</v>
      </c>
      <c r="E467" s="253" t="str">
        <f>'Tariff Summary Lights'!F368</f>
        <v>n/a</v>
      </c>
      <c r="F467" s="102"/>
      <c r="G467" s="116">
        <f t="shared" si="81"/>
        <v>0</v>
      </c>
      <c r="H467" s="225">
        <v>13.79</v>
      </c>
      <c r="I467" s="102"/>
      <c r="J467" s="116">
        <f t="shared" si="82"/>
        <v>0</v>
      </c>
      <c r="N467" s="99"/>
    </row>
    <row r="468" spans="1:14">
      <c r="A468" s="206">
        <f t="shared" si="89"/>
        <v>457</v>
      </c>
      <c r="B468" s="209" t="s">
        <v>918</v>
      </c>
      <c r="C468" s="102" t="str">
        <f t="shared" si="86"/>
        <v>SCHEDULES 58 &amp; 59</v>
      </c>
      <c r="D468" s="46">
        <v>0</v>
      </c>
      <c r="E468" s="253" t="str">
        <f>'Tariff Summary Lights'!F369</f>
        <v>n/a</v>
      </c>
      <c r="F468" s="102"/>
      <c r="G468" s="116">
        <f t="shared" ref="G468" si="90">ROUND(D468*E468*12,0)</f>
        <v>0</v>
      </c>
      <c r="H468" s="225">
        <v>14.98</v>
      </c>
      <c r="I468" s="102"/>
      <c r="J468" s="116">
        <f t="shared" ref="J468" si="91">ROUND(H468*$D468*12,0)</f>
        <v>0</v>
      </c>
      <c r="N468" s="99"/>
    </row>
    <row r="469" spans="1:14">
      <c r="A469" s="206">
        <f t="shared" si="89"/>
        <v>458</v>
      </c>
      <c r="B469" s="123" t="s">
        <v>545</v>
      </c>
      <c r="C469" s="102" t="str">
        <f t="shared" si="86"/>
        <v>SCHEDULES 58 &amp; 59</v>
      </c>
      <c r="D469" s="46">
        <v>0</v>
      </c>
      <c r="E469" s="225">
        <f>'Tariff Summary Lights'!F370</f>
        <v>13.13</v>
      </c>
      <c r="F469" s="102"/>
      <c r="G469" s="116">
        <f t="shared" si="81"/>
        <v>0</v>
      </c>
      <c r="H469" s="225">
        <v>14.98</v>
      </c>
      <c r="I469" s="102"/>
      <c r="J469" s="116">
        <f t="shared" si="82"/>
        <v>0</v>
      </c>
      <c r="N469" s="99"/>
    </row>
    <row r="470" spans="1:14">
      <c r="A470" s="206">
        <f t="shared" si="89"/>
        <v>459</v>
      </c>
      <c r="B470" s="123" t="s">
        <v>546</v>
      </c>
      <c r="C470" s="102" t="str">
        <f t="shared" si="86"/>
        <v>SCHEDULES 58 &amp; 59</v>
      </c>
      <c r="D470" s="46">
        <v>0</v>
      </c>
      <c r="E470" s="225">
        <f>'Tariff Summary Lights'!F371</f>
        <v>13.3</v>
      </c>
      <c r="F470" s="102"/>
      <c r="G470" s="116">
        <f t="shared" si="81"/>
        <v>0</v>
      </c>
      <c r="H470" s="225">
        <v>14.98</v>
      </c>
      <c r="I470" s="102"/>
      <c r="J470" s="116">
        <f t="shared" si="82"/>
        <v>0</v>
      </c>
      <c r="N470" s="99"/>
    </row>
    <row r="471" spans="1:14">
      <c r="A471" s="206">
        <f t="shared" si="89"/>
        <v>460</v>
      </c>
      <c r="B471" s="123" t="s">
        <v>547</v>
      </c>
      <c r="C471" s="102" t="str">
        <f t="shared" si="86"/>
        <v>SCHEDULES 58 &amp; 59</v>
      </c>
      <c r="D471" s="46">
        <v>0</v>
      </c>
      <c r="E471" s="225">
        <f>'Tariff Summary Lights'!F372</f>
        <v>13.48</v>
      </c>
      <c r="F471" s="102"/>
      <c r="G471" s="116">
        <f t="shared" si="81"/>
        <v>0</v>
      </c>
      <c r="H471" s="225">
        <v>14.98</v>
      </c>
      <c r="I471" s="102"/>
      <c r="J471" s="116">
        <f t="shared" si="82"/>
        <v>0</v>
      </c>
      <c r="N471" s="99"/>
    </row>
    <row r="472" spans="1:14">
      <c r="A472" s="206">
        <f t="shared" si="89"/>
        <v>461</v>
      </c>
      <c r="B472" s="123" t="s">
        <v>548</v>
      </c>
      <c r="C472" s="102" t="str">
        <f t="shared" si="86"/>
        <v>SCHEDULES 58 &amp; 59</v>
      </c>
      <c r="D472" s="46">
        <v>0</v>
      </c>
      <c r="E472" s="225">
        <f>'Tariff Summary Lights'!F373</f>
        <v>13.66</v>
      </c>
      <c r="F472" s="102"/>
      <c r="G472" s="116">
        <f t="shared" si="81"/>
        <v>0</v>
      </c>
      <c r="H472" s="225">
        <v>14.98</v>
      </c>
      <c r="I472" s="102"/>
      <c r="J472" s="116">
        <f t="shared" si="82"/>
        <v>0</v>
      </c>
      <c r="N472" s="99"/>
    </row>
    <row r="473" spans="1:14">
      <c r="A473" s="206">
        <f t="shared" si="89"/>
        <v>462</v>
      </c>
      <c r="B473" s="123" t="s">
        <v>549</v>
      </c>
      <c r="C473" s="102" t="str">
        <f t="shared" si="86"/>
        <v>SCHEDULES 58 &amp; 59</v>
      </c>
      <c r="D473" s="46">
        <v>0</v>
      </c>
      <c r="E473" s="225">
        <f>'Tariff Summary Lights'!F374</f>
        <v>13.83</v>
      </c>
      <c r="F473" s="102"/>
      <c r="G473" s="116">
        <f t="shared" si="81"/>
        <v>0</v>
      </c>
      <c r="H473" s="225">
        <v>16.170000000000002</v>
      </c>
      <c r="I473" s="102"/>
      <c r="J473" s="116">
        <f t="shared" si="82"/>
        <v>0</v>
      </c>
      <c r="N473" s="99"/>
    </row>
    <row r="474" spans="1:14">
      <c r="A474" s="206">
        <f t="shared" si="89"/>
        <v>463</v>
      </c>
      <c r="B474" s="123" t="s">
        <v>550</v>
      </c>
      <c r="C474" s="102" t="str">
        <f t="shared" si="86"/>
        <v>SCHEDULES 58 &amp; 59</v>
      </c>
      <c r="D474" s="46">
        <v>1</v>
      </c>
      <c r="E474" s="225">
        <f>'Tariff Summary Lights'!F375</f>
        <v>14.01</v>
      </c>
      <c r="F474" s="102"/>
      <c r="G474" s="116">
        <f t="shared" si="81"/>
        <v>168</v>
      </c>
      <c r="H474" s="225">
        <v>16.170000000000002</v>
      </c>
      <c r="I474" s="102"/>
      <c r="J474" s="116">
        <f t="shared" si="82"/>
        <v>194</v>
      </c>
      <c r="N474" s="99"/>
    </row>
    <row r="475" spans="1:14">
      <c r="A475" s="206">
        <f t="shared" si="89"/>
        <v>464</v>
      </c>
      <c r="B475" s="209" t="s">
        <v>919</v>
      </c>
      <c r="C475" s="102" t="str">
        <f t="shared" si="86"/>
        <v>SCHEDULES 58 &amp; 59</v>
      </c>
      <c r="D475" s="46">
        <v>0</v>
      </c>
      <c r="E475" s="253" t="str">
        <f>'Tariff Summary Lights'!F376</f>
        <v>n/a</v>
      </c>
      <c r="F475" s="102"/>
      <c r="G475" s="116">
        <f t="shared" ref="G475:G476" si="92">ROUND(D475*E475*12,0)</f>
        <v>0</v>
      </c>
      <c r="H475" s="225">
        <v>16.170000000000002</v>
      </c>
      <c r="I475" s="102"/>
      <c r="J475" s="116">
        <f t="shared" ref="J475:J476" si="93">ROUND(H475*$D475*12,0)</f>
        <v>0</v>
      </c>
      <c r="N475" s="99"/>
    </row>
    <row r="476" spans="1:14">
      <c r="A476" s="206">
        <f t="shared" si="89"/>
        <v>465</v>
      </c>
      <c r="B476" s="209" t="s">
        <v>920</v>
      </c>
      <c r="C476" s="102" t="str">
        <f t="shared" si="86"/>
        <v>SCHEDULES 58 &amp; 59</v>
      </c>
      <c r="D476" s="46">
        <v>0</v>
      </c>
      <c r="E476" s="253" t="str">
        <f>'Tariff Summary Lights'!F377</f>
        <v>n/a</v>
      </c>
      <c r="F476" s="102"/>
      <c r="G476" s="116">
        <f t="shared" si="92"/>
        <v>0</v>
      </c>
      <c r="H476" s="225">
        <v>17.36</v>
      </c>
      <c r="I476" s="102"/>
      <c r="J476" s="116">
        <f t="shared" si="93"/>
        <v>0</v>
      </c>
      <c r="N476" s="99"/>
    </row>
    <row r="477" spans="1:14">
      <c r="A477" s="206">
        <f t="shared" si="89"/>
        <v>466</v>
      </c>
      <c r="B477" s="209" t="s">
        <v>922</v>
      </c>
      <c r="C477" s="102" t="str">
        <f t="shared" si="86"/>
        <v>SCHEDULES 58 &amp; 59</v>
      </c>
      <c r="D477" s="46">
        <v>0</v>
      </c>
      <c r="E477" s="225">
        <f>'Tariff Summary Lights'!F378</f>
        <v>15.28</v>
      </c>
      <c r="F477" s="102"/>
      <c r="G477" s="116">
        <f t="shared" ref="G477:G494" si="94">ROUND(D477*E477*12,0)</f>
        <v>0</v>
      </c>
      <c r="H477" s="225">
        <v>17.36</v>
      </c>
      <c r="I477" s="102"/>
      <c r="J477" s="116">
        <f t="shared" si="82"/>
        <v>0</v>
      </c>
      <c r="N477" s="99"/>
    </row>
    <row r="478" spans="1:14">
      <c r="A478" s="206">
        <f t="shared" si="89"/>
        <v>467</v>
      </c>
      <c r="B478" s="209" t="s">
        <v>921</v>
      </c>
      <c r="C478" s="102" t="str">
        <f t="shared" si="86"/>
        <v>SCHEDULES 58 &amp; 59</v>
      </c>
      <c r="D478" s="46">
        <v>0</v>
      </c>
      <c r="E478" s="253" t="str">
        <f>'Tariff Summary Lights'!F379</f>
        <v>n/a</v>
      </c>
      <c r="F478" s="102"/>
      <c r="G478" s="116">
        <f t="shared" si="94"/>
        <v>0</v>
      </c>
      <c r="H478" s="225">
        <v>17.36</v>
      </c>
      <c r="I478" s="102"/>
      <c r="J478" s="116">
        <f t="shared" si="82"/>
        <v>0</v>
      </c>
      <c r="N478" s="99"/>
    </row>
    <row r="479" spans="1:14">
      <c r="A479" s="206">
        <f t="shared" si="89"/>
        <v>468</v>
      </c>
      <c r="B479" s="209" t="s">
        <v>923</v>
      </c>
      <c r="C479" s="102" t="str">
        <f t="shared" si="86"/>
        <v>SCHEDULES 58 &amp; 59</v>
      </c>
      <c r="D479" s="46">
        <v>0</v>
      </c>
      <c r="E479" s="253" t="str">
        <f>'Tariff Summary Lights'!F380</f>
        <v>n/a</v>
      </c>
      <c r="F479" s="102"/>
      <c r="G479" s="116">
        <f t="shared" si="94"/>
        <v>0</v>
      </c>
      <c r="H479" s="225">
        <v>18.55</v>
      </c>
      <c r="I479" s="102"/>
      <c r="J479" s="116">
        <f t="shared" si="82"/>
        <v>0</v>
      </c>
      <c r="N479" s="99"/>
    </row>
    <row r="480" spans="1:14">
      <c r="A480" s="206">
        <f t="shared" si="89"/>
        <v>469</v>
      </c>
      <c r="B480" s="209" t="s">
        <v>924</v>
      </c>
      <c r="C480" s="102" t="str">
        <f t="shared" si="86"/>
        <v>SCHEDULES 58 &amp; 59</v>
      </c>
      <c r="D480" s="46">
        <v>0</v>
      </c>
      <c r="E480" s="225">
        <f>'Tariff Summary Lights'!F381</f>
        <v>18.41</v>
      </c>
      <c r="F480" s="102"/>
      <c r="G480" s="116">
        <f t="shared" si="94"/>
        <v>0</v>
      </c>
      <c r="H480" s="225">
        <v>18.55</v>
      </c>
      <c r="I480" s="102"/>
      <c r="J480" s="116">
        <f t="shared" si="82"/>
        <v>0</v>
      </c>
      <c r="N480" s="99"/>
    </row>
    <row r="481" spans="1:14">
      <c r="A481" s="206">
        <f t="shared" si="89"/>
        <v>470</v>
      </c>
      <c r="B481" s="209" t="s">
        <v>826</v>
      </c>
      <c r="C481" s="102" t="str">
        <f t="shared" si="86"/>
        <v>SCHEDULES 58 &amp; 59</v>
      </c>
      <c r="D481" s="46">
        <v>0</v>
      </c>
      <c r="E481" s="225">
        <f>'Tariff Summary Lights'!F382</f>
        <v>15.59</v>
      </c>
      <c r="F481" s="102"/>
      <c r="G481" s="116">
        <f t="shared" si="94"/>
        <v>0</v>
      </c>
      <c r="H481" s="225">
        <v>18.55</v>
      </c>
      <c r="I481" s="102"/>
      <c r="J481" s="116">
        <f t="shared" si="82"/>
        <v>0</v>
      </c>
      <c r="N481" s="99"/>
    </row>
    <row r="482" spans="1:14">
      <c r="A482" s="206">
        <f t="shared" si="89"/>
        <v>471</v>
      </c>
      <c r="B482" s="209" t="s">
        <v>827</v>
      </c>
      <c r="C482" s="102" t="str">
        <f t="shared" si="86"/>
        <v>SCHEDULES 58 &amp; 59</v>
      </c>
      <c r="D482" s="46">
        <v>0</v>
      </c>
      <c r="E482" s="225">
        <f>'Tariff Summary Lights'!F383</f>
        <v>18.77</v>
      </c>
      <c r="F482" s="102"/>
      <c r="G482" s="116">
        <f t="shared" si="94"/>
        <v>0</v>
      </c>
      <c r="H482" s="225">
        <v>18.55</v>
      </c>
      <c r="I482" s="102"/>
      <c r="J482" s="116">
        <f t="shared" si="82"/>
        <v>0</v>
      </c>
      <c r="N482" s="99"/>
    </row>
    <row r="483" spans="1:14">
      <c r="A483" s="206">
        <f t="shared" si="89"/>
        <v>472</v>
      </c>
      <c r="B483" s="209" t="s">
        <v>828</v>
      </c>
      <c r="C483" s="102" t="str">
        <f t="shared" si="86"/>
        <v>SCHEDULES 58 &amp; 59</v>
      </c>
      <c r="D483" s="46">
        <v>0</v>
      </c>
      <c r="E483" s="225">
        <f>'Tariff Summary Lights'!F384</f>
        <v>18.940000000000001</v>
      </c>
      <c r="F483" s="102"/>
      <c r="G483" s="116">
        <f t="shared" si="94"/>
        <v>0</v>
      </c>
      <c r="H483" s="225">
        <v>18.55</v>
      </c>
      <c r="I483" s="102"/>
      <c r="J483" s="116">
        <f t="shared" si="82"/>
        <v>0</v>
      </c>
      <c r="N483" s="99"/>
    </row>
    <row r="484" spans="1:14">
      <c r="A484" s="206">
        <f t="shared" si="89"/>
        <v>473</v>
      </c>
      <c r="B484" s="209" t="s">
        <v>829</v>
      </c>
      <c r="C484" s="102" t="str">
        <f t="shared" si="86"/>
        <v>SCHEDULES 58 &amp; 59</v>
      </c>
      <c r="D484" s="46">
        <v>0</v>
      </c>
      <c r="E484" s="225">
        <f>'Tariff Summary Lights'!F385</f>
        <v>19.12</v>
      </c>
      <c r="F484" s="102"/>
      <c r="G484" s="116">
        <f t="shared" si="94"/>
        <v>0</v>
      </c>
      <c r="H484" s="225">
        <v>19.739999999999998</v>
      </c>
      <c r="I484" s="102"/>
      <c r="J484" s="116">
        <f t="shared" si="82"/>
        <v>0</v>
      </c>
      <c r="N484" s="99"/>
    </row>
    <row r="485" spans="1:14">
      <c r="A485" s="206">
        <f t="shared" si="89"/>
        <v>474</v>
      </c>
      <c r="B485" s="209" t="s">
        <v>830</v>
      </c>
      <c r="C485" s="102" t="str">
        <f t="shared" si="86"/>
        <v>SCHEDULES 58 &amp; 59</v>
      </c>
      <c r="D485" s="46">
        <v>0</v>
      </c>
      <c r="E485" s="225">
        <f>'Tariff Summary Lights'!F386</f>
        <v>19.29</v>
      </c>
      <c r="F485" s="102"/>
      <c r="G485" s="116">
        <f t="shared" si="94"/>
        <v>0</v>
      </c>
      <c r="H485" s="225">
        <v>19.739999999999998</v>
      </c>
      <c r="I485" s="102"/>
      <c r="J485" s="116">
        <f t="shared" si="82"/>
        <v>0</v>
      </c>
      <c r="N485" s="99"/>
    </row>
    <row r="486" spans="1:14">
      <c r="A486" s="206">
        <f t="shared" si="89"/>
        <v>475</v>
      </c>
      <c r="B486" s="209" t="s">
        <v>925</v>
      </c>
      <c r="C486" s="102" t="str">
        <f t="shared" si="86"/>
        <v>SCHEDULES 58 &amp; 59</v>
      </c>
      <c r="D486" s="46">
        <v>0</v>
      </c>
      <c r="E486" s="253" t="str">
        <f>'Tariff Summary Lights'!F387</f>
        <v>n/a</v>
      </c>
      <c r="F486" s="102"/>
      <c r="G486" s="116">
        <f t="shared" ref="G486" si="95">ROUND(D486*E486*12,0)</f>
        <v>0</v>
      </c>
      <c r="H486" s="225">
        <v>19.739999999999998</v>
      </c>
      <c r="I486" s="102"/>
      <c r="J486" s="116">
        <f t="shared" ref="J486" si="96">ROUND(H486*$D486*12,0)</f>
        <v>0</v>
      </c>
      <c r="N486" s="99"/>
    </row>
    <row r="487" spans="1:14">
      <c r="A487" s="206">
        <f t="shared" si="89"/>
        <v>476</v>
      </c>
      <c r="B487" s="209" t="s">
        <v>926</v>
      </c>
      <c r="C487" s="102" t="str">
        <f t="shared" si="86"/>
        <v>SCHEDULES 58 &amp; 59</v>
      </c>
      <c r="D487" s="46">
        <v>0</v>
      </c>
      <c r="E487" s="225">
        <f>'Tariff Summary Lights'!F388</f>
        <v>24.38</v>
      </c>
      <c r="F487" s="102"/>
      <c r="G487" s="116">
        <f t="shared" si="94"/>
        <v>0</v>
      </c>
      <c r="H487" s="225">
        <v>20.93</v>
      </c>
      <c r="I487" s="102"/>
      <c r="J487" s="116">
        <f t="shared" si="82"/>
        <v>0</v>
      </c>
      <c r="N487" s="99"/>
    </row>
    <row r="488" spans="1:14">
      <c r="A488" s="206">
        <f t="shared" si="89"/>
        <v>477</v>
      </c>
      <c r="B488" s="209" t="s">
        <v>831</v>
      </c>
      <c r="C488" s="102" t="str">
        <f t="shared" si="86"/>
        <v>SCHEDULES 58 &amp; 59</v>
      </c>
      <c r="D488" s="46">
        <v>0</v>
      </c>
      <c r="E488" s="225">
        <f>'Tariff Summary Lights'!F389</f>
        <v>24.56</v>
      </c>
      <c r="F488" s="102"/>
      <c r="G488" s="116">
        <f t="shared" si="94"/>
        <v>0</v>
      </c>
      <c r="H488" s="225">
        <v>20.93</v>
      </c>
      <c r="I488" s="102"/>
      <c r="J488" s="116">
        <f t="shared" si="82"/>
        <v>0</v>
      </c>
      <c r="N488" s="99"/>
    </row>
    <row r="489" spans="1:14">
      <c r="A489" s="206">
        <f t="shared" si="89"/>
        <v>478</v>
      </c>
      <c r="B489" s="209" t="s">
        <v>832</v>
      </c>
      <c r="C489" s="102" t="str">
        <f t="shared" si="86"/>
        <v>SCHEDULES 58 &amp; 59</v>
      </c>
      <c r="D489" s="46">
        <v>0</v>
      </c>
      <c r="E489" s="225">
        <f>'Tariff Summary Lights'!F390</f>
        <v>24.73</v>
      </c>
      <c r="F489" s="102"/>
      <c r="G489" s="116">
        <f t="shared" si="94"/>
        <v>0</v>
      </c>
      <c r="H489" s="225">
        <v>20.93</v>
      </c>
      <c r="I489" s="102"/>
      <c r="J489" s="116">
        <f t="shared" si="82"/>
        <v>0</v>
      </c>
      <c r="N489" s="99"/>
    </row>
    <row r="490" spans="1:14">
      <c r="A490" s="206">
        <f t="shared" si="89"/>
        <v>479</v>
      </c>
      <c r="B490" s="209" t="s">
        <v>833</v>
      </c>
      <c r="C490" s="102" t="str">
        <f t="shared" si="86"/>
        <v>SCHEDULES 58 &amp; 59</v>
      </c>
      <c r="D490" s="46">
        <v>0</v>
      </c>
      <c r="E490" s="225">
        <f>'Tariff Summary Lights'!F391</f>
        <v>24.91</v>
      </c>
      <c r="F490" s="102"/>
      <c r="G490" s="116">
        <f t="shared" si="94"/>
        <v>0</v>
      </c>
      <c r="H490" s="225">
        <v>20.93</v>
      </c>
      <c r="I490" s="102"/>
      <c r="J490" s="116">
        <f t="shared" si="82"/>
        <v>0</v>
      </c>
      <c r="N490" s="99"/>
    </row>
    <row r="491" spans="1:14">
      <c r="A491" s="206">
        <f t="shared" si="89"/>
        <v>480</v>
      </c>
      <c r="B491" s="209" t="s">
        <v>834</v>
      </c>
      <c r="C491" s="102" t="str">
        <f t="shared" si="86"/>
        <v>SCHEDULES 58 &amp; 59</v>
      </c>
      <c r="D491" s="46">
        <v>1</v>
      </c>
      <c r="E491" s="225">
        <f>'Tariff Summary Lights'!F392</f>
        <v>25.08</v>
      </c>
      <c r="F491" s="102"/>
      <c r="G491" s="116">
        <f t="shared" si="94"/>
        <v>301</v>
      </c>
      <c r="H491" s="225">
        <v>20.93</v>
      </c>
      <c r="I491" s="102"/>
      <c r="J491" s="116">
        <f t="shared" si="82"/>
        <v>251</v>
      </c>
      <c r="N491" s="99"/>
    </row>
    <row r="492" spans="1:14">
      <c r="A492" s="206">
        <f t="shared" si="89"/>
        <v>481</v>
      </c>
      <c r="B492" s="209" t="s">
        <v>835</v>
      </c>
      <c r="C492" s="102" t="str">
        <f t="shared" si="86"/>
        <v>SCHEDULES 58 &amp; 59</v>
      </c>
      <c r="D492" s="46">
        <v>0</v>
      </c>
      <c r="E492" s="225">
        <f>'Tariff Summary Lights'!F393</f>
        <v>25.27</v>
      </c>
      <c r="F492" s="102"/>
      <c r="G492" s="116">
        <f t="shared" si="94"/>
        <v>0</v>
      </c>
      <c r="H492" s="225">
        <v>20.93</v>
      </c>
      <c r="I492" s="102"/>
      <c r="J492" s="116">
        <f t="shared" si="82"/>
        <v>0</v>
      </c>
      <c r="N492" s="99"/>
    </row>
    <row r="493" spans="1:14">
      <c r="A493" s="206">
        <f t="shared" si="89"/>
        <v>482</v>
      </c>
      <c r="B493" s="209" t="s">
        <v>927</v>
      </c>
      <c r="C493" s="102" t="str">
        <f t="shared" si="86"/>
        <v>SCHEDULES 58 &amp; 59</v>
      </c>
      <c r="D493" s="46">
        <v>0</v>
      </c>
      <c r="E493" s="253" t="str">
        <f>'Tariff Summary Lights'!F394</f>
        <v>n/a</v>
      </c>
      <c r="F493" s="102"/>
      <c r="G493" s="116">
        <f t="shared" si="94"/>
        <v>0</v>
      </c>
      <c r="H493" s="225">
        <v>22.12</v>
      </c>
      <c r="I493" s="102"/>
      <c r="J493" s="116">
        <f t="shared" si="82"/>
        <v>0</v>
      </c>
      <c r="N493" s="99"/>
    </row>
    <row r="494" spans="1:14">
      <c r="A494" s="206">
        <f t="shared" si="89"/>
        <v>483</v>
      </c>
      <c r="B494" s="123" t="s">
        <v>551</v>
      </c>
      <c r="C494" s="102" t="str">
        <f t="shared" si="86"/>
        <v>SCHEDULES 58 &amp; 59</v>
      </c>
      <c r="D494" s="46">
        <v>0</v>
      </c>
      <c r="E494" s="225">
        <f>'Tariff Summary Lights'!F395</f>
        <v>30.11</v>
      </c>
      <c r="F494" s="102"/>
      <c r="G494" s="116">
        <f t="shared" si="94"/>
        <v>0</v>
      </c>
      <c r="H494" s="225">
        <v>24.7</v>
      </c>
      <c r="I494" s="102"/>
      <c r="J494" s="116">
        <f t="shared" si="82"/>
        <v>0</v>
      </c>
      <c r="N494" s="99"/>
    </row>
    <row r="495" spans="1:14">
      <c r="A495" s="206">
        <f t="shared" si="89"/>
        <v>484</v>
      </c>
      <c r="B495" s="123" t="s">
        <v>552</v>
      </c>
      <c r="C495" s="102" t="str">
        <f t="shared" si="86"/>
        <v>SCHEDULES 58 &amp; 59</v>
      </c>
      <c r="D495" s="46">
        <v>0</v>
      </c>
      <c r="E495" s="225">
        <f>'Tariff Summary Lights'!F396</f>
        <v>30.29</v>
      </c>
      <c r="F495" s="102"/>
      <c r="G495" s="116">
        <f t="shared" si="81"/>
        <v>0</v>
      </c>
      <c r="H495" s="225">
        <v>24.7</v>
      </c>
      <c r="I495" s="102"/>
      <c r="J495" s="116">
        <f t="shared" si="82"/>
        <v>0</v>
      </c>
      <c r="N495" s="99"/>
    </row>
    <row r="496" spans="1:14">
      <c r="A496" s="206">
        <f t="shared" si="89"/>
        <v>485</v>
      </c>
      <c r="B496" s="123" t="s">
        <v>553</v>
      </c>
      <c r="C496" s="102" t="str">
        <f t="shared" si="86"/>
        <v>SCHEDULES 58 &amp; 59</v>
      </c>
      <c r="D496" s="46">
        <v>0</v>
      </c>
      <c r="E496" s="225">
        <f>'Tariff Summary Lights'!F397</f>
        <v>30.47</v>
      </c>
      <c r="F496" s="102"/>
      <c r="G496" s="116">
        <f t="shared" si="81"/>
        <v>0</v>
      </c>
      <c r="H496" s="225">
        <v>24.7</v>
      </c>
      <c r="I496" s="102"/>
      <c r="J496" s="116">
        <f t="shared" si="82"/>
        <v>0</v>
      </c>
      <c r="N496" s="99"/>
    </row>
    <row r="497" spans="1:14">
      <c r="A497" s="206">
        <f t="shared" si="89"/>
        <v>486</v>
      </c>
      <c r="B497" s="123" t="s">
        <v>554</v>
      </c>
      <c r="C497" s="102" t="str">
        <f t="shared" si="86"/>
        <v>SCHEDULES 58 &amp; 59</v>
      </c>
      <c r="D497" s="46">
        <v>0</v>
      </c>
      <c r="E497" s="225">
        <f>'Tariff Summary Lights'!F398</f>
        <v>30.64</v>
      </c>
      <c r="F497" s="102"/>
      <c r="G497" s="116">
        <f t="shared" si="81"/>
        <v>0</v>
      </c>
      <c r="H497" s="225">
        <v>24.7</v>
      </c>
      <c r="I497" s="102"/>
      <c r="J497" s="116">
        <f t="shared" si="82"/>
        <v>0</v>
      </c>
      <c r="N497" s="99"/>
    </row>
    <row r="498" spans="1:14">
      <c r="A498" s="206">
        <f t="shared" si="89"/>
        <v>487</v>
      </c>
      <c r="B498" s="123" t="s">
        <v>555</v>
      </c>
      <c r="C498" s="102" t="str">
        <f t="shared" si="86"/>
        <v>SCHEDULES 58 &amp; 59</v>
      </c>
      <c r="D498" s="46">
        <v>0</v>
      </c>
      <c r="E498" s="225">
        <f>'Tariff Summary Lights'!F399</f>
        <v>30.82</v>
      </c>
      <c r="F498" s="102"/>
      <c r="G498" s="116">
        <f t="shared" si="81"/>
        <v>0</v>
      </c>
      <c r="H498" s="225">
        <v>24.7</v>
      </c>
      <c r="I498" s="102"/>
      <c r="J498" s="116">
        <f t="shared" si="82"/>
        <v>0</v>
      </c>
      <c r="N498" s="99"/>
    </row>
    <row r="499" spans="1:14">
      <c r="A499" s="206">
        <f t="shared" si="89"/>
        <v>488</v>
      </c>
      <c r="B499" s="209" t="s">
        <v>928</v>
      </c>
      <c r="C499" s="102" t="str">
        <f t="shared" si="86"/>
        <v>SCHEDULES 58 &amp; 59</v>
      </c>
      <c r="D499" s="46">
        <v>0</v>
      </c>
      <c r="E499" s="253" t="str">
        <f>'Tariff Summary Lights'!F400</f>
        <v>n/a</v>
      </c>
      <c r="F499" s="102"/>
      <c r="G499" s="116">
        <f t="shared" si="81"/>
        <v>0</v>
      </c>
      <c r="H499" s="225">
        <v>24.7</v>
      </c>
      <c r="I499" s="102"/>
      <c r="J499" s="116">
        <f t="shared" ref="J499:J500" si="97">ROUND(H499*$D499*12,0)</f>
        <v>0</v>
      </c>
      <c r="N499" s="99"/>
    </row>
    <row r="500" spans="1:14">
      <c r="A500" s="206">
        <f t="shared" si="89"/>
        <v>489</v>
      </c>
      <c r="B500" s="209" t="s">
        <v>929</v>
      </c>
      <c r="C500" s="102" t="str">
        <f t="shared" si="86"/>
        <v>SCHEDULES 58 &amp; 59</v>
      </c>
      <c r="D500" s="46">
        <v>0</v>
      </c>
      <c r="E500" s="253" t="str">
        <f>'Tariff Summary Lights'!F401</f>
        <v>n/a</v>
      </c>
      <c r="F500" s="102"/>
      <c r="G500" s="116">
        <f t="shared" si="81"/>
        <v>0</v>
      </c>
      <c r="H500" s="225">
        <v>28.67</v>
      </c>
      <c r="I500" s="102"/>
      <c r="J500" s="116">
        <f t="shared" si="97"/>
        <v>0</v>
      </c>
      <c r="N500" s="99"/>
    </row>
    <row r="501" spans="1:14">
      <c r="A501" s="206">
        <f t="shared" si="89"/>
        <v>490</v>
      </c>
      <c r="B501" s="123" t="s">
        <v>556</v>
      </c>
      <c r="C501" s="102" t="str">
        <f t="shared" si="86"/>
        <v>SCHEDULES 58 &amp; 59</v>
      </c>
      <c r="D501" s="46">
        <v>0</v>
      </c>
      <c r="E501" s="225">
        <f>'Tariff Summary Lights'!F402</f>
        <v>52.24</v>
      </c>
      <c r="F501" s="102"/>
      <c r="G501" s="116">
        <f t="shared" si="81"/>
        <v>0</v>
      </c>
      <c r="H501" s="225">
        <v>32.64</v>
      </c>
      <c r="I501" s="102"/>
      <c r="J501" s="116">
        <f t="shared" si="82"/>
        <v>0</v>
      </c>
      <c r="N501" s="99"/>
    </row>
    <row r="502" spans="1:14">
      <c r="A502" s="206">
        <f t="shared" si="89"/>
        <v>491</v>
      </c>
      <c r="B502" s="123" t="s">
        <v>557</v>
      </c>
      <c r="C502" s="102" t="str">
        <f t="shared" si="86"/>
        <v>SCHEDULES 58 &amp; 59</v>
      </c>
      <c r="D502" s="46">
        <v>0</v>
      </c>
      <c r="E502" s="225">
        <f>'Tariff Summary Lights'!F403</f>
        <v>52.41</v>
      </c>
      <c r="F502" s="102"/>
      <c r="G502" s="116">
        <f t="shared" si="81"/>
        <v>0</v>
      </c>
      <c r="H502" s="225">
        <v>32.64</v>
      </c>
      <c r="I502" s="102"/>
      <c r="J502" s="116">
        <f t="shared" si="82"/>
        <v>0</v>
      </c>
      <c r="N502" s="99"/>
    </row>
    <row r="503" spans="1:14">
      <c r="A503" s="206">
        <f t="shared" si="89"/>
        <v>492</v>
      </c>
      <c r="B503" s="123" t="s">
        <v>558</v>
      </c>
      <c r="C503" s="102" t="str">
        <f t="shared" si="86"/>
        <v>SCHEDULES 58 &amp; 59</v>
      </c>
      <c r="D503" s="46">
        <v>0</v>
      </c>
      <c r="E503" s="225">
        <f>'Tariff Summary Lights'!F404</f>
        <v>52.59</v>
      </c>
      <c r="F503" s="102"/>
      <c r="G503" s="116">
        <f t="shared" si="81"/>
        <v>0</v>
      </c>
      <c r="H503" s="225">
        <v>32.64</v>
      </c>
      <c r="I503" s="102"/>
      <c r="J503" s="116">
        <f t="shared" si="82"/>
        <v>0</v>
      </c>
      <c r="N503" s="99"/>
    </row>
    <row r="504" spans="1:14">
      <c r="A504" s="206">
        <f t="shared" si="89"/>
        <v>493</v>
      </c>
      <c r="B504" s="123" t="s">
        <v>559</v>
      </c>
      <c r="C504" s="102" t="str">
        <f t="shared" si="86"/>
        <v>SCHEDULES 58 &amp; 59</v>
      </c>
      <c r="D504" s="46">
        <v>0</v>
      </c>
      <c r="E504" s="225">
        <f>'Tariff Summary Lights'!F405</f>
        <v>52.76</v>
      </c>
      <c r="F504" s="102"/>
      <c r="G504" s="116">
        <f t="shared" si="81"/>
        <v>0</v>
      </c>
      <c r="H504" s="225">
        <v>32.64</v>
      </c>
      <c r="I504" s="102"/>
      <c r="J504" s="116">
        <f t="shared" si="82"/>
        <v>0</v>
      </c>
      <c r="N504" s="99"/>
    </row>
    <row r="505" spans="1:14">
      <c r="A505" s="206">
        <f t="shared" si="89"/>
        <v>494</v>
      </c>
      <c r="B505" s="123" t="s">
        <v>560</v>
      </c>
      <c r="C505" s="102" t="str">
        <f t="shared" si="86"/>
        <v>SCHEDULES 58 &amp; 59</v>
      </c>
      <c r="D505" s="46">
        <v>0</v>
      </c>
      <c r="E505" s="225">
        <f>'Tariff Summary Lights'!F406</f>
        <v>52.94</v>
      </c>
      <c r="F505" s="102"/>
      <c r="G505" s="116">
        <f t="shared" si="81"/>
        <v>0</v>
      </c>
      <c r="H505" s="225">
        <v>32.64</v>
      </c>
      <c r="I505" s="102"/>
      <c r="J505" s="116">
        <f t="shared" si="82"/>
        <v>0</v>
      </c>
      <c r="N505" s="99"/>
    </row>
    <row r="506" spans="1:14">
      <c r="A506" s="206">
        <f t="shared" si="89"/>
        <v>495</v>
      </c>
      <c r="B506" s="123" t="s">
        <v>561</v>
      </c>
      <c r="C506" s="102" t="str">
        <f t="shared" si="86"/>
        <v>SCHEDULES 58 &amp; 59</v>
      </c>
      <c r="D506" s="46">
        <v>0</v>
      </c>
      <c r="E506" s="225">
        <f>'Tariff Summary Lights'!F407</f>
        <v>53.12</v>
      </c>
      <c r="F506" s="102"/>
      <c r="G506" s="116">
        <f t="shared" si="81"/>
        <v>0</v>
      </c>
      <c r="H506" s="225">
        <v>32.64</v>
      </c>
      <c r="I506" s="102"/>
      <c r="J506" s="116">
        <f t="shared" si="82"/>
        <v>0</v>
      </c>
      <c r="N506" s="99"/>
    </row>
    <row r="507" spans="1:14">
      <c r="A507" s="206">
        <f t="shared" si="89"/>
        <v>496</v>
      </c>
      <c r="B507" s="209" t="s">
        <v>930</v>
      </c>
      <c r="C507" s="102" t="str">
        <f t="shared" si="86"/>
        <v>SCHEDULES 58 &amp; 59</v>
      </c>
      <c r="D507" s="46">
        <v>0</v>
      </c>
      <c r="E507" s="253" t="str">
        <f>'Tariff Summary Lights'!F408</f>
        <v>n/a</v>
      </c>
      <c r="F507" s="102"/>
      <c r="G507" s="116">
        <f t="shared" ref="G507:G510" si="98">ROUND(D507*E507*12,0)</f>
        <v>0</v>
      </c>
      <c r="H507" s="225">
        <v>32.64</v>
      </c>
      <c r="I507" s="102"/>
      <c r="J507" s="116">
        <f t="shared" si="82"/>
        <v>0</v>
      </c>
      <c r="N507" s="99"/>
    </row>
    <row r="508" spans="1:14">
      <c r="A508" s="206">
        <f t="shared" si="89"/>
        <v>497</v>
      </c>
      <c r="B508" s="209" t="s">
        <v>931</v>
      </c>
      <c r="C508" s="102" t="str">
        <f t="shared" si="86"/>
        <v>SCHEDULES 58 &amp; 59</v>
      </c>
      <c r="D508" s="46">
        <v>0</v>
      </c>
      <c r="E508" s="253" t="str">
        <f>'Tariff Summary Lights'!F409</f>
        <v>n/a</v>
      </c>
      <c r="F508" s="102"/>
      <c r="G508" s="116">
        <f t="shared" si="98"/>
        <v>0</v>
      </c>
      <c r="H508" s="225">
        <v>36.6</v>
      </c>
      <c r="I508" s="102"/>
      <c r="J508" s="116">
        <f t="shared" si="82"/>
        <v>0</v>
      </c>
      <c r="N508" s="99"/>
    </row>
    <row r="509" spans="1:14">
      <c r="A509" s="206">
        <f t="shared" si="89"/>
        <v>498</v>
      </c>
      <c r="B509" s="209" t="s">
        <v>932</v>
      </c>
      <c r="C509" s="102" t="str">
        <f t="shared" si="86"/>
        <v>SCHEDULES 58 &amp; 59</v>
      </c>
      <c r="D509" s="46">
        <v>0</v>
      </c>
      <c r="E509" s="253" t="str">
        <f>'Tariff Summary Lights'!F410</f>
        <v>n/a</v>
      </c>
      <c r="F509" s="102"/>
      <c r="G509" s="116">
        <f t="shared" si="98"/>
        <v>0</v>
      </c>
      <c r="H509" s="225">
        <v>40.57</v>
      </c>
      <c r="I509" s="102"/>
      <c r="J509" s="116">
        <f t="shared" si="82"/>
        <v>0</v>
      </c>
      <c r="N509" s="99"/>
    </row>
    <row r="510" spans="1:14">
      <c r="A510" s="206">
        <f t="shared" si="89"/>
        <v>499</v>
      </c>
      <c r="B510" s="209" t="s">
        <v>933</v>
      </c>
      <c r="C510" s="102" t="str">
        <f t="shared" si="86"/>
        <v>SCHEDULES 58 &amp; 59</v>
      </c>
      <c r="D510" s="46">
        <v>0</v>
      </c>
      <c r="E510" s="253" t="str">
        <f>'Tariff Summary Lights'!F411</f>
        <v>n/a</v>
      </c>
      <c r="F510" s="102"/>
      <c r="G510" s="116">
        <f t="shared" si="98"/>
        <v>0</v>
      </c>
      <c r="H510" s="225">
        <v>44.54</v>
      </c>
      <c r="I510" s="102"/>
      <c r="J510" s="116">
        <f t="shared" si="82"/>
        <v>0</v>
      </c>
      <c r="N510" s="99"/>
    </row>
    <row r="511" spans="1:14">
      <c r="A511" s="206">
        <f t="shared" si="89"/>
        <v>500</v>
      </c>
      <c r="B511" s="209" t="s">
        <v>934</v>
      </c>
      <c r="C511" s="102" t="str">
        <f t="shared" si="86"/>
        <v>SCHEDULES 58 &amp; 59</v>
      </c>
      <c r="D511" s="46">
        <v>0</v>
      </c>
      <c r="E511" s="225">
        <f>'Tariff Summary Lights'!F412</f>
        <v>63.32</v>
      </c>
      <c r="F511" s="102"/>
      <c r="G511" s="116">
        <f t="shared" si="81"/>
        <v>0</v>
      </c>
      <c r="H511" s="225">
        <v>44.54</v>
      </c>
      <c r="I511" s="102"/>
      <c r="J511" s="116">
        <f t="shared" si="82"/>
        <v>0</v>
      </c>
    </row>
    <row r="512" spans="1:14">
      <c r="A512" s="206">
        <f t="shared" si="89"/>
        <v>501</v>
      </c>
      <c r="B512" s="209" t="s">
        <v>848</v>
      </c>
      <c r="C512" s="102" t="str">
        <f t="shared" si="86"/>
        <v>SCHEDULES 58 &amp; 59</v>
      </c>
      <c r="D512" s="46">
        <v>0</v>
      </c>
      <c r="E512" s="225">
        <f>'Tariff Summary Lights'!F413</f>
        <v>63.49</v>
      </c>
      <c r="F512" s="102"/>
      <c r="G512" s="116">
        <f t="shared" si="81"/>
        <v>0</v>
      </c>
      <c r="H512" s="225">
        <v>44.54</v>
      </c>
      <c r="I512" s="102"/>
      <c r="J512" s="116">
        <f t="shared" si="82"/>
        <v>0</v>
      </c>
    </row>
    <row r="513" spans="1:13">
      <c r="A513" s="206">
        <f t="shared" si="89"/>
        <v>502</v>
      </c>
      <c r="B513" s="123" t="s">
        <v>562</v>
      </c>
      <c r="C513" s="102" t="str">
        <f t="shared" si="86"/>
        <v>SCHEDULES 58 &amp; 59</v>
      </c>
      <c r="D513" s="46">
        <v>0</v>
      </c>
      <c r="E513" s="225">
        <f>'Tariff Summary Lights'!F414</f>
        <v>63.67</v>
      </c>
      <c r="F513" s="102"/>
      <c r="G513" s="116">
        <f t="shared" si="81"/>
        <v>0</v>
      </c>
      <c r="H513" s="225">
        <v>44.54</v>
      </c>
      <c r="I513" s="102"/>
      <c r="J513" s="116">
        <f t="shared" si="82"/>
        <v>0</v>
      </c>
    </row>
    <row r="514" spans="1:13">
      <c r="A514" s="206">
        <f t="shared" si="89"/>
        <v>503</v>
      </c>
      <c r="B514" s="123" t="s">
        <v>563</v>
      </c>
      <c r="C514" s="102" t="str">
        <f t="shared" si="86"/>
        <v>SCHEDULES 58 &amp; 59</v>
      </c>
      <c r="D514" s="46">
        <v>0</v>
      </c>
      <c r="E514" s="225">
        <f>'Tariff Summary Lights'!F415</f>
        <v>63.84</v>
      </c>
      <c r="F514" s="102"/>
      <c r="G514" s="116">
        <f t="shared" si="81"/>
        <v>0</v>
      </c>
      <c r="H514" s="225">
        <v>44.54</v>
      </c>
      <c r="I514" s="102"/>
      <c r="J514" s="116">
        <f t="shared" si="82"/>
        <v>0</v>
      </c>
    </row>
    <row r="515" spans="1:13">
      <c r="A515" s="206">
        <f t="shared" si="89"/>
        <v>504</v>
      </c>
      <c r="B515" s="123" t="s">
        <v>564</v>
      </c>
      <c r="C515" s="102" t="str">
        <f t="shared" si="86"/>
        <v>SCHEDULES 58 &amp; 59</v>
      </c>
      <c r="D515" s="46">
        <v>0</v>
      </c>
      <c r="E515" s="225">
        <f>'Tariff Summary Lights'!F416</f>
        <v>64.02</v>
      </c>
      <c r="F515" s="102"/>
      <c r="G515" s="116">
        <f t="shared" si="81"/>
        <v>0</v>
      </c>
      <c r="H515" s="225">
        <v>44.54</v>
      </c>
      <c r="I515" s="102"/>
      <c r="J515" s="116">
        <f t="shared" si="82"/>
        <v>0</v>
      </c>
    </row>
    <row r="516" spans="1:13">
      <c r="A516" s="206">
        <f t="shared" si="89"/>
        <v>505</v>
      </c>
      <c r="B516" s="123" t="s">
        <v>565</v>
      </c>
      <c r="C516" s="102" t="str">
        <f t="shared" si="86"/>
        <v>SCHEDULES 58 &amp; 59</v>
      </c>
      <c r="D516" s="46">
        <v>0</v>
      </c>
      <c r="E516" s="225">
        <f>'Tariff Summary Lights'!F417</f>
        <v>64.2</v>
      </c>
      <c r="F516" s="102"/>
      <c r="G516" s="116">
        <f t="shared" si="81"/>
        <v>0</v>
      </c>
      <c r="H516" s="225">
        <v>44.54</v>
      </c>
      <c r="I516" s="102"/>
      <c r="J516" s="116">
        <f t="shared" si="82"/>
        <v>0</v>
      </c>
    </row>
    <row r="517" spans="1:13">
      <c r="A517" s="206">
        <f t="shared" si="89"/>
        <v>506</v>
      </c>
      <c r="B517" s="123" t="s">
        <v>566</v>
      </c>
      <c r="C517" s="102" t="str">
        <f t="shared" si="86"/>
        <v>SCHEDULES 58 &amp; 59</v>
      </c>
      <c r="D517" s="46">
        <v>0</v>
      </c>
      <c r="E517" s="225">
        <f>'Tariff Summary Lights'!F418</f>
        <v>64.37</v>
      </c>
      <c r="F517" s="102"/>
      <c r="G517" s="116">
        <f t="shared" si="81"/>
        <v>0</v>
      </c>
      <c r="H517" s="225">
        <v>44.54</v>
      </c>
      <c r="I517" s="102"/>
      <c r="J517" s="116">
        <f t="shared" si="82"/>
        <v>0</v>
      </c>
    </row>
    <row r="518" spans="1:13">
      <c r="A518" s="206">
        <f t="shared" si="89"/>
        <v>507</v>
      </c>
      <c r="B518" s="123" t="s">
        <v>567</v>
      </c>
      <c r="C518" s="102" t="str">
        <f t="shared" si="86"/>
        <v>SCHEDULES 58 &amp; 59</v>
      </c>
      <c r="D518" s="46">
        <v>0</v>
      </c>
      <c r="E518" s="225">
        <f>'Tariff Summary Lights'!F419</f>
        <v>64.55</v>
      </c>
      <c r="F518" s="102"/>
      <c r="G518" s="116">
        <f t="shared" si="81"/>
        <v>0</v>
      </c>
      <c r="H518" s="225">
        <v>44.54</v>
      </c>
      <c r="I518" s="102"/>
      <c r="J518" s="116">
        <f t="shared" si="82"/>
        <v>0</v>
      </c>
    </row>
    <row r="519" spans="1:13">
      <c r="A519" s="206">
        <f t="shared" si="89"/>
        <v>508</v>
      </c>
      <c r="B519" s="123" t="s">
        <v>568</v>
      </c>
      <c r="C519" s="102" t="str">
        <f t="shared" si="86"/>
        <v>SCHEDULES 58 &amp; 59</v>
      </c>
      <c r="D519" s="46">
        <v>0</v>
      </c>
      <c r="E519" s="225">
        <f>'Tariff Summary Lights'!F420</f>
        <v>64.72</v>
      </c>
      <c r="F519" s="102"/>
      <c r="G519" s="116">
        <f t="shared" si="81"/>
        <v>0</v>
      </c>
      <c r="H519" s="225">
        <v>44.54</v>
      </c>
      <c r="I519" s="102"/>
      <c r="J519" s="116">
        <f t="shared" si="82"/>
        <v>0</v>
      </c>
    </row>
    <row r="520" spans="1:13">
      <c r="A520" s="206">
        <f t="shared" si="89"/>
        <v>509</v>
      </c>
      <c r="B520" s="123" t="s">
        <v>569</v>
      </c>
      <c r="C520" s="102" t="str">
        <f t="shared" si="86"/>
        <v>SCHEDULES 58 &amp; 59</v>
      </c>
      <c r="D520" s="46">
        <v>0</v>
      </c>
      <c r="E520" s="225">
        <f>'Tariff Summary Lights'!F421</f>
        <v>64.900000000000006</v>
      </c>
      <c r="F520" s="102"/>
      <c r="G520" s="116">
        <f t="shared" ref="G520" si="99">ROUND(D520*E520*12,0)</f>
        <v>0</v>
      </c>
      <c r="H520" s="225">
        <v>44.54</v>
      </c>
      <c r="I520" s="102"/>
      <c r="J520" s="116">
        <f t="shared" ref="J520" si="100">ROUND(H520*$D520*12,0)</f>
        <v>0</v>
      </c>
      <c r="L520" s="99"/>
      <c r="M520" s="252"/>
    </row>
    <row r="521" spans="1:13">
      <c r="A521" s="206">
        <f t="shared" si="89"/>
        <v>510</v>
      </c>
      <c r="B521" s="209" t="s">
        <v>935</v>
      </c>
      <c r="C521" s="102" t="str">
        <f t="shared" si="86"/>
        <v>SCHEDULES 58 &amp; 59</v>
      </c>
      <c r="D521" s="46">
        <v>0</v>
      </c>
      <c r="E521" s="253" t="str">
        <f>'Tariff Summary Lights'!F422</f>
        <v>n/a</v>
      </c>
      <c r="F521" s="102"/>
      <c r="G521" s="116">
        <f t="shared" ref="G521" si="101">ROUND(D521*E521*12,0)</f>
        <v>0</v>
      </c>
      <c r="H521" s="225">
        <v>44.54</v>
      </c>
      <c r="I521" s="102"/>
      <c r="J521" s="116">
        <f t="shared" ref="J521" si="102">ROUND(H521*$D521*12,0)</f>
        <v>0</v>
      </c>
      <c r="L521" s="99"/>
      <c r="M521" s="252"/>
    </row>
    <row r="522" spans="1:13">
      <c r="A522" s="206">
        <f t="shared" si="89"/>
        <v>511</v>
      </c>
    </row>
    <row r="523" spans="1:13">
      <c r="A523" s="206">
        <f t="shared" si="89"/>
        <v>512</v>
      </c>
      <c r="B523" s="209" t="s">
        <v>570</v>
      </c>
      <c r="C523" s="102" t="str">
        <f t="shared" si="86"/>
        <v>SCHEDULES 58 &amp; 59</v>
      </c>
      <c r="D523" s="46">
        <v>160</v>
      </c>
      <c r="E523" s="225">
        <v>8.16</v>
      </c>
      <c r="F523" s="102"/>
      <c r="G523" s="116">
        <f>ROUND(D523*E523*12,0)</f>
        <v>15667</v>
      </c>
      <c r="H523" s="225">
        <v>10.38</v>
      </c>
      <c r="I523" s="102"/>
      <c r="J523" s="116">
        <f>ROUND(H523*$D523*12,0)</f>
        <v>19930</v>
      </c>
    </row>
    <row r="524" spans="1:13">
      <c r="A524" s="206">
        <f t="shared" si="89"/>
        <v>513</v>
      </c>
      <c r="B524" s="228" t="s">
        <v>26</v>
      </c>
      <c r="C524" s="102" t="str">
        <f t="shared" ref="C524" si="103">$B$435</f>
        <v>SCHEDULES 58 &amp; 59</v>
      </c>
      <c r="D524" s="229">
        <f>SUM(D438:D523)</f>
        <v>1592</v>
      </c>
      <c r="E524" s="312"/>
      <c r="G524" s="242">
        <f>SUM(G438:G523)</f>
        <v>431074</v>
      </c>
      <c r="H524" s="312"/>
      <c r="J524" s="242">
        <f>SUM(J438:J523)</f>
        <v>447410</v>
      </c>
    </row>
    <row r="525" spans="1:13">
      <c r="A525" s="206">
        <f t="shared" si="89"/>
        <v>514</v>
      </c>
      <c r="B525" s="228"/>
      <c r="D525" s="246"/>
      <c r="E525" s="312"/>
      <c r="G525" s="247"/>
      <c r="H525" s="312"/>
      <c r="J525" s="247"/>
    </row>
    <row r="526" spans="1:13">
      <c r="A526" s="206">
        <f t="shared" ref="A526:A530" si="104">A525+1</f>
        <v>515</v>
      </c>
      <c r="B526" s="207" t="s">
        <v>183</v>
      </c>
      <c r="C526" s="102" t="str">
        <f t="shared" ref="C526" si="105">$B$435</f>
        <v>SCHEDULES 58 &amp; 59</v>
      </c>
      <c r="D526" s="100">
        <v>3662</v>
      </c>
      <c r="E526" s="231"/>
      <c r="F526" s="232"/>
      <c r="G526" s="37"/>
      <c r="H526" s="231"/>
      <c r="I526" s="232"/>
      <c r="J526" s="37"/>
    </row>
    <row r="527" spans="1:13">
      <c r="A527" s="206">
        <f t="shared" si="104"/>
        <v>516</v>
      </c>
      <c r="B527" s="207"/>
      <c r="C527" s="102"/>
      <c r="D527" s="100"/>
      <c r="E527" s="231"/>
      <c r="F527" s="232"/>
      <c r="G527" s="37"/>
      <c r="H527" s="231"/>
      <c r="I527" s="232"/>
      <c r="J527" s="37"/>
    </row>
    <row r="528" spans="1:13">
      <c r="A528" s="206">
        <f t="shared" si="104"/>
        <v>517</v>
      </c>
      <c r="B528" s="45" t="s">
        <v>407</v>
      </c>
      <c r="C528" s="102" t="str">
        <f t="shared" ref="C528:C530" si="106">$B$435</f>
        <v>SCHEDULES 58 &amp; 59</v>
      </c>
      <c r="D528" s="243">
        <v>2337951.7660000003</v>
      </c>
      <c r="E528" s="231"/>
      <c r="F528" s="232"/>
      <c r="G528" s="37"/>
      <c r="H528" s="231"/>
      <c r="I528" s="232"/>
      <c r="J528" s="37"/>
    </row>
    <row r="529" spans="1:13">
      <c r="A529" s="206">
        <f t="shared" si="104"/>
        <v>518</v>
      </c>
      <c r="B529" s="45" t="s">
        <v>408</v>
      </c>
      <c r="C529" s="102" t="str">
        <f t="shared" si="106"/>
        <v>SCHEDULES 58 &amp; 59</v>
      </c>
      <c r="D529" s="105">
        <v>10984.916500000007</v>
      </c>
      <c r="E529" s="234">
        <f>ROUND(G529/D529,6)</f>
        <v>-1.0945009999999999</v>
      </c>
      <c r="F529" s="313"/>
      <c r="G529" s="116">
        <f>$R$20</f>
        <v>-12023</v>
      </c>
      <c r="H529" s="234">
        <f>ROUND(J529/D529,6)</f>
        <v>-1.1856260000000001</v>
      </c>
      <c r="I529" s="313"/>
      <c r="J529" s="116">
        <f>ROUND(+G529*(1+L529),0)</f>
        <v>-13024</v>
      </c>
      <c r="K529" s="313"/>
      <c r="L529" s="101">
        <f>'Rate Spread'!$I$27</f>
        <v>8.3224326412326355E-2</v>
      </c>
      <c r="M529" s="29" t="s">
        <v>847</v>
      </c>
    </row>
    <row r="530" spans="1:13" ht="16.2" thickBot="1">
      <c r="A530" s="206">
        <f t="shared" si="104"/>
        <v>519</v>
      </c>
      <c r="B530" s="212" t="s">
        <v>27</v>
      </c>
      <c r="C530" s="102" t="str">
        <f t="shared" si="106"/>
        <v>SCHEDULES 58 &amp; 59</v>
      </c>
      <c r="D530" s="244">
        <f>SUM(D528:D529)</f>
        <v>2348936.6825000001</v>
      </c>
      <c r="E530" s="103"/>
      <c r="G530" s="236">
        <f>SUM(G524,G529)</f>
        <v>419051</v>
      </c>
      <c r="H530" s="103"/>
      <c r="J530" s="236">
        <f>SUM(J524,J529)</f>
        <v>434386</v>
      </c>
    </row>
    <row r="531" spans="1:13" ht="16.2" thickTop="1"/>
  </sheetData>
  <mergeCells count="18">
    <mergeCell ref="P9:R9"/>
    <mergeCell ref="T9:V9"/>
    <mergeCell ref="B1:J1"/>
    <mergeCell ref="B2:J2"/>
    <mergeCell ref="B3:J3"/>
    <mergeCell ref="B4:J4"/>
    <mergeCell ref="E9:G9"/>
    <mergeCell ref="H9:J9"/>
    <mergeCell ref="L9:N9"/>
    <mergeCell ref="B421:J421"/>
    <mergeCell ref="B435:J435"/>
    <mergeCell ref="B12:J12"/>
    <mergeCell ref="B376:J376"/>
    <mergeCell ref="B46:J46"/>
    <mergeCell ref="B25:J25"/>
    <mergeCell ref="B145:J145"/>
    <mergeCell ref="B114:J114"/>
    <mergeCell ref="B300:J300"/>
  </mergeCells>
  <printOptions horizontalCentered="1"/>
  <pageMargins left="0.7" right="0.7" top="0.75" bottom="0.71" header="0.3" footer="0.3"/>
  <pageSetup scale="40" fitToHeight="7" orientation="landscape" r:id="rId1"/>
  <headerFooter alignWithMargins="0">
    <oddFooter>&amp;L&amp;A&amp;RExhibit No.___(JAP-15)
Page &amp;P of &amp;N</oddFooter>
  </headerFooter>
  <rowBreaks count="6" manualBreakCount="6">
    <brk id="45" min="1" max="9" man="1"/>
    <brk id="88" max="9" man="1"/>
    <brk id="142" max="9" man="1"/>
    <brk id="298" max="9" man="1"/>
    <brk id="352" max="9" man="1"/>
    <brk id="419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180"/>
  <sheetViews>
    <sheetView zoomScaleNormal="100" workbookViewId="0">
      <pane xSplit="3" ySplit="6" topLeftCell="D131" activePane="bottomRight" state="frozen"/>
      <selection sqref="A1:XFD1048576"/>
      <selection pane="topRight" sqref="A1:XFD1048576"/>
      <selection pane="bottomLeft" sqref="A1:XFD1048576"/>
      <selection pane="bottomRight" activeCell="C147" sqref="C147"/>
    </sheetView>
  </sheetViews>
  <sheetFormatPr defaultColWidth="8.19921875" defaultRowHeight="13.2"/>
  <cols>
    <col min="1" max="1" width="4" style="136" bestFit="1" customWidth="1"/>
    <col min="2" max="2" width="9.8984375" style="136" customWidth="1"/>
    <col min="3" max="3" width="56.09765625" style="136" bestFit="1" customWidth="1"/>
    <col min="4" max="4" width="13" style="136" customWidth="1"/>
    <col min="5" max="5" width="14.09765625" style="136" customWidth="1"/>
    <col min="6" max="6" width="11.796875" style="136" customWidth="1"/>
    <col min="7" max="7" width="2.8984375" style="136" customWidth="1"/>
    <col min="8" max="8" width="13" style="136" bestFit="1" customWidth="1"/>
    <col min="9" max="9" width="14.8984375" style="136" bestFit="1" customWidth="1"/>
    <col min="10" max="10" width="13" style="136" bestFit="1" customWidth="1"/>
    <col min="11" max="256" width="8.19921875" style="136"/>
    <col min="257" max="257" width="4" style="136" bestFit="1" customWidth="1"/>
    <col min="258" max="258" width="9.8984375" style="136" customWidth="1"/>
    <col min="259" max="259" width="56.09765625" style="136" bestFit="1" customWidth="1"/>
    <col min="260" max="260" width="13" style="136" customWidth="1"/>
    <col min="261" max="261" width="11.296875" style="136" bestFit="1" customWidth="1"/>
    <col min="262" max="262" width="11.796875" style="136" customWidth="1"/>
    <col min="263" max="263" width="2.8984375" style="136" customWidth="1"/>
    <col min="264" max="264" width="13" style="136" bestFit="1" customWidth="1"/>
    <col min="265" max="265" width="14.8984375" style="136" bestFit="1" customWidth="1"/>
    <col min="266" max="266" width="13" style="136" bestFit="1" customWidth="1"/>
    <col min="267" max="512" width="8.19921875" style="136"/>
    <col min="513" max="513" width="4" style="136" bestFit="1" customWidth="1"/>
    <col min="514" max="514" width="9.8984375" style="136" customWidth="1"/>
    <col min="515" max="515" width="56.09765625" style="136" bestFit="1" customWidth="1"/>
    <col min="516" max="516" width="13" style="136" customWidth="1"/>
    <col min="517" max="517" width="11.296875" style="136" bestFit="1" customWidth="1"/>
    <col min="518" max="518" width="11.796875" style="136" customWidth="1"/>
    <col min="519" max="519" width="2.8984375" style="136" customWidth="1"/>
    <col min="520" max="520" width="13" style="136" bestFit="1" customWidth="1"/>
    <col min="521" max="521" width="14.8984375" style="136" bestFit="1" customWidth="1"/>
    <col min="522" max="522" width="13" style="136" bestFit="1" customWidth="1"/>
    <col min="523" max="768" width="8.19921875" style="136"/>
    <col min="769" max="769" width="4" style="136" bestFit="1" customWidth="1"/>
    <col min="770" max="770" width="9.8984375" style="136" customWidth="1"/>
    <col min="771" max="771" width="56.09765625" style="136" bestFit="1" customWidth="1"/>
    <col min="772" max="772" width="13" style="136" customWidth="1"/>
    <col min="773" max="773" width="11.296875" style="136" bestFit="1" customWidth="1"/>
    <col min="774" max="774" width="11.796875" style="136" customWidth="1"/>
    <col min="775" max="775" width="2.8984375" style="136" customWidth="1"/>
    <col min="776" max="776" width="13" style="136" bestFit="1" customWidth="1"/>
    <col min="777" max="777" width="14.8984375" style="136" bestFit="1" customWidth="1"/>
    <col min="778" max="778" width="13" style="136" bestFit="1" customWidth="1"/>
    <col min="779" max="1024" width="8.19921875" style="136"/>
    <col min="1025" max="1025" width="4" style="136" bestFit="1" customWidth="1"/>
    <col min="1026" max="1026" width="9.8984375" style="136" customWidth="1"/>
    <col min="1027" max="1027" width="56.09765625" style="136" bestFit="1" customWidth="1"/>
    <col min="1028" max="1028" width="13" style="136" customWidth="1"/>
    <col min="1029" max="1029" width="11.296875" style="136" bestFit="1" customWidth="1"/>
    <col min="1030" max="1030" width="11.796875" style="136" customWidth="1"/>
    <col min="1031" max="1031" width="2.8984375" style="136" customWidth="1"/>
    <col min="1032" max="1032" width="13" style="136" bestFit="1" customWidth="1"/>
    <col min="1033" max="1033" width="14.8984375" style="136" bestFit="1" customWidth="1"/>
    <col min="1034" max="1034" width="13" style="136" bestFit="1" customWidth="1"/>
    <col min="1035" max="1280" width="8.19921875" style="136"/>
    <col min="1281" max="1281" width="4" style="136" bestFit="1" customWidth="1"/>
    <col min="1282" max="1282" width="9.8984375" style="136" customWidth="1"/>
    <col min="1283" max="1283" width="56.09765625" style="136" bestFit="1" customWidth="1"/>
    <col min="1284" max="1284" width="13" style="136" customWidth="1"/>
    <col min="1285" max="1285" width="11.296875" style="136" bestFit="1" customWidth="1"/>
    <col min="1286" max="1286" width="11.796875" style="136" customWidth="1"/>
    <col min="1287" max="1287" width="2.8984375" style="136" customWidth="1"/>
    <col min="1288" max="1288" width="13" style="136" bestFit="1" customWidth="1"/>
    <col min="1289" max="1289" width="14.8984375" style="136" bestFit="1" customWidth="1"/>
    <col min="1290" max="1290" width="13" style="136" bestFit="1" customWidth="1"/>
    <col min="1291" max="1536" width="8.19921875" style="136"/>
    <col min="1537" max="1537" width="4" style="136" bestFit="1" customWidth="1"/>
    <col min="1538" max="1538" width="9.8984375" style="136" customWidth="1"/>
    <col min="1539" max="1539" width="56.09765625" style="136" bestFit="1" customWidth="1"/>
    <col min="1540" max="1540" width="13" style="136" customWidth="1"/>
    <col min="1541" max="1541" width="11.296875" style="136" bestFit="1" customWidth="1"/>
    <col min="1542" max="1542" width="11.796875" style="136" customWidth="1"/>
    <col min="1543" max="1543" width="2.8984375" style="136" customWidth="1"/>
    <col min="1544" max="1544" width="13" style="136" bestFit="1" customWidth="1"/>
    <col min="1545" max="1545" width="14.8984375" style="136" bestFit="1" customWidth="1"/>
    <col min="1546" max="1546" width="13" style="136" bestFit="1" customWidth="1"/>
    <col min="1547" max="1792" width="8.19921875" style="136"/>
    <col min="1793" max="1793" width="4" style="136" bestFit="1" customWidth="1"/>
    <col min="1794" max="1794" width="9.8984375" style="136" customWidth="1"/>
    <col min="1795" max="1795" width="56.09765625" style="136" bestFit="1" customWidth="1"/>
    <col min="1796" max="1796" width="13" style="136" customWidth="1"/>
    <col min="1797" max="1797" width="11.296875" style="136" bestFit="1" customWidth="1"/>
    <col min="1798" max="1798" width="11.796875" style="136" customWidth="1"/>
    <col min="1799" max="1799" width="2.8984375" style="136" customWidth="1"/>
    <col min="1800" max="1800" width="13" style="136" bestFit="1" customWidth="1"/>
    <col min="1801" max="1801" width="14.8984375" style="136" bestFit="1" customWidth="1"/>
    <col min="1802" max="1802" width="13" style="136" bestFit="1" customWidth="1"/>
    <col min="1803" max="2048" width="8.19921875" style="136"/>
    <col min="2049" max="2049" width="4" style="136" bestFit="1" customWidth="1"/>
    <col min="2050" max="2050" width="9.8984375" style="136" customWidth="1"/>
    <col min="2051" max="2051" width="56.09765625" style="136" bestFit="1" customWidth="1"/>
    <col min="2052" max="2052" width="13" style="136" customWidth="1"/>
    <col min="2053" max="2053" width="11.296875" style="136" bestFit="1" customWidth="1"/>
    <col min="2054" max="2054" width="11.796875" style="136" customWidth="1"/>
    <col min="2055" max="2055" width="2.8984375" style="136" customWidth="1"/>
    <col min="2056" max="2056" width="13" style="136" bestFit="1" customWidth="1"/>
    <col min="2057" max="2057" width="14.8984375" style="136" bestFit="1" customWidth="1"/>
    <col min="2058" max="2058" width="13" style="136" bestFit="1" customWidth="1"/>
    <col min="2059" max="2304" width="8.19921875" style="136"/>
    <col min="2305" max="2305" width="4" style="136" bestFit="1" customWidth="1"/>
    <col min="2306" max="2306" width="9.8984375" style="136" customWidth="1"/>
    <col min="2307" max="2307" width="56.09765625" style="136" bestFit="1" customWidth="1"/>
    <col min="2308" max="2308" width="13" style="136" customWidth="1"/>
    <col min="2309" max="2309" width="11.296875" style="136" bestFit="1" customWidth="1"/>
    <col min="2310" max="2310" width="11.796875" style="136" customWidth="1"/>
    <col min="2311" max="2311" width="2.8984375" style="136" customWidth="1"/>
    <col min="2312" max="2312" width="13" style="136" bestFit="1" customWidth="1"/>
    <col min="2313" max="2313" width="14.8984375" style="136" bestFit="1" customWidth="1"/>
    <col min="2314" max="2314" width="13" style="136" bestFit="1" customWidth="1"/>
    <col min="2315" max="2560" width="8.19921875" style="136"/>
    <col min="2561" max="2561" width="4" style="136" bestFit="1" customWidth="1"/>
    <col min="2562" max="2562" width="9.8984375" style="136" customWidth="1"/>
    <col min="2563" max="2563" width="56.09765625" style="136" bestFit="1" customWidth="1"/>
    <col min="2564" max="2564" width="13" style="136" customWidth="1"/>
    <col min="2565" max="2565" width="11.296875" style="136" bestFit="1" customWidth="1"/>
    <col min="2566" max="2566" width="11.796875" style="136" customWidth="1"/>
    <col min="2567" max="2567" width="2.8984375" style="136" customWidth="1"/>
    <col min="2568" max="2568" width="13" style="136" bestFit="1" customWidth="1"/>
    <col min="2569" max="2569" width="14.8984375" style="136" bestFit="1" customWidth="1"/>
    <col min="2570" max="2570" width="13" style="136" bestFit="1" customWidth="1"/>
    <col min="2571" max="2816" width="8.19921875" style="136"/>
    <col min="2817" max="2817" width="4" style="136" bestFit="1" customWidth="1"/>
    <col min="2818" max="2818" width="9.8984375" style="136" customWidth="1"/>
    <col min="2819" max="2819" width="56.09765625" style="136" bestFit="1" customWidth="1"/>
    <col min="2820" max="2820" width="13" style="136" customWidth="1"/>
    <col min="2821" max="2821" width="11.296875" style="136" bestFit="1" customWidth="1"/>
    <col min="2822" max="2822" width="11.796875" style="136" customWidth="1"/>
    <col min="2823" max="2823" width="2.8984375" style="136" customWidth="1"/>
    <col min="2824" max="2824" width="13" style="136" bestFit="1" customWidth="1"/>
    <col min="2825" max="2825" width="14.8984375" style="136" bestFit="1" customWidth="1"/>
    <col min="2826" max="2826" width="13" style="136" bestFit="1" customWidth="1"/>
    <col min="2827" max="3072" width="8.19921875" style="136"/>
    <col min="3073" max="3073" width="4" style="136" bestFit="1" customWidth="1"/>
    <col min="3074" max="3074" width="9.8984375" style="136" customWidth="1"/>
    <col min="3075" max="3075" width="56.09765625" style="136" bestFit="1" customWidth="1"/>
    <col min="3076" max="3076" width="13" style="136" customWidth="1"/>
    <col min="3077" max="3077" width="11.296875" style="136" bestFit="1" customWidth="1"/>
    <col min="3078" max="3078" width="11.796875" style="136" customWidth="1"/>
    <col min="3079" max="3079" width="2.8984375" style="136" customWidth="1"/>
    <col min="3080" max="3080" width="13" style="136" bestFit="1" customWidth="1"/>
    <col min="3081" max="3081" width="14.8984375" style="136" bestFit="1" customWidth="1"/>
    <col min="3082" max="3082" width="13" style="136" bestFit="1" customWidth="1"/>
    <col min="3083" max="3328" width="8.19921875" style="136"/>
    <col min="3329" max="3329" width="4" style="136" bestFit="1" customWidth="1"/>
    <col min="3330" max="3330" width="9.8984375" style="136" customWidth="1"/>
    <col min="3331" max="3331" width="56.09765625" style="136" bestFit="1" customWidth="1"/>
    <col min="3332" max="3332" width="13" style="136" customWidth="1"/>
    <col min="3333" max="3333" width="11.296875" style="136" bestFit="1" customWidth="1"/>
    <col min="3334" max="3334" width="11.796875" style="136" customWidth="1"/>
    <col min="3335" max="3335" width="2.8984375" style="136" customWidth="1"/>
    <col min="3336" max="3336" width="13" style="136" bestFit="1" customWidth="1"/>
    <col min="3337" max="3337" width="14.8984375" style="136" bestFit="1" customWidth="1"/>
    <col min="3338" max="3338" width="13" style="136" bestFit="1" customWidth="1"/>
    <col min="3339" max="3584" width="8.19921875" style="136"/>
    <col min="3585" max="3585" width="4" style="136" bestFit="1" customWidth="1"/>
    <col min="3586" max="3586" width="9.8984375" style="136" customWidth="1"/>
    <col min="3587" max="3587" width="56.09765625" style="136" bestFit="1" customWidth="1"/>
    <col min="3588" max="3588" width="13" style="136" customWidth="1"/>
    <col min="3589" max="3589" width="11.296875" style="136" bestFit="1" customWidth="1"/>
    <col min="3590" max="3590" width="11.796875" style="136" customWidth="1"/>
    <col min="3591" max="3591" width="2.8984375" style="136" customWidth="1"/>
    <col min="3592" max="3592" width="13" style="136" bestFit="1" customWidth="1"/>
    <col min="3593" max="3593" width="14.8984375" style="136" bestFit="1" customWidth="1"/>
    <col min="3594" max="3594" width="13" style="136" bestFit="1" customWidth="1"/>
    <col min="3595" max="3840" width="8.19921875" style="136"/>
    <col min="3841" max="3841" width="4" style="136" bestFit="1" customWidth="1"/>
    <col min="3842" max="3842" width="9.8984375" style="136" customWidth="1"/>
    <col min="3843" max="3843" width="56.09765625" style="136" bestFit="1" customWidth="1"/>
    <col min="3844" max="3844" width="13" style="136" customWidth="1"/>
    <col min="3845" max="3845" width="11.296875" style="136" bestFit="1" customWidth="1"/>
    <col min="3846" max="3846" width="11.796875" style="136" customWidth="1"/>
    <col min="3847" max="3847" width="2.8984375" style="136" customWidth="1"/>
    <col min="3848" max="3848" width="13" style="136" bestFit="1" customWidth="1"/>
    <col min="3849" max="3849" width="14.8984375" style="136" bestFit="1" customWidth="1"/>
    <col min="3850" max="3850" width="13" style="136" bestFit="1" customWidth="1"/>
    <col min="3851" max="4096" width="8.19921875" style="136"/>
    <col min="4097" max="4097" width="4" style="136" bestFit="1" customWidth="1"/>
    <col min="4098" max="4098" width="9.8984375" style="136" customWidth="1"/>
    <col min="4099" max="4099" width="56.09765625" style="136" bestFit="1" customWidth="1"/>
    <col min="4100" max="4100" width="13" style="136" customWidth="1"/>
    <col min="4101" max="4101" width="11.296875" style="136" bestFit="1" customWidth="1"/>
    <col min="4102" max="4102" width="11.796875" style="136" customWidth="1"/>
    <col min="4103" max="4103" width="2.8984375" style="136" customWidth="1"/>
    <col min="4104" max="4104" width="13" style="136" bestFit="1" customWidth="1"/>
    <col min="4105" max="4105" width="14.8984375" style="136" bestFit="1" customWidth="1"/>
    <col min="4106" max="4106" width="13" style="136" bestFit="1" customWidth="1"/>
    <col min="4107" max="4352" width="8.19921875" style="136"/>
    <col min="4353" max="4353" width="4" style="136" bestFit="1" customWidth="1"/>
    <col min="4354" max="4354" width="9.8984375" style="136" customWidth="1"/>
    <col min="4355" max="4355" width="56.09765625" style="136" bestFit="1" customWidth="1"/>
    <col min="4356" max="4356" width="13" style="136" customWidth="1"/>
    <col min="4357" max="4357" width="11.296875" style="136" bestFit="1" customWidth="1"/>
    <col min="4358" max="4358" width="11.796875" style="136" customWidth="1"/>
    <col min="4359" max="4359" width="2.8984375" style="136" customWidth="1"/>
    <col min="4360" max="4360" width="13" style="136" bestFit="1" customWidth="1"/>
    <col min="4361" max="4361" width="14.8984375" style="136" bestFit="1" customWidth="1"/>
    <col min="4362" max="4362" width="13" style="136" bestFit="1" customWidth="1"/>
    <col min="4363" max="4608" width="8.19921875" style="136"/>
    <col min="4609" max="4609" width="4" style="136" bestFit="1" customWidth="1"/>
    <col min="4610" max="4610" width="9.8984375" style="136" customWidth="1"/>
    <col min="4611" max="4611" width="56.09765625" style="136" bestFit="1" customWidth="1"/>
    <col min="4612" max="4612" width="13" style="136" customWidth="1"/>
    <col min="4613" max="4613" width="11.296875" style="136" bestFit="1" customWidth="1"/>
    <col min="4614" max="4614" width="11.796875" style="136" customWidth="1"/>
    <col min="4615" max="4615" width="2.8984375" style="136" customWidth="1"/>
    <col min="4616" max="4616" width="13" style="136" bestFit="1" customWidth="1"/>
    <col min="4617" max="4617" width="14.8984375" style="136" bestFit="1" customWidth="1"/>
    <col min="4618" max="4618" width="13" style="136" bestFit="1" customWidth="1"/>
    <col min="4619" max="4864" width="8.19921875" style="136"/>
    <col min="4865" max="4865" width="4" style="136" bestFit="1" customWidth="1"/>
    <col min="4866" max="4866" width="9.8984375" style="136" customWidth="1"/>
    <col min="4867" max="4867" width="56.09765625" style="136" bestFit="1" customWidth="1"/>
    <col min="4868" max="4868" width="13" style="136" customWidth="1"/>
    <col min="4869" max="4869" width="11.296875" style="136" bestFit="1" customWidth="1"/>
    <col min="4870" max="4870" width="11.796875" style="136" customWidth="1"/>
    <col min="4871" max="4871" width="2.8984375" style="136" customWidth="1"/>
    <col min="4872" max="4872" width="13" style="136" bestFit="1" customWidth="1"/>
    <col min="4873" max="4873" width="14.8984375" style="136" bestFit="1" customWidth="1"/>
    <col min="4874" max="4874" width="13" style="136" bestFit="1" customWidth="1"/>
    <col min="4875" max="5120" width="8.19921875" style="136"/>
    <col min="5121" max="5121" width="4" style="136" bestFit="1" customWidth="1"/>
    <col min="5122" max="5122" width="9.8984375" style="136" customWidth="1"/>
    <col min="5123" max="5123" width="56.09765625" style="136" bestFit="1" customWidth="1"/>
    <col min="5124" max="5124" width="13" style="136" customWidth="1"/>
    <col min="5125" max="5125" width="11.296875" style="136" bestFit="1" customWidth="1"/>
    <col min="5126" max="5126" width="11.796875" style="136" customWidth="1"/>
    <col min="5127" max="5127" width="2.8984375" style="136" customWidth="1"/>
    <col min="5128" max="5128" width="13" style="136" bestFit="1" customWidth="1"/>
    <col min="5129" max="5129" width="14.8984375" style="136" bestFit="1" customWidth="1"/>
    <col min="5130" max="5130" width="13" style="136" bestFit="1" customWidth="1"/>
    <col min="5131" max="5376" width="8.19921875" style="136"/>
    <col min="5377" max="5377" width="4" style="136" bestFit="1" customWidth="1"/>
    <col min="5378" max="5378" width="9.8984375" style="136" customWidth="1"/>
    <col min="5379" max="5379" width="56.09765625" style="136" bestFit="1" customWidth="1"/>
    <col min="5380" max="5380" width="13" style="136" customWidth="1"/>
    <col min="5381" max="5381" width="11.296875" style="136" bestFit="1" customWidth="1"/>
    <col min="5382" max="5382" width="11.796875" style="136" customWidth="1"/>
    <col min="5383" max="5383" width="2.8984375" style="136" customWidth="1"/>
    <col min="5384" max="5384" width="13" style="136" bestFit="1" customWidth="1"/>
    <col min="5385" max="5385" width="14.8984375" style="136" bestFit="1" customWidth="1"/>
    <col min="5386" max="5386" width="13" style="136" bestFit="1" customWidth="1"/>
    <col min="5387" max="5632" width="8.19921875" style="136"/>
    <col min="5633" max="5633" width="4" style="136" bestFit="1" customWidth="1"/>
    <col min="5634" max="5634" width="9.8984375" style="136" customWidth="1"/>
    <col min="5635" max="5635" width="56.09765625" style="136" bestFit="1" customWidth="1"/>
    <col min="5636" max="5636" width="13" style="136" customWidth="1"/>
    <col min="5637" max="5637" width="11.296875" style="136" bestFit="1" customWidth="1"/>
    <col min="5638" max="5638" width="11.796875" style="136" customWidth="1"/>
    <col min="5639" max="5639" width="2.8984375" style="136" customWidth="1"/>
    <col min="5640" max="5640" width="13" style="136" bestFit="1" customWidth="1"/>
    <col min="5641" max="5641" width="14.8984375" style="136" bestFit="1" customWidth="1"/>
    <col min="5642" max="5642" width="13" style="136" bestFit="1" customWidth="1"/>
    <col min="5643" max="5888" width="8.19921875" style="136"/>
    <col min="5889" max="5889" width="4" style="136" bestFit="1" customWidth="1"/>
    <col min="5890" max="5890" width="9.8984375" style="136" customWidth="1"/>
    <col min="5891" max="5891" width="56.09765625" style="136" bestFit="1" customWidth="1"/>
    <col min="5892" max="5892" width="13" style="136" customWidth="1"/>
    <col min="5893" max="5893" width="11.296875" style="136" bestFit="1" customWidth="1"/>
    <col min="5894" max="5894" width="11.796875" style="136" customWidth="1"/>
    <col min="5895" max="5895" width="2.8984375" style="136" customWidth="1"/>
    <col min="5896" max="5896" width="13" style="136" bestFit="1" customWidth="1"/>
    <col min="5897" max="5897" width="14.8984375" style="136" bestFit="1" customWidth="1"/>
    <col min="5898" max="5898" width="13" style="136" bestFit="1" customWidth="1"/>
    <col min="5899" max="6144" width="8.19921875" style="136"/>
    <col min="6145" max="6145" width="4" style="136" bestFit="1" customWidth="1"/>
    <col min="6146" max="6146" width="9.8984375" style="136" customWidth="1"/>
    <col min="6147" max="6147" width="56.09765625" style="136" bestFit="1" customWidth="1"/>
    <col min="6148" max="6148" width="13" style="136" customWidth="1"/>
    <col min="6149" max="6149" width="11.296875" style="136" bestFit="1" customWidth="1"/>
    <col min="6150" max="6150" width="11.796875" style="136" customWidth="1"/>
    <col min="6151" max="6151" width="2.8984375" style="136" customWidth="1"/>
    <col min="6152" max="6152" width="13" style="136" bestFit="1" customWidth="1"/>
    <col min="6153" max="6153" width="14.8984375" style="136" bestFit="1" customWidth="1"/>
    <col min="6154" max="6154" width="13" style="136" bestFit="1" customWidth="1"/>
    <col min="6155" max="6400" width="8.19921875" style="136"/>
    <col min="6401" max="6401" width="4" style="136" bestFit="1" customWidth="1"/>
    <col min="6402" max="6402" width="9.8984375" style="136" customWidth="1"/>
    <col min="6403" max="6403" width="56.09765625" style="136" bestFit="1" customWidth="1"/>
    <col min="6404" max="6404" width="13" style="136" customWidth="1"/>
    <col min="6405" max="6405" width="11.296875" style="136" bestFit="1" customWidth="1"/>
    <col min="6406" max="6406" width="11.796875" style="136" customWidth="1"/>
    <col min="6407" max="6407" width="2.8984375" style="136" customWidth="1"/>
    <col min="6408" max="6408" width="13" style="136" bestFit="1" customWidth="1"/>
    <col min="6409" max="6409" width="14.8984375" style="136" bestFit="1" customWidth="1"/>
    <col min="6410" max="6410" width="13" style="136" bestFit="1" customWidth="1"/>
    <col min="6411" max="6656" width="8.19921875" style="136"/>
    <col min="6657" max="6657" width="4" style="136" bestFit="1" customWidth="1"/>
    <col min="6658" max="6658" width="9.8984375" style="136" customWidth="1"/>
    <col min="6659" max="6659" width="56.09765625" style="136" bestFit="1" customWidth="1"/>
    <col min="6660" max="6660" width="13" style="136" customWidth="1"/>
    <col min="6661" max="6661" width="11.296875" style="136" bestFit="1" customWidth="1"/>
    <col min="6662" max="6662" width="11.796875" style="136" customWidth="1"/>
    <col min="6663" max="6663" width="2.8984375" style="136" customWidth="1"/>
    <col min="6664" max="6664" width="13" style="136" bestFit="1" customWidth="1"/>
    <col min="6665" max="6665" width="14.8984375" style="136" bestFit="1" customWidth="1"/>
    <col min="6666" max="6666" width="13" style="136" bestFit="1" customWidth="1"/>
    <col min="6667" max="6912" width="8.19921875" style="136"/>
    <col min="6913" max="6913" width="4" style="136" bestFit="1" customWidth="1"/>
    <col min="6914" max="6914" width="9.8984375" style="136" customWidth="1"/>
    <col min="6915" max="6915" width="56.09765625" style="136" bestFit="1" customWidth="1"/>
    <col min="6916" max="6916" width="13" style="136" customWidth="1"/>
    <col min="6917" max="6917" width="11.296875" style="136" bestFit="1" customWidth="1"/>
    <col min="6918" max="6918" width="11.796875" style="136" customWidth="1"/>
    <col min="6919" max="6919" width="2.8984375" style="136" customWidth="1"/>
    <col min="6920" max="6920" width="13" style="136" bestFit="1" customWidth="1"/>
    <col min="6921" max="6921" width="14.8984375" style="136" bestFit="1" customWidth="1"/>
    <col min="6922" max="6922" width="13" style="136" bestFit="1" customWidth="1"/>
    <col min="6923" max="7168" width="8.19921875" style="136"/>
    <col min="7169" max="7169" width="4" style="136" bestFit="1" customWidth="1"/>
    <col min="7170" max="7170" width="9.8984375" style="136" customWidth="1"/>
    <col min="7171" max="7171" width="56.09765625" style="136" bestFit="1" customWidth="1"/>
    <col min="7172" max="7172" width="13" style="136" customWidth="1"/>
    <col min="7173" max="7173" width="11.296875" style="136" bestFit="1" customWidth="1"/>
    <col min="7174" max="7174" width="11.796875" style="136" customWidth="1"/>
    <col min="7175" max="7175" width="2.8984375" style="136" customWidth="1"/>
    <col min="7176" max="7176" width="13" style="136" bestFit="1" customWidth="1"/>
    <col min="7177" max="7177" width="14.8984375" style="136" bestFit="1" customWidth="1"/>
    <col min="7178" max="7178" width="13" style="136" bestFit="1" customWidth="1"/>
    <col min="7179" max="7424" width="8.19921875" style="136"/>
    <col min="7425" max="7425" width="4" style="136" bestFit="1" customWidth="1"/>
    <col min="7426" max="7426" width="9.8984375" style="136" customWidth="1"/>
    <col min="7427" max="7427" width="56.09765625" style="136" bestFit="1" customWidth="1"/>
    <col min="7428" max="7428" width="13" style="136" customWidth="1"/>
    <col min="7429" max="7429" width="11.296875" style="136" bestFit="1" customWidth="1"/>
    <col min="7430" max="7430" width="11.796875" style="136" customWidth="1"/>
    <col min="7431" max="7431" width="2.8984375" style="136" customWidth="1"/>
    <col min="7432" max="7432" width="13" style="136" bestFit="1" customWidth="1"/>
    <col min="7433" max="7433" width="14.8984375" style="136" bestFit="1" customWidth="1"/>
    <col min="7434" max="7434" width="13" style="136" bestFit="1" customWidth="1"/>
    <col min="7435" max="7680" width="8.19921875" style="136"/>
    <col min="7681" max="7681" width="4" style="136" bestFit="1" customWidth="1"/>
    <col min="7682" max="7682" width="9.8984375" style="136" customWidth="1"/>
    <col min="7683" max="7683" width="56.09765625" style="136" bestFit="1" customWidth="1"/>
    <col min="7684" max="7684" width="13" style="136" customWidth="1"/>
    <col min="7685" max="7685" width="11.296875" style="136" bestFit="1" customWidth="1"/>
    <col min="7686" max="7686" width="11.796875" style="136" customWidth="1"/>
    <col min="7687" max="7687" width="2.8984375" style="136" customWidth="1"/>
    <col min="7688" max="7688" width="13" style="136" bestFit="1" customWidth="1"/>
    <col min="7689" max="7689" width="14.8984375" style="136" bestFit="1" customWidth="1"/>
    <col min="7690" max="7690" width="13" style="136" bestFit="1" customWidth="1"/>
    <col min="7691" max="7936" width="8.19921875" style="136"/>
    <col min="7937" max="7937" width="4" style="136" bestFit="1" customWidth="1"/>
    <col min="7938" max="7938" width="9.8984375" style="136" customWidth="1"/>
    <col min="7939" max="7939" width="56.09765625" style="136" bestFit="1" customWidth="1"/>
    <col min="7940" max="7940" width="13" style="136" customWidth="1"/>
    <col min="7941" max="7941" width="11.296875" style="136" bestFit="1" customWidth="1"/>
    <col min="7942" max="7942" width="11.796875" style="136" customWidth="1"/>
    <col min="7943" max="7943" width="2.8984375" style="136" customWidth="1"/>
    <col min="7944" max="7944" width="13" style="136" bestFit="1" customWidth="1"/>
    <col min="7945" max="7945" width="14.8984375" style="136" bestFit="1" customWidth="1"/>
    <col min="7946" max="7946" width="13" style="136" bestFit="1" customWidth="1"/>
    <col min="7947" max="8192" width="8.19921875" style="136"/>
    <col min="8193" max="8193" width="4" style="136" bestFit="1" customWidth="1"/>
    <col min="8194" max="8194" width="9.8984375" style="136" customWidth="1"/>
    <col min="8195" max="8195" width="56.09765625" style="136" bestFit="1" customWidth="1"/>
    <col min="8196" max="8196" width="13" style="136" customWidth="1"/>
    <col min="8197" max="8197" width="11.296875" style="136" bestFit="1" customWidth="1"/>
    <col min="8198" max="8198" width="11.796875" style="136" customWidth="1"/>
    <col min="8199" max="8199" width="2.8984375" style="136" customWidth="1"/>
    <col min="8200" max="8200" width="13" style="136" bestFit="1" customWidth="1"/>
    <col min="8201" max="8201" width="14.8984375" style="136" bestFit="1" customWidth="1"/>
    <col min="8202" max="8202" width="13" style="136" bestFit="1" customWidth="1"/>
    <col min="8203" max="8448" width="8.19921875" style="136"/>
    <col min="8449" max="8449" width="4" style="136" bestFit="1" customWidth="1"/>
    <col min="8450" max="8450" width="9.8984375" style="136" customWidth="1"/>
    <col min="8451" max="8451" width="56.09765625" style="136" bestFit="1" customWidth="1"/>
    <col min="8452" max="8452" width="13" style="136" customWidth="1"/>
    <col min="8453" max="8453" width="11.296875" style="136" bestFit="1" customWidth="1"/>
    <col min="8454" max="8454" width="11.796875" style="136" customWidth="1"/>
    <col min="8455" max="8455" width="2.8984375" style="136" customWidth="1"/>
    <col min="8456" max="8456" width="13" style="136" bestFit="1" customWidth="1"/>
    <col min="8457" max="8457" width="14.8984375" style="136" bestFit="1" customWidth="1"/>
    <col min="8458" max="8458" width="13" style="136" bestFit="1" customWidth="1"/>
    <col min="8459" max="8704" width="8.19921875" style="136"/>
    <col min="8705" max="8705" width="4" style="136" bestFit="1" customWidth="1"/>
    <col min="8706" max="8706" width="9.8984375" style="136" customWidth="1"/>
    <col min="8707" max="8707" width="56.09765625" style="136" bestFit="1" customWidth="1"/>
    <col min="8708" max="8708" width="13" style="136" customWidth="1"/>
    <col min="8709" max="8709" width="11.296875" style="136" bestFit="1" customWidth="1"/>
    <col min="8710" max="8710" width="11.796875" style="136" customWidth="1"/>
    <col min="8711" max="8711" width="2.8984375" style="136" customWidth="1"/>
    <col min="8712" max="8712" width="13" style="136" bestFit="1" customWidth="1"/>
    <col min="8713" max="8713" width="14.8984375" style="136" bestFit="1" customWidth="1"/>
    <col min="8714" max="8714" width="13" style="136" bestFit="1" customWidth="1"/>
    <col min="8715" max="8960" width="8.19921875" style="136"/>
    <col min="8961" max="8961" width="4" style="136" bestFit="1" customWidth="1"/>
    <col min="8962" max="8962" width="9.8984375" style="136" customWidth="1"/>
    <col min="8963" max="8963" width="56.09765625" style="136" bestFit="1" customWidth="1"/>
    <col min="8964" max="8964" width="13" style="136" customWidth="1"/>
    <col min="8965" max="8965" width="11.296875" style="136" bestFit="1" customWidth="1"/>
    <col min="8966" max="8966" width="11.796875" style="136" customWidth="1"/>
    <col min="8967" max="8967" width="2.8984375" style="136" customWidth="1"/>
    <col min="8968" max="8968" width="13" style="136" bestFit="1" customWidth="1"/>
    <col min="8969" max="8969" width="14.8984375" style="136" bestFit="1" customWidth="1"/>
    <col min="8970" max="8970" width="13" style="136" bestFit="1" customWidth="1"/>
    <col min="8971" max="9216" width="8.19921875" style="136"/>
    <col min="9217" max="9217" width="4" style="136" bestFit="1" customWidth="1"/>
    <col min="9218" max="9218" width="9.8984375" style="136" customWidth="1"/>
    <col min="9219" max="9219" width="56.09765625" style="136" bestFit="1" customWidth="1"/>
    <col min="9220" max="9220" width="13" style="136" customWidth="1"/>
    <col min="9221" max="9221" width="11.296875" style="136" bestFit="1" customWidth="1"/>
    <col min="9222" max="9222" width="11.796875" style="136" customWidth="1"/>
    <col min="9223" max="9223" width="2.8984375" style="136" customWidth="1"/>
    <col min="9224" max="9224" width="13" style="136" bestFit="1" customWidth="1"/>
    <col min="9225" max="9225" width="14.8984375" style="136" bestFit="1" customWidth="1"/>
    <col min="9226" max="9226" width="13" style="136" bestFit="1" customWidth="1"/>
    <col min="9227" max="9472" width="8.19921875" style="136"/>
    <col min="9473" max="9473" width="4" style="136" bestFit="1" customWidth="1"/>
    <col min="9474" max="9474" width="9.8984375" style="136" customWidth="1"/>
    <col min="9475" max="9475" width="56.09765625" style="136" bestFit="1" customWidth="1"/>
    <col min="9476" max="9476" width="13" style="136" customWidth="1"/>
    <col min="9477" max="9477" width="11.296875" style="136" bestFit="1" customWidth="1"/>
    <col min="9478" max="9478" width="11.796875" style="136" customWidth="1"/>
    <col min="9479" max="9479" width="2.8984375" style="136" customWidth="1"/>
    <col min="9480" max="9480" width="13" style="136" bestFit="1" customWidth="1"/>
    <col min="9481" max="9481" width="14.8984375" style="136" bestFit="1" customWidth="1"/>
    <col min="9482" max="9482" width="13" style="136" bestFit="1" customWidth="1"/>
    <col min="9483" max="9728" width="8.19921875" style="136"/>
    <col min="9729" max="9729" width="4" style="136" bestFit="1" customWidth="1"/>
    <col min="9730" max="9730" width="9.8984375" style="136" customWidth="1"/>
    <col min="9731" max="9731" width="56.09765625" style="136" bestFit="1" customWidth="1"/>
    <col min="9732" max="9732" width="13" style="136" customWidth="1"/>
    <col min="9733" max="9733" width="11.296875" style="136" bestFit="1" customWidth="1"/>
    <col min="9734" max="9734" width="11.796875" style="136" customWidth="1"/>
    <col min="9735" max="9735" width="2.8984375" style="136" customWidth="1"/>
    <col min="9736" max="9736" width="13" style="136" bestFit="1" customWidth="1"/>
    <col min="9737" max="9737" width="14.8984375" style="136" bestFit="1" customWidth="1"/>
    <col min="9738" max="9738" width="13" style="136" bestFit="1" customWidth="1"/>
    <col min="9739" max="9984" width="8.19921875" style="136"/>
    <col min="9985" max="9985" width="4" style="136" bestFit="1" customWidth="1"/>
    <col min="9986" max="9986" width="9.8984375" style="136" customWidth="1"/>
    <col min="9987" max="9987" width="56.09765625" style="136" bestFit="1" customWidth="1"/>
    <col min="9988" max="9988" width="13" style="136" customWidth="1"/>
    <col min="9989" max="9989" width="11.296875" style="136" bestFit="1" customWidth="1"/>
    <col min="9990" max="9990" width="11.796875" style="136" customWidth="1"/>
    <col min="9991" max="9991" width="2.8984375" style="136" customWidth="1"/>
    <col min="9992" max="9992" width="13" style="136" bestFit="1" customWidth="1"/>
    <col min="9993" max="9993" width="14.8984375" style="136" bestFit="1" customWidth="1"/>
    <col min="9994" max="9994" width="13" style="136" bestFit="1" customWidth="1"/>
    <col min="9995" max="10240" width="8.19921875" style="136"/>
    <col min="10241" max="10241" width="4" style="136" bestFit="1" customWidth="1"/>
    <col min="10242" max="10242" width="9.8984375" style="136" customWidth="1"/>
    <col min="10243" max="10243" width="56.09765625" style="136" bestFit="1" customWidth="1"/>
    <col min="10244" max="10244" width="13" style="136" customWidth="1"/>
    <col min="10245" max="10245" width="11.296875" style="136" bestFit="1" customWidth="1"/>
    <col min="10246" max="10246" width="11.796875" style="136" customWidth="1"/>
    <col min="10247" max="10247" width="2.8984375" style="136" customWidth="1"/>
    <col min="10248" max="10248" width="13" style="136" bestFit="1" customWidth="1"/>
    <col min="10249" max="10249" width="14.8984375" style="136" bestFit="1" customWidth="1"/>
    <col min="10250" max="10250" width="13" style="136" bestFit="1" customWidth="1"/>
    <col min="10251" max="10496" width="8.19921875" style="136"/>
    <col min="10497" max="10497" width="4" style="136" bestFit="1" customWidth="1"/>
    <col min="10498" max="10498" width="9.8984375" style="136" customWidth="1"/>
    <col min="10499" max="10499" width="56.09765625" style="136" bestFit="1" customWidth="1"/>
    <col min="10500" max="10500" width="13" style="136" customWidth="1"/>
    <col min="10501" max="10501" width="11.296875" style="136" bestFit="1" customWidth="1"/>
    <col min="10502" max="10502" width="11.796875" style="136" customWidth="1"/>
    <col min="10503" max="10503" width="2.8984375" style="136" customWidth="1"/>
    <col min="10504" max="10504" width="13" style="136" bestFit="1" customWidth="1"/>
    <col min="10505" max="10505" width="14.8984375" style="136" bestFit="1" customWidth="1"/>
    <col min="10506" max="10506" width="13" style="136" bestFit="1" customWidth="1"/>
    <col min="10507" max="10752" width="8.19921875" style="136"/>
    <col min="10753" max="10753" width="4" style="136" bestFit="1" customWidth="1"/>
    <col min="10754" max="10754" width="9.8984375" style="136" customWidth="1"/>
    <col min="10755" max="10755" width="56.09765625" style="136" bestFit="1" customWidth="1"/>
    <col min="10756" max="10756" width="13" style="136" customWidth="1"/>
    <col min="10757" max="10757" width="11.296875" style="136" bestFit="1" customWidth="1"/>
    <col min="10758" max="10758" width="11.796875" style="136" customWidth="1"/>
    <col min="10759" max="10759" width="2.8984375" style="136" customWidth="1"/>
    <col min="10760" max="10760" width="13" style="136" bestFit="1" customWidth="1"/>
    <col min="10761" max="10761" width="14.8984375" style="136" bestFit="1" customWidth="1"/>
    <col min="10762" max="10762" width="13" style="136" bestFit="1" customWidth="1"/>
    <col min="10763" max="11008" width="8.19921875" style="136"/>
    <col min="11009" max="11009" width="4" style="136" bestFit="1" customWidth="1"/>
    <col min="11010" max="11010" width="9.8984375" style="136" customWidth="1"/>
    <col min="11011" max="11011" width="56.09765625" style="136" bestFit="1" customWidth="1"/>
    <col min="11012" max="11012" width="13" style="136" customWidth="1"/>
    <col min="11013" max="11013" width="11.296875" style="136" bestFit="1" customWidth="1"/>
    <col min="11014" max="11014" width="11.796875" style="136" customWidth="1"/>
    <col min="11015" max="11015" width="2.8984375" style="136" customWidth="1"/>
    <col min="11016" max="11016" width="13" style="136" bestFit="1" customWidth="1"/>
    <col min="11017" max="11017" width="14.8984375" style="136" bestFit="1" customWidth="1"/>
    <col min="11018" max="11018" width="13" style="136" bestFit="1" customWidth="1"/>
    <col min="11019" max="11264" width="8.19921875" style="136"/>
    <col min="11265" max="11265" width="4" style="136" bestFit="1" customWidth="1"/>
    <col min="11266" max="11266" width="9.8984375" style="136" customWidth="1"/>
    <col min="11267" max="11267" width="56.09765625" style="136" bestFit="1" customWidth="1"/>
    <col min="11268" max="11268" width="13" style="136" customWidth="1"/>
    <col min="11269" max="11269" width="11.296875" style="136" bestFit="1" customWidth="1"/>
    <col min="11270" max="11270" width="11.796875" style="136" customWidth="1"/>
    <col min="11271" max="11271" width="2.8984375" style="136" customWidth="1"/>
    <col min="11272" max="11272" width="13" style="136" bestFit="1" customWidth="1"/>
    <col min="11273" max="11273" width="14.8984375" style="136" bestFit="1" customWidth="1"/>
    <col min="11274" max="11274" width="13" style="136" bestFit="1" customWidth="1"/>
    <col min="11275" max="11520" width="8.19921875" style="136"/>
    <col min="11521" max="11521" width="4" style="136" bestFit="1" customWidth="1"/>
    <col min="11522" max="11522" width="9.8984375" style="136" customWidth="1"/>
    <col min="11523" max="11523" width="56.09765625" style="136" bestFit="1" customWidth="1"/>
    <col min="11524" max="11524" width="13" style="136" customWidth="1"/>
    <col min="11525" max="11525" width="11.296875" style="136" bestFit="1" customWidth="1"/>
    <col min="11526" max="11526" width="11.796875" style="136" customWidth="1"/>
    <col min="11527" max="11527" width="2.8984375" style="136" customWidth="1"/>
    <col min="11528" max="11528" width="13" style="136" bestFit="1" customWidth="1"/>
    <col min="11529" max="11529" width="14.8984375" style="136" bestFit="1" customWidth="1"/>
    <col min="11530" max="11530" width="13" style="136" bestFit="1" customWidth="1"/>
    <col min="11531" max="11776" width="8.19921875" style="136"/>
    <col min="11777" max="11777" width="4" style="136" bestFit="1" customWidth="1"/>
    <col min="11778" max="11778" width="9.8984375" style="136" customWidth="1"/>
    <col min="11779" max="11779" width="56.09765625" style="136" bestFit="1" customWidth="1"/>
    <col min="11780" max="11780" width="13" style="136" customWidth="1"/>
    <col min="11781" max="11781" width="11.296875" style="136" bestFit="1" customWidth="1"/>
    <col min="11782" max="11782" width="11.796875" style="136" customWidth="1"/>
    <col min="11783" max="11783" width="2.8984375" style="136" customWidth="1"/>
    <col min="11784" max="11784" width="13" style="136" bestFit="1" customWidth="1"/>
    <col min="11785" max="11785" width="14.8984375" style="136" bestFit="1" customWidth="1"/>
    <col min="11786" max="11786" width="13" style="136" bestFit="1" customWidth="1"/>
    <col min="11787" max="12032" width="8.19921875" style="136"/>
    <col min="12033" max="12033" width="4" style="136" bestFit="1" customWidth="1"/>
    <col min="12034" max="12034" width="9.8984375" style="136" customWidth="1"/>
    <col min="12035" max="12035" width="56.09765625" style="136" bestFit="1" customWidth="1"/>
    <col min="12036" max="12036" width="13" style="136" customWidth="1"/>
    <col min="12037" max="12037" width="11.296875" style="136" bestFit="1" customWidth="1"/>
    <col min="12038" max="12038" width="11.796875" style="136" customWidth="1"/>
    <col min="12039" max="12039" width="2.8984375" style="136" customWidth="1"/>
    <col min="12040" max="12040" width="13" style="136" bestFit="1" customWidth="1"/>
    <col min="12041" max="12041" width="14.8984375" style="136" bestFit="1" customWidth="1"/>
    <col min="12042" max="12042" width="13" style="136" bestFit="1" customWidth="1"/>
    <col min="12043" max="12288" width="8.19921875" style="136"/>
    <col min="12289" max="12289" width="4" style="136" bestFit="1" customWidth="1"/>
    <col min="12290" max="12290" width="9.8984375" style="136" customWidth="1"/>
    <col min="12291" max="12291" width="56.09765625" style="136" bestFit="1" customWidth="1"/>
    <col min="12292" max="12292" width="13" style="136" customWidth="1"/>
    <col min="12293" max="12293" width="11.296875" style="136" bestFit="1" customWidth="1"/>
    <col min="12294" max="12294" width="11.796875" style="136" customWidth="1"/>
    <col min="12295" max="12295" width="2.8984375" style="136" customWidth="1"/>
    <col min="12296" max="12296" width="13" style="136" bestFit="1" customWidth="1"/>
    <col min="12297" max="12297" width="14.8984375" style="136" bestFit="1" customWidth="1"/>
    <col min="12298" max="12298" width="13" style="136" bestFit="1" customWidth="1"/>
    <col min="12299" max="12544" width="8.19921875" style="136"/>
    <col min="12545" max="12545" width="4" style="136" bestFit="1" customWidth="1"/>
    <col min="12546" max="12546" width="9.8984375" style="136" customWidth="1"/>
    <col min="12547" max="12547" width="56.09765625" style="136" bestFit="1" customWidth="1"/>
    <col min="12548" max="12548" width="13" style="136" customWidth="1"/>
    <col min="12549" max="12549" width="11.296875" style="136" bestFit="1" customWidth="1"/>
    <col min="12550" max="12550" width="11.796875" style="136" customWidth="1"/>
    <col min="12551" max="12551" width="2.8984375" style="136" customWidth="1"/>
    <col min="12552" max="12552" width="13" style="136" bestFit="1" customWidth="1"/>
    <col min="12553" max="12553" width="14.8984375" style="136" bestFit="1" customWidth="1"/>
    <col min="12554" max="12554" width="13" style="136" bestFit="1" customWidth="1"/>
    <col min="12555" max="12800" width="8.19921875" style="136"/>
    <col min="12801" max="12801" width="4" style="136" bestFit="1" customWidth="1"/>
    <col min="12802" max="12802" width="9.8984375" style="136" customWidth="1"/>
    <col min="12803" max="12803" width="56.09765625" style="136" bestFit="1" customWidth="1"/>
    <col min="12804" max="12804" width="13" style="136" customWidth="1"/>
    <col min="12805" max="12805" width="11.296875" style="136" bestFit="1" customWidth="1"/>
    <col min="12806" max="12806" width="11.796875" style="136" customWidth="1"/>
    <col min="12807" max="12807" width="2.8984375" style="136" customWidth="1"/>
    <col min="12808" max="12808" width="13" style="136" bestFit="1" customWidth="1"/>
    <col min="12809" max="12809" width="14.8984375" style="136" bestFit="1" customWidth="1"/>
    <col min="12810" max="12810" width="13" style="136" bestFit="1" customWidth="1"/>
    <col min="12811" max="13056" width="8.19921875" style="136"/>
    <col min="13057" max="13057" width="4" style="136" bestFit="1" customWidth="1"/>
    <col min="13058" max="13058" width="9.8984375" style="136" customWidth="1"/>
    <col min="13059" max="13059" width="56.09765625" style="136" bestFit="1" customWidth="1"/>
    <col min="13060" max="13060" width="13" style="136" customWidth="1"/>
    <col min="13061" max="13061" width="11.296875" style="136" bestFit="1" customWidth="1"/>
    <col min="13062" max="13062" width="11.796875" style="136" customWidth="1"/>
    <col min="13063" max="13063" width="2.8984375" style="136" customWidth="1"/>
    <col min="13064" max="13064" width="13" style="136" bestFit="1" customWidth="1"/>
    <col min="13065" max="13065" width="14.8984375" style="136" bestFit="1" customWidth="1"/>
    <col min="13066" max="13066" width="13" style="136" bestFit="1" customWidth="1"/>
    <col min="13067" max="13312" width="8.19921875" style="136"/>
    <col min="13313" max="13313" width="4" style="136" bestFit="1" customWidth="1"/>
    <col min="13314" max="13314" width="9.8984375" style="136" customWidth="1"/>
    <col min="13315" max="13315" width="56.09765625" style="136" bestFit="1" customWidth="1"/>
    <col min="13316" max="13316" width="13" style="136" customWidth="1"/>
    <col min="13317" max="13317" width="11.296875" style="136" bestFit="1" customWidth="1"/>
    <col min="13318" max="13318" width="11.796875" style="136" customWidth="1"/>
    <col min="13319" max="13319" width="2.8984375" style="136" customWidth="1"/>
    <col min="13320" max="13320" width="13" style="136" bestFit="1" customWidth="1"/>
    <col min="13321" max="13321" width="14.8984375" style="136" bestFit="1" customWidth="1"/>
    <col min="13322" max="13322" width="13" style="136" bestFit="1" customWidth="1"/>
    <col min="13323" max="13568" width="8.19921875" style="136"/>
    <col min="13569" max="13569" width="4" style="136" bestFit="1" customWidth="1"/>
    <col min="13570" max="13570" width="9.8984375" style="136" customWidth="1"/>
    <col min="13571" max="13571" width="56.09765625" style="136" bestFit="1" customWidth="1"/>
    <col min="13572" max="13572" width="13" style="136" customWidth="1"/>
    <col min="13573" max="13573" width="11.296875" style="136" bestFit="1" customWidth="1"/>
    <col min="13574" max="13574" width="11.796875" style="136" customWidth="1"/>
    <col min="13575" max="13575" width="2.8984375" style="136" customWidth="1"/>
    <col min="13576" max="13576" width="13" style="136" bestFit="1" customWidth="1"/>
    <col min="13577" max="13577" width="14.8984375" style="136" bestFit="1" customWidth="1"/>
    <col min="13578" max="13578" width="13" style="136" bestFit="1" customWidth="1"/>
    <col min="13579" max="13824" width="8.19921875" style="136"/>
    <col min="13825" max="13825" width="4" style="136" bestFit="1" customWidth="1"/>
    <col min="13826" max="13826" width="9.8984375" style="136" customWidth="1"/>
    <col min="13827" max="13827" width="56.09765625" style="136" bestFit="1" customWidth="1"/>
    <col min="13828" max="13828" width="13" style="136" customWidth="1"/>
    <col min="13829" max="13829" width="11.296875" style="136" bestFit="1" customWidth="1"/>
    <col min="13830" max="13830" width="11.796875" style="136" customWidth="1"/>
    <col min="13831" max="13831" width="2.8984375" style="136" customWidth="1"/>
    <col min="13832" max="13832" width="13" style="136" bestFit="1" customWidth="1"/>
    <col min="13833" max="13833" width="14.8984375" style="136" bestFit="1" customWidth="1"/>
    <col min="13834" max="13834" width="13" style="136" bestFit="1" customWidth="1"/>
    <col min="13835" max="14080" width="8.19921875" style="136"/>
    <col min="14081" max="14081" width="4" style="136" bestFit="1" customWidth="1"/>
    <col min="14082" max="14082" width="9.8984375" style="136" customWidth="1"/>
    <col min="14083" max="14083" width="56.09765625" style="136" bestFit="1" customWidth="1"/>
    <col min="14084" max="14084" width="13" style="136" customWidth="1"/>
    <col min="14085" max="14085" width="11.296875" style="136" bestFit="1" customWidth="1"/>
    <col min="14086" max="14086" width="11.796875" style="136" customWidth="1"/>
    <col min="14087" max="14087" width="2.8984375" style="136" customWidth="1"/>
    <col min="14088" max="14088" width="13" style="136" bestFit="1" customWidth="1"/>
    <col min="14089" max="14089" width="14.8984375" style="136" bestFit="1" customWidth="1"/>
    <col min="14090" max="14090" width="13" style="136" bestFit="1" customWidth="1"/>
    <col min="14091" max="14336" width="8.19921875" style="136"/>
    <col min="14337" max="14337" width="4" style="136" bestFit="1" customWidth="1"/>
    <col min="14338" max="14338" width="9.8984375" style="136" customWidth="1"/>
    <col min="14339" max="14339" width="56.09765625" style="136" bestFit="1" customWidth="1"/>
    <col min="14340" max="14340" width="13" style="136" customWidth="1"/>
    <col min="14341" max="14341" width="11.296875" style="136" bestFit="1" customWidth="1"/>
    <col min="14342" max="14342" width="11.796875" style="136" customWidth="1"/>
    <col min="14343" max="14343" width="2.8984375" style="136" customWidth="1"/>
    <col min="14344" max="14344" width="13" style="136" bestFit="1" customWidth="1"/>
    <col min="14345" max="14345" width="14.8984375" style="136" bestFit="1" customWidth="1"/>
    <col min="14346" max="14346" width="13" style="136" bestFit="1" customWidth="1"/>
    <col min="14347" max="14592" width="8.19921875" style="136"/>
    <col min="14593" max="14593" width="4" style="136" bestFit="1" customWidth="1"/>
    <col min="14594" max="14594" width="9.8984375" style="136" customWidth="1"/>
    <col min="14595" max="14595" width="56.09765625" style="136" bestFit="1" customWidth="1"/>
    <col min="14596" max="14596" width="13" style="136" customWidth="1"/>
    <col min="14597" max="14597" width="11.296875" style="136" bestFit="1" customWidth="1"/>
    <col min="14598" max="14598" width="11.796875" style="136" customWidth="1"/>
    <col min="14599" max="14599" width="2.8984375" style="136" customWidth="1"/>
    <col min="14600" max="14600" width="13" style="136" bestFit="1" customWidth="1"/>
    <col min="14601" max="14601" width="14.8984375" style="136" bestFit="1" customWidth="1"/>
    <col min="14602" max="14602" width="13" style="136" bestFit="1" customWidth="1"/>
    <col min="14603" max="14848" width="8.19921875" style="136"/>
    <col min="14849" max="14849" width="4" style="136" bestFit="1" customWidth="1"/>
    <col min="14850" max="14850" width="9.8984375" style="136" customWidth="1"/>
    <col min="14851" max="14851" width="56.09765625" style="136" bestFit="1" customWidth="1"/>
    <col min="14852" max="14852" width="13" style="136" customWidth="1"/>
    <col min="14853" max="14853" width="11.296875" style="136" bestFit="1" customWidth="1"/>
    <col min="14854" max="14854" width="11.796875" style="136" customWidth="1"/>
    <col min="14855" max="14855" width="2.8984375" style="136" customWidth="1"/>
    <col min="14856" max="14856" width="13" style="136" bestFit="1" customWidth="1"/>
    <col min="14857" max="14857" width="14.8984375" style="136" bestFit="1" customWidth="1"/>
    <col min="14858" max="14858" width="13" style="136" bestFit="1" customWidth="1"/>
    <col min="14859" max="15104" width="8.19921875" style="136"/>
    <col min="15105" max="15105" width="4" style="136" bestFit="1" customWidth="1"/>
    <col min="15106" max="15106" width="9.8984375" style="136" customWidth="1"/>
    <col min="15107" max="15107" width="56.09765625" style="136" bestFit="1" customWidth="1"/>
    <col min="15108" max="15108" width="13" style="136" customWidth="1"/>
    <col min="15109" max="15109" width="11.296875" style="136" bestFit="1" customWidth="1"/>
    <col min="15110" max="15110" width="11.796875" style="136" customWidth="1"/>
    <col min="15111" max="15111" width="2.8984375" style="136" customWidth="1"/>
    <col min="15112" max="15112" width="13" style="136" bestFit="1" customWidth="1"/>
    <col min="15113" max="15113" width="14.8984375" style="136" bestFit="1" customWidth="1"/>
    <col min="15114" max="15114" width="13" style="136" bestFit="1" customWidth="1"/>
    <col min="15115" max="15360" width="8.19921875" style="136"/>
    <col min="15361" max="15361" width="4" style="136" bestFit="1" customWidth="1"/>
    <col min="15362" max="15362" width="9.8984375" style="136" customWidth="1"/>
    <col min="15363" max="15363" width="56.09765625" style="136" bestFit="1" customWidth="1"/>
    <col min="15364" max="15364" width="13" style="136" customWidth="1"/>
    <col min="15365" max="15365" width="11.296875" style="136" bestFit="1" customWidth="1"/>
    <col min="15366" max="15366" width="11.796875" style="136" customWidth="1"/>
    <col min="15367" max="15367" width="2.8984375" style="136" customWidth="1"/>
    <col min="15368" max="15368" width="13" style="136" bestFit="1" customWidth="1"/>
    <col min="15369" max="15369" width="14.8984375" style="136" bestFit="1" customWidth="1"/>
    <col min="15370" max="15370" width="13" style="136" bestFit="1" customWidth="1"/>
    <col min="15371" max="15616" width="8.19921875" style="136"/>
    <col min="15617" max="15617" width="4" style="136" bestFit="1" customWidth="1"/>
    <col min="15618" max="15618" width="9.8984375" style="136" customWidth="1"/>
    <col min="15619" max="15619" width="56.09765625" style="136" bestFit="1" customWidth="1"/>
    <col min="15620" max="15620" width="13" style="136" customWidth="1"/>
    <col min="15621" max="15621" width="11.296875" style="136" bestFit="1" customWidth="1"/>
    <col min="15622" max="15622" width="11.796875" style="136" customWidth="1"/>
    <col min="15623" max="15623" width="2.8984375" style="136" customWidth="1"/>
    <col min="15624" max="15624" width="13" style="136" bestFit="1" customWidth="1"/>
    <col min="15625" max="15625" width="14.8984375" style="136" bestFit="1" customWidth="1"/>
    <col min="15626" max="15626" width="13" style="136" bestFit="1" customWidth="1"/>
    <col min="15627" max="15872" width="8.19921875" style="136"/>
    <col min="15873" max="15873" width="4" style="136" bestFit="1" customWidth="1"/>
    <col min="15874" max="15874" width="9.8984375" style="136" customWidth="1"/>
    <col min="15875" max="15875" width="56.09765625" style="136" bestFit="1" customWidth="1"/>
    <col min="15876" max="15876" width="13" style="136" customWidth="1"/>
    <col min="15877" max="15877" width="11.296875" style="136" bestFit="1" customWidth="1"/>
    <col min="15878" max="15878" width="11.796875" style="136" customWidth="1"/>
    <col min="15879" max="15879" width="2.8984375" style="136" customWidth="1"/>
    <col min="15880" max="15880" width="13" style="136" bestFit="1" customWidth="1"/>
    <col min="15881" max="15881" width="14.8984375" style="136" bestFit="1" customWidth="1"/>
    <col min="15882" max="15882" width="13" style="136" bestFit="1" customWidth="1"/>
    <col min="15883" max="16128" width="8.19921875" style="136"/>
    <col min="16129" max="16129" width="4" style="136" bestFit="1" customWidth="1"/>
    <col min="16130" max="16130" width="9.8984375" style="136" customWidth="1"/>
    <col min="16131" max="16131" width="56.09765625" style="136" bestFit="1" customWidth="1"/>
    <col min="16132" max="16132" width="13" style="136" customWidth="1"/>
    <col min="16133" max="16133" width="11.296875" style="136" bestFit="1" customWidth="1"/>
    <col min="16134" max="16134" width="11.796875" style="136" customWidth="1"/>
    <col min="16135" max="16135" width="2.8984375" style="136" customWidth="1"/>
    <col min="16136" max="16136" width="13" style="136" bestFit="1" customWidth="1"/>
    <col min="16137" max="16137" width="14.8984375" style="136" bestFit="1" customWidth="1"/>
    <col min="16138" max="16138" width="13" style="136" bestFit="1" customWidth="1"/>
    <col min="16139" max="16384" width="8.19921875" style="136"/>
  </cols>
  <sheetData>
    <row r="1" spans="1:10">
      <c r="A1" s="359" t="s">
        <v>83</v>
      </c>
      <c r="B1" s="359"/>
      <c r="C1" s="359"/>
      <c r="D1" s="359"/>
      <c r="E1" s="359"/>
      <c r="F1" s="359"/>
      <c r="G1" s="359"/>
      <c r="H1" s="359"/>
      <c r="I1" s="359"/>
      <c r="J1" s="359"/>
    </row>
    <row r="2" spans="1:10">
      <c r="A2" s="360" t="s">
        <v>940</v>
      </c>
      <c r="B2" s="359"/>
      <c r="C2" s="359"/>
      <c r="D2" s="359"/>
      <c r="E2" s="359"/>
      <c r="F2" s="359"/>
      <c r="G2" s="359"/>
      <c r="H2" s="359"/>
      <c r="I2" s="359"/>
      <c r="J2" s="359"/>
    </row>
    <row r="3" spans="1:10">
      <c r="A3" s="201"/>
      <c r="B3" s="201"/>
      <c r="C3" s="201"/>
      <c r="D3" s="201"/>
      <c r="E3" s="201"/>
      <c r="F3" s="201"/>
      <c r="G3" s="201"/>
      <c r="H3" s="201"/>
      <c r="I3" s="201"/>
      <c r="J3" s="201"/>
    </row>
    <row r="4" spans="1:10">
      <c r="A4" s="137"/>
      <c r="B4" s="137"/>
      <c r="C4" s="137"/>
      <c r="D4" s="137"/>
      <c r="E4" s="137"/>
      <c r="F4" s="137"/>
    </row>
    <row r="5" spans="1:10" s="140" customFormat="1" ht="66">
      <c r="A5" s="138" t="s">
        <v>580</v>
      </c>
      <c r="B5" s="138" t="s">
        <v>627</v>
      </c>
      <c r="C5" s="139" t="s">
        <v>43</v>
      </c>
      <c r="D5" s="138" t="s">
        <v>628</v>
      </c>
      <c r="E5" s="138" t="s">
        <v>629</v>
      </c>
      <c r="F5" s="138" t="s">
        <v>825</v>
      </c>
    </row>
    <row r="6" spans="1:10">
      <c r="D6" s="140" t="s">
        <v>585</v>
      </c>
      <c r="E6" s="140" t="s">
        <v>586</v>
      </c>
      <c r="F6" s="140" t="s">
        <v>587</v>
      </c>
    </row>
    <row r="7" spans="1:10">
      <c r="A7" s="201">
        <v>1</v>
      </c>
      <c r="B7" s="201">
        <v>7</v>
      </c>
      <c r="C7" s="136" t="s">
        <v>20</v>
      </c>
    </row>
    <row r="8" spans="1:10">
      <c r="A8" s="201">
        <f>+A7+1</f>
        <v>2</v>
      </c>
      <c r="B8" s="201">
        <v>7</v>
      </c>
      <c r="C8" s="144" t="s">
        <v>633</v>
      </c>
      <c r="D8" s="146">
        <v>41043</v>
      </c>
      <c r="E8" s="147">
        <v>7.49</v>
      </c>
      <c r="F8" s="147">
        <f>+'Residential Rate Design'!H30</f>
        <v>9</v>
      </c>
    </row>
    <row r="9" spans="1:10">
      <c r="A9" s="201">
        <f t="shared" ref="A9:A69" si="0">+A8+1</f>
        <v>3</v>
      </c>
      <c r="B9" s="201">
        <v>7</v>
      </c>
      <c r="C9" s="144" t="s">
        <v>634</v>
      </c>
      <c r="D9" s="146">
        <v>41043</v>
      </c>
      <c r="E9" s="147">
        <v>17.989999999999998</v>
      </c>
      <c r="F9" s="147">
        <f>+'Residential Rate Design'!H31</f>
        <v>21.6</v>
      </c>
    </row>
    <row r="10" spans="1:10">
      <c r="A10" s="201">
        <f t="shared" si="0"/>
        <v>4</v>
      </c>
      <c r="B10" s="201">
        <f t="shared" ref="B10:B12" si="1">+$B$7</f>
        <v>7</v>
      </c>
      <c r="C10" s="144"/>
      <c r="D10" s="144"/>
      <c r="E10" s="145"/>
      <c r="F10" s="145"/>
    </row>
    <row r="11" spans="1:10">
      <c r="A11" s="201">
        <f t="shared" si="0"/>
        <v>5</v>
      </c>
      <c r="B11" s="201">
        <f t="shared" si="1"/>
        <v>7</v>
      </c>
      <c r="C11" s="144" t="s">
        <v>818</v>
      </c>
      <c r="D11" s="146">
        <v>41456</v>
      </c>
      <c r="E11" s="148">
        <v>8.5578000000000001E-2</v>
      </c>
      <c r="F11" s="148">
        <f>+'Residential Rate Design'!H19</f>
        <v>9.1770000000000004E-2</v>
      </c>
    </row>
    <row r="12" spans="1:10">
      <c r="A12" s="201">
        <f t="shared" si="0"/>
        <v>6</v>
      </c>
      <c r="B12" s="201">
        <f t="shared" si="1"/>
        <v>7</v>
      </c>
      <c r="C12" s="144" t="s">
        <v>819</v>
      </c>
      <c r="D12" s="146">
        <f>+D11</f>
        <v>41456</v>
      </c>
      <c r="E12" s="148">
        <v>0.104157</v>
      </c>
      <c r="F12" s="148">
        <f>+'Residential Rate Design'!H20</f>
        <v>0.111693</v>
      </c>
    </row>
    <row r="13" spans="1:10">
      <c r="A13" s="201">
        <f t="shared" si="0"/>
        <v>7</v>
      </c>
    </row>
    <row r="14" spans="1:10">
      <c r="A14" s="201">
        <f t="shared" si="0"/>
        <v>8</v>
      </c>
      <c r="B14" s="201" t="s">
        <v>635</v>
      </c>
      <c r="C14" s="149" t="s">
        <v>636</v>
      </c>
      <c r="D14" s="149"/>
      <c r="E14" s="145"/>
      <c r="F14" s="145"/>
    </row>
    <row r="15" spans="1:10">
      <c r="A15" s="201">
        <f t="shared" si="0"/>
        <v>9</v>
      </c>
      <c r="B15" s="201" t="str">
        <f>+$B$14</f>
        <v>24 (08)</v>
      </c>
      <c r="C15" s="144" t="s">
        <v>633</v>
      </c>
      <c r="D15" s="146">
        <v>41043</v>
      </c>
      <c r="E15" s="147">
        <v>9.66</v>
      </c>
      <c r="F15" s="145">
        <f>+'Secondary Voltage Rate Design'!H15</f>
        <v>10.26</v>
      </c>
    </row>
    <row r="16" spans="1:10">
      <c r="A16" s="201">
        <f t="shared" si="0"/>
        <v>10</v>
      </c>
      <c r="B16" s="201" t="str">
        <f>+$B$14</f>
        <v>24 (08)</v>
      </c>
      <c r="C16" s="144" t="s">
        <v>634</v>
      </c>
      <c r="D16" s="146">
        <v>41043</v>
      </c>
      <c r="E16" s="147">
        <v>24.55</v>
      </c>
      <c r="F16" s="145">
        <f>+'Secondary Voltage Rate Design'!H16</f>
        <v>26.08</v>
      </c>
    </row>
    <row r="17" spans="1:6">
      <c r="A17" s="201">
        <f t="shared" si="0"/>
        <v>11</v>
      </c>
      <c r="B17" s="201" t="str">
        <f>+$B$14</f>
        <v>24 (08)</v>
      </c>
      <c r="C17" s="144"/>
      <c r="D17" s="144"/>
      <c r="E17" s="145"/>
      <c r="F17" s="145"/>
    </row>
    <row r="18" spans="1:6">
      <c r="A18" s="201">
        <f t="shared" si="0"/>
        <v>12</v>
      </c>
      <c r="B18" s="201" t="str">
        <f>+$B$14</f>
        <v>24 (08)</v>
      </c>
      <c r="C18" s="144" t="s">
        <v>637</v>
      </c>
      <c r="D18" s="146">
        <v>41456</v>
      </c>
      <c r="E18" s="148">
        <v>8.9456999999999995E-2</v>
      </c>
      <c r="F18" s="148">
        <f>+'Secondary Voltage Rate Design'!H19</f>
        <v>9.5044000000000003E-2</v>
      </c>
    </row>
    <row r="19" spans="1:6">
      <c r="A19" s="201">
        <f t="shared" si="0"/>
        <v>13</v>
      </c>
      <c r="B19" s="201" t="str">
        <f>+$B$14</f>
        <v>24 (08)</v>
      </c>
      <c r="C19" s="144" t="s">
        <v>638</v>
      </c>
      <c r="D19" s="146">
        <f>+D18</f>
        <v>41456</v>
      </c>
      <c r="E19" s="148">
        <v>8.6359000000000005E-2</v>
      </c>
      <c r="F19" s="148">
        <f>+'Secondary Voltage Rate Design'!H20</f>
        <v>9.1748999999999997E-2</v>
      </c>
    </row>
    <row r="20" spans="1:6">
      <c r="A20" s="201">
        <f t="shared" si="0"/>
        <v>14</v>
      </c>
    </row>
    <row r="21" spans="1:6">
      <c r="A21" s="201">
        <f t="shared" si="0"/>
        <v>15</v>
      </c>
      <c r="B21" s="150" t="s">
        <v>639</v>
      </c>
      <c r="C21" s="149" t="s">
        <v>640</v>
      </c>
      <c r="D21" s="149"/>
    </row>
    <row r="22" spans="1:6">
      <c r="A22" s="201">
        <f t="shared" si="0"/>
        <v>16</v>
      </c>
      <c r="B22" s="150" t="str">
        <f>+$B$21</f>
        <v>25 (7A) (11)</v>
      </c>
      <c r="C22" s="144" t="s">
        <v>641</v>
      </c>
      <c r="D22" s="146">
        <v>41043</v>
      </c>
      <c r="E22" s="147">
        <v>51.67</v>
      </c>
      <c r="F22" s="145">
        <f>+'Secondary Voltage Rate Design'!H31</f>
        <v>54.9</v>
      </c>
    </row>
    <row r="23" spans="1:6">
      <c r="A23" s="201">
        <f t="shared" si="0"/>
        <v>17</v>
      </c>
      <c r="B23" s="150" t="str">
        <f t="shared" ref="B23:B32" si="2">+$B$21</f>
        <v>25 (7A) (11)</v>
      </c>
      <c r="C23" s="144"/>
      <c r="D23" s="144"/>
      <c r="E23" s="145"/>
      <c r="F23" s="145"/>
    </row>
    <row r="24" spans="1:6">
      <c r="A24" s="201">
        <f t="shared" si="0"/>
        <v>18</v>
      </c>
      <c r="B24" s="150" t="str">
        <f t="shared" si="2"/>
        <v>25 (7A) (11)</v>
      </c>
      <c r="C24" s="144" t="s">
        <v>642</v>
      </c>
      <c r="D24" s="146">
        <v>41456</v>
      </c>
      <c r="E24" s="148">
        <v>8.9582999999999996E-2</v>
      </c>
      <c r="F24" s="148">
        <f>+'Secondary Voltage Rate Design'!H33</f>
        <v>9.5163999999999999E-2</v>
      </c>
    </row>
    <row r="25" spans="1:6">
      <c r="A25" s="201">
        <f t="shared" si="0"/>
        <v>19</v>
      </c>
      <c r="B25" s="150" t="str">
        <f t="shared" si="2"/>
        <v>25 (7A) (11)</v>
      </c>
      <c r="C25" s="144" t="s">
        <v>643</v>
      </c>
      <c r="D25" s="146">
        <f>+D24</f>
        <v>41456</v>
      </c>
      <c r="E25" s="148">
        <v>8.1430000000000002E-2</v>
      </c>
      <c r="F25" s="148">
        <f>+'Secondary Voltage Rate Design'!H34</f>
        <v>8.6513000000000007E-2</v>
      </c>
    </row>
    <row r="26" spans="1:6">
      <c r="A26" s="201">
        <f t="shared" si="0"/>
        <v>20</v>
      </c>
      <c r="B26" s="150" t="str">
        <f t="shared" si="2"/>
        <v>25 (7A) (11)</v>
      </c>
      <c r="C26" s="144" t="s">
        <v>644</v>
      </c>
      <c r="D26" s="146">
        <f>+D25</f>
        <v>41456</v>
      </c>
      <c r="E26" s="148">
        <v>6.4072000000000004E-2</v>
      </c>
      <c r="F26" s="148">
        <f>+'Secondary Voltage Rate Design'!H35</f>
        <v>6.8071000000000007E-2</v>
      </c>
    </row>
    <row r="27" spans="1:6">
      <c r="A27" s="201">
        <f t="shared" si="0"/>
        <v>21</v>
      </c>
      <c r="B27" s="150" t="str">
        <f t="shared" si="2"/>
        <v>25 (7A) (11)</v>
      </c>
      <c r="C27" s="151"/>
      <c r="D27" s="146"/>
    </row>
    <row r="28" spans="1:6">
      <c r="A28" s="201">
        <f t="shared" si="0"/>
        <v>22</v>
      </c>
      <c r="B28" s="150" t="str">
        <f t="shared" si="2"/>
        <v>25 (7A) (11)</v>
      </c>
      <c r="C28" s="144" t="s">
        <v>645</v>
      </c>
      <c r="D28" s="146">
        <f>+$D$8</f>
        <v>41043</v>
      </c>
      <c r="E28" s="147">
        <v>0</v>
      </c>
      <c r="F28" s="147">
        <v>0</v>
      </c>
    </row>
    <row r="29" spans="1:6">
      <c r="A29" s="201">
        <f t="shared" si="0"/>
        <v>23</v>
      </c>
      <c r="B29" s="150" t="str">
        <f t="shared" si="2"/>
        <v>25 (7A) (11)</v>
      </c>
      <c r="C29" s="144" t="s">
        <v>646</v>
      </c>
      <c r="D29" s="146">
        <f>+$D$8</f>
        <v>41043</v>
      </c>
      <c r="E29" s="147">
        <v>9.01</v>
      </c>
      <c r="F29" s="147">
        <f>+'Secondary Voltage Rate Design'!H41</f>
        <v>9.57</v>
      </c>
    </row>
    <row r="30" spans="1:6">
      <c r="A30" s="201">
        <f t="shared" si="0"/>
        <v>24</v>
      </c>
      <c r="B30" s="150" t="str">
        <f t="shared" si="2"/>
        <v>25 (7A) (11)</v>
      </c>
      <c r="C30" s="144" t="s">
        <v>647</v>
      </c>
      <c r="D30" s="146">
        <f>+$D$8</f>
        <v>41043</v>
      </c>
      <c r="E30" s="147">
        <v>6.01</v>
      </c>
      <c r="F30" s="147">
        <f>+'Secondary Voltage Rate Design'!H42</f>
        <v>6.39</v>
      </c>
    </row>
    <row r="31" spans="1:6">
      <c r="A31" s="201">
        <f t="shared" si="0"/>
        <v>25</v>
      </c>
      <c r="B31" s="150" t="str">
        <f t="shared" si="2"/>
        <v>25 (7A) (11)</v>
      </c>
      <c r="C31" s="144"/>
      <c r="D31" s="144"/>
      <c r="E31" s="147"/>
      <c r="F31" s="147"/>
    </row>
    <row r="32" spans="1:6">
      <c r="A32" s="201">
        <f t="shared" si="0"/>
        <v>26</v>
      </c>
      <c r="B32" s="150" t="str">
        <f t="shared" si="2"/>
        <v>25 (7A) (11)</v>
      </c>
      <c r="C32" s="144" t="s">
        <v>648</v>
      </c>
      <c r="D32" s="146">
        <f>+$D$8</f>
        <v>41043</v>
      </c>
      <c r="E32" s="152">
        <v>2.8300000000000001E-3</v>
      </c>
      <c r="F32" s="152">
        <f>+'Secondary Voltage Rate Design'!H45</f>
        <v>3.0100000000000001E-3</v>
      </c>
    </row>
    <row r="33" spans="1:6">
      <c r="A33" s="201">
        <f t="shared" si="0"/>
        <v>27</v>
      </c>
    </row>
    <row r="34" spans="1:6">
      <c r="A34" s="201">
        <f t="shared" si="0"/>
        <v>28</v>
      </c>
      <c r="B34" s="201" t="s">
        <v>649</v>
      </c>
      <c r="C34" s="149" t="s">
        <v>650</v>
      </c>
      <c r="D34" s="149"/>
    </row>
    <row r="35" spans="1:6">
      <c r="A35" s="201">
        <f t="shared" si="0"/>
        <v>29</v>
      </c>
      <c r="B35" s="201" t="str">
        <f>+$B$34</f>
        <v>26 (12)</v>
      </c>
      <c r="C35" s="144" t="s">
        <v>641</v>
      </c>
      <c r="D35" s="146">
        <f>+$D$8</f>
        <v>41043</v>
      </c>
      <c r="E35" s="147">
        <v>104.46</v>
      </c>
      <c r="F35" s="145">
        <f>+'Secondary Voltage Rate Design'!H55</f>
        <v>110.98</v>
      </c>
    </row>
    <row r="36" spans="1:6">
      <c r="A36" s="201">
        <f t="shared" si="0"/>
        <v>30</v>
      </c>
      <c r="B36" s="201" t="str">
        <f t="shared" ref="B36:B52" si="3">+$B$34</f>
        <v>26 (12)</v>
      </c>
      <c r="C36" s="144"/>
      <c r="D36" s="144"/>
      <c r="E36" s="145"/>
      <c r="F36" s="145"/>
    </row>
    <row r="37" spans="1:6">
      <c r="A37" s="201">
        <f t="shared" si="0"/>
        <v>31</v>
      </c>
      <c r="B37" s="201" t="str">
        <f t="shared" si="3"/>
        <v>26 (12)</v>
      </c>
      <c r="C37" s="144" t="s">
        <v>651</v>
      </c>
      <c r="D37" s="146">
        <v>41640</v>
      </c>
      <c r="E37" s="148">
        <v>5.6732999999999999E-2</v>
      </c>
      <c r="F37" s="148">
        <f>+'Secondary Voltage Rate Design'!H57</f>
        <v>6.0011000000000002E-2</v>
      </c>
    </row>
    <row r="38" spans="1:6">
      <c r="A38" s="201">
        <f t="shared" si="0"/>
        <v>32</v>
      </c>
      <c r="B38" s="201" t="str">
        <f t="shared" si="3"/>
        <v>26 (12)</v>
      </c>
      <c r="C38" s="151"/>
      <c r="D38" s="151"/>
    </row>
    <row r="39" spans="1:6">
      <c r="A39" s="201">
        <f t="shared" si="0"/>
        <v>33</v>
      </c>
      <c r="B39" s="201" t="str">
        <f t="shared" si="3"/>
        <v>26 (12)</v>
      </c>
      <c r="C39" s="144" t="s">
        <v>652</v>
      </c>
      <c r="D39" s="146">
        <v>41640</v>
      </c>
      <c r="E39" s="147">
        <v>11.65</v>
      </c>
      <c r="F39" s="147">
        <f>+'Secondary Voltage Rate Design'!H63</f>
        <v>12.5</v>
      </c>
    </row>
    <row r="40" spans="1:6">
      <c r="A40" s="201">
        <f t="shared" si="0"/>
        <v>34</v>
      </c>
      <c r="B40" s="201" t="str">
        <f t="shared" si="3"/>
        <v>26 (12)</v>
      </c>
      <c r="C40" s="144" t="s">
        <v>653</v>
      </c>
      <c r="D40" s="146">
        <f>+D39</f>
        <v>41640</v>
      </c>
      <c r="E40" s="147">
        <v>7.76</v>
      </c>
      <c r="F40" s="147">
        <f>+'Secondary Voltage Rate Design'!H64</f>
        <v>8.34</v>
      </c>
    </row>
    <row r="41" spans="1:6">
      <c r="A41" s="201">
        <f t="shared" si="0"/>
        <v>35</v>
      </c>
      <c r="B41" s="201" t="str">
        <f t="shared" si="3"/>
        <v>26 (12)</v>
      </c>
      <c r="C41" s="144"/>
      <c r="D41" s="144"/>
      <c r="E41" s="147"/>
      <c r="F41" s="147"/>
    </row>
    <row r="42" spans="1:6">
      <c r="A42" s="201">
        <f t="shared" si="0"/>
        <v>36</v>
      </c>
      <c r="B42" s="201" t="str">
        <f t="shared" si="3"/>
        <v>26 (12)</v>
      </c>
      <c r="C42" s="144" t="s">
        <v>648</v>
      </c>
      <c r="D42" s="146">
        <f>+$D$8</f>
        <v>41043</v>
      </c>
      <c r="E42" s="152">
        <v>1.24E-3</v>
      </c>
      <c r="F42" s="152">
        <f>+'Secondary Voltage Rate Design'!H67</f>
        <v>1.32E-3</v>
      </c>
    </row>
    <row r="43" spans="1:6">
      <c r="A43" s="201">
        <f t="shared" si="0"/>
        <v>37</v>
      </c>
      <c r="B43" s="201" t="str">
        <f t="shared" si="3"/>
        <v>26 (12)</v>
      </c>
      <c r="C43" s="144"/>
      <c r="D43" s="146"/>
      <c r="E43" s="152"/>
      <c r="F43" s="152"/>
    </row>
    <row r="44" spans="1:6">
      <c r="A44" s="201">
        <f t="shared" si="0"/>
        <v>38</v>
      </c>
      <c r="B44" s="201" t="str">
        <f t="shared" si="3"/>
        <v>26 (12)</v>
      </c>
      <c r="C44" s="144" t="s">
        <v>654</v>
      </c>
      <c r="D44" s="146"/>
      <c r="E44" s="152"/>
      <c r="F44" s="152"/>
    </row>
    <row r="45" spans="1:6">
      <c r="A45" s="201">
        <f t="shared" si="0"/>
        <v>39</v>
      </c>
      <c r="B45" s="201" t="str">
        <f t="shared" si="3"/>
        <v>26 (12)</v>
      </c>
      <c r="C45" s="144" t="s">
        <v>655</v>
      </c>
      <c r="D45" s="146">
        <f>+$D$8</f>
        <v>41043</v>
      </c>
      <c r="E45" s="147">
        <v>235.05</v>
      </c>
      <c r="F45" s="147">
        <f>+'Secondary Voltage Rate Design'!H76</f>
        <v>249.71999999999997</v>
      </c>
    </row>
    <row r="46" spans="1:6">
      <c r="A46" s="201">
        <f t="shared" si="0"/>
        <v>40</v>
      </c>
      <c r="B46" s="201" t="str">
        <f t="shared" si="3"/>
        <v>26 (12)</v>
      </c>
      <c r="C46" s="144" t="s">
        <v>656</v>
      </c>
      <c r="D46" s="146">
        <f>+D40</f>
        <v>41640</v>
      </c>
      <c r="E46" s="147">
        <v>-0.35</v>
      </c>
      <c r="F46" s="147">
        <f>+'Secondary Voltage Rate Design'!H88</f>
        <v>-0.41</v>
      </c>
    </row>
    <row r="47" spans="1:6">
      <c r="A47" s="201">
        <f t="shared" si="0"/>
        <v>41</v>
      </c>
      <c r="B47" s="201" t="str">
        <f t="shared" si="3"/>
        <v>26 (12)</v>
      </c>
      <c r="C47" s="144" t="s">
        <v>657</v>
      </c>
      <c r="D47" s="146">
        <f>+D46</f>
        <v>41640</v>
      </c>
      <c r="E47" s="175">
        <v>3.4500000000000003E-2</v>
      </c>
      <c r="F47" s="175">
        <f>+'Secondary Voltage Rate Design'!M99</f>
        <v>3.9300000000000002E-2</v>
      </c>
    </row>
    <row r="48" spans="1:6">
      <c r="A48" s="201">
        <f t="shared" si="0"/>
        <v>42</v>
      </c>
      <c r="B48" s="201" t="str">
        <f t="shared" si="3"/>
        <v>26 (12)</v>
      </c>
      <c r="C48" s="153" t="s">
        <v>658</v>
      </c>
      <c r="D48" s="146">
        <f>+$D$8</f>
        <v>41043</v>
      </c>
      <c r="E48" s="147">
        <f>+E45+E35</f>
        <v>339.51</v>
      </c>
      <c r="F48" s="147">
        <f>+F45+F35</f>
        <v>360.7</v>
      </c>
    </row>
    <row r="49" spans="1:6">
      <c r="A49" s="201">
        <f t="shared" si="0"/>
        <v>43</v>
      </c>
      <c r="B49" s="201" t="str">
        <f t="shared" si="3"/>
        <v>26 (12)</v>
      </c>
      <c r="C49" s="144" t="s">
        <v>659</v>
      </c>
      <c r="D49" s="146">
        <f>+D47</f>
        <v>41640</v>
      </c>
      <c r="E49" s="147">
        <f>+E46+E39</f>
        <v>11.3</v>
      </c>
      <c r="F49" s="147">
        <f>+F46+F39</f>
        <v>12.09</v>
      </c>
    </row>
    <row r="50" spans="1:6">
      <c r="A50" s="201">
        <f t="shared" si="0"/>
        <v>44</v>
      </c>
      <c r="B50" s="201" t="str">
        <f t="shared" si="3"/>
        <v>26 (12)</v>
      </c>
      <c r="C50" s="144" t="s">
        <v>660</v>
      </c>
      <c r="D50" s="146">
        <f>+D49</f>
        <v>41640</v>
      </c>
      <c r="E50" s="147">
        <f>+E46+E40</f>
        <v>7.41</v>
      </c>
      <c r="F50" s="147">
        <f>+F46+F40</f>
        <v>7.93</v>
      </c>
    </row>
    <row r="51" spans="1:6">
      <c r="A51" s="201">
        <f t="shared" si="0"/>
        <v>45</v>
      </c>
      <c r="B51" s="201" t="str">
        <f t="shared" si="3"/>
        <v>26 (12)</v>
      </c>
      <c r="C51" s="153" t="s">
        <v>661</v>
      </c>
      <c r="D51" s="146">
        <f>+D50</f>
        <v>41640</v>
      </c>
      <c r="E51" s="148">
        <v>5.4775999999999998E-2</v>
      </c>
      <c r="F51" s="148">
        <f>+F37-ROUND(F47*F37,6)</f>
        <v>5.7653000000000003E-2</v>
      </c>
    </row>
    <row r="52" spans="1:6">
      <c r="A52" s="201">
        <f t="shared" si="0"/>
        <v>46</v>
      </c>
      <c r="B52" s="201" t="str">
        <f t="shared" si="3"/>
        <v>26 (12)</v>
      </c>
      <c r="C52" s="144" t="s">
        <v>662</v>
      </c>
      <c r="D52" s="146">
        <f>+D51</f>
        <v>41640</v>
      </c>
      <c r="E52" s="152">
        <v>1.1999999999999999E-3</v>
      </c>
      <c r="F52" s="152">
        <f>+F42-ROUND(F47*F42,5)</f>
        <v>1.2700000000000001E-3</v>
      </c>
    </row>
    <row r="53" spans="1:6">
      <c r="A53" s="201">
        <f t="shared" si="0"/>
        <v>47</v>
      </c>
    </row>
    <row r="54" spans="1:6">
      <c r="A54" s="201">
        <f t="shared" si="0"/>
        <v>48</v>
      </c>
      <c r="B54" s="201">
        <v>29</v>
      </c>
      <c r="C54" s="149" t="s">
        <v>640</v>
      </c>
      <c r="D54" s="149"/>
    </row>
    <row r="55" spans="1:6">
      <c r="A55" s="201">
        <f t="shared" si="0"/>
        <v>49</v>
      </c>
      <c r="B55" s="201">
        <f>+$B$54</f>
        <v>29</v>
      </c>
      <c r="C55" s="144" t="s">
        <v>633</v>
      </c>
      <c r="D55" s="146">
        <f>+$D$8</f>
        <v>41043</v>
      </c>
      <c r="E55" s="147">
        <v>9.56</v>
      </c>
      <c r="F55" s="145">
        <f>+'Secondary Voltage Rate Design'!H106</f>
        <v>10.16</v>
      </c>
    </row>
    <row r="56" spans="1:6">
      <c r="A56" s="201">
        <f t="shared" si="0"/>
        <v>50</v>
      </c>
      <c r="B56" s="201">
        <f t="shared" ref="B56:B67" si="4">+$B$54</f>
        <v>29</v>
      </c>
      <c r="C56" s="144" t="s">
        <v>634</v>
      </c>
      <c r="D56" s="146">
        <f>+$D$8</f>
        <v>41043</v>
      </c>
      <c r="E56" s="147">
        <v>24.28</v>
      </c>
      <c r="F56" s="145">
        <f>+'Secondary Voltage Rate Design'!H107</f>
        <v>25.8</v>
      </c>
    </row>
    <row r="57" spans="1:6">
      <c r="A57" s="201">
        <f t="shared" si="0"/>
        <v>51</v>
      </c>
      <c r="B57" s="201">
        <f t="shared" si="4"/>
        <v>29</v>
      </c>
      <c r="C57" s="144"/>
      <c r="D57" s="144"/>
      <c r="E57" s="145"/>
      <c r="F57" s="145"/>
    </row>
    <row r="58" spans="1:6">
      <c r="A58" s="201">
        <f t="shared" si="0"/>
        <v>52</v>
      </c>
      <c r="B58" s="201">
        <f t="shared" si="4"/>
        <v>29</v>
      </c>
      <c r="C58" s="144" t="s">
        <v>642</v>
      </c>
      <c r="D58" s="146">
        <v>41456</v>
      </c>
      <c r="E58" s="148">
        <v>8.9582999999999996E-2</v>
      </c>
      <c r="F58" s="148">
        <f>+'Secondary Voltage Rate Design'!H110</f>
        <v>9.5174999999999996E-2</v>
      </c>
    </row>
    <row r="59" spans="1:6">
      <c r="A59" s="201">
        <f t="shared" si="0"/>
        <v>53</v>
      </c>
      <c r="B59" s="201">
        <f t="shared" si="4"/>
        <v>29</v>
      </c>
      <c r="C59" s="144" t="s">
        <v>663</v>
      </c>
      <c r="D59" s="146">
        <f>+D58</f>
        <v>41456</v>
      </c>
      <c r="E59" s="148">
        <v>6.8035999999999999E-2</v>
      </c>
      <c r="F59" s="148">
        <f>+'Secondary Voltage Rate Design'!H111</f>
        <v>7.2283E-2</v>
      </c>
    </row>
    <row r="60" spans="1:6">
      <c r="A60" s="201">
        <f t="shared" si="0"/>
        <v>54</v>
      </c>
      <c r="B60" s="201">
        <f t="shared" si="4"/>
        <v>29</v>
      </c>
      <c r="C60" s="144" t="s">
        <v>643</v>
      </c>
      <c r="D60" s="146">
        <f>+D59</f>
        <v>41456</v>
      </c>
      <c r="E60" s="148">
        <v>6.2075999999999999E-2</v>
      </c>
      <c r="F60" s="148">
        <f>+'Secondary Voltage Rate Design'!H112</f>
        <v>6.5950999999999996E-2</v>
      </c>
    </row>
    <row r="61" spans="1:6">
      <c r="A61" s="201">
        <f t="shared" si="0"/>
        <v>55</v>
      </c>
      <c r="B61" s="201">
        <f t="shared" si="4"/>
        <v>29</v>
      </c>
      <c r="C61" s="144" t="s">
        <v>664</v>
      </c>
      <c r="D61" s="146">
        <f>+D60</f>
        <v>41456</v>
      </c>
      <c r="E61" s="148">
        <v>5.3189E-2</v>
      </c>
      <c r="F61" s="148">
        <f>+'Secondary Voltage Rate Design'!H113</f>
        <v>5.6508999999999997E-2</v>
      </c>
    </row>
    <row r="62" spans="1:6">
      <c r="A62" s="201">
        <f t="shared" si="0"/>
        <v>56</v>
      </c>
      <c r="B62" s="201">
        <f t="shared" si="4"/>
        <v>29</v>
      </c>
      <c r="C62" s="151"/>
      <c r="D62" s="151"/>
    </row>
    <row r="63" spans="1:6">
      <c r="A63" s="201">
        <f t="shared" si="0"/>
        <v>57</v>
      </c>
      <c r="B63" s="201">
        <f t="shared" si="4"/>
        <v>29</v>
      </c>
      <c r="C63" s="144" t="s">
        <v>665</v>
      </c>
      <c r="D63" s="146">
        <f>+$D$8</f>
        <v>41043</v>
      </c>
      <c r="E63" s="147">
        <v>0</v>
      </c>
      <c r="F63" s="147">
        <v>0</v>
      </c>
    </row>
    <row r="64" spans="1:6">
      <c r="A64" s="201">
        <f t="shared" si="0"/>
        <v>58</v>
      </c>
      <c r="B64" s="201">
        <f t="shared" si="4"/>
        <v>29</v>
      </c>
      <c r="C64" s="144" t="s">
        <v>646</v>
      </c>
      <c r="D64" s="146">
        <f>+$D$8</f>
        <v>41043</v>
      </c>
      <c r="E64" s="147">
        <v>8.83</v>
      </c>
      <c r="F64" s="147">
        <f>+'Secondary Voltage Rate Design'!H120</f>
        <v>9.3800000000000008</v>
      </c>
    </row>
    <row r="65" spans="1:6">
      <c r="A65" s="201">
        <f t="shared" si="0"/>
        <v>59</v>
      </c>
      <c r="B65" s="201">
        <f t="shared" si="4"/>
        <v>29</v>
      </c>
      <c r="C65" s="144" t="s">
        <v>647</v>
      </c>
      <c r="D65" s="146">
        <f>+$D$8</f>
        <v>41043</v>
      </c>
      <c r="E65" s="147">
        <v>4.3499999999999996</v>
      </c>
      <c r="F65" s="147">
        <f>+'Secondary Voltage Rate Design'!H121</f>
        <v>4.62</v>
      </c>
    </row>
    <row r="66" spans="1:6">
      <c r="A66" s="201">
        <f t="shared" si="0"/>
        <v>60</v>
      </c>
      <c r="B66" s="201">
        <f t="shared" si="4"/>
        <v>29</v>
      </c>
      <c r="C66" s="144"/>
      <c r="D66" s="144"/>
      <c r="E66" s="147"/>
      <c r="F66" s="147"/>
    </row>
    <row r="67" spans="1:6">
      <c r="A67" s="201">
        <f t="shared" si="0"/>
        <v>61</v>
      </c>
      <c r="B67" s="201">
        <f t="shared" si="4"/>
        <v>29</v>
      </c>
      <c r="C67" s="144" t="s">
        <v>648</v>
      </c>
      <c r="D67" s="146">
        <f>+D65</f>
        <v>41043</v>
      </c>
      <c r="E67" s="152">
        <v>2.81E-3</v>
      </c>
      <c r="F67" s="152">
        <f>+'Secondary Voltage Rate Design'!H124</f>
        <v>2.99E-3</v>
      </c>
    </row>
    <row r="68" spans="1:6">
      <c r="A68" s="201">
        <f t="shared" si="0"/>
        <v>62</v>
      </c>
    </row>
    <row r="69" spans="1:6">
      <c r="A69" s="201">
        <f t="shared" si="0"/>
        <v>63</v>
      </c>
      <c r="B69" s="201" t="s">
        <v>666</v>
      </c>
      <c r="C69" s="149" t="s">
        <v>667</v>
      </c>
      <c r="D69" s="149"/>
      <c r="E69" s="147"/>
    </row>
    <row r="70" spans="1:6">
      <c r="A70" s="201">
        <f t="shared" ref="A70:A133" si="5">+A69+1</f>
        <v>64</v>
      </c>
      <c r="B70" s="201" t="str">
        <f>+$B$69</f>
        <v>31 (10)</v>
      </c>
      <c r="C70" s="144" t="s">
        <v>641</v>
      </c>
      <c r="D70" s="146">
        <f>+$D$8</f>
        <v>41043</v>
      </c>
      <c r="E70" s="147">
        <v>339.51</v>
      </c>
      <c r="F70" s="145">
        <f>+'Primary Voltage Rate Design'!H15</f>
        <v>360.7</v>
      </c>
    </row>
    <row r="71" spans="1:6">
      <c r="A71" s="201">
        <f t="shared" si="5"/>
        <v>65</v>
      </c>
      <c r="B71" s="201" t="str">
        <f t="shared" ref="B71:B77" si="6">+$B$69</f>
        <v>31 (10)</v>
      </c>
      <c r="C71" s="144"/>
      <c r="D71" s="144"/>
      <c r="E71" s="145"/>
      <c r="F71" s="145"/>
    </row>
    <row r="72" spans="1:6">
      <c r="A72" s="201">
        <f t="shared" si="5"/>
        <v>66</v>
      </c>
      <c r="B72" s="201" t="str">
        <f t="shared" si="6"/>
        <v>31 (10)</v>
      </c>
      <c r="C72" s="144" t="s">
        <v>668</v>
      </c>
      <c r="D72" s="146">
        <f>+D52</f>
        <v>41640</v>
      </c>
      <c r="E72" s="148">
        <v>5.4346999999999999E-2</v>
      </c>
      <c r="F72" s="148">
        <f>+'Primary Voltage Rate Design'!H17</f>
        <v>5.7735000000000002E-2</v>
      </c>
    </row>
    <row r="73" spans="1:6">
      <c r="A73" s="201">
        <f t="shared" si="5"/>
        <v>67</v>
      </c>
      <c r="B73" s="201" t="str">
        <f t="shared" si="6"/>
        <v>31 (10)</v>
      </c>
      <c r="C73" s="151"/>
      <c r="D73" s="151"/>
    </row>
    <row r="74" spans="1:6">
      <c r="A74" s="201">
        <f t="shared" si="5"/>
        <v>68</v>
      </c>
      <c r="B74" s="201" t="str">
        <f t="shared" si="6"/>
        <v>31 (10)</v>
      </c>
      <c r="C74" s="144" t="s">
        <v>652</v>
      </c>
      <c r="D74" s="146">
        <f>+D72</f>
        <v>41640</v>
      </c>
      <c r="E74" s="147">
        <v>11.32</v>
      </c>
      <c r="F74" s="147">
        <f>+'Primary Voltage Rate Design'!H23</f>
        <v>12.03</v>
      </c>
    </row>
    <row r="75" spans="1:6">
      <c r="A75" s="201">
        <f t="shared" si="5"/>
        <v>69</v>
      </c>
      <c r="B75" s="201" t="str">
        <f t="shared" si="6"/>
        <v>31 (10)</v>
      </c>
      <c r="C75" s="144" t="s">
        <v>653</v>
      </c>
      <c r="D75" s="146">
        <f>+D74</f>
        <v>41640</v>
      </c>
      <c r="E75" s="147">
        <v>7.55</v>
      </c>
      <c r="F75" s="147">
        <f>+'Primary Voltage Rate Design'!H24</f>
        <v>8.02</v>
      </c>
    </row>
    <row r="76" spans="1:6">
      <c r="A76" s="201">
        <f t="shared" si="5"/>
        <v>70</v>
      </c>
      <c r="B76" s="201" t="str">
        <f t="shared" si="6"/>
        <v>31 (10)</v>
      </c>
      <c r="C76" s="144"/>
      <c r="D76" s="144"/>
      <c r="E76" s="147"/>
      <c r="F76" s="147"/>
    </row>
    <row r="77" spans="1:6">
      <c r="A77" s="201">
        <f t="shared" si="5"/>
        <v>71</v>
      </c>
      <c r="B77" s="201" t="str">
        <f t="shared" si="6"/>
        <v>31 (10)</v>
      </c>
      <c r="C77" s="144" t="s">
        <v>648</v>
      </c>
      <c r="D77" s="146">
        <f>+$D$8</f>
        <v>41043</v>
      </c>
      <c r="E77" s="152">
        <v>1.06E-3</v>
      </c>
      <c r="F77" s="152">
        <f>+'Primary Voltage Rate Design'!H27</f>
        <v>1.1299999999999999E-3</v>
      </c>
    </row>
    <row r="78" spans="1:6">
      <c r="A78" s="201">
        <f t="shared" si="5"/>
        <v>72</v>
      </c>
    </row>
    <row r="79" spans="1:6">
      <c r="A79" s="201">
        <f t="shared" si="5"/>
        <v>73</v>
      </c>
      <c r="B79" s="201">
        <v>35</v>
      </c>
      <c r="C79" s="149" t="s">
        <v>669</v>
      </c>
      <c r="D79" s="149"/>
    </row>
    <row r="80" spans="1:6">
      <c r="A80" s="201">
        <f t="shared" si="5"/>
        <v>74</v>
      </c>
      <c r="B80" s="201">
        <f>+$B$79</f>
        <v>35</v>
      </c>
      <c r="C80" s="144" t="s">
        <v>641</v>
      </c>
      <c r="D80" s="146">
        <f>+$D$8</f>
        <v>41043</v>
      </c>
      <c r="E80" s="147">
        <v>339.51</v>
      </c>
      <c r="F80" s="145">
        <f>+'Primary Voltage Rate Design'!H37</f>
        <v>360.7</v>
      </c>
    </row>
    <row r="81" spans="1:6">
      <c r="A81" s="201">
        <f t="shared" si="5"/>
        <v>75</v>
      </c>
      <c r="B81" s="201">
        <f t="shared" ref="B81:B87" si="7">+$B$79</f>
        <v>35</v>
      </c>
      <c r="C81" s="144"/>
      <c r="D81" s="144"/>
      <c r="E81" s="145"/>
      <c r="F81" s="145"/>
    </row>
    <row r="82" spans="1:6">
      <c r="A82" s="201">
        <f t="shared" si="5"/>
        <v>76</v>
      </c>
      <c r="B82" s="201">
        <f t="shared" si="7"/>
        <v>35</v>
      </c>
      <c r="C82" s="144" t="s">
        <v>668</v>
      </c>
      <c r="D82" s="146">
        <f>+D80</f>
        <v>41043</v>
      </c>
      <c r="E82" s="148">
        <v>4.8598000000000002E-2</v>
      </c>
      <c r="F82" s="148">
        <f>+'Primary Voltage Rate Design'!H39</f>
        <v>5.1631000000000003E-2</v>
      </c>
    </row>
    <row r="83" spans="1:6">
      <c r="A83" s="201">
        <f t="shared" si="5"/>
        <v>77</v>
      </c>
      <c r="B83" s="201">
        <f t="shared" si="7"/>
        <v>35</v>
      </c>
      <c r="C83" s="151"/>
      <c r="D83" s="151"/>
    </row>
    <row r="84" spans="1:6">
      <c r="A84" s="201">
        <f t="shared" si="5"/>
        <v>78</v>
      </c>
      <c r="B84" s="201">
        <f t="shared" si="7"/>
        <v>35</v>
      </c>
      <c r="C84" s="144" t="s">
        <v>670</v>
      </c>
      <c r="D84" s="146">
        <f>+$D$8</f>
        <v>41043</v>
      </c>
      <c r="E84" s="147">
        <v>4.49</v>
      </c>
      <c r="F84" s="147">
        <f>+'Primary Voltage Rate Design'!H45</f>
        <v>4.7699999999999996</v>
      </c>
    </row>
    <row r="85" spans="1:6">
      <c r="A85" s="201">
        <f t="shared" si="5"/>
        <v>79</v>
      </c>
      <c r="B85" s="201">
        <f t="shared" si="7"/>
        <v>35</v>
      </c>
      <c r="C85" s="144" t="s">
        <v>671</v>
      </c>
      <c r="D85" s="146">
        <f>+$D$8</f>
        <v>41043</v>
      </c>
      <c r="E85" s="147">
        <v>2.99</v>
      </c>
      <c r="F85" s="147">
        <f>+'Primary Voltage Rate Design'!H46</f>
        <v>3.18</v>
      </c>
    </row>
    <row r="86" spans="1:6">
      <c r="A86" s="201">
        <f t="shared" si="5"/>
        <v>80</v>
      </c>
      <c r="B86" s="201">
        <f t="shared" si="7"/>
        <v>35</v>
      </c>
      <c r="C86" s="144"/>
      <c r="D86" s="144"/>
      <c r="E86" s="147"/>
      <c r="F86" s="147"/>
    </row>
    <row r="87" spans="1:6">
      <c r="A87" s="201">
        <f t="shared" si="5"/>
        <v>81</v>
      </c>
      <c r="B87" s="201">
        <f t="shared" si="7"/>
        <v>35</v>
      </c>
      <c r="C87" s="144" t="s">
        <v>648</v>
      </c>
      <c r="D87" s="146">
        <f>+$D$8</f>
        <v>41043</v>
      </c>
      <c r="E87" s="152">
        <v>1.08E-3</v>
      </c>
      <c r="F87" s="152">
        <f>+'Primary Voltage Rate Design'!H49</f>
        <v>1.15E-3</v>
      </c>
    </row>
    <row r="88" spans="1:6">
      <c r="A88" s="201">
        <f t="shared" si="5"/>
        <v>82</v>
      </c>
    </row>
    <row r="89" spans="1:6">
      <c r="A89" s="201">
        <f t="shared" si="5"/>
        <v>83</v>
      </c>
      <c r="B89" s="201">
        <v>43</v>
      </c>
      <c r="C89" s="149" t="s">
        <v>672</v>
      </c>
      <c r="D89" s="149"/>
    </row>
    <row r="90" spans="1:6">
      <c r="A90" s="201">
        <f t="shared" si="5"/>
        <v>84</v>
      </c>
      <c r="B90" s="201">
        <f>+$B$89</f>
        <v>43</v>
      </c>
      <c r="C90" s="144" t="s">
        <v>641</v>
      </c>
      <c r="D90" s="146">
        <f>+$D$8</f>
        <v>41043</v>
      </c>
      <c r="E90" s="147">
        <v>339.51</v>
      </c>
      <c r="F90" s="145">
        <f>+'Primary Voltage Rate Design'!H56</f>
        <v>360.7</v>
      </c>
    </row>
    <row r="91" spans="1:6">
      <c r="A91" s="201">
        <f t="shared" si="5"/>
        <v>85</v>
      </c>
      <c r="B91" s="201">
        <f t="shared" ref="B91:B98" si="8">+$B$89</f>
        <v>43</v>
      </c>
      <c r="C91" s="144"/>
      <c r="D91" s="144"/>
      <c r="E91" s="145"/>
      <c r="F91" s="145"/>
    </row>
    <row r="92" spans="1:6">
      <c r="A92" s="201">
        <f t="shared" si="5"/>
        <v>86</v>
      </c>
      <c r="B92" s="201">
        <f t="shared" si="8"/>
        <v>43</v>
      </c>
      <c r="C92" s="144" t="s">
        <v>668</v>
      </c>
      <c r="D92" s="146">
        <f>+D58</f>
        <v>41456</v>
      </c>
      <c r="E92" s="148">
        <v>5.5893999999999999E-2</v>
      </c>
      <c r="F92" s="148">
        <f>+'Primary Voltage Rate Design'!H58</f>
        <v>6.1162000000000001E-2</v>
      </c>
    </row>
    <row r="93" spans="1:6">
      <c r="A93" s="201">
        <f t="shared" si="5"/>
        <v>87</v>
      </c>
      <c r="B93" s="201">
        <f t="shared" si="8"/>
        <v>43</v>
      </c>
      <c r="C93" s="151"/>
      <c r="D93" s="151"/>
    </row>
    <row r="94" spans="1:6">
      <c r="A94" s="201">
        <f t="shared" si="5"/>
        <v>88</v>
      </c>
      <c r="B94" s="201">
        <f t="shared" si="8"/>
        <v>43</v>
      </c>
      <c r="C94" s="144" t="s">
        <v>673</v>
      </c>
      <c r="D94" s="146">
        <f>+$D$8</f>
        <v>41043</v>
      </c>
      <c r="E94" s="147">
        <v>4.75</v>
      </c>
      <c r="F94" s="147">
        <f>+'Primary Voltage Rate Design'!H64</f>
        <v>5.05</v>
      </c>
    </row>
    <row r="95" spans="1:6">
      <c r="A95" s="201">
        <f t="shared" si="5"/>
        <v>89</v>
      </c>
      <c r="B95" s="201">
        <f t="shared" si="8"/>
        <v>43</v>
      </c>
      <c r="C95" s="144"/>
      <c r="D95" s="144"/>
      <c r="E95" s="147"/>
      <c r="F95" s="147"/>
    </row>
    <row r="96" spans="1:6">
      <c r="A96" s="201">
        <f t="shared" si="5"/>
        <v>90</v>
      </c>
      <c r="B96" s="201">
        <f t="shared" si="8"/>
        <v>43</v>
      </c>
      <c r="C96" s="144" t="s">
        <v>674</v>
      </c>
      <c r="D96" s="146">
        <f>+$D$8</f>
        <v>41043</v>
      </c>
      <c r="E96" s="147">
        <v>3.89</v>
      </c>
      <c r="F96" s="147">
        <f>+'Primary Voltage Rate Design'!H67</f>
        <v>6.98</v>
      </c>
    </row>
    <row r="97" spans="1:6">
      <c r="A97" s="201">
        <f t="shared" si="5"/>
        <v>91</v>
      </c>
      <c r="B97" s="201">
        <f t="shared" si="8"/>
        <v>43</v>
      </c>
      <c r="F97" s="145"/>
    </row>
    <row r="98" spans="1:6">
      <c r="A98" s="201">
        <f t="shared" si="5"/>
        <v>92</v>
      </c>
      <c r="B98" s="201">
        <f t="shared" si="8"/>
        <v>43</v>
      </c>
      <c r="C98" s="144" t="s">
        <v>648</v>
      </c>
      <c r="D98" s="146">
        <f>+$D$8</f>
        <v>41043</v>
      </c>
      <c r="E98" s="152">
        <v>3.0000000000000001E-3</v>
      </c>
      <c r="F98" s="152">
        <f>+'Primary Voltage Rate Design'!H69</f>
        <v>3.1900000000000001E-3</v>
      </c>
    </row>
    <row r="99" spans="1:6">
      <c r="A99" s="201">
        <f t="shared" si="5"/>
        <v>93</v>
      </c>
    </row>
    <row r="100" spans="1:6">
      <c r="A100" s="201">
        <f t="shared" si="5"/>
        <v>94</v>
      </c>
      <c r="B100" s="154"/>
      <c r="C100" s="154"/>
      <c r="D100" s="154"/>
      <c r="E100" s="154"/>
      <c r="F100" s="154"/>
    </row>
    <row r="101" spans="1:6">
      <c r="A101" s="201">
        <f t="shared" si="5"/>
        <v>95</v>
      </c>
      <c r="B101" s="155">
        <v>40</v>
      </c>
      <c r="C101" s="156" t="s">
        <v>675</v>
      </c>
      <c r="D101" s="157"/>
      <c r="E101" s="154"/>
      <c r="F101" s="154"/>
    </row>
    <row r="102" spans="1:6">
      <c r="A102" s="201">
        <f t="shared" si="5"/>
        <v>96</v>
      </c>
      <c r="B102" s="155">
        <f>+$B$101</f>
        <v>40</v>
      </c>
      <c r="C102" s="158" t="s">
        <v>641</v>
      </c>
      <c r="D102" s="159"/>
      <c r="E102" s="160"/>
      <c r="F102" s="161"/>
    </row>
    <row r="103" spans="1:6">
      <c r="A103" s="201">
        <f t="shared" si="5"/>
        <v>97</v>
      </c>
      <c r="B103" s="155">
        <f t="shared" ref="B103:B151" si="9">+$B$101</f>
        <v>40</v>
      </c>
      <c r="C103" s="172" t="s">
        <v>676</v>
      </c>
      <c r="D103" s="146">
        <f>+D22</f>
        <v>41043</v>
      </c>
      <c r="E103" s="160">
        <v>51.67</v>
      </c>
      <c r="F103" s="161">
        <f>+'Campus Rate Design'!I15</f>
        <v>54.9</v>
      </c>
    </row>
    <row r="104" spans="1:6">
      <c r="A104" s="201">
        <f t="shared" si="5"/>
        <v>98</v>
      </c>
      <c r="B104" s="155">
        <f t="shared" si="9"/>
        <v>40</v>
      </c>
      <c r="C104" s="173" t="s">
        <v>677</v>
      </c>
      <c r="D104" s="146">
        <f>+D35</f>
        <v>41043</v>
      </c>
      <c r="E104" s="160">
        <v>104.46</v>
      </c>
      <c r="F104" s="161">
        <f>+'Campus Rate Design'!I16</f>
        <v>110.98</v>
      </c>
    </row>
    <row r="105" spans="1:6">
      <c r="A105" s="201">
        <f t="shared" si="5"/>
        <v>99</v>
      </c>
      <c r="B105" s="155">
        <f t="shared" si="9"/>
        <v>40</v>
      </c>
      <c r="C105" s="172" t="s">
        <v>144</v>
      </c>
      <c r="D105" s="146">
        <f>+D70</f>
        <v>41043</v>
      </c>
      <c r="E105" s="160">
        <v>339.51</v>
      </c>
      <c r="F105" s="161">
        <f>+'Campus Rate Design'!I17</f>
        <v>360.7</v>
      </c>
    </row>
    <row r="106" spans="1:6">
      <c r="A106" s="201">
        <f t="shared" si="5"/>
        <v>100</v>
      </c>
      <c r="B106" s="155">
        <f t="shared" si="9"/>
        <v>40</v>
      </c>
      <c r="C106" s="158"/>
      <c r="D106" s="159"/>
      <c r="E106" s="161"/>
      <c r="F106" s="161"/>
    </row>
    <row r="107" spans="1:6">
      <c r="A107" s="201">
        <f t="shared" si="5"/>
        <v>101</v>
      </c>
      <c r="B107" s="155">
        <f t="shared" si="9"/>
        <v>40</v>
      </c>
      <c r="C107" s="158" t="s">
        <v>678</v>
      </c>
      <c r="D107" s="159"/>
      <c r="E107" s="125"/>
      <c r="F107" s="125"/>
    </row>
    <row r="108" spans="1:6">
      <c r="A108" s="201">
        <f t="shared" si="5"/>
        <v>102</v>
      </c>
      <c r="B108" s="155">
        <f t="shared" si="9"/>
        <v>40</v>
      </c>
      <c r="C108" s="172" t="s">
        <v>676</v>
      </c>
      <c r="D108" s="146">
        <f>+D92</f>
        <v>41456</v>
      </c>
      <c r="E108" s="125">
        <v>5.6638000000000001E-2</v>
      </c>
      <c r="F108" s="125">
        <f>+'Campus Rate Design'!I21</f>
        <v>6.1355E-2</v>
      </c>
    </row>
    <row r="109" spans="1:6">
      <c r="A109" s="201">
        <f t="shared" si="5"/>
        <v>103</v>
      </c>
      <c r="B109" s="155">
        <f t="shared" si="9"/>
        <v>40</v>
      </c>
      <c r="C109" s="173" t="s">
        <v>677</v>
      </c>
      <c r="D109" s="146">
        <f>+D108</f>
        <v>41456</v>
      </c>
      <c r="E109" s="125">
        <f>+E108</f>
        <v>5.6638000000000001E-2</v>
      </c>
      <c r="F109" s="125">
        <f>+F108</f>
        <v>6.1355E-2</v>
      </c>
    </row>
    <row r="110" spans="1:6">
      <c r="A110" s="201">
        <f t="shared" si="5"/>
        <v>104</v>
      </c>
      <c r="B110" s="155">
        <f t="shared" si="9"/>
        <v>40</v>
      </c>
      <c r="C110" s="172" t="s">
        <v>144</v>
      </c>
      <c r="D110" s="146">
        <f>+D109</f>
        <v>41456</v>
      </c>
      <c r="E110" s="125">
        <v>5.5190999999999997E-2</v>
      </c>
      <c r="F110" s="125">
        <f>+'Campus Rate Design'!I22</f>
        <v>5.8939999999999999E-2</v>
      </c>
    </row>
    <row r="111" spans="1:6">
      <c r="A111" s="201">
        <f t="shared" si="5"/>
        <v>105</v>
      </c>
      <c r="B111" s="155">
        <f t="shared" si="9"/>
        <v>40</v>
      </c>
      <c r="C111" s="172" t="s">
        <v>679</v>
      </c>
      <c r="D111" s="146">
        <f>+D110</f>
        <v>41456</v>
      </c>
      <c r="E111" s="125">
        <f>+E162</f>
        <v>5.4413000000000003E-2</v>
      </c>
      <c r="F111" s="125">
        <f>+'Campus Rate Design'!H59</f>
        <v>5.7812000000000002E-2</v>
      </c>
    </row>
    <row r="112" spans="1:6">
      <c r="A112" s="201">
        <f t="shared" si="5"/>
        <v>106</v>
      </c>
      <c r="B112" s="155">
        <f t="shared" si="9"/>
        <v>40</v>
      </c>
      <c r="C112" s="172"/>
      <c r="D112" s="159"/>
      <c r="E112" s="154"/>
      <c r="F112" s="154"/>
    </row>
    <row r="113" spans="1:6">
      <c r="A113" s="201">
        <f t="shared" si="5"/>
        <v>107</v>
      </c>
      <c r="B113" s="155">
        <f t="shared" si="9"/>
        <v>40</v>
      </c>
      <c r="C113" s="158" t="s">
        <v>839</v>
      </c>
      <c r="D113" s="159"/>
      <c r="E113" s="160"/>
      <c r="F113" s="160"/>
    </row>
    <row r="114" spans="1:6">
      <c r="A114" s="201">
        <f t="shared" si="5"/>
        <v>108</v>
      </c>
      <c r="B114" s="155">
        <f t="shared" si="9"/>
        <v>40</v>
      </c>
      <c r="C114" s="173" t="s">
        <v>148</v>
      </c>
      <c r="D114" s="146">
        <f>+$D$8</f>
        <v>41043</v>
      </c>
      <c r="E114" s="125">
        <v>4.2</v>
      </c>
      <c r="F114" s="160">
        <f>+'Campus Rate Design'!I30</f>
        <v>4.3899999999999997</v>
      </c>
    </row>
    <row r="115" spans="1:6">
      <c r="A115" s="201">
        <f t="shared" si="5"/>
        <v>109</v>
      </c>
      <c r="B115" s="155">
        <f t="shared" si="9"/>
        <v>40</v>
      </c>
      <c r="C115" s="172" t="s">
        <v>144</v>
      </c>
      <c r="D115" s="146">
        <f>+$D$8</f>
        <v>41043</v>
      </c>
      <c r="E115" s="125">
        <v>4.1100000000000003</v>
      </c>
      <c r="F115" s="160">
        <f>+'Campus Rate Design'!I31</f>
        <v>4.22</v>
      </c>
    </row>
    <row r="116" spans="1:6">
      <c r="A116" s="201">
        <f t="shared" si="5"/>
        <v>110</v>
      </c>
      <c r="B116" s="155">
        <f t="shared" si="9"/>
        <v>40</v>
      </c>
      <c r="C116" s="172" t="s">
        <v>679</v>
      </c>
      <c r="D116" s="146">
        <f>+$D$8</f>
        <v>41043</v>
      </c>
      <c r="E116" s="125">
        <v>4.0199999999999996</v>
      </c>
      <c r="F116" s="160">
        <f>+'Campus Rate Design'!H55</f>
        <v>4.1399999999999997</v>
      </c>
    </row>
    <row r="117" spans="1:6">
      <c r="A117" s="201">
        <f t="shared" si="5"/>
        <v>111</v>
      </c>
      <c r="B117" s="155">
        <f t="shared" si="9"/>
        <v>40</v>
      </c>
      <c r="C117" s="158"/>
      <c r="D117" s="159"/>
      <c r="E117" s="160"/>
      <c r="F117" s="160"/>
    </row>
    <row r="118" spans="1:6">
      <c r="A118" s="201">
        <f t="shared" si="5"/>
        <v>112</v>
      </c>
      <c r="B118" s="155">
        <f t="shared" si="9"/>
        <v>40</v>
      </c>
      <c r="C118" s="158" t="s">
        <v>648</v>
      </c>
      <c r="D118" s="159"/>
      <c r="E118" s="162"/>
      <c r="F118" s="162"/>
    </row>
    <row r="119" spans="1:6">
      <c r="A119" s="201">
        <f t="shared" si="5"/>
        <v>113</v>
      </c>
      <c r="B119" s="155">
        <f t="shared" si="9"/>
        <v>40</v>
      </c>
      <c r="C119" s="173" t="s">
        <v>148</v>
      </c>
      <c r="D119" s="146">
        <f>+$D$8</f>
        <v>41043</v>
      </c>
      <c r="E119" s="162">
        <v>1.24E-3</v>
      </c>
      <c r="F119" s="162">
        <f>+'Campus Rate Design'!I35</f>
        <v>1.32E-3</v>
      </c>
    </row>
    <row r="120" spans="1:6">
      <c r="A120" s="201">
        <f t="shared" si="5"/>
        <v>114</v>
      </c>
      <c r="B120" s="155">
        <f t="shared" si="9"/>
        <v>40</v>
      </c>
      <c r="C120" s="172" t="s">
        <v>144</v>
      </c>
      <c r="D120" s="146">
        <f>+$D$8</f>
        <v>41043</v>
      </c>
      <c r="E120" s="162">
        <v>1.08E-3</v>
      </c>
      <c r="F120" s="162">
        <f>+'Campus Rate Design'!I36</f>
        <v>1.1299999999999999E-3</v>
      </c>
    </row>
    <row r="121" spans="1:6">
      <c r="A121" s="201">
        <f t="shared" si="5"/>
        <v>115</v>
      </c>
      <c r="B121" s="155">
        <f t="shared" si="9"/>
        <v>40</v>
      </c>
      <c r="C121" s="172"/>
      <c r="D121" s="159"/>
      <c r="E121" s="162"/>
      <c r="F121" s="162"/>
    </row>
    <row r="122" spans="1:6">
      <c r="A122" s="201">
        <f t="shared" si="5"/>
        <v>116</v>
      </c>
      <c r="B122" s="155">
        <f t="shared" si="9"/>
        <v>40</v>
      </c>
      <c r="C122" s="172" t="s">
        <v>680</v>
      </c>
      <c r="D122" s="159"/>
      <c r="E122" s="163">
        <v>3.8081999999999998E-2</v>
      </c>
      <c r="F122" s="163">
        <v>6.021E-2</v>
      </c>
    </row>
    <row r="123" spans="1:6">
      <c r="A123" s="201">
        <f t="shared" si="5"/>
        <v>117</v>
      </c>
      <c r="B123" s="155">
        <f t="shared" si="9"/>
        <v>40</v>
      </c>
      <c r="C123" s="173" t="s">
        <v>681</v>
      </c>
      <c r="D123" s="159"/>
      <c r="E123" s="177">
        <v>0.37</v>
      </c>
      <c r="F123" s="178">
        <v>0.44</v>
      </c>
    </row>
    <row r="124" spans="1:6">
      <c r="A124" s="201">
        <f t="shared" si="5"/>
        <v>118</v>
      </c>
      <c r="B124" s="155">
        <f t="shared" si="9"/>
        <v>40</v>
      </c>
      <c r="C124" s="172" t="s">
        <v>682</v>
      </c>
      <c r="D124" s="159"/>
      <c r="E124" s="163">
        <v>1.409E-2</v>
      </c>
      <c r="F124" s="163">
        <f>ROUND(F123*F122,6)</f>
        <v>2.6492000000000002E-2</v>
      </c>
    </row>
    <row r="125" spans="1:6">
      <c r="A125" s="201">
        <f t="shared" si="5"/>
        <v>119</v>
      </c>
      <c r="B125" s="155">
        <f t="shared" si="9"/>
        <v>40</v>
      </c>
      <c r="C125" s="173" t="s">
        <v>683</v>
      </c>
      <c r="D125" s="159"/>
      <c r="E125" s="164">
        <v>3.95E-2</v>
      </c>
      <c r="F125" s="164">
        <v>0.2273</v>
      </c>
    </row>
    <row r="126" spans="1:6">
      <c r="A126" s="201">
        <f t="shared" si="5"/>
        <v>120</v>
      </c>
      <c r="B126" s="155">
        <f t="shared" si="9"/>
        <v>40</v>
      </c>
      <c r="C126" s="173" t="s">
        <v>684</v>
      </c>
      <c r="D126" s="159"/>
      <c r="E126" s="164">
        <v>3.95E-2</v>
      </c>
      <c r="F126" s="164">
        <v>4.9299999999999997E-2</v>
      </c>
    </row>
    <row r="127" spans="1:6">
      <c r="A127" s="201">
        <f t="shared" si="5"/>
        <v>121</v>
      </c>
      <c r="B127" s="155">
        <f t="shared" si="9"/>
        <v>40</v>
      </c>
      <c r="C127" s="172"/>
      <c r="D127" s="159"/>
      <c r="E127" s="164"/>
      <c r="F127" s="164"/>
    </row>
    <row r="128" spans="1:6">
      <c r="A128" s="201">
        <f t="shared" si="5"/>
        <v>122</v>
      </c>
      <c r="B128" s="155">
        <f t="shared" si="9"/>
        <v>40</v>
      </c>
      <c r="C128" s="173" t="s">
        <v>685</v>
      </c>
      <c r="D128" s="159"/>
      <c r="E128" s="163">
        <v>0.115396</v>
      </c>
      <c r="F128" s="163">
        <v>0.10681913608122562</v>
      </c>
    </row>
    <row r="129" spans="1:13">
      <c r="A129" s="201">
        <f t="shared" si="5"/>
        <v>123</v>
      </c>
      <c r="B129" s="155">
        <f t="shared" si="9"/>
        <v>40</v>
      </c>
      <c r="C129" s="173"/>
      <c r="D129" s="159"/>
      <c r="E129" s="163"/>
      <c r="F129" s="163"/>
    </row>
    <row r="130" spans="1:13">
      <c r="A130" s="201">
        <f t="shared" si="5"/>
        <v>124</v>
      </c>
      <c r="B130" s="155">
        <f t="shared" si="9"/>
        <v>40</v>
      </c>
      <c r="C130" s="174" t="s">
        <v>686</v>
      </c>
      <c r="D130" s="159"/>
      <c r="F130" s="163"/>
    </row>
    <row r="131" spans="1:13">
      <c r="A131" s="201">
        <f t="shared" si="5"/>
        <v>125</v>
      </c>
      <c r="B131" s="155">
        <f t="shared" si="9"/>
        <v>40</v>
      </c>
      <c r="C131" s="173" t="s">
        <v>687</v>
      </c>
      <c r="D131" s="146">
        <f>+$D$8</f>
        <v>41043</v>
      </c>
      <c r="E131" s="125">
        <v>1.6376999999999999E-2</v>
      </c>
      <c r="F131" s="125">
        <v>1.1736999999999999E-2</v>
      </c>
    </row>
    <row r="132" spans="1:13">
      <c r="A132" s="201">
        <f t="shared" si="5"/>
        <v>126</v>
      </c>
      <c r="B132" s="155">
        <f t="shared" si="9"/>
        <v>40</v>
      </c>
      <c r="C132" s="173" t="s">
        <v>688</v>
      </c>
      <c r="D132" s="146">
        <f>+$D$8</f>
        <v>41043</v>
      </c>
      <c r="E132" s="125">
        <v>1.1511E-2</v>
      </c>
      <c r="F132" s="125">
        <v>9.8930000000000008E-3</v>
      </c>
    </row>
    <row r="133" spans="1:13">
      <c r="A133" s="201">
        <f t="shared" si="5"/>
        <v>127</v>
      </c>
      <c r="B133" s="155">
        <f t="shared" si="9"/>
        <v>40</v>
      </c>
      <c r="C133" s="173" t="s">
        <v>689</v>
      </c>
      <c r="D133" s="146">
        <f>+$D$8</f>
        <v>41043</v>
      </c>
      <c r="E133" s="125">
        <v>1.6131E-2</v>
      </c>
      <c r="F133" s="125">
        <v>1.4947E-2</v>
      </c>
      <c r="H133" s="154"/>
      <c r="I133" s="154"/>
      <c r="J133" s="154"/>
    </row>
    <row r="134" spans="1:13" ht="13.8" thickBot="1">
      <c r="A134" s="201">
        <f t="shared" ref="A134:A137" si="10">+A133+1</f>
        <v>128</v>
      </c>
      <c r="B134" s="155">
        <f t="shared" si="9"/>
        <v>40</v>
      </c>
      <c r="C134" s="158"/>
      <c r="D134" s="159"/>
      <c r="E134" s="162"/>
      <c r="F134" s="162"/>
      <c r="H134" s="165"/>
      <c r="I134" s="165"/>
      <c r="J134" s="165"/>
    </row>
    <row r="135" spans="1:13" ht="13.8" thickBot="1">
      <c r="A135" s="201">
        <f t="shared" si="10"/>
        <v>129</v>
      </c>
      <c r="B135" s="155">
        <f t="shared" si="9"/>
        <v>40</v>
      </c>
      <c r="C135" s="158"/>
      <c r="D135" s="159"/>
      <c r="E135" s="162"/>
      <c r="F135" s="162"/>
      <c r="H135" s="361" t="s">
        <v>626</v>
      </c>
      <c r="I135" s="362"/>
      <c r="J135" s="363"/>
    </row>
    <row r="136" spans="1:13" ht="40.200000000000003" thickBot="1">
      <c r="A136" s="201">
        <f t="shared" si="10"/>
        <v>130</v>
      </c>
      <c r="B136" s="155">
        <f t="shared" si="9"/>
        <v>40</v>
      </c>
      <c r="C136" s="158"/>
      <c r="D136" s="159"/>
      <c r="E136" s="162"/>
      <c r="F136" s="162"/>
      <c r="H136" s="141" t="s">
        <v>630</v>
      </c>
      <c r="I136" s="142" t="s">
        <v>631</v>
      </c>
      <c r="J136" s="143" t="s">
        <v>632</v>
      </c>
    </row>
    <row r="137" spans="1:13" s="166" customFormat="1" ht="13.8" thickBot="1">
      <c r="A137" s="201">
        <f t="shared" si="10"/>
        <v>131</v>
      </c>
      <c r="B137" s="155">
        <f t="shared" si="9"/>
        <v>40</v>
      </c>
      <c r="C137" s="364" t="s">
        <v>838</v>
      </c>
      <c r="D137" s="364"/>
      <c r="E137" s="364"/>
      <c r="F137" s="364"/>
      <c r="G137" s="364"/>
      <c r="H137" s="364"/>
      <c r="I137" s="364"/>
      <c r="J137" s="364"/>
    </row>
    <row r="138" spans="1:13">
      <c r="A138" s="201">
        <f t="shared" ref="A138:A180" si="11">+A137+1</f>
        <v>132</v>
      </c>
      <c r="B138" s="155">
        <f t="shared" si="9"/>
        <v>40</v>
      </c>
      <c r="C138" s="347" t="s">
        <v>989</v>
      </c>
      <c r="D138" s="348">
        <f t="shared" ref="D138:D151" si="12">+$D$8</f>
        <v>41043</v>
      </c>
      <c r="E138" s="349">
        <v>1.68</v>
      </c>
      <c r="F138" s="349">
        <f>+'Campus Rate Design'!I66</f>
        <v>7.52</v>
      </c>
      <c r="G138" s="350"/>
      <c r="H138" s="349">
        <f>+'Campus Rate Design'!D66</f>
        <v>3.66</v>
      </c>
      <c r="I138" s="349">
        <f>+'Campus Rate Design'!E66</f>
        <v>3.74</v>
      </c>
      <c r="J138" s="351">
        <f>+'Campus Rate Design'!F66</f>
        <v>6.69</v>
      </c>
      <c r="L138" s="145"/>
      <c r="M138" s="145"/>
    </row>
    <row r="139" spans="1:13">
      <c r="A139" s="201">
        <f t="shared" si="11"/>
        <v>133</v>
      </c>
      <c r="B139" s="155">
        <f t="shared" si="9"/>
        <v>40</v>
      </c>
      <c r="C139" s="352" t="s">
        <v>990</v>
      </c>
      <c r="D139" s="159">
        <f t="shared" si="12"/>
        <v>41043</v>
      </c>
      <c r="E139" s="161">
        <v>5.74</v>
      </c>
      <c r="F139" s="161">
        <f>+'Campus Rate Design'!I67</f>
        <v>7.46</v>
      </c>
      <c r="G139" s="154"/>
      <c r="H139" s="161">
        <f>+'Campus Rate Design'!D67</f>
        <v>3.69</v>
      </c>
      <c r="I139" s="161">
        <f>+'Campus Rate Design'!E67</f>
        <v>3.77</v>
      </c>
      <c r="J139" s="353">
        <f>+'Campus Rate Design'!F67</f>
        <v>6.7</v>
      </c>
      <c r="L139" s="145"/>
      <c r="M139" s="145"/>
    </row>
    <row r="140" spans="1:13">
      <c r="A140" s="201">
        <f t="shared" si="11"/>
        <v>134</v>
      </c>
      <c r="B140" s="155">
        <f t="shared" si="9"/>
        <v>40</v>
      </c>
      <c r="C140" s="352" t="s">
        <v>991</v>
      </c>
      <c r="D140" s="159">
        <f t="shared" si="12"/>
        <v>41043</v>
      </c>
      <c r="E140" s="161">
        <v>1.7999999999999998</v>
      </c>
      <c r="F140" s="161">
        <f>+'Campus Rate Design'!I68</f>
        <v>1.92</v>
      </c>
      <c r="G140" s="154"/>
      <c r="H140" s="161">
        <f>+'Campus Rate Design'!D68</f>
        <v>4.1100000000000003</v>
      </c>
      <c r="I140" s="161">
        <f>+'Campus Rate Design'!E68</f>
        <v>4.2</v>
      </c>
      <c r="J140" s="353">
        <f>+'Campus Rate Design'!F68</f>
        <v>1.92</v>
      </c>
      <c r="L140" s="145"/>
      <c r="M140" s="145"/>
    </row>
    <row r="141" spans="1:13">
      <c r="A141" s="201">
        <f t="shared" si="11"/>
        <v>135</v>
      </c>
      <c r="B141" s="155">
        <f t="shared" si="9"/>
        <v>40</v>
      </c>
      <c r="C141" s="352" t="s">
        <v>992</v>
      </c>
      <c r="D141" s="159">
        <f t="shared" si="12"/>
        <v>41043</v>
      </c>
      <c r="E141" s="161">
        <v>0.83000000000000007</v>
      </c>
      <c r="F141" s="161">
        <f>+'Campus Rate Design'!I69</f>
        <v>1.05</v>
      </c>
      <c r="G141" s="154"/>
      <c r="H141" s="161">
        <f>+'Campus Rate Design'!D69</f>
        <v>4.1100000000000003</v>
      </c>
      <c r="I141" s="161">
        <f>+'Campus Rate Design'!E69</f>
        <v>4.2</v>
      </c>
      <c r="J141" s="353">
        <f>+'Campus Rate Design'!F69</f>
        <v>1.05</v>
      </c>
      <c r="L141" s="145"/>
      <c r="M141" s="145"/>
    </row>
    <row r="142" spans="1:13">
      <c r="A142" s="201">
        <f t="shared" si="11"/>
        <v>136</v>
      </c>
      <c r="B142" s="155">
        <f t="shared" si="9"/>
        <v>40</v>
      </c>
      <c r="C142" s="352" t="s">
        <v>993</v>
      </c>
      <c r="D142" s="159">
        <f t="shared" si="12"/>
        <v>41043</v>
      </c>
      <c r="E142" s="161">
        <v>4.3900000000000006</v>
      </c>
      <c r="F142" s="161">
        <f>+'Campus Rate Design'!I70</f>
        <v>2.95</v>
      </c>
      <c r="G142" s="154"/>
      <c r="H142" s="161">
        <f>+'Campus Rate Design'!D70</f>
        <v>4.0599999999999996</v>
      </c>
      <c r="I142" s="161">
        <f>+'Campus Rate Design'!E70</f>
        <v>4.1399999999999997</v>
      </c>
      <c r="J142" s="353">
        <f>+'Campus Rate Design'!F70</f>
        <v>2.91</v>
      </c>
      <c r="L142" s="145"/>
      <c r="M142" s="145"/>
    </row>
    <row r="143" spans="1:13">
      <c r="A143" s="201">
        <f t="shared" si="11"/>
        <v>137</v>
      </c>
      <c r="B143" s="155">
        <f t="shared" si="9"/>
        <v>40</v>
      </c>
      <c r="C143" s="352" t="s">
        <v>994</v>
      </c>
      <c r="D143" s="159">
        <f t="shared" si="12"/>
        <v>41043</v>
      </c>
      <c r="E143" s="161">
        <v>0.87000000000000011</v>
      </c>
      <c r="F143" s="161">
        <f>+'Campus Rate Design'!I71</f>
        <v>0.72</v>
      </c>
      <c r="G143" s="154"/>
      <c r="H143" s="161">
        <f>+'Campus Rate Design'!D71</f>
        <v>4.1100000000000003</v>
      </c>
      <c r="I143" s="161">
        <f>+'Campus Rate Design'!E71</f>
        <v>4.2</v>
      </c>
      <c r="J143" s="353">
        <f>+'Campus Rate Design'!F71</f>
        <v>0.72</v>
      </c>
      <c r="L143" s="145"/>
      <c r="M143" s="145"/>
    </row>
    <row r="144" spans="1:13">
      <c r="A144" s="201">
        <f t="shared" si="11"/>
        <v>138</v>
      </c>
      <c r="B144" s="155">
        <f t="shared" si="9"/>
        <v>40</v>
      </c>
      <c r="C144" s="352" t="s">
        <v>995</v>
      </c>
      <c r="D144" s="159">
        <f t="shared" si="12"/>
        <v>41043</v>
      </c>
      <c r="E144" s="161">
        <v>1.8599999999999999</v>
      </c>
      <c r="F144" s="161">
        <f>+'Campus Rate Design'!I72</f>
        <v>0</v>
      </c>
      <c r="G144" s="154"/>
      <c r="H144" s="161">
        <f>+'Campus Rate Design'!D72</f>
        <v>0</v>
      </c>
      <c r="I144" s="161">
        <f>+'Campus Rate Design'!E72</f>
        <v>0</v>
      </c>
      <c r="J144" s="353">
        <f>+'Campus Rate Design'!F72</f>
        <v>0</v>
      </c>
      <c r="L144" s="145"/>
      <c r="M144" s="145"/>
    </row>
    <row r="145" spans="1:13">
      <c r="A145" s="201">
        <f t="shared" si="11"/>
        <v>139</v>
      </c>
      <c r="B145" s="155">
        <f t="shared" si="9"/>
        <v>40</v>
      </c>
      <c r="C145" s="352" t="s">
        <v>996</v>
      </c>
      <c r="D145" s="159">
        <f t="shared" si="12"/>
        <v>41043</v>
      </c>
      <c r="E145" s="161">
        <v>1.83</v>
      </c>
      <c r="F145" s="161">
        <f>+'Campus Rate Design'!I73</f>
        <v>3.63</v>
      </c>
      <c r="G145" s="154"/>
      <c r="H145" s="161">
        <f>+'Campus Rate Design'!D73</f>
        <v>4.0999999999999996</v>
      </c>
      <c r="I145" s="161">
        <f>+'Campus Rate Design'!E73</f>
        <v>4.1900000000000004</v>
      </c>
      <c r="J145" s="353">
        <f>+'Campus Rate Design'!F73</f>
        <v>3.62</v>
      </c>
      <c r="L145" s="145"/>
      <c r="M145" s="145"/>
    </row>
    <row r="146" spans="1:13">
      <c r="A146" s="201">
        <f t="shared" si="11"/>
        <v>140</v>
      </c>
      <c r="B146" s="155">
        <f t="shared" si="9"/>
        <v>40</v>
      </c>
      <c r="C146" s="352" t="s">
        <v>997</v>
      </c>
      <c r="D146" s="159">
        <f t="shared" si="12"/>
        <v>41043</v>
      </c>
      <c r="E146" s="161">
        <v>5.8100000000000005</v>
      </c>
      <c r="F146" s="161">
        <f>+'Campus Rate Design'!I74</f>
        <v>9.6900000000000013</v>
      </c>
      <c r="G146" s="154"/>
      <c r="H146" s="161">
        <f>+'Campus Rate Design'!D74</f>
        <v>3.77</v>
      </c>
      <c r="I146" s="161">
        <f>+'Campus Rate Design'!E74</f>
        <v>3.85</v>
      </c>
      <c r="J146" s="353">
        <f>+'Campus Rate Design'!F74</f>
        <v>8.89</v>
      </c>
      <c r="L146" s="145"/>
      <c r="M146" s="145"/>
    </row>
    <row r="147" spans="1:13">
      <c r="A147" s="201">
        <f t="shared" si="11"/>
        <v>141</v>
      </c>
      <c r="B147" s="155">
        <f t="shared" si="9"/>
        <v>40</v>
      </c>
      <c r="C147" s="352" t="s">
        <v>998</v>
      </c>
      <c r="D147" s="159">
        <f t="shared" si="12"/>
        <v>41043</v>
      </c>
      <c r="E147" s="161">
        <v>1.42</v>
      </c>
      <c r="F147" s="161">
        <f>+'Campus Rate Design'!I75</f>
        <v>2.52</v>
      </c>
      <c r="G147" s="154"/>
      <c r="H147" s="161">
        <f>+'Campus Rate Design'!D75</f>
        <v>3.94</v>
      </c>
      <c r="I147" s="161">
        <f>+'Campus Rate Design'!E75</f>
        <v>4.03</v>
      </c>
      <c r="J147" s="353">
        <f>+'Campus Rate Design'!F75</f>
        <v>2.42</v>
      </c>
      <c r="L147" s="145"/>
      <c r="M147" s="145"/>
    </row>
    <row r="148" spans="1:13">
      <c r="A148" s="201">
        <f t="shared" si="11"/>
        <v>142</v>
      </c>
      <c r="B148" s="155">
        <f t="shared" si="9"/>
        <v>40</v>
      </c>
      <c r="C148" s="352" t="s">
        <v>999</v>
      </c>
      <c r="D148" s="159">
        <f t="shared" si="12"/>
        <v>41043</v>
      </c>
      <c r="E148" s="161">
        <v>2.27</v>
      </c>
      <c r="F148" s="161">
        <f>+'Campus Rate Design'!I76</f>
        <v>2.8600000000000003</v>
      </c>
      <c r="G148" s="154"/>
      <c r="H148" s="161">
        <f>+'Campus Rate Design'!D76</f>
        <v>3.9</v>
      </c>
      <c r="I148" s="161">
        <f>+'Campus Rate Design'!E76</f>
        <v>3.99</v>
      </c>
      <c r="J148" s="353">
        <f>+'Campus Rate Design'!F76</f>
        <v>2.71</v>
      </c>
      <c r="L148" s="145"/>
      <c r="M148" s="145"/>
    </row>
    <row r="149" spans="1:13">
      <c r="A149" s="201">
        <f t="shared" si="11"/>
        <v>143</v>
      </c>
      <c r="B149" s="155">
        <f t="shared" si="9"/>
        <v>40</v>
      </c>
      <c r="C149" s="352" t="s">
        <v>1000</v>
      </c>
      <c r="D149" s="159">
        <f t="shared" si="12"/>
        <v>41043</v>
      </c>
      <c r="E149" s="161">
        <v>0.63</v>
      </c>
      <c r="F149" s="161">
        <f>+'Campus Rate Design'!I77</f>
        <v>1.44</v>
      </c>
      <c r="G149" s="154"/>
      <c r="H149" s="161">
        <f>+'Campus Rate Design'!D77</f>
        <v>4</v>
      </c>
      <c r="I149" s="161">
        <f>+'Campus Rate Design'!E77</f>
        <v>4.09</v>
      </c>
      <c r="J149" s="353">
        <f>+'Campus Rate Design'!F77</f>
        <v>1.4</v>
      </c>
      <c r="L149" s="145"/>
      <c r="M149" s="145"/>
    </row>
    <row r="150" spans="1:13">
      <c r="A150" s="201">
        <f t="shared" si="11"/>
        <v>144</v>
      </c>
      <c r="B150" s="155">
        <f t="shared" si="9"/>
        <v>40</v>
      </c>
      <c r="C150" s="352" t="s">
        <v>1001</v>
      </c>
      <c r="D150" s="159">
        <f t="shared" si="12"/>
        <v>41043</v>
      </c>
      <c r="E150" s="161">
        <v>0</v>
      </c>
      <c r="F150" s="161">
        <f>+'Campus Rate Design'!I78</f>
        <v>1.65</v>
      </c>
      <c r="G150" s="154"/>
      <c r="H150" s="161">
        <f>+'Campus Rate Design'!D78</f>
        <v>3.88</v>
      </c>
      <c r="I150" s="161">
        <f>+'Campus Rate Design'!E78</f>
        <v>3.96</v>
      </c>
      <c r="J150" s="353">
        <f>+'Campus Rate Design'!F78</f>
        <v>1.56</v>
      </c>
      <c r="L150" s="145"/>
      <c r="M150" s="145"/>
    </row>
    <row r="151" spans="1:13" ht="13.8" thickBot="1">
      <c r="A151" s="201">
        <f t="shared" si="11"/>
        <v>145</v>
      </c>
      <c r="B151" s="155">
        <f t="shared" si="9"/>
        <v>40</v>
      </c>
      <c r="C151" s="354" t="s">
        <v>1002</v>
      </c>
      <c r="D151" s="355">
        <f t="shared" si="12"/>
        <v>41043</v>
      </c>
      <c r="E151" s="356">
        <v>0</v>
      </c>
      <c r="F151" s="356">
        <f>+'Campus Rate Design'!I79</f>
        <v>8.84</v>
      </c>
      <c r="G151" s="357"/>
      <c r="H151" s="356">
        <f>+'Campus Rate Design'!D79</f>
        <v>4.04</v>
      </c>
      <c r="I151" s="356">
        <f>+'Campus Rate Design'!E79</f>
        <v>4.12</v>
      </c>
      <c r="J151" s="358">
        <f>+'Campus Rate Design'!F79</f>
        <v>8.68</v>
      </c>
      <c r="L151" s="145"/>
      <c r="M151" s="145"/>
    </row>
    <row r="152" spans="1:13">
      <c r="A152" s="201">
        <f t="shared" si="11"/>
        <v>146</v>
      </c>
    </row>
    <row r="153" spans="1:13">
      <c r="A153" s="201">
        <f t="shared" si="11"/>
        <v>147</v>
      </c>
      <c r="B153" s="201">
        <v>46</v>
      </c>
      <c r="C153" s="149" t="s">
        <v>690</v>
      </c>
      <c r="D153" s="149"/>
    </row>
    <row r="154" spans="1:13">
      <c r="A154" s="201">
        <f t="shared" si="11"/>
        <v>148</v>
      </c>
      <c r="B154" s="201">
        <f t="shared" ref="B154:B159" si="13">+$B$153</f>
        <v>46</v>
      </c>
      <c r="C154" s="144" t="s">
        <v>668</v>
      </c>
      <c r="D154" s="146">
        <f>+D108</f>
        <v>41456</v>
      </c>
      <c r="E154" s="148">
        <v>5.4413000000000003E-2</v>
      </c>
      <c r="F154" s="148">
        <f>+'High Voltage Rate Design'!H16</f>
        <v>5.7812000000000002E-2</v>
      </c>
    </row>
    <row r="155" spans="1:13">
      <c r="A155" s="201">
        <f t="shared" si="11"/>
        <v>149</v>
      </c>
      <c r="B155" s="201">
        <f t="shared" si="13"/>
        <v>46</v>
      </c>
      <c r="C155" s="151"/>
      <c r="D155" s="151"/>
    </row>
    <row r="156" spans="1:13">
      <c r="A156" s="201">
        <f t="shared" si="11"/>
        <v>150</v>
      </c>
      <c r="B156" s="201">
        <f t="shared" si="13"/>
        <v>46</v>
      </c>
      <c r="C156" s="144" t="s">
        <v>691</v>
      </c>
      <c r="D156" s="146">
        <f>+$D$8</f>
        <v>41043</v>
      </c>
      <c r="E156" s="147">
        <v>2.09</v>
      </c>
      <c r="F156" s="147">
        <f>+'High Voltage Rate Design'!H21</f>
        <v>2.2200000000000002</v>
      </c>
    </row>
    <row r="157" spans="1:13">
      <c r="A157" s="201">
        <f t="shared" si="11"/>
        <v>151</v>
      </c>
      <c r="B157" s="201">
        <f t="shared" si="13"/>
        <v>46</v>
      </c>
      <c r="C157" s="144"/>
      <c r="D157" s="146"/>
      <c r="E157" s="147"/>
      <c r="F157" s="147"/>
    </row>
    <row r="158" spans="1:13">
      <c r="A158" s="201">
        <f t="shared" si="11"/>
        <v>152</v>
      </c>
      <c r="B158" s="201">
        <f t="shared" si="13"/>
        <v>46</v>
      </c>
      <c r="C158" s="153" t="s">
        <v>692</v>
      </c>
      <c r="D158" s="146">
        <f>+D156</f>
        <v>41043</v>
      </c>
      <c r="E158" s="147">
        <v>25.08</v>
      </c>
      <c r="F158" s="147">
        <f>+'High Voltage Rate Design'!H26</f>
        <v>26.64</v>
      </c>
    </row>
    <row r="159" spans="1:13">
      <c r="A159" s="201">
        <f t="shared" si="11"/>
        <v>153</v>
      </c>
      <c r="B159" s="201">
        <f t="shared" si="13"/>
        <v>46</v>
      </c>
      <c r="C159" s="144" t="s">
        <v>693</v>
      </c>
      <c r="D159" s="146">
        <f>+D154</f>
        <v>41456</v>
      </c>
      <c r="E159" s="148">
        <v>4.8972000000000002E-2</v>
      </c>
      <c r="F159" s="148">
        <f>+'High Voltage Rate Design'!H25</f>
        <v>5.2031000000000001E-2</v>
      </c>
    </row>
    <row r="160" spans="1:13">
      <c r="A160" s="201">
        <f t="shared" si="11"/>
        <v>154</v>
      </c>
    </row>
    <row r="161" spans="1:6">
      <c r="A161" s="201">
        <f t="shared" si="11"/>
        <v>155</v>
      </c>
      <c r="B161" s="201">
        <v>49</v>
      </c>
      <c r="C161" s="167" t="s">
        <v>694</v>
      </c>
      <c r="D161" s="167"/>
    </row>
    <row r="162" spans="1:6">
      <c r="A162" s="201">
        <f t="shared" si="11"/>
        <v>156</v>
      </c>
      <c r="B162" s="201">
        <f>+$B$161</f>
        <v>49</v>
      </c>
      <c r="C162" s="144" t="s">
        <v>668</v>
      </c>
      <c r="D162" s="146">
        <f>+D154</f>
        <v>41456</v>
      </c>
      <c r="E162" s="148">
        <v>5.4413000000000003E-2</v>
      </c>
      <c r="F162" s="148">
        <f>+'High Voltage Rate Design'!H32</f>
        <v>5.7812000000000002E-2</v>
      </c>
    </row>
    <row r="163" spans="1:6">
      <c r="A163" s="201">
        <f t="shared" si="11"/>
        <v>157</v>
      </c>
      <c r="B163" s="201">
        <f>+$B$161</f>
        <v>49</v>
      </c>
      <c r="C163" s="151"/>
      <c r="D163" s="151"/>
    </row>
    <row r="164" spans="1:6">
      <c r="A164" s="201">
        <f t="shared" si="11"/>
        <v>158</v>
      </c>
      <c r="B164" s="201">
        <f>+$B$161</f>
        <v>49</v>
      </c>
      <c r="C164" s="144" t="s">
        <v>695</v>
      </c>
      <c r="D164" s="146">
        <f>+$D$8</f>
        <v>41043</v>
      </c>
      <c r="E164" s="147">
        <v>3.7</v>
      </c>
      <c r="F164" s="147">
        <f>+'High Voltage Rate Design'!H37</f>
        <v>3.93</v>
      </c>
    </row>
    <row r="165" spans="1:6">
      <c r="A165" s="201">
        <f t="shared" si="11"/>
        <v>159</v>
      </c>
    </row>
    <row r="166" spans="1:6">
      <c r="A166" s="201">
        <f t="shared" si="11"/>
        <v>160</v>
      </c>
      <c r="B166" s="201" t="s">
        <v>696</v>
      </c>
      <c r="C166" s="149" t="s">
        <v>697</v>
      </c>
      <c r="D166" s="167"/>
    </row>
    <row r="167" spans="1:6">
      <c r="A167" s="201">
        <f t="shared" si="11"/>
        <v>161</v>
      </c>
      <c r="B167" s="201" t="str">
        <f t="shared" ref="B167:B172" si="14">+$B$166</f>
        <v>448 / 458</v>
      </c>
      <c r="C167" s="153" t="s">
        <v>144</v>
      </c>
      <c r="D167" s="153"/>
    </row>
    <row r="168" spans="1:6">
      <c r="A168" s="201">
        <f t="shared" si="11"/>
        <v>162</v>
      </c>
      <c r="B168" s="201" t="str">
        <f t="shared" si="14"/>
        <v>448 / 458</v>
      </c>
      <c r="C168" s="151" t="s">
        <v>698</v>
      </c>
      <c r="D168" s="146">
        <f>+$D$8</f>
        <v>41043</v>
      </c>
      <c r="E168" s="147">
        <v>995</v>
      </c>
      <c r="F168" s="147">
        <f>+'Transportation Rate Design'!H14</f>
        <v>2165</v>
      </c>
    </row>
    <row r="169" spans="1:6">
      <c r="A169" s="201">
        <f t="shared" si="11"/>
        <v>163</v>
      </c>
      <c r="B169" s="201" t="str">
        <f t="shared" si="14"/>
        <v>448 / 458</v>
      </c>
      <c r="C169" s="168" t="s">
        <v>699</v>
      </c>
      <c r="D169" s="146">
        <f>+D162</f>
        <v>41456</v>
      </c>
      <c r="E169" s="169">
        <v>1.298</v>
      </c>
      <c r="F169" s="169">
        <f>+'Transportation Rate Design'!H21</f>
        <v>0</v>
      </c>
    </row>
    <row r="170" spans="1:6">
      <c r="A170" s="201">
        <f t="shared" si="11"/>
        <v>164</v>
      </c>
      <c r="B170" s="201" t="str">
        <f t="shared" si="14"/>
        <v>448 / 458</v>
      </c>
      <c r="C170" s="153" t="s">
        <v>679</v>
      </c>
      <c r="D170" s="153"/>
    </row>
    <row r="171" spans="1:6">
      <c r="A171" s="201">
        <f t="shared" si="11"/>
        <v>165</v>
      </c>
      <c r="B171" s="201" t="str">
        <f t="shared" si="14"/>
        <v>448 / 458</v>
      </c>
      <c r="C171" s="151" t="s">
        <v>698</v>
      </c>
      <c r="D171" s="146">
        <f>+$D$8</f>
        <v>41043</v>
      </c>
      <c r="E171" s="147">
        <f>+E168</f>
        <v>995</v>
      </c>
      <c r="F171" s="147">
        <f>+F168</f>
        <v>2165</v>
      </c>
    </row>
    <row r="172" spans="1:6">
      <c r="A172" s="201">
        <f t="shared" si="11"/>
        <v>166</v>
      </c>
      <c r="B172" s="201" t="str">
        <f t="shared" si="14"/>
        <v>448 / 458</v>
      </c>
      <c r="C172" s="168" t="s">
        <v>699</v>
      </c>
      <c r="D172" s="146">
        <f>+D169</f>
        <v>41456</v>
      </c>
      <c r="E172" s="170">
        <v>-0.12</v>
      </c>
      <c r="F172" s="170">
        <f>+'Transportation Rate Design'!H22</f>
        <v>0</v>
      </c>
    </row>
    <row r="173" spans="1:6">
      <c r="A173" s="201">
        <f t="shared" si="11"/>
        <v>167</v>
      </c>
      <c r="D173" s="168"/>
      <c r="E173" s="147"/>
      <c r="F173" s="147"/>
    </row>
    <row r="174" spans="1:6">
      <c r="A174" s="201">
        <f t="shared" si="11"/>
        <v>168</v>
      </c>
      <c r="B174" s="150" t="s">
        <v>608</v>
      </c>
      <c r="C174" s="149" t="s">
        <v>700</v>
      </c>
      <c r="D174" s="167"/>
    </row>
    <row r="175" spans="1:6">
      <c r="A175" s="201">
        <f t="shared" si="11"/>
        <v>169</v>
      </c>
      <c r="B175" s="201" t="str">
        <f t="shared" ref="B175:B180" si="15">+$B$174</f>
        <v>449 / 459</v>
      </c>
      <c r="C175" s="153" t="s">
        <v>144</v>
      </c>
      <c r="D175" s="146"/>
    </row>
    <row r="176" spans="1:6">
      <c r="A176" s="201">
        <f t="shared" si="11"/>
        <v>170</v>
      </c>
      <c r="B176" s="201" t="str">
        <f t="shared" si="15"/>
        <v>449 / 459</v>
      </c>
      <c r="C176" s="151" t="s">
        <v>698</v>
      </c>
      <c r="D176" s="146">
        <f>+$D$8</f>
        <v>41043</v>
      </c>
      <c r="E176" s="147">
        <f>+E168</f>
        <v>995</v>
      </c>
      <c r="F176" s="147">
        <f>+F168</f>
        <v>2165</v>
      </c>
    </row>
    <row r="177" spans="1:6">
      <c r="A177" s="201">
        <f t="shared" si="11"/>
        <v>171</v>
      </c>
      <c r="B177" s="201" t="str">
        <f t="shared" si="15"/>
        <v>449 / 459</v>
      </c>
      <c r="C177" s="168" t="s">
        <v>699</v>
      </c>
      <c r="D177" s="146">
        <f>+D169</f>
        <v>41456</v>
      </c>
      <c r="E177" s="169">
        <f>+E169</f>
        <v>1.298</v>
      </c>
      <c r="F177" s="169">
        <f>+F169</f>
        <v>0</v>
      </c>
    </row>
    <row r="178" spans="1:6">
      <c r="A178" s="201">
        <f t="shared" si="11"/>
        <v>172</v>
      </c>
      <c r="B178" s="201" t="str">
        <f t="shared" si="15"/>
        <v>449 / 459</v>
      </c>
      <c r="C178" s="153" t="s">
        <v>679</v>
      </c>
      <c r="D178" s="153"/>
    </row>
    <row r="179" spans="1:6">
      <c r="A179" s="201">
        <f t="shared" si="11"/>
        <v>173</v>
      </c>
      <c r="B179" s="201" t="str">
        <f t="shared" si="15"/>
        <v>449 / 459</v>
      </c>
      <c r="C179" s="151" t="s">
        <v>698</v>
      </c>
      <c r="D179" s="146">
        <f>+$D$8</f>
        <v>41043</v>
      </c>
      <c r="E179" s="147">
        <f>+E171</f>
        <v>995</v>
      </c>
      <c r="F179" s="147">
        <f>+F171</f>
        <v>2165</v>
      </c>
    </row>
    <row r="180" spans="1:6">
      <c r="A180" s="201">
        <f t="shared" si="11"/>
        <v>174</v>
      </c>
      <c r="B180" s="201" t="str">
        <f t="shared" si="15"/>
        <v>449 / 459</v>
      </c>
      <c r="C180" s="168" t="s">
        <v>699</v>
      </c>
      <c r="D180" s="146">
        <f>+D177</f>
        <v>41456</v>
      </c>
      <c r="E180" s="170">
        <f>+E172</f>
        <v>-0.12</v>
      </c>
      <c r="F180" s="170">
        <f>+F172</f>
        <v>0</v>
      </c>
    </row>
  </sheetData>
  <sortState ref="E139:E150">
    <sortCondition ref="E139"/>
  </sortState>
  <mergeCells count="4">
    <mergeCell ref="A1:J1"/>
    <mergeCell ref="A2:J2"/>
    <mergeCell ref="H135:J135"/>
    <mergeCell ref="C137:J137"/>
  </mergeCells>
  <printOptions horizontalCentered="1"/>
  <pageMargins left="0.7" right="0.7" top="0.75" bottom="0.71" header="0.3" footer="0.3"/>
  <pageSetup scale="75" fitToHeight="7" orientation="landscape" r:id="rId1"/>
  <headerFooter alignWithMargins="0">
    <oddFooter>&amp;L&amp;A&amp;RExhibit No.___(JAP-15)
Page &amp;P of &amp;N</oddFooter>
  </headerFooter>
  <rowBreaks count="3" manualBreakCount="3">
    <brk id="52" max="9" man="1"/>
    <brk id="100" max="9" man="1"/>
    <brk id="15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425"/>
  <sheetViews>
    <sheetView zoomScale="110" zoomScaleNormal="11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activeCell="A4" sqref="A4:G4"/>
    </sheetView>
  </sheetViews>
  <sheetFormatPr defaultRowHeight="13.2"/>
  <cols>
    <col min="1" max="1" width="4" style="136" bestFit="1" customWidth="1"/>
    <col min="2" max="2" width="7.09765625" style="136" bestFit="1" customWidth="1"/>
    <col min="3" max="3" width="30.8984375" style="136" bestFit="1" customWidth="1"/>
    <col min="4" max="4" width="21.296875" style="136" bestFit="1" customWidth="1"/>
    <col min="5" max="5" width="11.296875" style="136" customWidth="1"/>
    <col min="6" max="6" width="10.3984375" style="136" customWidth="1"/>
    <col min="7" max="7" width="11.3984375" style="136" customWidth="1"/>
    <col min="8" max="256" width="8.796875" style="136"/>
    <col min="257" max="257" width="4" style="136" bestFit="1" customWidth="1"/>
    <col min="258" max="258" width="7.09765625" style="136" bestFit="1" customWidth="1"/>
    <col min="259" max="259" width="30.8984375" style="136" bestFit="1" customWidth="1"/>
    <col min="260" max="260" width="21.296875" style="136" bestFit="1" customWidth="1"/>
    <col min="261" max="261" width="9.796875" style="136" customWidth="1"/>
    <col min="262" max="262" width="10.3984375" style="136" customWidth="1"/>
    <col min="263" max="263" width="11.3984375" style="136" customWidth="1"/>
    <col min="264" max="512" width="8.796875" style="136"/>
    <col min="513" max="513" width="4" style="136" bestFit="1" customWidth="1"/>
    <col min="514" max="514" width="7.09765625" style="136" bestFit="1" customWidth="1"/>
    <col min="515" max="515" width="30.8984375" style="136" bestFit="1" customWidth="1"/>
    <col min="516" max="516" width="21.296875" style="136" bestFit="1" customWidth="1"/>
    <col min="517" max="517" width="9.796875" style="136" customWidth="1"/>
    <col min="518" max="518" width="10.3984375" style="136" customWidth="1"/>
    <col min="519" max="519" width="11.3984375" style="136" customWidth="1"/>
    <col min="520" max="768" width="8.796875" style="136"/>
    <col min="769" max="769" width="4" style="136" bestFit="1" customWidth="1"/>
    <col min="770" max="770" width="7.09765625" style="136" bestFit="1" customWidth="1"/>
    <col min="771" max="771" width="30.8984375" style="136" bestFit="1" customWidth="1"/>
    <col min="772" max="772" width="21.296875" style="136" bestFit="1" customWidth="1"/>
    <col min="773" max="773" width="9.796875" style="136" customWidth="1"/>
    <col min="774" max="774" width="10.3984375" style="136" customWidth="1"/>
    <col min="775" max="775" width="11.3984375" style="136" customWidth="1"/>
    <col min="776" max="1024" width="8.796875" style="136"/>
    <col min="1025" max="1025" width="4" style="136" bestFit="1" customWidth="1"/>
    <col min="1026" max="1026" width="7.09765625" style="136" bestFit="1" customWidth="1"/>
    <col min="1027" max="1027" width="30.8984375" style="136" bestFit="1" customWidth="1"/>
    <col min="1028" max="1028" width="21.296875" style="136" bestFit="1" customWidth="1"/>
    <col min="1029" max="1029" width="9.796875" style="136" customWidth="1"/>
    <col min="1030" max="1030" width="10.3984375" style="136" customWidth="1"/>
    <col min="1031" max="1031" width="11.3984375" style="136" customWidth="1"/>
    <col min="1032" max="1280" width="8.796875" style="136"/>
    <col min="1281" max="1281" width="4" style="136" bestFit="1" customWidth="1"/>
    <col min="1282" max="1282" width="7.09765625" style="136" bestFit="1" customWidth="1"/>
    <col min="1283" max="1283" width="30.8984375" style="136" bestFit="1" customWidth="1"/>
    <col min="1284" max="1284" width="21.296875" style="136" bestFit="1" customWidth="1"/>
    <col min="1285" max="1285" width="9.796875" style="136" customWidth="1"/>
    <col min="1286" max="1286" width="10.3984375" style="136" customWidth="1"/>
    <col min="1287" max="1287" width="11.3984375" style="136" customWidth="1"/>
    <col min="1288" max="1536" width="8.796875" style="136"/>
    <col min="1537" max="1537" width="4" style="136" bestFit="1" customWidth="1"/>
    <col min="1538" max="1538" width="7.09765625" style="136" bestFit="1" customWidth="1"/>
    <col min="1539" max="1539" width="30.8984375" style="136" bestFit="1" customWidth="1"/>
    <col min="1540" max="1540" width="21.296875" style="136" bestFit="1" customWidth="1"/>
    <col min="1541" max="1541" width="9.796875" style="136" customWidth="1"/>
    <col min="1542" max="1542" width="10.3984375" style="136" customWidth="1"/>
    <col min="1543" max="1543" width="11.3984375" style="136" customWidth="1"/>
    <col min="1544" max="1792" width="8.796875" style="136"/>
    <col min="1793" max="1793" width="4" style="136" bestFit="1" customWidth="1"/>
    <col min="1794" max="1794" width="7.09765625" style="136" bestFit="1" customWidth="1"/>
    <col min="1795" max="1795" width="30.8984375" style="136" bestFit="1" customWidth="1"/>
    <col min="1796" max="1796" width="21.296875" style="136" bestFit="1" customWidth="1"/>
    <col min="1797" max="1797" width="9.796875" style="136" customWidth="1"/>
    <col min="1798" max="1798" width="10.3984375" style="136" customWidth="1"/>
    <col min="1799" max="1799" width="11.3984375" style="136" customWidth="1"/>
    <col min="1800" max="2048" width="8.796875" style="136"/>
    <col min="2049" max="2049" width="4" style="136" bestFit="1" customWidth="1"/>
    <col min="2050" max="2050" width="7.09765625" style="136" bestFit="1" customWidth="1"/>
    <col min="2051" max="2051" width="30.8984375" style="136" bestFit="1" customWidth="1"/>
    <col min="2052" max="2052" width="21.296875" style="136" bestFit="1" customWidth="1"/>
    <col min="2053" max="2053" width="9.796875" style="136" customWidth="1"/>
    <col min="2054" max="2054" width="10.3984375" style="136" customWidth="1"/>
    <col min="2055" max="2055" width="11.3984375" style="136" customWidth="1"/>
    <col min="2056" max="2304" width="8.796875" style="136"/>
    <col min="2305" max="2305" width="4" style="136" bestFit="1" customWidth="1"/>
    <col min="2306" max="2306" width="7.09765625" style="136" bestFit="1" customWidth="1"/>
    <col min="2307" max="2307" width="30.8984375" style="136" bestFit="1" customWidth="1"/>
    <col min="2308" max="2308" width="21.296875" style="136" bestFit="1" customWidth="1"/>
    <col min="2309" max="2309" width="9.796875" style="136" customWidth="1"/>
    <col min="2310" max="2310" width="10.3984375" style="136" customWidth="1"/>
    <col min="2311" max="2311" width="11.3984375" style="136" customWidth="1"/>
    <col min="2312" max="2560" width="8.796875" style="136"/>
    <col min="2561" max="2561" width="4" style="136" bestFit="1" customWidth="1"/>
    <col min="2562" max="2562" width="7.09765625" style="136" bestFit="1" customWidth="1"/>
    <col min="2563" max="2563" width="30.8984375" style="136" bestFit="1" customWidth="1"/>
    <col min="2564" max="2564" width="21.296875" style="136" bestFit="1" customWidth="1"/>
    <col min="2565" max="2565" width="9.796875" style="136" customWidth="1"/>
    <col min="2566" max="2566" width="10.3984375" style="136" customWidth="1"/>
    <col min="2567" max="2567" width="11.3984375" style="136" customWidth="1"/>
    <col min="2568" max="2816" width="8.796875" style="136"/>
    <col min="2817" max="2817" width="4" style="136" bestFit="1" customWidth="1"/>
    <col min="2818" max="2818" width="7.09765625" style="136" bestFit="1" customWidth="1"/>
    <col min="2819" max="2819" width="30.8984375" style="136" bestFit="1" customWidth="1"/>
    <col min="2820" max="2820" width="21.296875" style="136" bestFit="1" customWidth="1"/>
    <col min="2821" max="2821" width="9.796875" style="136" customWidth="1"/>
    <col min="2822" max="2822" width="10.3984375" style="136" customWidth="1"/>
    <col min="2823" max="2823" width="11.3984375" style="136" customWidth="1"/>
    <col min="2824" max="3072" width="8.796875" style="136"/>
    <col min="3073" max="3073" width="4" style="136" bestFit="1" customWidth="1"/>
    <col min="3074" max="3074" width="7.09765625" style="136" bestFit="1" customWidth="1"/>
    <col min="3075" max="3075" width="30.8984375" style="136" bestFit="1" customWidth="1"/>
    <col min="3076" max="3076" width="21.296875" style="136" bestFit="1" customWidth="1"/>
    <col min="3077" max="3077" width="9.796875" style="136" customWidth="1"/>
    <col min="3078" max="3078" width="10.3984375" style="136" customWidth="1"/>
    <col min="3079" max="3079" width="11.3984375" style="136" customWidth="1"/>
    <col min="3080" max="3328" width="8.796875" style="136"/>
    <col min="3329" max="3329" width="4" style="136" bestFit="1" customWidth="1"/>
    <col min="3330" max="3330" width="7.09765625" style="136" bestFit="1" customWidth="1"/>
    <col min="3331" max="3331" width="30.8984375" style="136" bestFit="1" customWidth="1"/>
    <col min="3332" max="3332" width="21.296875" style="136" bestFit="1" customWidth="1"/>
    <col min="3333" max="3333" width="9.796875" style="136" customWidth="1"/>
    <col min="3334" max="3334" width="10.3984375" style="136" customWidth="1"/>
    <col min="3335" max="3335" width="11.3984375" style="136" customWidth="1"/>
    <col min="3336" max="3584" width="8.796875" style="136"/>
    <col min="3585" max="3585" width="4" style="136" bestFit="1" customWidth="1"/>
    <col min="3586" max="3586" width="7.09765625" style="136" bestFit="1" customWidth="1"/>
    <col min="3587" max="3587" width="30.8984375" style="136" bestFit="1" customWidth="1"/>
    <col min="3588" max="3588" width="21.296875" style="136" bestFit="1" customWidth="1"/>
    <col min="3589" max="3589" width="9.796875" style="136" customWidth="1"/>
    <col min="3590" max="3590" width="10.3984375" style="136" customWidth="1"/>
    <col min="3591" max="3591" width="11.3984375" style="136" customWidth="1"/>
    <col min="3592" max="3840" width="8.796875" style="136"/>
    <col min="3841" max="3841" width="4" style="136" bestFit="1" customWidth="1"/>
    <col min="3842" max="3842" width="7.09765625" style="136" bestFit="1" customWidth="1"/>
    <col min="3843" max="3843" width="30.8984375" style="136" bestFit="1" customWidth="1"/>
    <col min="3844" max="3844" width="21.296875" style="136" bestFit="1" customWidth="1"/>
    <col min="3845" max="3845" width="9.796875" style="136" customWidth="1"/>
    <col min="3846" max="3846" width="10.3984375" style="136" customWidth="1"/>
    <col min="3847" max="3847" width="11.3984375" style="136" customWidth="1"/>
    <col min="3848" max="4096" width="8.796875" style="136"/>
    <col min="4097" max="4097" width="4" style="136" bestFit="1" customWidth="1"/>
    <col min="4098" max="4098" width="7.09765625" style="136" bestFit="1" customWidth="1"/>
    <col min="4099" max="4099" width="30.8984375" style="136" bestFit="1" customWidth="1"/>
    <col min="4100" max="4100" width="21.296875" style="136" bestFit="1" customWidth="1"/>
    <col min="4101" max="4101" width="9.796875" style="136" customWidth="1"/>
    <col min="4102" max="4102" width="10.3984375" style="136" customWidth="1"/>
    <col min="4103" max="4103" width="11.3984375" style="136" customWidth="1"/>
    <col min="4104" max="4352" width="8.796875" style="136"/>
    <col min="4353" max="4353" width="4" style="136" bestFit="1" customWidth="1"/>
    <col min="4354" max="4354" width="7.09765625" style="136" bestFit="1" customWidth="1"/>
    <col min="4355" max="4355" width="30.8984375" style="136" bestFit="1" customWidth="1"/>
    <col min="4356" max="4356" width="21.296875" style="136" bestFit="1" customWidth="1"/>
    <col min="4357" max="4357" width="9.796875" style="136" customWidth="1"/>
    <col min="4358" max="4358" width="10.3984375" style="136" customWidth="1"/>
    <col min="4359" max="4359" width="11.3984375" style="136" customWidth="1"/>
    <col min="4360" max="4608" width="8.796875" style="136"/>
    <col min="4609" max="4609" width="4" style="136" bestFit="1" customWidth="1"/>
    <col min="4610" max="4610" width="7.09765625" style="136" bestFit="1" customWidth="1"/>
    <col min="4611" max="4611" width="30.8984375" style="136" bestFit="1" customWidth="1"/>
    <col min="4612" max="4612" width="21.296875" style="136" bestFit="1" customWidth="1"/>
    <col min="4613" max="4613" width="9.796875" style="136" customWidth="1"/>
    <col min="4614" max="4614" width="10.3984375" style="136" customWidth="1"/>
    <col min="4615" max="4615" width="11.3984375" style="136" customWidth="1"/>
    <col min="4616" max="4864" width="8.796875" style="136"/>
    <col min="4865" max="4865" width="4" style="136" bestFit="1" customWidth="1"/>
    <col min="4866" max="4866" width="7.09765625" style="136" bestFit="1" customWidth="1"/>
    <col min="4867" max="4867" width="30.8984375" style="136" bestFit="1" customWidth="1"/>
    <col min="4868" max="4868" width="21.296875" style="136" bestFit="1" customWidth="1"/>
    <col min="4869" max="4869" width="9.796875" style="136" customWidth="1"/>
    <col min="4870" max="4870" width="10.3984375" style="136" customWidth="1"/>
    <col min="4871" max="4871" width="11.3984375" style="136" customWidth="1"/>
    <col min="4872" max="5120" width="8.796875" style="136"/>
    <col min="5121" max="5121" width="4" style="136" bestFit="1" customWidth="1"/>
    <col min="5122" max="5122" width="7.09765625" style="136" bestFit="1" customWidth="1"/>
    <col min="5123" max="5123" width="30.8984375" style="136" bestFit="1" customWidth="1"/>
    <col min="5124" max="5124" width="21.296875" style="136" bestFit="1" customWidth="1"/>
    <col min="5125" max="5125" width="9.796875" style="136" customWidth="1"/>
    <col min="5126" max="5126" width="10.3984375" style="136" customWidth="1"/>
    <col min="5127" max="5127" width="11.3984375" style="136" customWidth="1"/>
    <col min="5128" max="5376" width="8.796875" style="136"/>
    <col min="5377" max="5377" width="4" style="136" bestFit="1" customWidth="1"/>
    <col min="5378" max="5378" width="7.09765625" style="136" bestFit="1" customWidth="1"/>
    <col min="5379" max="5379" width="30.8984375" style="136" bestFit="1" customWidth="1"/>
    <col min="5380" max="5380" width="21.296875" style="136" bestFit="1" customWidth="1"/>
    <col min="5381" max="5381" width="9.796875" style="136" customWidth="1"/>
    <col min="5382" max="5382" width="10.3984375" style="136" customWidth="1"/>
    <col min="5383" max="5383" width="11.3984375" style="136" customWidth="1"/>
    <col min="5384" max="5632" width="8.796875" style="136"/>
    <col min="5633" max="5633" width="4" style="136" bestFit="1" customWidth="1"/>
    <col min="5634" max="5634" width="7.09765625" style="136" bestFit="1" customWidth="1"/>
    <col min="5635" max="5635" width="30.8984375" style="136" bestFit="1" customWidth="1"/>
    <col min="5636" max="5636" width="21.296875" style="136" bestFit="1" customWidth="1"/>
    <col min="5637" max="5637" width="9.796875" style="136" customWidth="1"/>
    <col min="5638" max="5638" width="10.3984375" style="136" customWidth="1"/>
    <col min="5639" max="5639" width="11.3984375" style="136" customWidth="1"/>
    <col min="5640" max="5888" width="8.796875" style="136"/>
    <col min="5889" max="5889" width="4" style="136" bestFit="1" customWidth="1"/>
    <col min="5890" max="5890" width="7.09765625" style="136" bestFit="1" customWidth="1"/>
    <col min="5891" max="5891" width="30.8984375" style="136" bestFit="1" customWidth="1"/>
    <col min="5892" max="5892" width="21.296875" style="136" bestFit="1" customWidth="1"/>
    <col min="5893" max="5893" width="9.796875" style="136" customWidth="1"/>
    <col min="5894" max="5894" width="10.3984375" style="136" customWidth="1"/>
    <col min="5895" max="5895" width="11.3984375" style="136" customWidth="1"/>
    <col min="5896" max="6144" width="8.796875" style="136"/>
    <col min="6145" max="6145" width="4" style="136" bestFit="1" customWidth="1"/>
    <col min="6146" max="6146" width="7.09765625" style="136" bestFit="1" customWidth="1"/>
    <col min="6147" max="6147" width="30.8984375" style="136" bestFit="1" customWidth="1"/>
    <col min="6148" max="6148" width="21.296875" style="136" bestFit="1" customWidth="1"/>
    <col min="6149" max="6149" width="9.796875" style="136" customWidth="1"/>
    <col min="6150" max="6150" width="10.3984375" style="136" customWidth="1"/>
    <col min="6151" max="6151" width="11.3984375" style="136" customWidth="1"/>
    <col min="6152" max="6400" width="8.796875" style="136"/>
    <col min="6401" max="6401" width="4" style="136" bestFit="1" customWidth="1"/>
    <col min="6402" max="6402" width="7.09765625" style="136" bestFit="1" customWidth="1"/>
    <col min="6403" max="6403" width="30.8984375" style="136" bestFit="1" customWidth="1"/>
    <col min="6404" max="6404" width="21.296875" style="136" bestFit="1" customWidth="1"/>
    <col min="6405" max="6405" width="9.796875" style="136" customWidth="1"/>
    <col min="6406" max="6406" width="10.3984375" style="136" customWidth="1"/>
    <col min="6407" max="6407" width="11.3984375" style="136" customWidth="1"/>
    <col min="6408" max="6656" width="8.796875" style="136"/>
    <col min="6657" max="6657" width="4" style="136" bestFit="1" customWidth="1"/>
    <col min="6658" max="6658" width="7.09765625" style="136" bestFit="1" customWidth="1"/>
    <col min="6659" max="6659" width="30.8984375" style="136" bestFit="1" customWidth="1"/>
    <col min="6660" max="6660" width="21.296875" style="136" bestFit="1" customWidth="1"/>
    <col min="6661" max="6661" width="9.796875" style="136" customWidth="1"/>
    <col min="6662" max="6662" width="10.3984375" style="136" customWidth="1"/>
    <col min="6663" max="6663" width="11.3984375" style="136" customWidth="1"/>
    <col min="6664" max="6912" width="8.796875" style="136"/>
    <col min="6913" max="6913" width="4" style="136" bestFit="1" customWidth="1"/>
    <col min="6914" max="6914" width="7.09765625" style="136" bestFit="1" customWidth="1"/>
    <col min="6915" max="6915" width="30.8984375" style="136" bestFit="1" customWidth="1"/>
    <col min="6916" max="6916" width="21.296875" style="136" bestFit="1" customWidth="1"/>
    <col min="6917" max="6917" width="9.796875" style="136" customWidth="1"/>
    <col min="6918" max="6918" width="10.3984375" style="136" customWidth="1"/>
    <col min="6919" max="6919" width="11.3984375" style="136" customWidth="1"/>
    <col min="6920" max="7168" width="8.796875" style="136"/>
    <col min="7169" max="7169" width="4" style="136" bestFit="1" customWidth="1"/>
    <col min="7170" max="7170" width="7.09765625" style="136" bestFit="1" customWidth="1"/>
    <col min="7171" max="7171" width="30.8984375" style="136" bestFit="1" customWidth="1"/>
    <col min="7172" max="7172" width="21.296875" style="136" bestFit="1" customWidth="1"/>
    <col min="7173" max="7173" width="9.796875" style="136" customWidth="1"/>
    <col min="7174" max="7174" width="10.3984375" style="136" customWidth="1"/>
    <col min="7175" max="7175" width="11.3984375" style="136" customWidth="1"/>
    <col min="7176" max="7424" width="8.796875" style="136"/>
    <col min="7425" max="7425" width="4" style="136" bestFit="1" customWidth="1"/>
    <col min="7426" max="7426" width="7.09765625" style="136" bestFit="1" customWidth="1"/>
    <col min="7427" max="7427" width="30.8984375" style="136" bestFit="1" customWidth="1"/>
    <col min="7428" max="7428" width="21.296875" style="136" bestFit="1" customWidth="1"/>
    <col min="7429" max="7429" width="9.796875" style="136" customWidth="1"/>
    <col min="7430" max="7430" width="10.3984375" style="136" customWidth="1"/>
    <col min="7431" max="7431" width="11.3984375" style="136" customWidth="1"/>
    <col min="7432" max="7680" width="8.796875" style="136"/>
    <col min="7681" max="7681" width="4" style="136" bestFit="1" customWidth="1"/>
    <col min="7682" max="7682" width="7.09765625" style="136" bestFit="1" customWidth="1"/>
    <col min="7683" max="7683" width="30.8984375" style="136" bestFit="1" customWidth="1"/>
    <col min="7684" max="7684" width="21.296875" style="136" bestFit="1" customWidth="1"/>
    <col min="7685" max="7685" width="9.796875" style="136" customWidth="1"/>
    <col min="7686" max="7686" width="10.3984375" style="136" customWidth="1"/>
    <col min="7687" max="7687" width="11.3984375" style="136" customWidth="1"/>
    <col min="7688" max="7936" width="8.796875" style="136"/>
    <col min="7937" max="7937" width="4" style="136" bestFit="1" customWidth="1"/>
    <col min="7938" max="7938" width="7.09765625" style="136" bestFit="1" customWidth="1"/>
    <col min="7939" max="7939" width="30.8984375" style="136" bestFit="1" customWidth="1"/>
    <col min="7940" max="7940" width="21.296875" style="136" bestFit="1" customWidth="1"/>
    <col min="7941" max="7941" width="9.796875" style="136" customWidth="1"/>
    <col min="7942" max="7942" width="10.3984375" style="136" customWidth="1"/>
    <col min="7943" max="7943" width="11.3984375" style="136" customWidth="1"/>
    <col min="7944" max="8192" width="8.796875" style="136"/>
    <col min="8193" max="8193" width="4" style="136" bestFit="1" customWidth="1"/>
    <col min="8194" max="8194" width="7.09765625" style="136" bestFit="1" customWidth="1"/>
    <col min="8195" max="8195" width="30.8984375" style="136" bestFit="1" customWidth="1"/>
    <col min="8196" max="8196" width="21.296875" style="136" bestFit="1" customWidth="1"/>
    <col min="8197" max="8197" width="9.796875" style="136" customWidth="1"/>
    <col min="8198" max="8198" width="10.3984375" style="136" customWidth="1"/>
    <col min="8199" max="8199" width="11.3984375" style="136" customWidth="1"/>
    <col min="8200" max="8448" width="8.796875" style="136"/>
    <col min="8449" max="8449" width="4" style="136" bestFit="1" customWidth="1"/>
    <col min="8450" max="8450" width="7.09765625" style="136" bestFit="1" customWidth="1"/>
    <col min="8451" max="8451" width="30.8984375" style="136" bestFit="1" customWidth="1"/>
    <col min="8452" max="8452" width="21.296875" style="136" bestFit="1" customWidth="1"/>
    <col min="8453" max="8453" width="9.796875" style="136" customWidth="1"/>
    <col min="8454" max="8454" width="10.3984375" style="136" customWidth="1"/>
    <col min="8455" max="8455" width="11.3984375" style="136" customWidth="1"/>
    <col min="8456" max="8704" width="8.796875" style="136"/>
    <col min="8705" max="8705" width="4" style="136" bestFit="1" customWidth="1"/>
    <col min="8706" max="8706" width="7.09765625" style="136" bestFit="1" customWidth="1"/>
    <col min="8707" max="8707" width="30.8984375" style="136" bestFit="1" customWidth="1"/>
    <col min="8708" max="8708" width="21.296875" style="136" bestFit="1" customWidth="1"/>
    <col min="8709" max="8709" width="9.796875" style="136" customWidth="1"/>
    <col min="8710" max="8710" width="10.3984375" style="136" customWidth="1"/>
    <col min="8711" max="8711" width="11.3984375" style="136" customWidth="1"/>
    <col min="8712" max="8960" width="8.796875" style="136"/>
    <col min="8961" max="8961" width="4" style="136" bestFit="1" customWidth="1"/>
    <col min="8962" max="8962" width="7.09765625" style="136" bestFit="1" customWidth="1"/>
    <col min="8963" max="8963" width="30.8984375" style="136" bestFit="1" customWidth="1"/>
    <col min="8964" max="8964" width="21.296875" style="136" bestFit="1" customWidth="1"/>
    <col min="8965" max="8965" width="9.796875" style="136" customWidth="1"/>
    <col min="8966" max="8966" width="10.3984375" style="136" customWidth="1"/>
    <col min="8967" max="8967" width="11.3984375" style="136" customWidth="1"/>
    <col min="8968" max="9216" width="8.796875" style="136"/>
    <col min="9217" max="9217" width="4" style="136" bestFit="1" customWidth="1"/>
    <col min="9218" max="9218" width="7.09765625" style="136" bestFit="1" customWidth="1"/>
    <col min="9219" max="9219" width="30.8984375" style="136" bestFit="1" customWidth="1"/>
    <col min="9220" max="9220" width="21.296875" style="136" bestFit="1" customWidth="1"/>
    <col min="9221" max="9221" width="9.796875" style="136" customWidth="1"/>
    <col min="9222" max="9222" width="10.3984375" style="136" customWidth="1"/>
    <col min="9223" max="9223" width="11.3984375" style="136" customWidth="1"/>
    <col min="9224" max="9472" width="8.796875" style="136"/>
    <col min="9473" max="9473" width="4" style="136" bestFit="1" customWidth="1"/>
    <col min="9474" max="9474" width="7.09765625" style="136" bestFit="1" customWidth="1"/>
    <col min="9475" max="9475" width="30.8984375" style="136" bestFit="1" customWidth="1"/>
    <col min="9476" max="9476" width="21.296875" style="136" bestFit="1" customWidth="1"/>
    <col min="9477" max="9477" width="9.796875" style="136" customWidth="1"/>
    <col min="9478" max="9478" width="10.3984375" style="136" customWidth="1"/>
    <col min="9479" max="9479" width="11.3984375" style="136" customWidth="1"/>
    <col min="9480" max="9728" width="8.796875" style="136"/>
    <col min="9729" max="9729" width="4" style="136" bestFit="1" customWidth="1"/>
    <col min="9730" max="9730" width="7.09765625" style="136" bestFit="1" customWidth="1"/>
    <col min="9731" max="9731" width="30.8984375" style="136" bestFit="1" customWidth="1"/>
    <col min="9732" max="9732" width="21.296875" style="136" bestFit="1" customWidth="1"/>
    <col min="9733" max="9733" width="9.796875" style="136" customWidth="1"/>
    <col min="9734" max="9734" width="10.3984375" style="136" customWidth="1"/>
    <col min="9735" max="9735" width="11.3984375" style="136" customWidth="1"/>
    <col min="9736" max="9984" width="8.796875" style="136"/>
    <col min="9985" max="9985" width="4" style="136" bestFit="1" customWidth="1"/>
    <col min="9986" max="9986" width="7.09765625" style="136" bestFit="1" customWidth="1"/>
    <col min="9987" max="9987" width="30.8984375" style="136" bestFit="1" customWidth="1"/>
    <col min="9988" max="9988" width="21.296875" style="136" bestFit="1" customWidth="1"/>
    <col min="9989" max="9989" width="9.796875" style="136" customWidth="1"/>
    <col min="9990" max="9990" width="10.3984375" style="136" customWidth="1"/>
    <col min="9991" max="9991" width="11.3984375" style="136" customWidth="1"/>
    <col min="9992" max="10240" width="8.796875" style="136"/>
    <col min="10241" max="10241" width="4" style="136" bestFit="1" customWidth="1"/>
    <col min="10242" max="10242" width="7.09765625" style="136" bestFit="1" customWidth="1"/>
    <col min="10243" max="10243" width="30.8984375" style="136" bestFit="1" customWidth="1"/>
    <col min="10244" max="10244" width="21.296875" style="136" bestFit="1" customWidth="1"/>
    <col min="10245" max="10245" width="9.796875" style="136" customWidth="1"/>
    <col min="10246" max="10246" width="10.3984375" style="136" customWidth="1"/>
    <col min="10247" max="10247" width="11.3984375" style="136" customWidth="1"/>
    <col min="10248" max="10496" width="8.796875" style="136"/>
    <col min="10497" max="10497" width="4" style="136" bestFit="1" customWidth="1"/>
    <col min="10498" max="10498" width="7.09765625" style="136" bestFit="1" customWidth="1"/>
    <col min="10499" max="10499" width="30.8984375" style="136" bestFit="1" customWidth="1"/>
    <col min="10500" max="10500" width="21.296875" style="136" bestFit="1" customWidth="1"/>
    <col min="10501" max="10501" width="9.796875" style="136" customWidth="1"/>
    <col min="10502" max="10502" width="10.3984375" style="136" customWidth="1"/>
    <col min="10503" max="10503" width="11.3984375" style="136" customWidth="1"/>
    <col min="10504" max="10752" width="8.796875" style="136"/>
    <col min="10753" max="10753" width="4" style="136" bestFit="1" customWidth="1"/>
    <col min="10754" max="10754" width="7.09765625" style="136" bestFit="1" customWidth="1"/>
    <col min="10755" max="10755" width="30.8984375" style="136" bestFit="1" customWidth="1"/>
    <col min="10756" max="10756" width="21.296875" style="136" bestFit="1" customWidth="1"/>
    <col min="10757" max="10757" width="9.796875" style="136" customWidth="1"/>
    <col min="10758" max="10758" width="10.3984375" style="136" customWidth="1"/>
    <col min="10759" max="10759" width="11.3984375" style="136" customWidth="1"/>
    <col min="10760" max="11008" width="8.796875" style="136"/>
    <col min="11009" max="11009" width="4" style="136" bestFit="1" customWidth="1"/>
    <col min="11010" max="11010" width="7.09765625" style="136" bestFit="1" customWidth="1"/>
    <col min="11011" max="11011" width="30.8984375" style="136" bestFit="1" customWidth="1"/>
    <col min="11012" max="11012" width="21.296875" style="136" bestFit="1" customWidth="1"/>
    <col min="11013" max="11013" width="9.796875" style="136" customWidth="1"/>
    <col min="11014" max="11014" width="10.3984375" style="136" customWidth="1"/>
    <col min="11015" max="11015" width="11.3984375" style="136" customWidth="1"/>
    <col min="11016" max="11264" width="8.796875" style="136"/>
    <col min="11265" max="11265" width="4" style="136" bestFit="1" customWidth="1"/>
    <col min="11266" max="11266" width="7.09765625" style="136" bestFit="1" customWidth="1"/>
    <col min="11267" max="11267" width="30.8984375" style="136" bestFit="1" customWidth="1"/>
    <col min="11268" max="11268" width="21.296875" style="136" bestFit="1" customWidth="1"/>
    <col min="11269" max="11269" width="9.796875" style="136" customWidth="1"/>
    <col min="11270" max="11270" width="10.3984375" style="136" customWidth="1"/>
    <col min="11271" max="11271" width="11.3984375" style="136" customWidth="1"/>
    <col min="11272" max="11520" width="8.796875" style="136"/>
    <col min="11521" max="11521" width="4" style="136" bestFit="1" customWidth="1"/>
    <col min="11522" max="11522" width="7.09765625" style="136" bestFit="1" customWidth="1"/>
    <col min="11523" max="11523" width="30.8984375" style="136" bestFit="1" customWidth="1"/>
    <col min="11524" max="11524" width="21.296875" style="136" bestFit="1" customWidth="1"/>
    <col min="11525" max="11525" width="9.796875" style="136" customWidth="1"/>
    <col min="11526" max="11526" width="10.3984375" style="136" customWidth="1"/>
    <col min="11527" max="11527" width="11.3984375" style="136" customWidth="1"/>
    <col min="11528" max="11776" width="8.796875" style="136"/>
    <col min="11777" max="11777" width="4" style="136" bestFit="1" customWidth="1"/>
    <col min="11778" max="11778" width="7.09765625" style="136" bestFit="1" customWidth="1"/>
    <col min="11779" max="11779" width="30.8984375" style="136" bestFit="1" customWidth="1"/>
    <col min="11780" max="11780" width="21.296875" style="136" bestFit="1" customWidth="1"/>
    <col min="11781" max="11781" width="9.796875" style="136" customWidth="1"/>
    <col min="11782" max="11782" width="10.3984375" style="136" customWidth="1"/>
    <col min="11783" max="11783" width="11.3984375" style="136" customWidth="1"/>
    <col min="11784" max="12032" width="8.796875" style="136"/>
    <col min="12033" max="12033" width="4" style="136" bestFit="1" customWidth="1"/>
    <col min="12034" max="12034" width="7.09765625" style="136" bestFit="1" customWidth="1"/>
    <col min="12035" max="12035" width="30.8984375" style="136" bestFit="1" customWidth="1"/>
    <col min="12036" max="12036" width="21.296875" style="136" bestFit="1" customWidth="1"/>
    <col min="12037" max="12037" width="9.796875" style="136" customWidth="1"/>
    <col min="12038" max="12038" width="10.3984375" style="136" customWidth="1"/>
    <col min="12039" max="12039" width="11.3984375" style="136" customWidth="1"/>
    <col min="12040" max="12288" width="8.796875" style="136"/>
    <col min="12289" max="12289" width="4" style="136" bestFit="1" customWidth="1"/>
    <col min="12290" max="12290" width="7.09765625" style="136" bestFit="1" customWidth="1"/>
    <col min="12291" max="12291" width="30.8984375" style="136" bestFit="1" customWidth="1"/>
    <col min="12292" max="12292" width="21.296875" style="136" bestFit="1" customWidth="1"/>
    <col min="12293" max="12293" width="9.796875" style="136" customWidth="1"/>
    <col min="12294" max="12294" width="10.3984375" style="136" customWidth="1"/>
    <col min="12295" max="12295" width="11.3984375" style="136" customWidth="1"/>
    <col min="12296" max="12544" width="8.796875" style="136"/>
    <col min="12545" max="12545" width="4" style="136" bestFit="1" customWidth="1"/>
    <col min="12546" max="12546" width="7.09765625" style="136" bestFit="1" customWidth="1"/>
    <col min="12547" max="12547" width="30.8984375" style="136" bestFit="1" customWidth="1"/>
    <col min="12548" max="12548" width="21.296875" style="136" bestFit="1" customWidth="1"/>
    <col min="12549" max="12549" width="9.796875" style="136" customWidth="1"/>
    <col min="12550" max="12550" width="10.3984375" style="136" customWidth="1"/>
    <col min="12551" max="12551" width="11.3984375" style="136" customWidth="1"/>
    <col min="12552" max="12800" width="8.796875" style="136"/>
    <col min="12801" max="12801" width="4" style="136" bestFit="1" customWidth="1"/>
    <col min="12802" max="12802" width="7.09765625" style="136" bestFit="1" customWidth="1"/>
    <col min="12803" max="12803" width="30.8984375" style="136" bestFit="1" customWidth="1"/>
    <col min="12804" max="12804" width="21.296875" style="136" bestFit="1" customWidth="1"/>
    <col min="12805" max="12805" width="9.796875" style="136" customWidth="1"/>
    <col min="12806" max="12806" width="10.3984375" style="136" customWidth="1"/>
    <col min="12807" max="12807" width="11.3984375" style="136" customWidth="1"/>
    <col min="12808" max="13056" width="8.796875" style="136"/>
    <col min="13057" max="13057" width="4" style="136" bestFit="1" customWidth="1"/>
    <col min="13058" max="13058" width="7.09765625" style="136" bestFit="1" customWidth="1"/>
    <col min="13059" max="13059" width="30.8984375" style="136" bestFit="1" customWidth="1"/>
    <col min="13060" max="13060" width="21.296875" style="136" bestFit="1" customWidth="1"/>
    <col min="13061" max="13061" width="9.796875" style="136" customWidth="1"/>
    <col min="13062" max="13062" width="10.3984375" style="136" customWidth="1"/>
    <col min="13063" max="13063" width="11.3984375" style="136" customWidth="1"/>
    <col min="13064" max="13312" width="8.796875" style="136"/>
    <col min="13313" max="13313" width="4" style="136" bestFit="1" customWidth="1"/>
    <col min="13314" max="13314" width="7.09765625" style="136" bestFit="1" customWidth="1"/>
    <col min="13315" max="13315" width="30.8984375" style="136" bestFit="1" customWidth="1"/>
    <col min="13316" max="13316" width="21.296875" style="136" bestFit="1" customWidth="1"/>
    <col min="13317" max="13317" width="9.796875" style="136" customWidth="1"/>
    <col min="13318" max="13318" width="10.3984375" style="136" customWidth="1"/>
    <col min="13319" max="13319" width="11.3984375" style="136" customWidth="1"/>
    <col min="13320" max="13568" width="8.796875" style="136"/>
    <col min="13569" max="13569" width="4" style="136" bestFit="1" customWidth="1"/>
    <col min="13570" max="13570" width="7.09765625" style="136" bestFit="1" customWidth="1"/>
    <col min="13571" max="13571" width="30.8984375" style="136" bestFit="1" customWidth="1"/>
    <col min="13572" max="13572" width="21.296875" style="136" bestFit="1" customWidth="1"/>
    <col min="13573" max="13573" width="9.796875" style="136" customWidth="1"/>
    <col min="13574" max="13574" width="10.3984375" style="136" customWidth="1"/>
    <col min="13575" max="13575" width="11.3984375" style="136" customWidth="1"/>
    <col min="13576" max="13824" width="8.796875" style="136"/>
    <col min="13825" max="13825" width="4" style="136" bestFit="1" customWidth="1"/>
    <col min="13826" max="13826" width="7.09765625" style="136" bestFit="1" customWidth="1"/>
    <col min="13827" max="13827" width="30.8984375" style="136" bestFit="1" customWidth="1"/>
    <col min="13828" max="13828" width="21.296875" style="136" bestFit="1" customWidth="1"/>
    <col min="13829" max="13829" width="9.796875" style="136" customWidth="1"/>
    <col min="13830" max="13830" width="10.3984375" style="136" customWidth="1"/>
    <col min="13831" max="13831" width="11.3984375" style="136" customWidth="1"/>
    <col min="13832" max="14080" width="8.796875" style="136"/>
    <col min="14081" max="14081" width="4" style="136" bestFit="1" customWidth="1"/>
    <col min="14082" max="14082" width="7.09765625" style="136" bestFit="1" customWidth="1"/>
    <col min="14083" max="14083" width="30.8984375" style="136" bestFit="1" customWidth="1"/>
    <col min="14084" max="14084" width="21.296875" style="136" bestFit="1" customWidth="1"/>
    <col min="14085" max="14085" width="9.796875" style="136" customWidth="1"/>
    <col min="14086" max="14086" width="10.3984375" style="136" customWidth="1"/>
    <col min="14087" max="14087" width="11.3984375" style="136" customWidth="1"/>
    <col min="14088" max="14336" width="8.796875" style="136"/>
    <col min="14337" max="14337" width="4" style="136" bestFit="1" customWidth="1"/>
    <col min="14338" max="14338" width="7.09765625" style="136" bestFit="1" customWidth="1"/>
    <col min="14339" max="14339" width="30.8984375" style="136" bestFit="1" customWidth="1"/>
    <col min="14340" max="14340" width="21.296875" style="136" bestFit="1" customWidth="1"/>
    <col min="14341" max="14341" width="9.796875" style="136" customWidth="1"/>
    <col min="14342" max="14342" width="10.3984375" style="136" customWidth="1"/>
    <col min="14343" max="14343" width="11.3984375" style="136" customWidth="1"/>
    <col min="14344" max="14592" width="8.796875" style="136"/>
    <col min="14593" max="14593" width="4" style="136" bestFit="1" customWidth="1"/>
    <col min="14594" max="14594" width="7.09765625" style="136" bestFit="1" customWidth="1"/>
    <col min="14595" max="14595" width="30.8984375" style="136" bestFit="1" customWidth="1"/>
    <col min="14596" max="14596" width="21.296875" style="136" bestFit="1" customWidth="1"/>
    <col min="14597" max="14597" width="9.796875" style="136" customWidth="1"/>
    <col min="14598" max="14598" width="10.3984375" style="136" customWidth="1"/>
    <col min="14599" max="14599" width="11.3984375" style="136" customWidth="1"/>
    <col min="14600" max="14848" width="8.796875" style="136"/>
    <col min="14849" max="14849" width="4" style="136" bestFit="1" customWidth="1"/>
    <col min="14850" max="14850" width="7.09765625" style="136" bestFit="1" customWidth="1"/>
    <col min="14851" max="14851" width="30.8984375" style="136" bestFit="1" customWidth="1"/>
    <col min="14852" max="14852" width="21.296875" style="136" bestFit="1" customWidth="1"/>
    <col min="14853" max="14853" width="9.796875" style="136" customWidth="1"/>
    <col min="14854" max="14854" width="10.3984375" style="136" customWidth="1"/>
    <col min="14855" max="14855" width="11.3984375" style="136" customWidth="1"/>
    <col min="14856" max="15104" width="8.796875" style="136"/>
    <col min="15105" max="15105" width="4" style="136" bestFit="1" customWidth="1"/>
    <col min="15106" max="15106" width="7.09765625" style="136" bestFit="1" customWidth="1"/>
    <col min="15107" max="15107" width="30.8984375" style="136" bestFit="1" customWidth="1"/>
    <col min="15108" max="15108" width="21.296875" style="136" bestFit="1" customWidth="1"/>
    <col min="15109" max="15109" width="9.796875" style="136" customWidth="1"/>
    <col min="15110" max="15110" width="10.3984375" style="136" customWidth="1"/>
    <col min="15111" max="15111" width="11.3984375" style="136" customWidth="1"/>
    <col min="15112" max="15360" width="8.796875" style="136"/>
    <col min="15361" max="15361" width="4" style="136" bestFit="1" customWidth="1"/>
    <col min="15362" max="15362" width="7.09765625" style="136" bestFit="1" customWidth="1"/>
    <col min="15363" max="15363" width="30.8984375" style="136" bestFit="1" customWidth="1"/>
    <col min="15364" max="15364" width="21.296875" style="136" bestFit="1" customWidth="1"/>
    <col min="15365" max="15365" width="9.796875" style="136" customWidth="1"/>
    <col min="15366" max="15366" width="10.3984375" style="136" customWidth="1"/>
    <col min="15367" max="15367" width="11.3984375" style="136" customWidth="1"/>
    <col min="15368" max="15616" width="8.796875" style="136"/>
    <col min="15617" max="15617" width="4" style="136" bestFit="1" customWidth="1"/>
    <col min="15618" max="15618" width="7.09765625" style="136" bestFit="1" customWidth="1"/>
    <col min="15619" max="15619" width="30.8984375" style="136" bestFit="1" customWidth="1"/>
    <col min="15620" max="15620" width="21.296875" style="136" bestFit="1" customWidth="1"/>
    <col min="15621" max="15621" width="9.796875" style="136" customWidth="1"/>
    <col min="15622" max="15622" width="10.3984375" style="136" customWidth="1"/>
    <col min="15623" max="15623" width="11.3984375" style="136" customWidth="1"/>
    <col min="15624" max="15872" width="8.796875" style="136"/>
    <col min="15873" max="15873" width="4" style="136" bestFit="1" customWidth="1"/>
    <col min="15874" max="15874" width="7.09765625" style="136" bestFit="1" customWidth="1"/>
    <col min="15875" max="15875" width="30.8984375" style="136" bestFit="1" customWidth="1"/>
    <col min="15876" max="15876" width="21.296875" style="136" bestFit="1" customWidth="1"/>
    <col min="15877" max="15877" width="9.796875" style="136" customWidth="1"/>
    <col min="15878" max="15878" width="10.3984375" style="136" customWidth="1"/>
    <col min="15879" max="15879" width="11.3984375" style="136" customWidth="1"/>
    <col min="15880" max="16128" width="8.796875" style="136"/>
    <col min="16129" max="16129" width="4" style="136" bestFit="1" customWidth="1"/>
    <col min="16130" max="16130" width="7.09765625" style="136" bestFit="1" customWidth="1"/>
    <col min="16131" max="16131" width="30.8984375" style="136" bestFit="1" customWidth="1"/>
    <col min="16132" max="16132" width="21.296875" style="136" bestFit="1" customWidth="1"/>
    <col min="16133" max="16133" width="9.796875" style="136" customWidth="1"/>
    <col min="16134" max="16134" width="10.3984375" style="136" customWidth="1"/>
    <col min="16135" max="16135" width="11.3984375" style="136" customWidth="1"/>
    <col min="16136" max="16384" width="8.796875" style="136"/>
  </cols>
  <sheetData>
    <row r="1" spans="1:7">
      <c r="A1" s="137" t="s">
        <v>83</v>
      </c>
      <c r="B1" s="137"/>
      <c r="C1" s="137"/>
      <c r="D1" s="137"/>
      <c r="E1" s="137"/>
      <c r="F1" s="137"/>
      <c r="G1" s="137"/>
    </row>
    <row r="2" spans="1:7">
      <c r="A2" s="137" t="s">
        <v>941</v>
      </c>
      <c r="B2" s="137"/>
      <c r="C2" s="137"/>
      <c r="D2" s="137"/>
      <c r="E2" s="137"/>
      <c r="F2" s="137"/>
      <c r="G2" s="137"/>
    </row>
    <row r="3" spans="1:7">
      <c r="A3" s="137"/>
      <c r="B3" s="137"/>
      <c r="C3" s="137"/>
      <c r="D3" s="137"/>
      <c r="E3" s="137"/>
      <c r="F3" s="137"/>
      <c r="G3" s="137"/>
    </row>
    <row r="4" spans="1:7" s="140" customFormat="1" ht="66">
      <c r="A4" s="138" t="s">
        <v>580</v>
      </c>
      <c r="B4" s="138" t="s">
        <v>627</v>
      </c>
      <c r="C4" s="138" t="s">
        <v>582</v>
      </c>
      <c r="D4" s="138" t="s">
        <v>701</v>
      </c>
      <c r="E4" s="138" t="str">
        <f>+'Tariff Summary'!D5</f>
        <v>Base Effective Date</v>
      </c>
      <c r="F4" s="138" t="str">
        <f>+'Tariff Summary'!E5</f>
        <v>Proforma Rates</v>
      </c>
      <c r="G4" s="138" t="str">
        <f>+'Tariff Summary'!F5</f>
        <v>Proposed
Rates
Effective
December 2017</v>
      </c>
    </row>
    <row r="5" spans="1:7">
      <c r="D5" s="201"/>
      <c r="E5" s="140" t="s">
        <v>585</v>
      </c>
      <c r="F5" s="140" t="s">
        <v>586</v>
      </c>
      <c r="G5" s="140" t="s">
        <v>587</v>
      </c>
    </row>
    <row r="6" spans="1:7">
      <c r="A6" s="201">
        <v>1</v>
      </c>
      <c r="B6" s="201">
        <v>50</v>
      </c>
      <c r="C6" s="167" t="s">
        <v>702</v>
      </c>
      <c r="D6" s="201" t="s">
        <v>703</v>
      </c>
      <c r="E6" s="146">
        <v>41456</v>
      </c>
      <c r="F6" s="145">
        <v>0.87</v>
      </c>
      <c r="G6" s="145">
        <f>+'Lighting Rate Design'!H28</f>
        <v>0.73</v>
      </c>
    </row>
    <row r="7" spans="1:7">
      <c r="A7" s="201">
        <f>+A6+1</f>
        <v>2</v>
      </c>
      <c r="B7" s="201">
        <f>+$B$6</f>
        <v>50</v>
      </c>
      <c r="C7" s="136" t="s">
        <v>704</v>
      </c>
      <c r="D7" s="201" t="s">
        <v>705</v>
      </c>
      <c r="E7" s="146">
        <f>+$E$6</f>
        <v>41456</v>
      </c>
      <c r="F7" s="145">
        <v>5.94</v>
      </c>
      <c r="G7" s="145">
        <f>+'Lighting Rate Design'!H30</f>
        <v>5.63</v>
      </c>
    </row>
    <row r="8" spans="1:7">
      <c r="A8" s="201">
        <f t="shared" ref="A8:A71" si="0">+A7+1</f>
        <v>3</v>
      </c>
      <c r="B8" s="201">
        <f>+B7</f>
        <v>50</v>
      </c>
      <c r="C8" s="136" t="s">
        <v>704</v>
      </c>
      <c r="D8" s="201" t="s">
        <v>706</v>
      </c>
      <c r="E8" s="146">
        <f>+$E$6</f>
        <v>41456</v>
      </c>
      <c r="F8" s="145">
        <v>8.74</v>
      </c>
      <c r="G8" s="145">
        <f>+'Lighting Rate Design'!H31</f>
        <v>8.1300000000000008</v>
      </c>
    </row>
    <row r="9" spans="1:7">
      <c r="A9" s="201">
        <f t="shared" si="0"/>
        <v>4</v>
      </c>
      <c r="B9" s="201">
        <f>+B8</f>
        <v>50</v>
      </c>
      <c r="C9" s="136" t="s">
        <v>704</v>
      </c>
      <c r="D9" s="201" t="s">
        <v>707</v>
      </c>
      <c r="E9" s="146">
        <f>+$E$6</f>
        <v>41456</v>
      </c>
      <c r="F9" s="145">
        <v>17.149999999999999</v>
      </c>
      <c r="G9" s="145">
        <f>+'Lighting Rate Design'!H32</f>
        <v>15.61</v>
      </c>
    </row>
    <row r="10" spans="1:7">
      <c r="A10" s="201">
        <f t="shared" si="0"/>
        <v>5</v>
      </c>
      <c r="B10" s="201"/>
      <c r="D10" s="201"/>
    </row>
    <row r="11" spans="1:7">
      <c r="A11" s="201">
        <f t="shared" si="0"/>
        <v>6</v>
      </c>
      <c r="B11" s="201">
        <f>+$B$6</f>
        <v>50</v>
      </c>
      <c r="C11" s="136" t="s">
        <v>708</v>
      </c>
      <c r="D11" s="201" t="s">
        <v>705</v>
      </c>
      <c r="E11" s="146">
        <f>+$E$6</f>
        <v>41456</v>
      </c>
      <c r="F11" s="145">
        <v>4.05</v>
      </c>
      <c r="G11" s="145">
        <f>+'Lighting Rate Design'!H34</f>
        <v>3.33</v>
      </c>
    </row>
    <row r="12" spans="1:7">
      <c r="A12" s="201">
        <f t="shared" si="0"/>
        <v>7</v>
      </c>
      <c r="B12" s="201">
        <f>+$B$6</f>
        <v>50</v>
      </c>
      <c r="C12" s="136" t="s">
        <v>708</v>
      </c>
      <c r="D12" s="201" t="s">
        <v>706</v>
      </c>
      <c r="E12" s="146">
        <f>+$E$6</f>
        <v>41456</v>
      </c>
      <c r="F12" s="145">
        <v>6.85</v>
      </c>
      <c r="G12" s="145">
        <f>+'Lighting Rate Design'!H35</f>
        <v>5.82</v>
      </c>
    </row>
    <row r="13" spans="1:7">
      <c r="A13" s="201">
        <f t="shared" si="0"/>
        <v>8</v>
      </c>
      <c r="B13" s="201">
        <f>+$B$6</f>
        <v>50</v>
      </c>
      <c r="C13" s="136" t="s">
        <v>708</v>
      </c>
      <c r="D13" s="201" t="s">
        <v>707</v>
      </c>
      <c r="E13" s="146">
        <f>+$E$6</f>
        <v>41456</v>
      </c>
      <c r="F13" s="145">
        <v>15.14</v>
      </c>
      <c r="G13" s="145">
        <f>+'Lighting Rate Design'!H36</f>
        <v>13.31</v>
      </c>
    </row>
    <row r="14" spans="1:7">
      <c r="A14" s="201">
        <f t="shared" si="0"/>
        <v>9</v>
      </c>
      <c r="B14" s="201">
        <f>+$B$6</f>
        <v>50</v>
      </c>
      <c r="C14" s="136" t="s">
        <v>708</v>
      </c>
      <c r="D14" s="201" t="s">
        <v>709</v>
      </c>
      <c r="E14" s="146">
        <f>+$E$6</f>
        <v>41456</v>
      </c>
      <c r="F14" s="145">
        <v>28.57</v>
      </c>
      <c r="G14" s="145">
        <f>+'Lighting Rate Design'!H37</f>
        <v>23.28</v>
      </c>
    </row>
    <row r="15" spans="1:7">
      <c r="A15" s="201">
        <f t="shared" si="0"/>
        <v>10</v>
      </c>
      <c r="B15" s="201"/>
      <c r="D15" s="201"/>
    </row>
    <row r="16" spans="1:7">
      <c r="A16" s="201">
        <f t="shared" si="0"/>
        <v>11</v>
      </c>
      <c r="B16" s="201">
        <v>51</v>
      </c>
      <c r="C16" s="136" t="s">
        <v>710</v>
      </c>
      <c r="D16" s="201" t="s">
        <v>711</v>
      </c>
      <c r="E16" s="146">
        <v>41043</v>
      </c>
      <c r="F16" s="171">
        <v>1.4670000000000001E-2</v>
      </c>
      <c r="G16" s="171">
        <f>+'Lighting Rate Design'!H103</f>
        <v>1.5568301436960301E-2</v>
      </c>
    </row>
    <row r="17" spans="1:7">
      <c r="A17" s="201">
        <f t="shared" si="0"/>
        <v>12</v>
      </c>
      <c r="B17" s="201">
        <f>+$B$16</f>
        <v>51</v>
      </c>
      <c r="C17" s="136" t="s">
        <v>710</v>
      </c>
      <c r="D17" s="201" t="s">
        <v>712</v>
      </c>
      <c r="E17" s="146">
        <v>41043</v>
      </c>
      <c r="F17" s="171">
        <v>1.72E-3</v>
      </c>
      <c r="G17" s="171">
        <f>+'Lighting Rate Design'!H104</f>
        <v>2.3191009029893696E-3</v>
      </c>
    </row>
    <row r="18" spans="1:7">
      <c r="A18" s="201">
        <f t="shared" si="0"/>
        <v>13</v>
      </c>
      <c r="B18" s="201"/>
      <c r="D18" s="201"/>
    </row>
    <row r="19" spans="1:7">
      <c r="A19" s="201">
        <f t="shared" si="0"/>
        <v>14</v>
      </c>
      <c r="B19" s="201">
        <f t="shared" ref="B19:B72" si="1">+$B$16</f>
        <v>51</v>
      </c>
      <c r="C19" s="149" t="s">
        <v>713</v>
      </c>
      <c r="D19" s="201" t="s">
        <v>714</v>
      </c>
      <c r="E19" s="146">
        <f>+E14</f>
        <v>41456</v>
      </c>
      <c r="F19" s="145">
        <v>1.1399999999999999</v>
      </c>
      <c r="G19" s="145">
        <f>+'Lighting Rate Design'!H48</f>
        <v>1.5</v>
      </c>
    </row>
    <row r="20" spans="1:7">
      <c r="A20" s="201">
        <f t="shared" si="0"/>
        <v>15</v>
      </c>
      <c r="B20" s="201">
        <f t="shared" si="1"/>
        <v>51</v>
      </c>
      <c r="C20" s="149" t="s">
        <v>713</v>
      </c>
      <c r="D20" s="201" t="s">
        <v>715</v>
      </c>
      <c r="E20" s="146">
        <f>+E19</f>
        <v>41456</v>
      </c>
      <c r="F20" s="145">
        <v>1.3499999999999999</v>
      </c>
      <c r="G20" s="145">
        <f>+'Lighting Rate Design'!H49</f>
        <v>1.5</v>
      </c>
    </row>
    <row r="21" spans="1:7">
      <c r="A21" s="201">
        <f t="shared" si="0"/>
        <v>16</v>
      </c>
      <c r="B21" s="201">
        <f t="shared" si="1"/>
        <v>51</v>
      </c>
      <c r="C21" s="149" t="s">
        <v>713</v>
      </c>
      <c r="D21" s="201" t="s">
        <v>716</v>
      </c>
      <c r="E21" s="146">
        <f t="shared" ref="E21:E72" si="2">+E20</f>
        <v>41456</v>
      </c>
      <c r="F21" s="145">
        <v>1.49</v>
      </c>
      <c r="G21" s="145">
        <f>+'Lighting Rate Design'!H50</f>
        <v>1.5</v>
      </c>
    </row>
    <row r="22" spans="1:7">
      <c r="A22" s="201">
        <f t="shared" si="0"/>
        <v>17</v>
      </c>
      <c r="B22" s="201">
        <f t="shared" si="1"/>
        <v>51</v>
      </c>
      <c r="C22" s="149" t="s">
        <v>713</v>
      </c>
      <c r="D22" s="201" t="s">
        <v>717</v>
      </c>
      <c r="E22" s="146">
        <f t="shared" si="2"/>
        <v>41456</v>
      </c>
      <c r="F22" s="145">
        <v>1.67</v>
      </c>
      <c r="G22" s="145">
        <f>+'Lighting Rate Design'!H51</f>
        <v>1.5</v>
      </c>
    </row>
    <row r="23" spans="1:7">
      <c r="A23" s="201">
        <f t="shared" si="0"/>
        <v>18</v>
      </c>
      <c r="B23" s="201">
        <f t="shared" si="1"/>
        <v>51</v>
      </c>
      <c r="C23" s="149" t="s">
        <v>713</v>
      </c>
      <c r="D23" s="201" t="s">
        <v>718</v>
      </c>
      <c r="E23" s="146">
        <f t="shared" si="2"/>
        <v>41456</v>
      </c>
      <c r="F23" s="145">
        <v>1.8399999999999999</v>
      </c>
      <c r="G23" s="145">
        <f>+'Lighting Rate Design'!H52</f>
        <v>1.5</v>
      </c>
    </row>
    <row r="24" spans="1:7">
      <c r="A24" s="201">
        <f t="shared" si="0"/>
        <v>19</v>
      </c>
      <c r="B24" s="201">
        <f t="shared" si="1"/>
        <v>51</v>
      </c>
      <c r="C24" s="149" t="s">
        <v>713</v>
      </c>
      <c r="D24" s="201" t="s">
        <v>719</v>
      </c>
      <c r="E24" s="146">
        <f t="shared" si="2"/>
        <v>41456</v>
      </c>
      <c r="F24" s="145">
        <v>2.0299999999999998</v>
      </c>
      <c r="G24" s="145">
        <f>+'Lighting Rate Design'!H53</f>
        <v>1.5</v>
      </c>
    </row>
    <row r="25" spans="1:7">
      <c r="A25" s="201">
        <f t="shared" si="0"/>
        <v>20</v>
      </c>
      <c r="B25" s="201">
        <f t="shared" si="1"/>
        <v>51</v>
      </c>
      <c r="C25" s="149" t="s">
        <v>713</v>
      </c>
      <c r="D25" s="201" t="s">
        <v>720</v>
      </c>
      <c r="E25" s="146">
        <f t="shared" si="2"/>
        <v>41456</v>
      </c>
      <c r="F25" s="145">
        <v>2.2000000000000002</v>
      </c>
      <c r="G25" s="145">
        <f>+'Lighting Rate Design'!H54</f>
        <v>2.4900000000000002</v>
      </c>
    </row>
    <row r="26" spans="1:7">
      <c r="A26" s="201">
        <f t="shared" si="0"/>
        <v>21</v>
      </c>
      <c r="B26" s="201">
        <f t="shared" si="1"/>
        <v>51</v>
      </c>
      <c r="C26" s="149" t="s">
        <v>713</v>
      </c>
      <c r="D26" s="201" t="s">
        <v>721</v>
      </c>
      <c r="E26" s="146">
        <f t="shared" si="2"/>
        <v>41456</v>
      </c>
      <c r="F26" s="145">
        <v>2.3800000000000003</v>
      </c>
      <c r="G26" s="145">
        <f>+'Lighting Rate Design'!H55</f>
        <v>2.4900000000000002</v>
      </c>
    </row>
    <row r="27" spans="1:7">
      <c r="A27" s="201">
        <f t="shared" si="0"/>
        <v>22</v>
      </c>
      <c r="B27" s="201">
        <f t="shared" si="1"/>
        <v>51</v>
      </c>
      <c r="C27" s="149" t="s">
        <v>713</v>
      </c>
      <c r="D27" s="201" t="s">
        <v>722</v>
      </c>
      <c r="E27" s="146">
        <f t="shared" si="2"/>
        <v>41456</v>
      </c>
      <c r="F27" s="145">
        <v>2.5499999999999998</v>
      </c>
      <c r="G27" s="145">
        <f>+'Lighting Rate Design'!H56</f>
        <v>2.4900000000000002</v>
      </c>
    </row>
    <row r="28" spans="1:7">
      <c r="A28" s="201">
        <f t="shared" si="0"/>
        <v>23</v>
      </c>
      <c r="B28" s="201">
        <f t="shared" si="1"/>
        <v>51</v>
      </c>
      <c r="C28" s="149" t="s">
        <v>713</v>
      </c>
      <c r="D28" s="201" t="s">
        <v>723</v>
      </c>
      <c r="E28" s="146">
        <f t="shared" si="2"/>
        <v>41456</v>
      </c>
      <c r="F28" s="145">
        <v>2.73</v>
      </c>
      <c r="G28" s="145">
        <f>+'Lighting Rate Design'!H57</f>
        <v>2.4900000000000002</v>
      </c>
    </row>
    <row r="29" spans="1:7">
      <c r="A29" s="201">
        <f t="shared" si="0"/>
        <v>24</v>
      </c>
      <c r="B29" s="201">
        <f t="shared" si="1"/>
        <v>51</v>
      </c>
      <c r="C29" s="149" t="s">
        <v>713</v>
      </c>
      <c r="D29" s="201" t="s">
        <v>724</v>
      </c>
      <c r="E29" s="146">
        <f t="shared" si="2"/>
        <v>41456</v>
      </c>
      <c r="F29" s="145">
        <v>2.9000000000000004</v>
      </c>
      <c r="G29" s="145">
        <f>+'Lighting Rate Design'!H58</f>
        <v>2.4900000000000002</v>
      </c>
    </row>
    <row r="30" spans="1:7">
      <c r="A30" s="201">
        <f t="shared" si="0"/>
        <v>25</v>
      </c>
      <c r="B30" s="201">
        <f t="shared" si="1"/>
        <v>51</v>
      </c>
      <c r="C30" s="149" t="s">
        <v>713</v>
      </c>
      <c r="D30" s="201" t="s">
        <v>725</v>
      </c>
      <c r="E30" s="146">
        <f t="shared" si="2"/>
        <v>41456</v>
      </c>
      <c r="F30" s="145">
        <v>3.07</v>
      </c>
      <c r="G30" s="145">
        <f>+'Lighting Rate Design'!H59</f>
        <v>2.4900000000000002</v>
      </c>
    </row>
    <row r="31" spans="1:7">
      <c r="A31" s="201">
        <f t="shared" si="0"/>
        <v>26</v>
      </c>
      <c r="B31" s="201">
        <f t="shared" si="1"/>
        <v>51</v>
      </c>
      <c r="C31" s="149" t="s">
        <v>713</v>
      </c>
      <c r="D31" s="201" t="s">
        <v>726</v>
      </c>
      <c r="E31" s="146">
        <f t="shared" si="2"/>
        <v>41456</v>
      </c>
      <c r="F31" s="145">
        <v>3.26</v>
      </c>
      <c r="G31" s="145">
        <f>+'Lighting Rate Design'!H60</f>
        <v>3.49</v>
      </c>
    </row>
    <row r="32" spans="1:7">
      <c r="A32" s="201">
        <f t="shared" si="0"/>
        <v>27</v>
      </c>
      <c r="B32" s="201">
        <f t="shared" si="1"/>
        <v>51</v>
      </c>
      <c r="C32" s="149" t="s">
        <v>713</v>
      </c>
      <c r="D32" s="201" t="s">
        <v>727</v>
      </c>
      <c r="E32" s="146">
        <f t="shared" si="2"/>
        <v>41456</v>
      </c>
      <c r="F32" s="145">
        <v>3.43</v>
      </c>
      <c r="G32" s="145">
        <f>+'Lighting Rate Design'!H61</f>
        <v>3.49</v>
      </c>
    </row>
    <row r="33" spans="1:7">
      <c r="A33" s="201">
        <f t="shared" si="0"/>
        <v>28</v>
      </c>
      <c r="B33" s="201">
        <f t="shared" si="1"/>
        <v>51</v>
      </c>
      <c r="C33" s="149" t="s">
        <v>713</v>
      </c>
      <c r="D33" s="201" t="s">
        <v>728</v>
      </c>
      <c r="E33" s="146">
        <f t="shared" si="2"/>
        <v>41456</v>
      </c>
      <c r="F33" s="145">
        <v>3.6100000000000003</v>
      </c>
      <c r="G33" s="145">
        <f>+'Lighting Rate Design'!H62</f>
        <v>3.49</v>
      </c>
    </row>
    <row r="34" spans="1:7">
      <c r="A34" s="201">
        <f t="shared" si="0"/>
        <v>29</v>
      </c>
      <c r="B34" s="201">
        <f t="shared" si="1"/>
        <v>51</v>
      </c>
      <c r="C34" s="149" t="s">
        <v>713</v>
      </c>
      <c r="D34" s="201" t="s">
        <v>729</v>
      </c>
      <c r="E34" s="146">
        <f t="shared" si="2"/>
        <v>41456</v>
      </c>
      <c r="F34" s="145">
        <v>3.78</v>
      </c>
      <c r="G34" s="145">
        <f>+'Lighting Rate Design'!H63</f>
        <v>3.49</v>
      </c>
    </row>
    <row r="35" spans="1:7">
      <c r="A35" s="201">
        <f t="shared" si="0"/>
        <v>30</v>
      </c>
      <c r="B35" s="201">
        <f t="shared" si="1"/>
        <v>51</v>
      </c>
      <c r="C35" s="149" t="s">
        <v>713</v>
      </c>
      <c r="D35" s="201" t="s">
        <v>730</v>
      </c>
      <c r="E35" s="146">
        <f t="shared" si="2"/>
        <v>41456</v>
      </c>
      <c r="F35" s="145">
        <v>3.96</v>
      </c>
      <c r="G35" s="145">
        <f>+'Lighting Rate Design'!H64</f>
        <v>3.49</v>
      </c>
    </row>
    <row r="36" spans="1:7">
      <c r="A36" s="201">
        <f t="shared" si="0"/>
        <v>31</v>
      </c>
      <c r="B36" s="201">
        <f t="shared" si="1"/>
        <v>51</v>
      </c>
      <c r="C36" s="149" t="s">
        <v>713</v>
      </c>
      <c r="D36" s="201" t="s">
        <v>731</v>
      </c>
      <c r="E36" s="146">
        <f t="shared" si="2"/>
        <v>41456</v>
      </c>
      <c r="F36" s="145">
        <v>4.13</v>
      </c>
      <c r="G36" s="145">
        <f>+'Lighting Rate Design'!H65</f>
        <v>3.49</v>
      </c>
    </row>
    <row r="37" spans="1:7">
      <c r="A37" s="201">
        <f t="shared" si="0"/>
        <v>32</v>
      </c>
      <c r="B37" s="201">
        <f t="shared" si="1"/>
        <v>51</v>
      </c>
      <c r="C37" s="149" t="s">
        <v>713</v>
      </c>
      <c r="D37" s="201" t="s">
        <v>732</v>
      </c>
      <c r="E37" s="146">
        <f t="shared" si="2"/>
        <v>41456</v>
      </c>
      <c r="F37" s="145">
        <v>4.3100000000000005</v>
      </c>
      <c r="G37" s="145">
        <f>+'Lighting Rate Design'!H66</f>
        <v>4.49</v>
      </c>
    </row>
    <row r="38" spans="1:7">
      <c r="A38" s="201">
        <f t="shared" si="0"/>
        <v>33</v>
      </c>
      <c r="B38" s="201">
        <f t="shared" si="1"/>
        <v>51</v>
      </c>
      <c r="C38" s="149" t="s">
        <v>713</v>
      </c>
      <c r="D38" s="201" t="s">
        <v>733</v>
      </c>
      <c r="E38" s="146">
        <f t="shared" si="2"/>
        <v>41456</v>
      </c>
      <c r="F38" s="145">
        <v>4.49</v>
      </c>
      <c r="G38" s="145">
        <f>+'Lighting Rate Design'!H67</f>
        <v>4.49</v>
      </c>
    </row>
    <row r="39" spans="1:7">
      <c r="A39" s="201">
        <f t="shared" si="0"/>
        <v>34</v>
      </c>
      <c r="B39" s="201">
        <f t="shared" si="1"/>
        <v>51</v>
      </c>
      <c r="C39" s="149" t="s">
        <v>713</v>
      </c>
      <c r="D39" s="201" t="s">
        <v>734</v>
      </c>
      <c r="E39" s="146">
        <f t="shared" si="2"/>
        <v>41456</v>
      </c>
      <c r="F39" s="145">
        <v>4.6599999999999993</v>
      </c>
      <c r="G39" s="145">
        <f>+'Lighting Rate Design'!H68</f>
        <v>4.49</v>
      </c>
    </row>
    <row r="40" spans="1:7">
      <c r="A40" s="201">
        <f t="shared" si="0"/>
        <v>35</v>
      </c>
      <c r="B40" s="201">
        <f t="shared" si="1"/>
        <v>51</v>
      </c>
      <c r="C40" s="149" t="s">
        <v>713</v>
      </c>
      <c r="D40" s="201" t="s">
        <v>735</v>
      </c>
      <c r="E40" s="146">
        <f t="shared" si="2"/>
        <v>41456</v>
      </c>
      <c r="F40" s="145">
        <v>4.84</v>
      </c>
      <c r="G40" s="145">
        <f>+'Lighting Rate Design'!H69</f>
        <v>4.49</v>
      </c>
    </row>
    <row r="41" spans="1:7">
      <c r="A41" s="201">
        <f t="shared" si="0"/>
        <v>36</v>
      </c>
      <c r="B41" s="201">
        <f t="shared" si="1"/>
        <v>51</v>
      </c>
      <c r="C41" s="149" t="s">
        <v>713</v>
      </c>
      <c r="D41" s="201" t="s">
        <v>736</v>
      </c>
      <c r="E41" s="146">
        <f t="shared" si="2"/>
        <v>41456</v>
      </c>
      <c r="F41" s="145">
        <v>5.01</v>
      </c>
      <c r="G41" s="145">
        <f>+'Lighting Rate Design'!H70</f>
        <v>4.49</v>
      </c>
    </row>
    <row r="42" spans="1:7">
      <c r="A42" s="201">
        <f t="shared" si="0"/>
        <v>37</v>
      </c>
      <c r="B42" s="201">
        <f t="shared" si="1"/>
        <v>51</v>
      </c>
      <c r="C42" s="149" t="s">
        <v>713</v>
      </c>
      <c r="D42" s="201" t="s">
        <v>737</v>
      </c>
      <c r="E42" s="146">
        <f t="shared" si="2"/>
        <v>41456</v>
      </c>
      <c r="F42" s="145">
        <v>5.1899999999999995</v>
      </c>
      <c r="G42" s="145">
        <f>+'Lighting Rate Design'!H71</f>
        <v>4.49</v>
      </c>
    </row>
    <row r="43" spans="1:7">
      <c r="A43" s="201">
        <f t="shared" si="0"/>
        <v>38</v>
      </c>
      <c r="B43" s="201">
        <f t="shared" si="1"/>
        <v>51</v>
      </c>
      <c r="C43" s="149" t="s">
        <v>713</v>
      </c>
      <c r="D43" s="201" t="s">
        <v>738</v>
      </c>
      <c r="E43" s="146">
        <f t="shared" si="2"/>
        <v>41456</v>
      </c>
      <c r="F43" s="145">
        <v>5.36</v>
      </c>
      <c r="G43" s="145">
        <f>+'Lighting Rate Design'!H72</f>
        <v>5.49</v>
      </c>
    </row>
    <row r="44" spans="1:7">
      <c r="A44" s="201">
        <f t="shared" si="0"/>
        <v>39</v>
      </c>
      <c r="B44" s="201">
        <f t="shared" si="1"/>
        <v>51</v>
      </c>
      <c r="C44" s="149" t="s">
        <v>713</v>
      </c>
      <c r="D44" s="201" t="s">
        <v>739</v>
      </c>
      <c r="E44" s="146">
        <f t="shared" si="2"/>
        <v>41456</v>
      </c>
      <c r="F44" s="145">
        <v>5.54</v>
      </c>
      <c r="G44" s="145">
        <f>+'Lighting Rate Design'!H73</f>
        <v>5.49</v>
      </c>
    </row>
    <row r="45" spans="1:7">
      <c r="A45" s="201">
        <f t="shared" si="0"/>
        <v>40</v>
      </c>
      <c r="B45" s="201">
        <f t="shared" si="1"/>
        <v>51</v>
      </c>
      <c r="C45" s="149" t="s">
        <v>713</v>
      </c>
      <c r="D45" s="201" t="s">
        <v>740</v>
      </c>
      <c r="E45" s="146">
        <f t="shared" si="2"/>
        <v>41456</v>
      </c>
      <c r="F45" s="145">
        <v>5.7200000000000006</v>
      </c>
      <c r="G45" s="145">
        <f>+'Lighting Rate Design'!H74</f>
        <v>5.49</v>
      </c>
    </row>
    <row r="46" spans="1:7">
      <c r="A46" s="201">
        <f t="shared" si="0"/>
        <v>41</v>
      </c>
      <c r="B46" s="201">
        <f t="shared" si="1"/>
        <v>51</v>
      </c>
      <c r="C46" s="149" t="s">
        <v>713</v>
      </c>
      <c r="D46" s="201" t="s">
        <v>741</v>
      </c>
      <c r="E46" s="146">
        <f t="shared" si="2"/>
        <v>41456</v>
      </c>
      <c r="F46" s="145">
        <v>5.9</v>
      </c>
      <c r="G46" s="145">
        <f>+'Lighting Rate Design'!H75</f>
        <v>5.49</v>
      </c>
    </row>
    <row r="47" spans="1:7">
      <c r="A47" s="201">
        <f t="shared" si="0"/>
        <v>42</v>
      </c>
      <c r="B47" s="201">
        <f t="shared" si="1"/>
        <v>51</v>
      </c>
      <c r="C47" s="149" t="s">
        <v>713</v>
      </c>
      <c r="D47" s="201" t="s">
        <v>742</v>
      </c>
      <c r="E47" s="146">
        <f t="shared" si="2"/>
        <v>41456</v>
      </c>
      <c r="F47" s="145">
        <v>6.0699999999999994</v>
      </c>
      <c r="G47" s="145">
        <f>+'Lighting Rate Design'!H76</f>
        <v>5.49</v>
      </c>
    </row>
    <row r="48" spans="1:7">
      <c r="A48" s="201">
        <f t="shared" si="0"/>
        <v>43</v>
      </c>
      <c r="B48" s="201">
        <f t="shared" si="1"/>
        <v>51</v>
      </c>
      <c r="C48" s="149" t="s">
        <v>713</v>
      </c>
      <c r="D48" s="201" t="s">
        <v>743</v>
      </c>
      <c r="E48" s="146">
        <f t="shared" si="2"/>
        <v>41456</v>
      </c>
      <c r="F48" s="145">
        <v>6.25</v>
      </c>
      <c r="G48" s="145">
        <f>+'Lighting Rate Design'!H77</f>
        <v>5.49</v>
      </c>
    </row>
    <row r="49" spans="1:7">
      <c r="A49" s="201">
        <f t="shared" si="0"/>
        <v>44</v>
      </c>
      <c r="B49" s="201">
        <f t="shared" si="1"/>
        <v>51</v>
      </c>
      <c r="C49" s="149" t="s">
        <v>713</v>
      </c>
      <c r="D49" s="201" t="s">
        <v>744</v>
      </c>
      <c r="E49" s="146">
        <f t="shared" si="2"/>
        <v>41456</v>
      </c>
      <c r="F49" s="145">
        <v>6.42</v>
      </c>
      <c r="G49" s="145">
        <f>+'Lighting Rate Design'!H78</f>
        <v>6.49</v>
      </c>
    </row>
    <row r="50" spans="1:7">
      <c r="A50" s="201">
        <f t="shared" si="0"/>
        <v>45</v>
      </c>
      <c r="B50" s="201">
        <f t="shared" si="1"/>
        <v>51</v>
      </c>
      <c r="C50" s="149" t="s">
        <v>713</v>
      </c>
      <c r="D50" s="201" t="s">
        <v>745</v>
      </c>
      <c r="E50" s="146">
        <f t="shared" si="2"/>
        <v>41456</v>
      </c>
      <c r="F50" s="145">
        <v>6.59</v>
      </c>
      <c r="G50" s="145">
        <f>+'Lighting Rate Design'!H79</f>
        <v>6.49</v>
      </c>
    </row>
    <row r="51" spans="1:7">
      <c r="A51" s="201">
        <f t="shared" si="0"/>
        <v>46</v>
      </c>
      <c r="B51" s="201">
        <f t="shared" si="1"/>
        <v>51</v>
      </c>
      <c r="C51" s="149" t="s">
        <v>713</v>
      </c>
      <c r="D51" s="201" t="s">
        <v>746</v>
      </c>
      <c r="E51" s="146">
        <f t="shared" si="2"/>
        <v>41456</v>
      </c>
      <c r="F51" s="145">
        <v>6.7700000000000005</v>
      </c>
      <c r="G51" s="145">
        <f>+'Lighting Rate Design'!H80</f>
        <v>6.49</v>
      </c>
    </row>
    <row r="52" spans="1:7">
      <c r="A52" s="201">
        <f t="shared" si="0"/>
        <v>47</v>
      </c>
      <c r="B52" s="201">
        <f t="shared" si="1"/>
        <v>51</v>
      </c>
      <c r="C52" s="149" t="s">
        <v>713</v>
      </c>
      <c r="D52" s="201" t="s">
        <v>747</v>
      </c>
      <c r="E52" s="146">
        <f t="shared" si="2"/>
        <v>41456</v>
      </c>
      <c r="F52" s="145">
        <v>6.95</v>
      </c>
      <c r="G52" s="145">
        <f>+'Lighting Rate Design'!H81</f>
        <v>6.49</v>
      </c>
    </row>
    <row r="53" spans="1:7">
      <c r="A53" s="201">
        <f t="shared" si="0"/>
        <v>48</v>
      </c>
      <c r="B53" s="201">
        <f t="shared" si="1"/>
        <v>51</v>
      </c>
      <c r="C53" s="149" t="s">
        <v>713</v>
      </c>
      <c r="D53" s="201" t="s">
        <v>748</v>
      </c>
      <c r="E53" s="146">
        <f t="shared" si="2"/>
        <v>41456</v>
      </c>
      <c r="F53" s="145">
        <v>7.13</v>
      </c>
      <c r="G53" s="145">
        <f>+'Lighting Rate Design'!H82</f>
        <v>6.49</v>
      </c>
    </row>
    <row r="54" spans="1:7">
      <c r="A54" s="201">
        <f t="shared" si="0"/>
        <v>49</v>
      </c>
      <c r="B54" s="201">
        <f t="shared" si="1"/>
        <v>51</v>
      </c>
      <c r="C54" s="149" t="s">
        <v>713</v>
      </c>
      <c r="D54" s="201" t="s">
        <v>749</v>
      </c>
      <c r="E54" s="146">
        <f t="shared" si="2"/>
        <v>41456</v>
      </c>
      <c r="F54" s="145">
        <v>7.3</v>
      </c>
      <c r="G54" s="145">
        <f>+'Lighting Rate Design'!H83</f>
        <v>6.49</v>
      </c>
    </row>
    <row r="55" spans="1:7">
      <c r="A55" s="201">
        <f t="shared" si="0"/>
        <v>50</v>
      </c>
      <c r="B55" s="201">
        <f t="shared" si="1"/>
        <v>51</v>
      </c>
      <c r="C55" s="149" t="s">
        <v>713</v>
      </c>
      <c r="D55" s="201" t="s">
        <v>750</v>
      </c>
      <c r="E55" s="146">
        <f t="shared" si="2"/>
        <v>41456</v>
      </c>
      <c r="F55" s="145">
        <v>7.4799999999999995</v>
      </c>
      <c r="G55" s="145">
        <f>+'Lighting Rate Design'!H84</f>
        <v>7.48</v>
      </c>
    </row>
    <row r="56" spans="1:7">
      <c r="A56" s="201">
        <f t="shared" si="0"/>
        <v>51</v>
      </c>
      <c r="B56" s="201">
        <f t="shared" si="1"/>
        <v>51</v>
      </c>
      <c r="C56" s="149" t="s">
        <v>713</v>
      </c>
      <c r="D56" s="201" t="s">
        <v>751</v>
      </c>
      <c r="E56" s="146">
        <f t="shared" si="2"/>
        <v>41456</v>
      </c>
      <c r="F56" s="145">
        <v>7.6499999999999995</v>
      </c>
      <c r="G56" s="145">
        <f>+'Lighting Rate Design'!H85</f>
        <v>7.48</v>
      </c>
    </row>
    <row r="57" spans="1:7">
      <c r="A57" s="201">
        <f t="shared" si="0"/>
        <v>52</v>
      </c>
      <c r="B57" s="201">
        <f t="shared" si="1"/>
        <v>51</v>
      </c>
      <c r="C57" s="149" t="s">
        <v>713</v>
      </c>
      <c r="D57" s="201" t="s">
        <v>752</v>
      </c>
      <c r="E57" s="146">
        <f t="shared" si="2"/>
        <v>41456</v>
      </c>
      <c r="F57" s="145">
        <v>7.83</v>
      </c>
      <c r="G57" s="145">
        <f>+'Lighting Rate Design'!H86</f>
        <v>7.48</v>
      </c>
    </row>
    <row r="58" spans="1:7">
      <c r="A58" s="201">
        <f t="shared" si="0"/>
        <v>53</v>
      </c>
      <c r="B58" s="201">
        <f t="shared" si="1"/>
        <v>51</v>
      </c>
      <c r="C58" s="149" t="s">
        <v>713</v>
      </c>
      <c r="D58" s="201" t="s">
        <v>753</v>
      </c>
      <c r="E58" s="146">
        <f t="shared" si="2"/>
        <v>41456</v>
      </c>
      <c r="F58" s="145">
        <v>8</v>
      </c>
      <c r="G58" s="145">
        <f>+'Lighting Rate Design'!H87</f>
        <v>7.48</v>
      </c>
    </row>
    <row r="59" spans="1:7">
      <c r="A59" s="201">
        <f t="shared" si="0"/>
        <v>54</v>
      </c>
      <c r="B59" s="201">
        <f t="shared" si="1"/>
        <v>51</v>
      </c>
      <c r="C59" s="149" t="s">
        <v>713</v>
      </c>
      <c r="D59" s="201" t="s">
        <v>754</v>
      </c>
      <c r="E59" s="146">
        <f t="shared" si="2"/>
        <v>41456</v>
      </c>
      <c r="F59" s="145">
        <v>8.19</v>
      </c>
      <c r="G59" s="145">
        <f>+'Lighting Rate Design'!H88</f>
        <v>7.48</v>
      </c>
    </row>
    <row r="60" spans="1:7">
      <c r="A60" s="201">
        <f t="shared" si="0"/>
        <v>55</v>
      </c>
      <c r="B60" s="201">
        <f t="shared" si="1"/>
        <v>51</v>
      </c>
      <c r="C60" s="149" t="s">
        <v>713</v>
      </c>
      <c r="D60" s="201" t="s">
        <v>755</v>
      </c>
      <c r="E60" s="146">
        <f t="shared" si="2"/>
        <v>41456</v>
      </c>
      <c r="F60" s="145">
        <v>8.36</v>
      </c>
      <c r="G60" s="145">
        <f>+'Lighting Rate Design'!H89</f>
        <v>7.48</v>
      </c>
    </row>
    <row r="61" spans="1:7">
      <c r="A61" s="201">
        <f t="shared" si="0"/>
        <v>56</v>
      </c>
      <c r="B61" s="201">
        <f t="shared" si="1"/>
        <v>51</v>
      </c>
      <c r="C61" s="149" t="s">
        <v>713</v>
      </c>
      <c r="D61" s="201" t="s">
        <v>756</v>
      </c>
      <c r="E61" s="146">
        <f t="shared" si="2"/>
        <v>41456</v>
      </c>
      <c r="F61" s="145">
        <v>8.5300000000000011</v>
      </c>
      <c r="G61" s="145">
        <f>+'Lighting Rate Design'!H90</f>
        <v>8.48</v>
      </c>
    </row>
    <row r="62" spans="1:7">
      <c r="A62" s="201">
        <f t="shared" si="0"/>
        <v>57</v>
      </c>
      <c r="B62" s="201">
        <f t="shared" si="1"/>
        <v>51</v>
      </c>
      <c r="C62" s="149" t="s">
        <v>713</v>
      </c>
      <c r="D62" s="201" t="s">
        <v>757</v>
      </c>
      <c r="E62" s="146">
        <f t="shared" si="2"/>
        <v>41456</v>
      </c>
      <c r="F62" s="145">
        <v>8.7100000000000009</v>
      </c>
      <c r="G62" s="145">
        <f>+'Lighting Rate Design'!H91</f>
        <v>8.48</v>
      </c>
    </row>
    <row r="63" spans="1:7">
      <c r="A63" s="201">
        <f t="shared" si="0"/>
        <v>58</v>
      </c>
      <c r="B63" s="201">
        <f t="shared" si="1"/>
        <v>51</v>
      </c>
      <c r="C63" s="149" t="s">
        <v>713</v>
      </c>
      <c r="D63" s="201" t="s">
        <v>758</v>
      </c>
      <c r="E63" s="146">
        <f t="shared" si="2"/>
        <v>41456</v>
      </c>
      <c r="F63" s="145">
        <v>8.8800000000000008</v>
      </c>
      <c r="G63" s="145">
        <f>+'Lighting Rate Design'!H92</f>
        <v>8.48</v>
      </c>
    </row>
    <row r="64" spans="1:7">
      <c r="A64" s="201">
        <f t="shared" si="0"/>
        <v>59</v>
      </c>
      <c r="B64" s="201">
        <f t="shared" si="1"/>
        <v>51</v>
      </c>
      <c r="C64" s="149" t="s">
        <v>713</v>
      </c>
      <c r="D64" s="201" t="s">
        <v>759</v>
      </c>
      <c r="E64" s="146">
        <f t="shared" si="2"/>
        <v>41456</v>
      </c>
      <c r="F64" s="145">
        <v>9.06</v>
      </c>
      <c r="G64" s="145">
        <f>+'Lighting Rate Design'!H93</f>
        <v>8.48</v>
      </c>
    </row>
    <row r="65" spans="1:7">
      <c r="A65" s="201">
        <f t="shared" si="0"/>
        <v>60</v>
      </c>
      <c r="B65" s="201">
        <f t="shared" si="1"/>
        <v>51</v>
      </c>
      <c r="C65" s="149" t="s">
        <v>713</v>
      </c>
      <c r="D65" s="201" t="s">
        <v>760</v>
      </c>
      <c r="E65" s="146">
        <f t="shared" si="2"/>
        <v>41456</v>
      </c>
      <c r="F65" s="145">
        <v>9.23</v>
      </c>
      <c r="G65" s="145">
        <f>+'Lighting Rate Design'!H94</f>
        <v>8.48</v>
      </c>
    </row>
    <row r="66" spans="1:7">
      <c r="A66" s="201">
        <f t="shared" si="0"/>
        <v>61</v>
      </c>
      <c r="B66" s="201">
        <f t="shared" si="1"/>
        <v>51</v>
      </c>
      <c r="C66" s="149" t="s">
        <v>713</v>
      </c>
      <c r="D66" s="201" t="s">
        <v>761</v>
      </c>
      <c r="E66" s="146">
        <f t="shared" si="2"/>
        <v>41456</v>
      </c>
      <c r="F66" s="145">
        <v>9.4200000000000017</v>
      </c>
      <c r="G66" s="145">
        <f>+'Lighting Rate Design'!H95</f>
        <v>8.48</v>
      </c>
    </row>
    <row r="67" spans="1:7">
      <c r="A67" s="201">
        <f t="shared" si="0"/>
        <v>62</v>
      </c>
      <c r="B67" s="201">
        <f t="shared" si="1"/>
        <v>51</v>
      </c>
      <c r="C67" s="149" t="s">
        <v>713</v>
      </c>
      <c r="D67" s="201" t="s">
        <v>762</v>
      </c>
      <c r="E67" s="146">
        <f t="shared" si="2"/>
        <v>41456</v>
      </c>
      <c r="F67" s="145">
        <v>9.59</v>
      </c>
      <c r="G67" s="145">
        <f>+'Lighting Rate Design'!H96</f>
        <v>9.48</v>
      </c>
    </row>
    <row r="68" spans="1:7">
      <c r="A68" s="201">
        <f t="shared" si="0"/>
        <v>63</v>
      </c>
      <c r="B68" s="201">
        <f t="shared" si="1"/>
        <v>51</v>
      </c>
      <c r="C68" s="149" t="s">
        <v>713</v>
      </c>
      <c r="D68" s="201" t="s">
        <v>763</v>
      </c>
      <c r="E68" s="146">
        <f t="shared" si="2"/>
        <v>41456</v>
      </c>
      <c r="F68" s="145">
        <v>9.77</v>
      </c>
      <c r="G68" s="145">
        <f>+'Lighting Rate Design'!H97</f>
        <v>9.48</v>
      </c>
    </row>
    <row r="69" spans="1:7">
      <c r="A69" s="201">
        <f t="shared" si="0"/>
        <v>64</v>
      </c>
      <c r="B69" s="201">
        <f t="shared" si="1"/>
        <v>51</v>
      </c>
      <c r="C69" s="149" t="s">
        <v>713</v>
      </c>
      <c r="D69" s="201" t="s">
        <v>764</v>
      </c>
      <c r="E69" s="146">
        <f t="shared" si="2"/>
        <v>41456</v>
      </c>
      <c r="F69" s="145">
        <v>9.94</v>
      </c>
      <c r="G69" s="145">
        <f>+'Lighting Rate Design'!H98</f>
        <v>9.48</v>
      </c>
    </row>
    <row r="70" spans="1:7">
      <c r="A70" s="201">
        <f t="shared" si="0"/>
        <v>65</v>
      </c>
      <c r="B70" s="201">
        <f t="shared" si="1"/>
        <v>51</v>
      </c>
      <c r="C70" s="149" t="s">
        <v>713</v>
      </c>
      <c r="D70" s="201" t="s">
        <v>765</v>
      </c>
      <c r="E70" s="146">
        <f t="shared" si="2"/>
        <v>41456</v>
      </c>
      <c r="F70" s="145">
        <v>10.119999999999999</v>
      </c>
      <c r="G70" s="145">
        <f>+'Lighting Rate Design'!H99</f>
        <v>9.48</v>
      </c>
    </row>
    <row r="71" spans="1:7">
      <c r="A71" s="201">
        <f t="shared" si="0"/>
        <v>66</v>
      </c>
      <c r="B71" s="201">
        <f t="shared" si="1"/>
        <v>51</v>
      </c>
      <c r="C71" s="149" t="s">
        <v>713</v>
      </c>
      <c r="D71" s="201" t="s">
        <v>766</v>
      </c>
      <c r="E71" s="146">
        <f t="shared" si="2"/>
        <v>41456</v>
      </c>
      <c r="F71" s="145">
        <v>10.29</v>
      </c>
      <c r="G71" s="145">
        <f>+'Lighting Rate Design'!H100</f>
        <v>9.48</v>
      </c>
    </row>
    <row r="72" spans="1:7">
      <c r="A72" s="201">
        <f t="shared" ref="A72:A135" si="3">+A71+1</f>
        <v>67</v>
      </c>
      <c r="B72" s="201">
        <f t="shared" si="1"/>
        <v>51</v>
      </c>
      <c r="C72" s="149" t="s">
        <v>713</v>
      </c>
      <c r="D72" s="201" t="s">
        <v>767</v>
      </c>
      <c r="E72" s="146">
        <f t="shared" si="2"/>
        <v>41456</v>
      </c>
      <c r="F72" s="145">
        <v>10.459999999999999</v>
      </c>
      <c r="G72" s="145">
        <f>+'Lighting Rate Design'!H101</f>
        <v>9.48</v>
      </c>
    </row>
    <row r="73" spans="1:7">
      <c r="A73" s="201">
        <f t="shared" si="3"/>
        <v>68</v>
      </c>
      <c r="B73" s="201"/>
      <c r="D73" s="201"/>
      <c r="E73" s="146"/>
    </row>
    <row r="74" spans="1:7">
      <c r="A74" s="201">
        <f t="shared" si="3"/>
        <v>69</v>
      </c>
      <c r="B74" s="201">
        <v>52</v>
      </c>
      <c r="C74" s="136" t="s">
        <v>768</v>
      </c>
      <c r="D74" s="201" t="s">
        <v>711</v>
      </c>
      <c r="E74" s="146">
        <f>+E19</f>
        <v>41456</v>
      </c>
      <c r="F74" s="171">
        <v>1.567E-2</v>
      </c>
      <c r="G74" s="171">
        <f>+'Lighting Rate Design'!H103</f>
        <v>1.5568301436960301E-2</v>
      </c>
    </row>
    <row r="75" spans="1:7">
      <c r="A75" s="201">
        <f t="shared" si="3"/>
        <v>70</v>
      </c>
      <c r="B75" s="201">
        <f>+$B$74</f>
        <v>52</v>
      </c>
      <c r="C75" s="136" t="s">
        <v>768</v>
      </c>
      <c r="D75" s="201" t="s">
        <v>712</v>
      </c>
      <c r="E75" s="146">
        <f>+E74</f>
        <v>41456</v>
      </c>
      <c r="F75" s="171">
        <v>2.7200000000000002E-3</v>
      </c>
      <c r="G75" s="171">
        <f>+'Lighting Rate Design'!H104</f>
        <v>2.3191009029893696E-3</v>
      </c>
    </row>
    <row r="76" spans="1:7">
      <c r="A76" s="201">
        <f t="shared" si="3"/>
        <v>71</v>
      </c>
      <c r="B76" s="201"/>
      <c r="D76" s="201"/>
    </row>
    <row r="77" spans="1:7">
      <c r="A77" s="201">
        <f t="shared" si="3"/>
        <v>72</v>
      </c>
      <c r="B77" s="201">
        <f t="shared" ref="B77:B84" si="4">+$B$74</f>
        <v>52</v>
      </c>
      <c r="C77" s="136" t="s">
        <v>768</v>
      </c>
      <c r="D77" s="201" t="s">
        <v>769</v>
      </c>
      <c r="E77" s="146">
        <f t="shared" ref="E77:E84" si="5">+$E$6</f>
        <v>41456</v>
      </c>
      <c r="F77" s="145">
        <v>2.02</v>
      </c>
      <c r="G77" s="145">
        <f>+'Lighting Rate Design'!H116</f>
        <v>1.66</v>
      </c>
    </row>
    <row r="78" spans="1:7">
      <c r="A78" s="201">
        <f t="shared" si="3"/>
        <v>73</v>
      </c>
      <c r="B78" s="201">
        <f t="shared" si="4"/>
        <v>52</v>
      </c>
      <c r="C78" s="136" t="s">
        <v>768</v>
      </c>
      <c r="D78" s="201" t="s">
        <v>770</v>
      </c>
      <c r="E78" s="146">
        <f t="shared" si="5"/>
        <v>41456</v>
      </c>
      <c r="F78" s="145">
        <v>2.94</v>
      </c>
      <c r="G78" s="145">
        <f>+'Lighting Rate Design'!H117</f>
        <v>2.33</v>
      </c>
    </row>
    <row r="79" spans="1:7">
      <c r="A79" s="201">
        <f t="shared" si="3"/>
        <v>74</v>
      </c>
      <c r="B79" s="201">
        <f t="shared" si="4"/>
        <v>52</v>
      </c>
      <c r="C79" s="136" t="s">
        <v>768</v>
      </c>
      <c r="D79" s="201" t="s">
        <v>705</v>
      </c>
      <c r="E79" s="146">
        <f t="shared" si="5"/>
        <v>41456</v>
      </c>
      <c r="F79" s="145">
        <v>4.1500000000000004</v>
      </c>
      <c r="G79" s="145">
        <f>+'Lighting Rate Design'!H118</f>
        <v>3.33</v>
      </c>
    </row>
    <row r="80" spans="1:7">
      <c r="A80" s="201">
        <f t="shared" si="3"/>
        <v>75</v>
      </c>
      <c r="B80" s="201">
        <f t="shared" si="4"/>
        <v>52</v>
      </c>
      <c r="C80" s="136" t="s">
        <v>768</v>
      </c>
      <c r="D80" s="201" t="s">
        <v>771</v>
      </c>
      <c r="E80" s="146">
        <f t="shared" si="5"/>
        <v>41456</v>
      </c>
      <c r="F80" s="145">
        <v>6.02</v>
      </c>
      <c r="G80" s="145">
        <f>+'Lighting Rate Design'!H119</f>
        <v>4.99</v>
      </c>
    </row>
    <row r="81" spans="1:7">
      <c r="A81" s="201">
        <f t="shared" si="3"/>
        <v>76</v>
      </c>
      <c r="B81" s="201">
        <f t="shared" si="4"/>
        <v>52</v>
      </c>
      <c r="C81" s="136" t="s">
        <v>768</v>
      </c>
      <c r="D81" s="201" t="s">
        <v>772</v>
      </c>
      <c r="E81" s="146">
        <f t="shared" si="5"/>
        <v>41456</v>
      </c>
      <c r="F81" s="145">
        <v>7.9700000000000006</v>
      </c>
      <c r="G81" s="145">
        <f>+'Lighting Rate Design'!H120</f>
        <v>6.65</v>
      </c>
    </row>
    <row r="82" spans="1:7">
      <c r="A82" s="201">
        <f t="shared" si="3"/>
        <v>77</v>
      </c>
      <c r="B82" s="201">
        <f t="shared" si="4"/>
        <v>52</v>
      </c>
      <c r="C82" s="136" t="s">
        <v>768</v>
      </c>
      <c r="D82" s="201" t="s">
        <v>773</v>
      </c>
      <c r="E82" s="146">
        <f t="shared" si="5"/>
        <v>41456</v>
      </c>
      <c r="F82" s="145">
        <v>9.91</v>
      </c>
      <c r="G82" s="145">
        <f>+'Lighting Rate Design'!H121</f>
        <v>8.32</v>
      </c>
    </row>
    <row r="83" spans="1:7">
      <c r="A83" s="201">
        <f t="shared" si="3"/>
        <v>78</v>
      </c>
      <c r="B83" s="201">
        <f t="shared" si="4"/>
        <v>52</v>
      </c>
      <c r="C83" s="136" t="s">
        <v>768</v>
      </c>
      <c r="D83" s="201" t="s">
        <v>774</v>
      </c>
      <c r="E83" s="146">
        <f t="shared" si="5"/>
        <v>41456</v>
      </c>
      <c r="F83" s="145">
        <v>13.51</v>
      </c>
      <c r="G83" s="145">
        <f>+'Lighting Rate Design'!H122</f>
        <v>10.31</v>
      </c>
    </row>
    <row r="84" spans="1:7">
      <c r="A84" s="201">
        <f t="shared" si="3"/>
        <v>79</v>
      </c>
      <c r="B84" s="201">
        <f t="shared" si="4"/>
        <v>52</v>
      </c>
      <c r="C84" s="136" t="s">
        <v>768</v>
      </c>
      <c r="D84" s="201" t="s">
        <v>707</v>
      </c>
      <c r="E84" s="146">
        <f t="shared" si="5"/>
        <v>41456</v>
      </c>
      <c r="F84" s="145">
        <v>15.45</v>
      </c>
      <c r="G84" s="145">
        <f>+'Lighting Rate Design'!H123</f>
        <v>13.31</v>
      </c>
    </row>
    <row r="85" spans="1:7">
      <c r="A85" s="201">
        <f t="shared" si="3"/>
        <v>80</v>
      </c>
      <c r="B85" s="201"/>
      <c r="D85" s="201"/>
    </row>
    <row r="86" spans="1:7">
      <c r="A86" s="201">
        <f t="shared" si="3"/>
        <v>81</v>
      </c>
      <c r="B86" s="201">
        <f t="shared" ref="B86:B92" si="6">+$B$74</f>
        <v>52</v>
      </c>
      <c r="C86" s="136" t="s">
        <v>775</v>
      </c>
      <c r="D86" s="201" t="s">
        <v>770</v>
      </c>
      <c r="E86" s="146">
        <f t="shared" ref="E86:E92" si="7">+$E$6</f>
        <v>41456</v>
      </c>
      <c r="F86" s="145">
        <v>3.19</v>
      </c>
      <c r="G86" s="145">
        <f>+'Lighting Rate Design'!H125</f>
        <v>2.33</v>
      </c>
    </row>
    <row r="87" spans="1:7">
      <c r="A87" s="201">
        <f t="shared" si="3"/>
        <v>82</v>
      </c>
      <c r="B87" s="201">
        <f t="shared" si="6"/>
        <v>52</v>
      </c>
      <c r="C87" s="136" t="s">
        <v>775</v>
      </c>
      <c r="D87" s="201" t="s">
        <v>705</v>
      </c>
      <c r="E87" s="146">
        <f t="shared" si="7"/>
        <v>41456</v>
      </c>
      <c r="F87" s="145">
        <v>4.0600000000000005</v>
      </c>
      <c r="G87" s="145">
        <f>+'Lighting Rate Design'!H126</f>
        <v>3.33</v>
      </c>
    </row>
    <row r="88" spans="1:7">
      <c r="A88" s="201">
        <f t="shared" si="3"/>
        <v>83</v>
      </c>
      <c r="B88" s="201">
        <f t="shared" si="6"/>
        <v>52</v>
      </c>
      <c r="C88" s="136" t="s">
        <v>775</v>
      </c>
      <c r="D88" s="201" t="s">
        <v>771</v>
      </c>
      <c r="E88" s="146">
        <f t="shared" si="7"/>
        <v>41456</v>
      </c>
      <c r="F88" s="145">
        <v>5.8500000000000005</v>
      </c>
      <c r="G88" s="145">
        <f>+'Lighting Rate Design'!H127</f>
        <v>4.99</v>
      </c>
    </row>
    <row r="89" spans="1:7">
      <c r="A89" s="201">
        <f t="shared" si="3"/>
        <v>84</v>
      </c>
      <c r="B89" s="201">
        <f t="shared" si="6"/>
        <v>52</v>
      </c>
      <c r="C89" s="136" t="s">
        <v>775</v>
      </c>
      <c r="D89" s="201" t="s">
        <v>706</v>
      </c>
      <c r="E89" s="146">
        <f t="shared" si="7"/>
        <v>41456</v>
      </c>
      <c r="F89" s="145">
        <v>6.92</v>
      </c>
      <c r="G89" s="145">
        <f>+'Lighting Rate Design'!H128</f>
        <v>5.82</v>
      </c>
    </row>
    <row r="90" spans="1:7">
      <c r="A90" s="201">
        <f t="shared" si="3"/>
        <v>85</v>
      </c>
      <c r="B90" s="201">
        <f t="shared" si="6"/>
        <v>52</v>
      </c>
      <c r="C90" s="136" t="s">
        <v>775</v>
      </c>
      <c r="D90" s="201" t="s">
        <v>773</v>
      </c>
      <c r="E90" s="146">
        <f t="shared" si="7"/>
        <v>41456</v>
      </c>
      <c r="F90" s="145">
        <v>9.41</v>
      </c>
      <c r="G90" s="145">
        <f>+'Lighting Rate Design'!H129</f>
        <v>8.32</v>
      </c>
    </row>
    <row r="91" spans="1:7">
      <c r="A91" s="201">
        <f t="shared" si="3"/>
        <v>86</v>
      </c>
      <c r="B91" s="201">
        <f t="shared" si="6"/>
        <v>52</v>
      </c>
      <c r="C91" s="136" t="s">
        <v>775</v>
      </c>
      <c r="D91" s="201" t="s">
        <v>707</v>
      </c>
      <c r="E91" s="146">
        <f t="shared" si="7"/>
        <v>41456</v>
      </c>
      <c r="F91" s="145">
        <v>14.76</v>
      </c>
      <c r="G91" s="145">
        <f>+'Lighting Rate Design'!H130</f>
        <v>13.31</v>
      </c>
    </row>
    <row r="92" spans="1:7">
      <c r="A92" s="201">
        <f t="shared" si="3"/>
        <v>87</v>
      </c>
      <c r="B92" s="201">
        <f t="shared" si="6"/>
        <v>52</v>
      </c>
      <c r="C92" s="136" t="s">
        <v>775</v>
      </c>
      <c r="D92" s="201" t="s">
        <v>776</v>
      </c>
      <c r="E92" s="146">
        <f t="shared" si="7"/>
        <v>41456</v>
      </c>
      <c r="F92" s="145">
        <v>35.33</v>
      </c>
      <c r="G92" s="145">
        <f>+'Lighting Rate Design'!H131</f>
        <v>33.26</v>
      </c>
    </row>
    <row r="93" spans="1:7">
      <c r="A93" s="201">
        <f t="shared" si="3"/>
        <v>88</v>
      </c>
      <c r="B93" s="201"/>
      <c r="D93" s="201"/>
    </row>
    <row r="94" spans="1:7">
      <c r="A94" s="201">
        <f t="shared" si="3"/>
        <v>89</v>
      </c>
      <c r="B94" s="201">
        <v>53</v>
      </c>
      <c r="C94" s="136" t="s">
        <v>777</v>
      </c>
      <c r="D94" s="201" t="s">
        <v>769</v>
      </c>
      <c r="E94" s="146">
        <f t="shared" ref="E94:E102" si="8">+$E$6</f>
        <v>41456</v>
      </c>
      <c r="F94" s="145">
        <v>9.0400000000000009</v>
      </c>
      <c r="G94" s="145">
        <f>+'Lighting Rate Design'!H147</f>
        <v>11.14</v>
      </c>
    </row>
    <row r="95" spans="1:7">
      <c r="A95" s="201">
        <f t="shared" si="3"/>
        <v>90</v>
      </c>
      <c r="B95" s="201">
        <f>+$B$94</f>
        <v>53</v>
      </c>
      <c r="C95" s="136" t="s">
        <v>777</v>
      </c>
      <c r="D95" s="201" t="s">
        <v>770</v>
      </c>
      <c r="E95" s="146">
        <f t="shared" si="8"/>
        <v>41456</v>
      </c>
      <c r="F95" s="145">
        <v>10.34</v>
      </c>
      <c r="G95" s="145">
        <f>+'Lighting Rate Design'!H148</f>
        <v>11.97</v>
      </c>
    </row>
    <row r="96" spans="1:7">
      <c r="A96" s="201">
        <f t="shared" si="3"/>
        <v>91</v>
      </c>
      <c r="B96" s="201">
        <f t="shared" ref="B96:B102" si="9">+$B$94</f>
        <v>53</v>
      </c>
      <c r="C96" s="136" t="s">
        <v>777</v>
      </c>
      <c r="D96" s="201" t="s">
        <v>705</v>
      </c>
      <c r="E96" s="146">
        <f t="shared" si="8"/>
        <v>41456</v>
      </c>
      <c r="F96" s="145">
        <v>11.66</v>
      </c>
      <c r="G96" s="145">
        <f>+'Lighting Rate Design'!H149</f>
        <v>13.23</v>
      </c>
    </row>
    <row r="97" spans="1:7">
      <c r="A97" s="201">
        <f t="shared" si="3"/>
        <v>92</v>
      </c>
      <c r="B97" s="201">
        <f t="shared" si="9"/>
        <v>53</v>
      </c>
      <c r="C97" s="136" t="s">
        <v>777</v>
      </c>
      <c r="D97" s="201" t="s">
        <v>771</v>
      </c>
      <c r="E97" s="146">
        <f t="shared" si="8"/>
        <v>41456</v>
      </c>
      <c r="F97" s="145">
        <v>13.78</v>
      </c>
      <c r="G97" s="145">
        <f>+'Lighting Rate Design'!H150</f>
        <v>15.32</v>
      </c>
    </row>
    <row r="98" spans="1:7">
      <c r="A98" s="201">
        <f t="shared" si="3"/>
        <v>93</v>
      </c>
      <c r="B98" s="201">
        <f t="shared" si="9"/>
        <v>53</v>
      </c>
      <c r="C98" s="136" t="s">
        <v>777</v>
      </c>
      <c r="D98" s="201" t="s">
        <v>772</v>
      </c>
      <c r="E98" s="146">
        <f t="shared" si="8"/>
        <v>41456</v>
      </c>
      <c r="F98" s="145">
        <v>16.57</v>
      </c>
      <c r="G98" s="145">
        <f>+'Lighting Rate Design'!H151</f>
        <v>17.41</v>
      </c>
    </row>
    <row r="99" spans="1:7">
      <c r="A99" s="201">
        <f t="shared" si="3"/>
        <v>94</v>
      </c>
      <c r="B99" s="201">
        <f t="shared" si="9"/>
        <v>53</v>
      </c>
      <c r="C99" s="136" t="s">
        <v>777</v>
      </c>
      <c r="D99" s="201" t="s">
        <v>773</v>
      </c>
      <c r="E99" s="146">
        <f t="shared" si="8"/>
        <v>41456</v>
      </c>
      <c r="F99" s="145">
        <v>18.650000000000002</v>
      </c>
      <c r="G99" s="145">
        <f>+'Lighting Rate Design'!H152</f>
        <v>19.489999999999998</v>
      </c>
    </row>
    <row r="100" spans="1:7">
      <c r="A100" s="201">
        <f t="shared" si="3"/>
        <v>95</v>
      </c>
      <c r="B100" s="201">
        <f t="shared" si="9"/>
        <v>53</v>
      </c>
      <c r="C100" s="136" t="s">
        <v>777</v>
      </c>
      <c r="D100" s="201" t="s">
        <v>774</v>
      </c>
      <c r="E100" s="146">
        <f t="shared" si="8"/>
        <v>41456</v>
      </c>
      <c r="F100" s="145">
        <v>21.569999999999997</v>
      </c>
      <c r="G100" s="145">
        <f>+'Lighting Rate Design'!H153</f>
        <v>22</v>
      </c>
    </row>
    <row r="101" spans="1:7">
      <c r="A101" s="201">
        <f t="shared" si="3"/>
        <v>96</v>
      </c>
      <c r="B101" s="201">
        <f t="shared" si="9"/>
        <v>53</v>
      </c>
      <c r="C101" s="136" t="s">
        <v>777</v>
      </c>
      <c r="D101" s="201" t="s">
        <v>707</v>
      </c>
      <c r="E101" s="146">
        <f t="shared" si="8"/>
        <v>41456</v>
      </c>
      <c r="F101" s="145">
        <v>25.21</v>
      </c>
      <c r="G101" s="145">
        <f>+'Lighting Rate Design'!H154</f>
        <v>25.76</v>
      </c>
    </row>
    <row r="102" spans="1:7">
      <c r="A102" s="201">
        <f t="shared" si="3"/>
        <v>97</v>
      </c>
      <c r="B102" s="201">
        <f t="shared" si="9"/>
        <v>53</v>
      </c>
      <c r="C102" s="136" t="s">
        <v>777</v>
      </c>
      <c r="D102" s="201" t="s">
        <v>776</v>
      </c>
      <c r="E102" s="146">
        <f t="shared" si="8"/>
        <v>41456</v>
      </c>
      <c r="F102" s="145">
        <v>55.879999999999995</v>
      </c>
      <c r="G102" s="145">
        <f>+'Lighting Rate Design'!H155</f>
        <v>50.83</v>
      </c>
    </row>
    <row r="103" spans="1:7">
      <c r="A103" s="201">
        <f t="shared" si="3"/>
        <v>98</v>
      </c>
      <c r="B103" s="201"/>
      <c r="D103" s="201"/>
    </row>
    <row r="104" spans="1:7">
      <c r="A104" s="201">
        <f t="shared" si="3"/>
        <v>99</v>
      </c>
      <c r="B104" s="201">
        <f>+$B$94</f>
        <v>53</v>
      </c>
      <c r="C104" s="149" t="s">
        <v>778</v>
      </c>
      <c r="D104" s="201" t="s">
        <v>770</v>
      </c>
      <c r="E104" s="146">
        <f>+$E$6</f>
        <v>41456</v>
      </c>
      <c r="F104" s="145">
        <v>14.13</v>
      </c>
      <c r="G104" s="145">
        <f>+'Lighting Rate Design'!H157</f>
        <v>14.87</v>
      </c>
    </row>
    <row r="105" spans="1:7">
      <c r="A105" s="201">
        <f t="shared" si="3"/>
        <v>100</v>
      </c>
      <c r="B105" s="201">
        <f>+$B$94</f>
        <v>53</v>
      </c>
      <c r="C105" s="149" t="s">
        <v>778</v>
      </c>
      <c r="D105" s="201" t="s">
        <v>705</v>
      </c>
      <c r="E105" s="146">
        <f>+$E$6</f>
        <v>41456</v>
      </c>
      <c r="F105" s="145">
        <v>15.11</v>
      </c>
      <c r="G105" s="145">
        <f>+'Lighting Rate Design'!H158</f>
        <v>16.2</v>
      </c>
    </row>
    <row r="106" spans="1:7">
      <c r="A106" s="201">
        <f t="shared" si="3"/>
        <v>101</v>
      </c>
      <c r="B106" s="201">
        <f>+$B$94</f>
        <v>53</v>
      </c>
      <c r="C106" s="149" t="s">
        <v>778</v>
      </c>
      <c r="D106" s="201" t="s">
        <v>771</v>
      </c>
      <c r="E106" s="146">
        <f>+$E$6</f>
        <v>41456</v>
      </c>
      <c r="F106" s="145">
        <v>17.440000000000001</v>
      </c>
      <c r="G106" s="145">
        <f>+'Lighting Rate Design'!H159</f>
        <v>18.41</v>
      </c>
    </row>
    <row r="107" spans="1:7">
      <c r="A107" s="201">
        <f t="shared" si="3"/>
        <v>102</v>
      </c>
      <c r="B107" s="201">
        <f>+$B$94</f>
        <v>53</v>
      </c>
      <c r="C107" s="149" t="s">
        <v>778</v>
      </c>
      <c r="D107" s="201" t="s">
        <v>773</v>
      </c>
      <c r="E107" s="146">
        <f>+$E$6</f>
        <v>41456</v>
      </c>
      <c r="F107" s="145">
        <v>22.43</v>
      </c>
      <c r="G107" s="145">
        <f>+'Lighting Rate Design'!H160</f>
        <v>22.84</v>
      </c>
    </row>
    <row r="108" spans="1:7">
      <c r="A108" s="201">
        <f t="shared" si="3"/>
        <v>103</v>
      </c>
      <c r="B108" s="201">
        <f>+$B$94</f>
        <v>53</v>
      </c>
      <c r="C108" s="149" t="s">
        <v>778</v>
      </c>
      <c r="D108" s="201" t="s">
        <v>707</v>
      </c>
      <c r="E108" s="146">
        <f>+$E$6</f>
        <v>41456</v>
      </c>
      <c r="F108" s="145">
        <v>25.41</v>
      </c>
      <c r="G108" s="145">
        <f>+'Lighting Rate Design'!H161</f>
        <v>29.48</v>
      </c>
    </row>
    <row r="109" spans="1:7">
      <c r="A109" s="201">
        <f t="shared" si="3"/>
        <v>104</v>
      </c>
      <c r="B109" s="201"/>
      <c r="D109" s="201"/>
    </row>
    <row r="110" spans="1:7">
      <c r="A110" s="201">
        <f t="shared" si="3"/>
        <v>105</v>
      </c>
      <c r="B110" s="201">
        <f t="shared" ref="B110:B163" si="10">+$B$94</f>
        <v>53</v>
      </c>
      <c r="C110" s="149" t="s">
        <v>779</v>
      </c>
      <c r="D110" s="201" t="s">
        <v>714</v>
      </c>
      <c r="E110" s="146">
        <f>+E105</f>
        <v>41456</v>
      </c>
      <c r="F110" s="145">
        <v>7.43</v>
      </c>
      <c r="G110" s="145">
        <f>+'Lighting Rate Design'!H163</f>
        <v>12.58</v>
      </c>
    </row>
    <row r="111" spans="1:7">
      <c r="A111" s="201">
        <f t="shared" si="3"/>
        <v>106</v>
      </c>
      <c r="B111" s="201">
        <f t="shared" si="10"/>
        <v>53</v>
      </c>
      <c r="C111" s="149" t="s">
        <v>779</v>
      </c>
      <c r="D111" s="201" t="s">
        <v>715</v>
      </c>
      <c r="E111" s="146">
        <f>+E110</f>
        <v>41456</v>
      </c>
      <c r="F111" s="145">
        <v>7.6</v>
      </c>
      <c r="G111" s="145">
        <f>+'Lighting Rate Design'!H164</f>
        <v>12.58</v>
      </c>
    </row>
    <row r="112" spans="1:7">
      <c r="A112" s="201">
        <f t="shared" si="3"/>
        <v>107</v>
      </c>
      <c r="B112" s="201">
        <f t="shared" si="10"/>
        <v>53</v>
      </c>
      <c r="C112" s="149" t="s">
        <v>779</v>
      </c>
      <c r="D112" s="201" t="s">
        <v>716</v>
      </c>
      <c r="E112" s="146">
        <f t="shared" ref="E112:E163" si="11">+E111</f>
        <v>41456</v>
      </c>
      <c r="F112" s="145">
        <v>7.7799999999999994</v>
      </c>
      <c r="G112" s="145">
        <f>+'Lighting Rate Design'!H165</f>
        <v>12.58</v>
      </c>
    </row>
    <row r="113" spans="1:7">
      <c r="A113" s="201">
        <f t="shared" si="3"/>
        <v>108</v>
      </c>
      <c r="B113" s="201">
        <f t="shared" si="10"/>
        <v>53</v>
      </c>
      <c r="C113" s="149" t="s">
        <v>779</v>
      </c>
      <c r="D113" s="201" t="s">
        <v>717</v>
      </c>
      <c r="E113" s="146">
        <f t="shared" si="11"/>
        <v>41456</v>
      </c>
      <c r="F113" s="145">
        <v>7.9499999999999993</v>
      </c>
      <c r="G113" s="145">
        <f>+'Lighting Rate Design'!H166</f>
        <v>12.58</v>
      </c>
    </row>
    <row r="114" spans="1:7">
      <c r="A114" s="201">
        <f t="shared" si="3"/>
        <v>109</v>
      </c>
      <c r="B114" s="201">
        <f t="shared" si="10"/>
        <v>53</v>
      </c>
      <c r="C114" s="149" t="s">
        <v>779</v>
      </c>
      <c r="D114" s="201" t="s">
        <v>718</v>
      </c>
      <c r="E114" s="146">
        <f t="shared" si="11"/>
        <v>41456</v>
      </c>
      <c r="F114" s="145">
        <v>8.1300000000000008</v>
      </c>
      <c r="G114" s="145">
        <f>+'Lighting Rate Design'!H167</f>
        <v>12.58</v>
      </c>
    </row>
    <row r="115" spans="1:7">
      <c r="A115" s="201">
        <f t="shared" si="3"/>
        <v>110</v>
      </c>
      <c r="B115" s="201">
        <f t="shared" si="10"/>
        <v>53</v>
      </c>
      <c r="C115" s="149" t="s">
        <v>779</v>
      </c>
      <c r="D115" s="201" t="s">
        <v>719</v>
      </c>
      <c r="E115" s="146">
        <f t="shared" si="11"/>
        <v>41456</v>
      </c>
      <c r="F115" s="145">
        <v>8.31</v>
      </c>
      <c r="G115" s="145">
        <f>+'Lighting Rate Design'!H168</f>
        <v>12.58</v>
      </c>
    </row>
    <row r="116" spans="1:7">
      <c r="A116" s="201">
        <f t="shared" si="3"/>
        <v>111</v>
      </c>
      <c r="B116" s="201">
        <f t="shared" si="10"/>
        <v>53</v>
      </c>
      <c r="C116" s="149" t="s">
        <v>779</v>
      </c>
      <c r="D116" s="201" t="s">
        <v>720</v>
      </c>
      <c r="E116" s="146">
        <f t="shared" si="11"/>
        <v>41456</v>
      </c>
      <c r="F116" s="145">
        <v>8.7800000000000011</v>
      </c>
      <c r="G116" s="145">
        <f>+'Lighting Rate Design'!H169</f>
        <v>13.75</v>
      </c>
    </row>
    <row r="117" spans="1:7">
      <c r="A117" s="201">
        <f t="shared" si="3"/>
        <v>112</v>
      </c>
      <c r="B117" s="201">
        <f t="shared" si="10"/>
        <v>53</v>
      </c>
      <c r="C117" s="149" t="s">
        <v>779</v>
      </c>
      <c r="D117" s="201" t="s">
        <v>721</v>
      </c>
      <c r="E117" s="146">
        <f t="shared" si="11"/>
        <v>41456</v>
      </c>
      <c r="F117" s="145">
        <v>8.9500000000000011</v>
      </c>
      <c r="G117" s="145">
        <f>+'Lighting Rate Design'!H170</f>
        <v>13.75</v>
      </c>
    </row>
    <row r="118" spans="1:7">
      <c r="A118" s="201">
        <f t="shared" si="3"/>
        <v>113</v>
      </c>
      <c r="B118" s="201">
        <f t="shared" si="10"/>
        <v>53</v>
      </c>
      <c r="C118" s="149" t="s">
        <v>779</v>
      </c>
      <c r="D118" s="201" t="s">
        <v>722</v>
      </c>
      <c r="E118" s="146">
        <f t="shared" si="11"/>
        <v>41456</v>
      </c>
      <c r="F118" s="145">
        <v>9.1300000000000008</v>
      </c>
      <c r="G118" s="145">
        <f>+'Lighting Rate Design'!H171</f>
        <v>13.75</v>
      </c>
    </row>
    <row r="119" spans="1:7">
      <c r="A119" s="201">
        <f t="shared" si="3"/>
        <v>114</v>
      </c>
      <c r="B119" s="201">
        <f t="shared" si="10"/>
        <v>53</v>
      </c>
      <c r="C119" s="149" t="s">
        <v>779</v>
      </c>
      <c r="D119" s="201" t="s">
        <v>723</v>
      </c>
      <c r="E119" s="146">
        <f t="shared" si="11"/>
        <v>41456</v>
      </c>
      <c r="F119" s="145">
        <v>9.3000000000000007</v>
      </c>
      <c r="G119" s="145">
        <f>+'Lighting Rate Design'!H172</f>
        <v>13.75</v>
      </c>
    </row>
    <row r="120" spans="1:7">
      <c r="A120" s="201">
        <f t="shared" si="3"/>
        <v>115</v>
      </c>
      <c r="B120" s="201">
        <f t="shared" si="10"/>
        <v>53</v>
      </c>
      <c r="C120" s="149" t="s">
        <v>779</v>
      </c>
      <c r="D120" s="201" t="s">
        <v>724</v>
      </c>
      <c r="E120" s="146">
        <f t="shared" si="11"/>
        <v>41456</v>
      </c>
      <c r="F120" s="145">
        <v>9.4699999999999989</v>
      </c>
      <c r="G120" s="145">
        <f>+'Lighting Rate Design'!H173</f>
        <v>13.75</v>
      </c>
    </row>
    <row r="121" spans="1:7">
      <c r="A121" s="201">
        <f t="shared" si="3"/>
        <v>116</v>
      </c>
      <c r="B121" s="201">
        <f t="shared" si="10"/>
        <v>53</v>
      </c>
      <c r="C121" s="149" t="s">
        <v>779</v>
      </c>
      <c r="D121" s="201" t="s">
        <v>725</v>
      </c>
      <c r="E121" s="146">
        <f t="shared" si="11"/>
        <v>41456</v>
      </c>
      <c r="F121" s="145">
        <v>9.7999999999999989</v>
      </c>
      <c r="G121" s="145">
        <f>+'Lighting Rate Design'!H174</f>
        <v>13.75</v>
      </c>
    </row>
    <row r="122" spans="1:7">
      <c r="A122" s="201">
        <f t="shared" si="3"/>
        <v>117</v>
      </c>
      <c r="B122" s="201">
        <f t="shared" si="10"/>
        <v>53</v>
      </c>
      <c r="C122" s="149" t="s">
        <v>779</v>
      </c>
      <c r="D122" s="201" t="s">
        <v>726</v>
      </c>
      <c r="E122" s="146">
        <f t="shared" si="11"/>
        <v>41456</v>
      </c>
      <c r="F122" s="145">
        <v>9.9799999999999986</v>
      </c>
      <c r="G122" s="145">
        <f>+'Lighting Rate Design'!H175</f>
        <v>14.93</v>
      </c>
    </row>
    <row r="123" spans="1:7">
      <c r="A123" s="201">
        <f t="shared" si="3"/>
        <v>118</v>
      </c>
      <c r="B123" s="201">
        <f t="shared" si="10"/>
        <v>53</v>
      </c>
      <c r="C123" s="149" t="s">
        <v>779</v>
      </c>
      <c r="D123" s="201" t="s">
        <v>727</v>
      </c>
      <c r="E123" s="146">
        <f t="shared" si="11"/>
        <v>41456</v>
      </c>
      <c r="F123" s="145">
        <v>10.15</v>
      </c>
      <c r="G123" s="145">
        <f>+'Lighting Rate Design'!H176</f>
        <v>14.93</v>
      </c>
    </row>
    <row r="124" spans="1:7">
      <c r="A124" s="201">
        <f t="shared" si="3"/>
        <v>119</v>
      </c>
      <c r="B124" s="201">
        <f t="shared" si="10"/>
        <v>53</v>
      </c>
      <c r="C124" s="149" t="s">
        <v>779</v>
      </c>
      <c r="D124" s="201" t="s">
        <v>728</v>
      </c>
      <c r="E124" s="146">
        <f t="shared" si="11"/>
        <v>41456</v>
      </c>
      <c r="F124" s="145">
        <v>10.33</v>
      </c>
      <c r="G124" s="145">
        <f>+'Lighting Rate Design'!H177</f>
        <v>14.93</v>
      </c>
    </row>
    <row r="125" spans="1:7">
      <c r="A125" s="201">
        <f t="shared" si="3"/>
        <v>120</v>
      </c>
      <c r="B125" s="201">
        <f t="shared" si="10"/>
        <v>53</v>
      </c>
      <c r="C125" s="149" t="s">
        <v>779</v>
      </c>
      <c r="D125" s="201" t="s">
        <v>729</v>
      </c>
      <c r="E125" s="146">
        <f t="shared" si="11"/>
        <v>41456</v>
      </c>
      <c r="F125" s="145">
        <v>10.5</v>
      </c>
      <c r="G125" s="145">
        <f>+'Lighting Rate Design'!H178</f>
        <v>14.93</v>
      </c>
    </row>
    <row r="126" spans="1:7">
      <c r="A126" s="201">
        <f t="shared" si="3"/>
        <v>121</v>
      </c>
      <c r="B126" s="201">
        <f t="shared" si="10"/>
        <v>53</v>
      </c>
      <c r="C126" s="149" t="s">
        <v>779</v>
      </c>
      <c r="D126" s="201" t="s">
        <v>730</v>
      </c>
      <c r="E126" s="146">
        <f t="shared" si="11"/>
        <v>41456</v>
      </c>
      <c r="F126" s="145">
        <v>10.68</v>
      </c>
      <c r="G126" s="145">
        <f>+'Lighting Rate Design'!H179</f>
        <v>14.93</v>
      </c>
    </row>
    <row r="127" spans="1:7">
      <c r="A127" s="201">
        <f t="shared" si="3"/>
        <v>122</v>
      </c>
      <c r="B127" s="201">
        <f t="shared" si="10"/>
        <v>53</v>
      </c>
      <c r="C127" s="149" t="s">
        <v>779</v>
      </c>
      <c r="D127" s="201" t="s">
        <v>731</v>
      </c>
      <c r="E127" s="146">
        <f t="shared" si="11"/>
        <v>41456</v>
      </c>
      <c r="F127" s="145">
        <v>10.85</v>
      </c>
      <c r="G127" s="145">
        <f>+'Lighting Rate Design'!H180</f>
        <v>14.93</v>
      </c>
    </row>
    <row r="128" spans="1:7">
      <c r="A128" s="201">
        <f t="shared" si="3"/>
        <v>123</v>
      </c>
      <c r="B128" s="201">
        <f t="shared" si="10"/>
        <v>53</v>
      </c>
      <c r="C128" s="149" t="s">
        <v>779</v>
      </c>
      <c r="D128" s="201" t="s">
        <v>732</v>
      </c>
      <c r="E128" s="146">
        <f t="shared" si="11"/>
        <v>41456</v>
      </c>
      <c r="F128" s="145">
        <v>11.03</v>
      </c>
      <c r="G128" s="145">
        <f>+'Lighting Rate Design'!H181</f>
        <v>16.11</v>
      </c>
    </row>
    <row r="129" spans="1:7">
      <c r="A129" s="201">
        <f t="shared" si="3"/>
        <v>124</v>
      </c>
      <c r="B129" s="201">
        <f t="shared" si="10"/>
        <v>53</v>
      </c>
      <c r="C129" s="149" t="s">
        <v>779</v>
      </c>
      <c r="D129" s="201" t="s">
        <v>733</v>
      </c>
      <c r="E129" s="146">
        <f t="shared" si="11"/>
        <v>41456</v>
      </c>
      <c r="F129" s="145">
        <v>11.39</v>
      </c>
      <c r="G129" s="145">
        <f>+'Lighting Rate Design'!H182</f>
        <v>16.11</v>
      </c>
    </row>
    <row r="130" spans="1:7">
      <c r="A130" s="201">
        <f t="shared" si="3"/>
        <v>125</v>
      </c>
      <c r="B130" s="201">
        <f t="shared" si="10"/>
        <v>53</v>
      </c>
      <c r="C130" s="149" t="s">
        <v>779</v>
      </c>
      <c r="D130" s="201" t="s">
        <v>734</v>
      </c>
      <c r="E130" s="146">
        <f t="shared" si="11"/>
        <v>41456</v>
      </c>
      <c r="F130" s="145">
        <v>11.56</v>
      </c>
      <c r="G130" s="145">
        <f>+'Lighting Rate Design'!H183</f>
        <v>16.11</v>
      </c>
    </row>
    <row r="131" spans="1:7">
      <c r="A131" s="201">
        <f t="shared" si="3"/>
        <v>126</v>
      </c>
      <c r="B131" s="201">
        <f t="shared" si="10"/>
        <v>53</v>
      </c>
      <c r="C131" s="149" t="s">
        <v>779</v>
      </c>
      <c r="D131" s="201" t="s">
        <v>735</v>
      </c>
      <c r="E131" s="146">
        <f t="shared" si="11"/>
        <v>41456</v>
      </c>
      <c r="F131" s="145">
        <v>11.73</v>
      </c>
      <c r="G131" s="145">
        <f>+'Lighting Rate Design'!H184</f>
        <v>16.11</v>
      </c>
    </row>
    <row r="132" spans="1:7">
      <c r="A132" s="201">
        <f t="shared" si="3"/>
        <v>127</v>
      </c>
      <c r="B132" s="201">
        <f t="shared" si="10"/>
        <v>53</v>
      </c>
      <c r="C132" s="149" t="s">
        <v>779</v>
      </c>
      <c r="D132" s="201" t="s">
        <v>736</v>
      </c>
      <c r="E132" s="146">
        <f t="shared" si="11"/>
        <v>41456</v>
      </c>
      <c r="F132" s="145">
        <v>11.91</v>
      </c>
      <c r="G132" s="145">
        <f>+'Lighting Rate Design'!H185</f>
        <v>16.11</v>
      </c>
    </row>
    <row r="133" spans="1:7">
      <c r="A133" s="201">
        <f t="shared" si="3"/>
        <v>128</v>
      </c>
      <c r="B133" s="201">
        <f t="shared" si="10"/>
        <v>53</v>
      </c>
      <c r="C133" s="149" t="s">
        <v>779</v>
      </c>
      <c r="D133" s="201" t="s">
        <v>737</v>
      </c>
      <c r="E133" s="146">
        <f t="shared" si="11"/>
        <v>41456</v>
      </c>
      <c r="F133" s="145">
        <v>12.08</v>
      </c>
      <c r="G133" s="145">
        <f>+'Lighting Rate Design'!H186</f>
        <v>16.11</v>
      </c>
    </row>
    <row r="134" spans="1:7">
      <c r="A134" s="201">
        <f t="shared" si="3"/>
        <v>129</v>
      </c>
      <c r="B134" s="201">
        <f t="shared" si="10"/>
        <v>53</v>
      </c>
      <c r="C134" s="149" t="s">
        <v>779</v>
      </c>
      <c r="D134" s="201" t="s">
        <v>738</v>
      </c>
      <c r="E134" s="146">
        <f t="shared" si="11"/>
        <v>41456</v>
      </c>
      <c r="F134" s="145">
        <v>12.26</v>
      </c>
      <c r="G134" s="145">
        <f>+'Lighting Rate Design'!H187</f>
        <v>17.29</v>
      </c>
    </row>
    <row r="135" spans="1:7">
      <c r="A135" s="201">
        <f t="shared" si="3"/>
        <v>130</v>
      </c>
      <c r="B135" s="201">
        <f t="shared" si="10"/>
        <v>53</v>
      </c>
      <c r="C135" s="149" t="s">
        <v>779</v>
      </c>
      <c r="D135" s="201" t="s">
        <v>739</v>
      </c>
      <c r="E135" s="146">
        <f t="shared" si="11"/>
        <v>41456</v>
      </c>
      <c r="F135" s="145">
        <v>12.43</v>
      </c>
      <c r="G135" s="145">
        <f>+'Lighting Rate Design'!H188</f>
        <v>17.29</v>
      </c>
    </row>
    <row r="136" spans="1:7">
      <c r="A136" s="201">
        <f t="shared" ref="A136:A199" si="12">+A135+1</f>
        <v>131</v>
      </c>
      <c r="B136" s="201">
        <f t="shared" si="10"/>
        <v>53</v>
      </c>
      <c r="C136" s="149" t="s">
        <v>779</v>
      </c>
      <c r="D136" s="201" t="s">
        <v>740</v>
      </c>
      <c r="E136" s="146">
        <f t="shared" si="11"/>
        <v>41456</v>
      </c>
      <c r="F136" s="145">
        <v>12.62</v>
      </c>
      <c r="G136" s="145">
        <f>+'Lighting Rate Design'!H189</f>
        <v>17.29</v>
      </c>
    </row>
    <row r="137" spans="1:7">
      <c r="A137" s="201">
        <f t="shared" si="12"/>
        <v>132</v>
      </c>
      <c r="B137" s="201">
        <f t="shared" si="10"/>
        <v>53</v>
      </c>
      <c r="C137" s="149" t="s">
        <v>779</v>
      </c>
      <c r="D137" s="201" t="s">
        <v>741</v>
      </c>
      <c r="E137" s="146">
        <f t="shared" si="11"/>
        <v>41456</v>
      </c>
      <c r="F137" s="145">
        <v>12.79</v>
      </c>
      <c r="G137" s="145">
        <f>+'Lighting Rate Design'!H190</f>
        <v>17.29</v>
      </c>
    </row>
    <row r="138" spans="1:7">
      <c r="A138" s="201">
        <f t="shared" si="12"/>
        <v>133</v>
      </c>
      <c r="B138" s="201">
        <f t="shared" si="10"/>
        <v>53</v>
      </c>
      <c r="C138" s="149" t="s">
        <v>779</v>
      </c>
      <c r="D138" s="201" t="s">
        <v>742</v>
      </c>
      <c r="E138" s="146">
        <f t="shared" si="11"/>
        <v>41456</v>
      </c>
      <c r="F138" s="145">
        <v>12.969999999999999</v>
      </c>
      <c r="G138" s="145">
        <f>+'Lighting Rate Design'!H191</f>
        <v>17.29</v>
      </c>
    </row>
    <row r="139" spans="1:7">
      <c r="A139" s="201">
        <f t="shared" si="12"/>
        <v>134</v>
      </c>
      <c r="B139" s="201">
        <f t="shared" si="10"/>
        <v>53</v>
      </c>
      <c r="C139" s="149" t="s">
        <v>779</v>
      </c>
      <c r="D139" s="201" t="s">
        <v>743</v>
      </c>
      <c r="E139" s="146">
        <f t="shared" si="11"/>
        <v>41456</v>
      </c>
      <c r="F139" s="145">
        <v>14.020000000000001</v>
      </c>
      <c r="G139" s="145">
        <f>+'Lighting Rate Design'!H192</f>
        <v>17.29</v>
      </c>
    </row>
    <row r="140" spans="1:7">
      <c r="A140" s="201">
        <f t="shared" si="12"/>
        <v>135</v>
      </c>
      <c r="B140" s="201">
        <f t="shared" si="10"/>
        <v>53</v>
      </c>
      <c r="C140" s="149" t="s">
        <v>779</v>
      </c>
      <c r="D140" s="201" t="s">
        <v>744</v>
      </c>
      <c r="E140" s="146">
        <f t="shared" si="11"/>
        <v>41456</v>
      </c>
      <c r="F140" s="145">
        <v>14.200000000000001</v>
      </c>
      <c r="G140" s="145">
        <f>+'Lighting Rate Design'!H193</f>
        <v>18.47</v>
      </c>
    </row>
    <row r="141" spans="1:7">
      <c r="A141" s="201">
        <f t="shared" si="12"/>
        <v>136</v>
      </c>
      <c r="B141" s="201">
        <f t="shared" si="10"/>
        <v>53</v>
      </c>
      <c r="C141" s="149" t="s">
        <v>779</v>
      </c>
      <c r="D141" s="201" t="s">
        <v>745</v>
      </c>
      <c r="E141" s="146">
        <f t="shared" si="11"/>
        <v>41456</v>
      </c>
      <c r="F141" s="145">
        <v>14.370000000000001</v>
      </c>
      <c r="G141" s="145">
        <f>+'Lighting Rate Design'!H194</f>
        <v>18.47</v>
      </c>
    </row>
    <row r="142" spans="1:7">
      <c r="A142" s="201">
        <f t="shared" si="12"/>
        <v>137</v>
      </c>
      <c r="B142" s="201">
        <f t="shared" si="10"/>
        <v>53</v>
      </c>
      <c r="C142" s="149" t="s">
        <v>779</v>
      </c>
      <c r="D142" s="201" t="s">
        <v>746</v>
      </c>
      <c r="E142" s="146">
        <f t="shared" si="11"/>
        <v>41456</v>
      </c>
      <c r="F142" s="145">
        <v>14.55</v>
      </c>
      <c r="G142" s="145">
        <f>+'Lighting Rate Design'!H195</f>
        <v>18.47</v>
      </c>
    </row>
    <row r="143" spans="1:7">
      <c r="A143" s="201">
        <f t="shared" si="12"/>
        <v>138</v>
      </c>
      <c r="B143" s="201">
        <f t="shared" si="10"/>
        <v>53</v>
      </c>
      <c r="C143" s="149" t="s">
        <v>779</v>
      </c>
      <c r="D143" s="201" t="s">
        <v>747</v>
      </c>
      <c r="E143" s="146">
        <f t="shared" si="11"/>
        <v>41456</v>
      </c>
      <c r="F143" s="145">
        <v>14.729999999999999</v>
      </c>
      <c r="G143" s="145">
        <f>+'Lighting Rate Design'!H196</f>
        <v>18.47</v>
      </c>
    </row>
    <row r="144" spans="1:7">
      <c r="A144" s="201">
        <f t="shared" si="12"/>
        <v>139</v>
      </c>
      <c r="B144" s="201">
        <f t="shared" si="10"/>
        <v>53</v>
      </c>
      <c r="C144" s="149" t="s">
        <v>779</v>
      </c>
      <c r="D144" s="201" t="s">
        <v>748</v>
      </c>
      <c r="E144" s="146">
        <f t="shared" si="11"/>
        <v>41456</v>
      </c>
      <c r="F144" s="145">
        <v>14.909999999999998</v>
      </c>
      <c r="G144" s="145">
        <f>+'Lighting Rate Design'!H197</f>
        <v>18.47</v>
      </c>
    </row>
    <row r="145" spans="1:7">
      <c r="A145" s="201">
        <f t="shared" si="12"/>
        <v>140</v>
      </c>
      <c r="B145" s="201">
        <f t="shared" si="10"/>
        <v>53</v>
      </c>
      <c r="C145" s="149" t="s">
        <v>779</v>
      </c>
      <c r="D145" s="201" t="s">
        <v>749</v>
      </c>
      <c r="E145" s="146">
        <f t="shared" si="11"/>
        <v>41456</v>
      </c>
      <c r="F145" s="145">
        <v>15.08</v>
      </c>
      <c r="G145" s="145">
        <f>+'Lighting Rate Design'!H198</f>
        <v>18.47</v>
      </c>
    </row>
    <row r="146" spans="1:7">
      <c r="A146" s="201">
        <f t="shared" si="12"/>
        <v>141</v>
      </c>
      <c r="B146" s="201">
        <f t="shared" si="10"/>
        <v>53</v>
      </c>
      <c r="C146" s="149" t="s">
        <v>779</v>
      </c>
      <c r="D146" s="201" t="s">
        <v>750</v>
      </c>
      <c r="E146" s="146">
        <f t="shared" si="11"/>
        <v>41456</v>
      </c>
      <c r="F146" s="145">
        <v>15.26</v>
      </c>
      <c r="G146" s="145">
        <f>+'Lighting Rate Design'!H199</f>
        <v>19.64</v>
      </c>
    </row>
    <row r="147" spans="1:7">
      <c r="A147" s="201">
        <f t="shared" si="12"/>
        <v>142</v>
      </c>
      <c r="B147" s="201">
        <f t="shared" si="10"/>
        <v>53</v>
      </c>
      <c r="C147" s="149" t="s">
        <v>779</v>
      </c>
      <c r="D147" s="201" t="s">
        <v>751</v>
      </c>
      <c r="E147" s="146">
        <f t="shared" si="11"/>
        <v>41456</v>
      </c>
      <c r="F147" s="145">
        <v>15.43</v>
      </c>
      <c r="G147" s="145">
        <f>+'Lighting Rate Design'!H200</f>
        <v>19.64</v>
      </c>
    </row>
    <row r="148" spans="1:7">
      <c r="A148" s="201">
        <f t="shared" si="12"/>
        <v>143</v>
      </c>
      <c r="B148" s="201">
        <f t="shared" si="10"/>
        <v>53</v>
      </c>
      <c r="C148" s="149" t="s">
        <v>779</v>
      </c>
      <c r="D148" s="201" t="s">
        <v>752</v>
      </c>
      <c r="E148" s="146">
        <f t="shared" si="11"/>
        <v>41456</v>
      </c>
      <c r="F148" s="145">
        <v>15.6</v>
      </c>
      <c r="G148" s="145">
        <f>+'Lighting Rate Design'!H201</f>
        <v>19.64</v>
      </c>
    </row>
    <row r="149" spans="1:7">
      <c r="A149" s="201">
        <f t="shared" si="12"/>
        <v>144</v>
      </c>
      <c r="B149" s="201">
        <f t="shared" si="10"/>
        <v>53</v>
      </c>
      <c r="C149" s="149" t="s">
        <v>779</v>
      </c>
      <c r="D149" s="201" t="s">
        <v>753</v>
      </c>
      <c r="E149" s="146">
        <f t="shared" si="11"/>
        <v>41456</v>
      </c>
      <c r="F149" s="145">
        <v>15.860000000000001</v>
      </c>
      <c r="G149" s="145">
        <f>+'Lighting Rate Design'!H202</f>
        <v>19.64</v>
      </c>
    </row>
    <row r="150" spans="1:7">
      <c r="A150" s="201">
        <f t="shared" si="12"/>
        <v>145</v>
      </c>
      <c r="B150" s="201">
        <f t="shared" si="10"/>
        <v>53</v>
      </c>
      <c r="C150" s="149" t="s">
        <v>779</v>
      </c>
      <c r="D150" s="201" t="s">
        <v>754</v>
      </c>
      <c r="E150" s="146">
        <f t="shared" si="11"/>
        <v>41456</v>
      </c>
      <c r="F150" s="145">
        <v>16.04</v>
      </c>
      <c r="G150" s="145">
        <f>+'Lighting Rate Design'!H203</f>
        <v>19.64</v>
      </c>
    </row>
    <row r="151" spans="1:7">
      <c r="A151" s="201">
        <f t="shared" si="12"/>
        <v>146</v>
      </c>
      <c r="B151" s="201">
        <f t="shared" si="10"/>
        <v>53</v>
      </c>
      <c r="C151" s="149" t="s">
        <v>779</v>
      </c>
      <c r="D151" s="201" t="s">
        <v>755</v>
      </c>
      <c r="E151" s="146">
        <f t="shared" si="11"/>
        <v>41456</v>
      </c>
      <c r="F151" s="145">
        <v>16.22</v>
      </c>
      <c r="G151" s="145">
        <f>+'Lighting Rate Design'!H204</f>
        <v>19.64</v>
      </c>
    </row>
    <row r="152" spans="1:7">
      <c r="A152" s="201">
        <f t="shared" si="12"/>
        <v>147</v>
      </c>
      <c r="B152" s="201">
        <f t="shared" si="10"/>
        <v>53</v>
      </c>
      <c r="C152" s="149" t="s">
        <v>779</v>
      </c>
      <c r="D152" s="201" t="s">
        <v>756</v>
      </c>
      <c r="E152" s="146">
        <f t="shared" si="11"/>
        <v>41456</v>
      </c>
      <c r="F152" s="145">
        <v>16.389999999999997</v>
      </c>
      <c r="G152" s="145">
        <f>+'Lighting Rate Design'!H205</f>
        <v>20.82</v>
      </c>
    </row>
    <row r="153" spans="1:7">
      <c r="A153" s="201">
        <f t="shared" si="12"/>
        <v>148</v>
      </c>
      <c r="B153" s="201">
        <f t="shared" si="10"/>
        <v>53</v>
      </c>
      <c r="C153" s="149" t="s">
        <v>779</v>
      </c>
      <c r="D153" s="201" t="s">
        <v>757</v>
      </c>
      <c r="E153" s="146">
        <f t="shared" si="11"/>
        <v>41456</v>
      </c>
      <c r="F153" s="145">
        <v>16.559999999999999</v>
      </c>
      <c r="G153" s="145">
        <f>+'Lighting Rate Design'!H206</f>
        <v>20.82</v>
      </c>
    </row>
    <row r="154" spans="1:7">
      <c r="A154" s="201">
        <f t="shared" si="12"/>
        <v>149</v>
      </c>
      <c r="B154" s="201">
        <f t="shared" si="10"/>
        <v>53</v>
      </c>
      <c r="C154" s="149" t="s">
        <v>779</v>
      </c>
      <c r="D154" s="201" t="s">
        <v>758</v>
      </c>
      <c r="E154" s="146">
        <f t="shared" si="11"/>
        <v>41456</v>
      </c>
      <c r="F154" s="145">
        <v>16.740000000000002</v>
      </c>
      <c r="G154" s="145">
        <f>+'Lighting Rate Design'!H207</f>
        <v>20.82</v>
      </c>
    </row>
    <row r="155" spans="1:7">
      <c r="A155" s="201">
        <f t="shared" si="12"/>
        <v>150</v>
      </c>
      <c r="B155" s="201">
        <f t="shared" si="10"/>
        <v>53</v>
      </c>
      <c r="C155" s="149" t="s">
        <v>779</v>
      </c>
      <c r="D155" s="201" t="s">
        <v>759</v>
      </c>
      <c r="E155" s="146">
        <f t="shared" si="11"/>
        <v>41456</v>
      </c>
      <c r="F155" s="145">
        <v>16.91</v>
      </c>
      <c r="G155" s="145">
        <f>+'Lighting Rate Design'!H208</f>
        <v>20.82</v>
      </c>
    </row>
    <row r="156" spans="1:7">
      <c r="A156" s="201">
        <f t="shared" si="12"/>
        <v>151</v>
      </c>
      <c r="B156" s="201">
        <f t="shared" si="10"/>
        <v>53</v>
      </c>
      <c r="C156" s="149" t="s">
        <v>779</v>
      </c>
      <c r="D156" s="201" t="s">
        <v>760</v>
      </c>
      <c r="E156" s="146">
        <f t="shared" si="11"/>
        <v>41456</v>
      </c>
      <c r="F156" s="145">
        <v>17.09</v>
      </c>
      <c r="G156" s="145">
        <f>+'Lighting Rate Design'!H209</f>
        <v>20.82</v>
      </c>
    </row>
    <row r="157" spans="1:7">
      <c r="A157" s="201">
        <f t="shared" si="12"/>
        <v>152</v>
      </c>
      <c r="B157" s="201">
        <f t="shared" si="10"/>
        <v>53</v>
      </c>
      <c r="C157" s="149" t="s">
        <v>779</v>
      </c>
      <c r="D157" s="201" t="s">
        <v>761</v>
      </c>
      <c r="E157" s="146">
        <f t="shared" si="11"/>
        <v>41456</v>
      </c>
      <c r="F157" s="145">
        <v>17.27</v>
      </c>
      <c r="G157" s="145">
        <f>+'Lighting Rate Design'!H210</f>
        <v>20.82</v>
      </c>
    </row>
    <row r="158" spans="1:7">
      <c r="A158" s="201">
        <f t="shared" si="12"/>
        <v>153</v>
      </c>
      <c r="B158" s="201">
        <f t="shared" si="10"/>
        <v>53</v>
      </c>
      <c r="C158" s="149" t="s">
        <v>779</v>
      </c>
      <c r="D158" s="201" t="s">
        <v>762</v>
      </c>
      <c r="E158" s="146">
        <f t="shared" si="11"/>
        <v>41456</v>
      </c>
      <c r="F158" s="145">
        <v>17.45</v>
      </c>
      <c r="G158" s="145">
        <f>+'Lighting Rate Design'!H211</f>
        <v>22</v>
      </c>
    </row>
    <row r="159" spans="1:7">
      <c r="A159" s="201">
        <f t="shared" si="12"/>
        <v>154</v>
      </c>
      <c r="B159" s="201">
        <f t="shared" si="10"/>
        <v>53</v>
      </c>
      <c r="C159" s="149" t="s">
        <v>779</v>
      </c>
      <c r="D159" s="201" t="s">
        <v>763</v>
      </c>
      <c r="E159" s="146">
        <f t="shared" si="11"/>
        <v>41456</v>
      </c>
      <c r="F159" s="145">
        <v>17.62</v>
      </c>
      <c r="G159" s="145">
        <f>+'Lighting Rate Design'!H212</f>
        <v>22</v>
      </c>
    </row>
    <row r="160" spans="1:7">
      <c r="A160" s="201">
        <f t="shared" si="12"/>
        <v>155</v>
      </c>
      <c r="B160" s="201">
        <f t="shared" si="10"/>
        <v>53</v>
      </c>
      <c r="C160" s="149" t="s">
        <v>779</v>
      </c>
      <c r="D160" s="201" t="s">
        <v>764</v>
      </c>
      <c r="E160" s="146">
        <f t="shared" si="11"/>
        <v>41456</v>
      </c>
      <c r="F160" s="145">
        <v>18.22</v>
      </c>
      <c r="G160" s="145">
        <f>+'Lighting Rate Design'!H213</f>
        <v>22</v>
      </c>
    </row>
    <row r="161" spans="1:7">
      <c r="A161" s="201">
        <f t="shared" si="12"/>
        <v>156</v>
      </c>
      <c r="B161" s="201">
        <f t="shared" si="10"/>
        <v>53</v>
      </c>
      <c r="C161" s="149" t="s">
        <v>779</v>
      </c>
      <c r="D161" s="201" t="s">
        <v>765</v>
      </c>
      <c r="E161" s="146">
        <f t="shared" si="11"/>
        <v>41456</v>
      </c>
      <c r="F161" s="145">
        <v>18.399999999999999</v>
      </c>
      <c r="G161" s="145">
        <f>+'Lighting Rate Design'!H214</f>
        <v>22</v>
      </c>
    </row>
    <row r="162" spans="1:7">
      <c r="A162" s="201">
        <f t="shared" si="12"/>
        <v>157</v>
      </c>
      <c r="B162" s="201">
        <f t="shared" si="10"/>
        <v>53</v>
      </c>
      <c r="C162" s="149" t="s">
        <v>779</v>
      </c>
      <c r="D162" s="201" t="s">
        <v>766</v>
      </c>
      <c r="E162" s="146">
        <f t="shared" si="11"/>
        <v>41456</v>
      </c>
      <c r="F162" s="145">
        <v>18.57</v>
      </c>
      <c r="G162" s="145">
        <f>+'Lighting Rate Design'!H215</f>
        <v>22</v>
      </c>
    </row>
    <row r="163" spans="1:7">
      <c r="A163" s="201">
        <f t="shared" si="12"/>
        <v>158</v>
      </c>
      <c r="B163" s="201">
        <f t="shared" si="10"/>
        <v>53</v>
      </c>
      <c r="C163" s="149" t="s">
        <v>779</v>
      </c>
      <c r="D163" s="201" t="s">
        <v>767</v>
      </c>
      <c r="E163" s="146">
        <f t="shared" si="11"/>
        <v>41456</v>
      </c>
      <c r="F163" s="145">
        <v>18.75</v>
      </c>
      <c r="G163" s="145">
        <f>+'Lighting Rate Design'!H216</f>
        <v>22</v>
      </c>
    </row>
    <row r="164" spans="1:7">
      <c r="A164" s="201">
        <f t="shared" si="12"/>
        <v>159</v>
      </c>
      <c r="B164" s="201"/>
      <c r="D164" s="201"/>
      <c r="E164" s="146"/>
    </row>
    <row r="165" spans="1:7">
      <c r="A165" s="201">
        <f t="shared" si="12"/>
        <v>160</v>
      </c>
      <c r="B165" s="201">
        <f t="shared" ref="B165:B173" si="13">+$B$94</f>
        <v>53</v>
      </c>
      <c r="C165" s="136" t="s">
        <v>780</v>
      </c>
      <c r="D165" s="201" t="s">
        <v>769</v>
      </c>
      <c r="E165" s="146">
        <f t="shared" ref="E165:E173" si="14">+$E$6</f>
        <v>41456</v>
      </c>
      <c r="F165" s="145">
        <v>4.1000000000000005</v>
      </c>
      <c r="G165" s="145">
        <f>+'Lighting Rate Design'!H218</f>
        <v>3.97</v>
      </c>
    </row>
    <row r="166" spans="1:7">
      <c r="A166" s="201">
        <f t="shared" si="12"/>
        <v>161</v>
      </c>
      <c r="B166" s="201">
        <f t="shared" si="13"/>
        <v>53</v>
      </c>
      <c r="C166" s="136" t="s">
        <v>780</v>
      </c>
      <c r="D166" s="201" t="s">
        <v>770</v>
      </c>
      <c r="E166" s="146">
        <f t="shared" si="14"/>
        <v>41456</v>
      </c>
      <c r="F166" s="145">
        <v>5.1099999999999994</v>
      </c>
      <c r="G166" s="145">
        <f>+'Lighting Rate Design'!H219</f>
        <v>4.63</v>
      </c>
    </row>
    <row r="167" spans="1:7">
      <c r="A167" s="201">
        <f t="shared" si="12"/>
        <v>162</v>
      </c>
      <c r="B167" s="201">
        <f t="shared" si="13"/>
        <v>53</v>
      </c>
      <c r="C167" s="136" t="s">
        <v>780</v>
      </c>
      <c r="D167" s="201" t="s">
        <v>705</v>
      </c>
      <c r="E167" s="146">
        <f t="shared" si="14"/>
        <v>41456</v>
      </c>
      <c r="F167" s="145">
        <v>6.28</v>
      </c>
      <c r="G167" s="145">
        <f>+'Lighting Rate Design'!H220</f>
        <v>5.63</v>
      </c>
    </row>
    <row r="168" spans="1:7">
      <c r="A168" s="201">
        <f t="shared" si="12"/>
        <v>163</v>
      </c>
      <c r="B168" s="201">
        <f t="shared" si="13"/>
        <v>53</v>
      </c>
      <c r="C168" s="136" t="s">
        <v>780</v>
      </c>
      <c r="D168" s="201" t="s">
        <v>771</v>
      </c>
      <c r="E168" s="146">
        <f t="shared" si="14"/>
        <v>41456</v>
      </c>
      <c r="F168" s="145">
        <v>8.2100000000000009</v>
      </c>
      <c r="G168" s="145">
        <f>+'Lighting Rate Design'!H221</f>
        <v>7.3</v>
      </c>
    </row>
    <row r="169" spans="1:7">
      <c r="A169" s="201">
        <f t="shared" si="12"/>
        <v>164</v>
      </c>
      <c r="B169" s="201">
        <f t="shared" si="13"/>
        <v>53</v>
      </c>
      <c r="C169" s="136" t="s">
        <v>780</v>
      </c>
      <c r="D169" s="201" t="s">
        <v>772</v>
      </c>
      <c r="E169" s="146">
        <f t="shared" si="14"/>
        <v>41456</v>
      </c>
      <c r="F169" s="145">
        <v>10.14</v>
      </c>
      <c r="G169" s="145">
        <f>+'Lighting Rate Design'!H222</f>
        <v>8.9600000000000009</v>
      </c>
    </row>
    <row r="170" spans="1:7">
      <c r="A170" s="201">
        <f t="shared" si="12"/>
        <v>165</v>
      </c>
      <c r="B170" s="201">
        <f t="shared" si="13"/>
        <v>53</v>
      </c>
      <c r="C170" s="136" t="s">
        <v>780</v>
      </c>
      <c r="D170" s="201" t="s">
        <v>773</v>
      </c>
      <c r="E170" s="146">
        <f t="shared" si="14"/>
        <v>41456</v>
      </c>
      <c r="F170" s="145">
        <v>12.139999999999999</v>
      </c>
      <c r="G170" s="145">
        <f>+'Lighting Rate Design'!H223</f>
        <v>10.62</v>
      </c>
    </row>
    <row r="171" spans="1:7">
      <c r="A171" s="201">
        <f t="shared" si="12"/>
        <v>166</v>
      </c>
      <c r="B171" s="201">
        <f t="shared" si="13"/>
        <v>53</v>
      </c>
      <c r="C171" s="136" t="s">
        <v>780</v>
      </c>
      <c r="D171" s="201" t="s">
        <v>774</v>
      </c>
      <c r="E171" s="146">
        <f t="shared" si="14"/>
        <v>41456</v>
      </c>
      <c r="F171" s="145">
        <v>14.629999999999999</v>
      </c>
      <c r="G171" s="145">
        <f>+'Lighting Rate Design'!H224</f>
        <v>12.62</v>
      </c>
    </row>
    <row r="172" spans="1:7">
      <c r="A172" s="201">
        <f t="shared" si="12"/>
        <v>167</v>
      </c>
      <c r="B172" s="201">
        <f t="shared" si="13"/>
        <v>53</v>
      </c>
      <c r="C172" s="136" t="s">
        <v>780</v>
      </c>
      <c r="D172" s="201" t="s">
        <v>707</v>
      </c>
      <c r="E172" s="146">
        <f t="shared" si="14"/>
        <v>41456</v>
      </c>
      <c r="F172" s="145">
        <v>17.689999999999998</v>
      </c>
      <c r="G172" s="145">
        <f>+'Lighting Rate Design'!H225</f>
        <v>15.61</v>
      </c>
    </row>
    <row r="173" spans="1:7">
      <c r="A173" s="201">
        <f t="shared" si="12"/>
        <v>168</v>
      </c>
      <c r="B173" s="201">
        <f t="shared" si="13"/>
        <v>53</v>
      </c>
      <c r="C173" s="136" t="s">
        <v>780</v>
      </c>
      <c r="D173" s="201" t="s">
        <v>776</v>
      </c>
      <c r="E173" s="146">
        <f t="shared" si="14"/>
        <v>41456</v>
      </c>
      <c r="F173" s="145">
        <v>42.79</v>
      </c>
      <c r="G173" s="145">
        <f>+'Lighting Rate Design'!H226</f>
        <v>35.57</v>
      </c>
    </row>
    <row r="174" spans="1:7">
      <c r="A174" s="201">
        <f t="shared" si="12"/>
        <v>169</v>
      </c>
      <c r="B174" s="201"/>
      <c r="D174" s="201"/>
    </row>
    <row r="175" spans="1:7">
      <c r="A175" s="201">
        <f t="shared" si="12"/>
        <v>170</v>
      </c>
      <c r="B175" s="201">
        <f t="shared" ref="B175:B180" si="15">+$B$94</f>
        <v>53</v>
      </c>
      <c r="C175" s="136" t="s">
        <v>781</v>
      </c>
      <c r="D175" s="201" t="s">
        <v>770</v>
      </c>
      <c r="E175" s="146">
        <f t="shared" ref="E175:E180" si="16">+$E$6</f>
        <v>41456</v>
      </c>
      <c r="F175" s="145">
        <v>9.1100000000000012</v>
      </c>
      <c r="G175" s="145">
        <f>+'Lighting Rate Design'!H228</f>
        <v>6.94</v>
      </c>
    </row>
    <row r="176" spans="1:7">
      <c r="A176" s="201">
        <f t="shared" si="12"/>
        <v>171</v>
      </c>
      <c r="B176" s="201">
        <f t="shared" si="15"/>
        <v>53</v>
      </c>
      <c r="C176" s="136" t="s">
        <v>781</v>
      </c>
      <c r="D176" s="201" t="s">
        <v>705</v>
      </c>
      <c r="E176" s="146">
        <f t="shared" si="16"/>
        <v>41456</v>
      </c>
      <c r="F176" s="145">
        <v>9.9799999999999986</v>
      </c>
      <c r="G176" s="145">
        <f>+'Lighting Rate Design'!H229</f>
        <v>7.94</v>
      </c>
    </row>
    <row r="177" spans="1:7">
      <c r="A177" s="201">
        <f t="shared" si="12"/>
        <v>172</v>
      </c>
      <c r="B177" s="201">
        <f t="shared" si="15"/>
        <v>53</v>
      </c>
      <c r="C177" s="136" t="s">
        <v>781</v>
      </c>
      <c r="D177" s="201" t="s">
        <v>771</v>
      </c>
      <c r="E177" s="146">
        <f t="shared" si="16"/>
        <v>41456</v>
      </c>
      <c r="F177" s="145">
        <v>12.09</v>
      </c>
      <c r="G177" s="145">
        <f>+'Lighting Rate Design'!H230</f>
        <v>9.6</v>
      </c>
    </row>
    <row r="178" spans="1:7">
      <c r="A178" s="201">
        <f t="shared" si="12"/>
        <v>173</v>
      </c>
      <c r="B178" s="201">
        <f t="shared" si="15"/>
        <v>53</v>
      </c>
      <c r="C178" s="136" t="s">
        <v>781</v>
      </c>
      <c r="D178" s="201" t="s">
        <v>706</v>
      </c>
      <c r="E178" s="146">
        <f t="shared" si="16"/>
        <v>41456</v>
      </c>
      <c r="F178" s="145">
        <v>15.579999999999998</v>
      </c>
      <c r="G178" s="145">
        <f>+'Lighting Rate Design'!H231</f>
        <v>10.43</v>
      </c>
    </row>
    <row r="179" spans="1:7">
      <c r="A179" s="201">
        <f t="shared" si="12"/>
        <v>174</v>
      </c>
      <c r="B179" s="201">
        <f t="shared" si="15"/>
        <v>53</v>
      </c>
      <c r="C179" s="136" t="s">
        <v>781</v>
      </c>
      <c r="D179" s="201" t="s">
        <v>773</v>
      </c>
      <c r="E179" s="146">
        <f t="shared" si="16"/>
        <v>41456</v>
      </c>
      <c r="F179" s="145">
        <v>16.079999999999998</v>
      </c>
      <c r="G179" s="145">
        <f>+'Lighting Rate Design'!H232</f>
        <v>12.93</v>
      </c>
    </row>
    <row r="180" spans="1:7">
      <c r="A180" s="201">
        <f t="shared" si="12"/>
        <v>175</v>
      </c>
      <c r="B180" s="201">
        <f t="shared" si="15"/>
        <v>53</v>
      </c>
      <c r="C180" s="136" t="s">
        <v>781</v>
      </c>
      <c r="D180" s="201" t="s">
        <v>707</v>
      </c>
      <c r="E180" s="146">
        <f t="shared" si="16"/>
        <v>41456</v>
      </c>
      <c r="F180" s="145">
        <v>18.09</v>
      </c>
      <c r="G180" s="145">
        <f>+'Lighting Rate Design'!H233</f>
        <v>17.920000000000002</v>
      </c>
    </row>
    <row r="181" spans="1:7">
      <c r="A181" s="201">
        <f t="shared" si="12"/>
        <v>176</v>
      </c>
      <c r="B181" s="201"/>
      <c r="D181" s="201"/>
    </row>
    <row r="182" spans="1:7">
      <c r="A182" s="201">
        <f t="shared" si="12"/>
        <v>177</v>
      </c>
      <c r="B182" s="201">
        <f t="shared" ref="B182:B235" si="17">+$B$94</f>
        <v>53</v>
      </c>
      <c r="C182" s="149" t="s">
        <v>782</v>
      </c>
      <c r="D182" s="201" t="s">
        <v>714</v>
      </c>
      <c r="E182" s="146">
        <f>+E177</f>
        <v>41456</v>
      </c>
      <c r="F182" s="145">
        <v>2.4899999999999998</v>
      </c>
      <c r="G182" s="145">
        <f>+'Lighting Rate Design'!H235</f>
        <v>1.96</v>
      </c>
    </row>
    <row r="183" spans="1:7">
      <c r="A183" s="201">
        <f t="shared" si="12"/>
        <v>178</v>
      </c>
      <c r="B183" s="201">
        <f t="shared" si="17"/>
        <v>53</v>
      </c>
      <c r="C183" s="149" t="s">
        <v>779</v>
      </c>
      <c r="D183" s="201" t="s">
        <v>715</v>
      </c>
      <c r="E183" s="146">
        <f>+E182</f>
        <v>41456</v>
      </c>
      <c r="F183" s="145">
        <v>2.67</v>
      </c>
      <c r="G183" s="145">
        <f>+'Lighting Rate Design'!H236</f>
        <v>1.96</v>
      </c>
    </row>
    <row r="184" spans="1:7">
      <c r="A184" s="201">
        <f t="shared" si="12"/>
        <v>179</v>
      </c>
      <c r="B184" s="201">
        <f t="shared" si="17"/>
        <v>53</v>
      </c>
      <c r="C184" s="149" t="s">
        <v>779</v>
      </c>
      <c r="D184" s="201" t="s">
        <v>716</v>
      </c>
      <c r="E184" s="146">
        <f t="shared" ref="E184:E235" si="18">+E183</f>
        <v>41456</v>
      </c>
      <c r="F184" s="145">
        <v>2.8400000000000003</v>
      </c>
      <c r="G184" s="145">
        <f>+'Lighting Rate Design'!H237</f>
        <v>1.96</v>
      </c>
    </row>
    <row r="185" spans="1:7">
      <c r="A185" s="201">
        <f t="shared" si="12"/>
        <v>180</v>
      </c>
      <c r="B185" s="201">
        <f t="shared" si="17"/>
        <v>53</v>
      </c>
      <c r="C185" s="149" t="s">
        <v>779</v>
      </c>
      <c r="D185" s="201" t="s">
        <v>717</v>
      </c>
      <c r="E185" s="146">
        <f t="shared" si="18"/>
        <v>41456</v>
      </c>
      <c r="F185" s="145">
        <v>3.02</v>
      </c>
      <c r="G185" s="145">
        <f>+'Lighting Rate Design'!H238</f>
        <v>1.96</v>
      </c>
    </row>
    <row r="186" spans="1:7">
      <c r="A186" s="201">
        <f t="shared" si="12"/>
        <v>181</v>
      </c>
      <c r="B186" s="201">
        <f t="shared" si="17"/>
        <v>53</v>
      </c>
      <c r="C186" s="149" t="s">
        <v>779</v>
      </c>
      <c r="D186" s="201" t="s">
        <v>718</v>
      </c>
      <c r="E186" s="146">
        <f t="shared" si="18"/>
        <v>41456</v>
      </c>
      <c r="F186" s="145">
        <v>3.19</v>
      </c>
      <c r="G186" s="145">
        <f>+'Lighting Rate Design'!H239</f>
        <v>1.96</v>
      </c>
    </row>
    <row r="187" spans="1:7">
      <c r="A187" s="201">
        <f t="shared" si="12"/>
        <v>182</v>
      </c>
      <c r="B187" s="201">
        <f t="shared" si="17"/>
        <v>53</v>
      </c>
      <c r="C187" s="149" t="s">
        <v>779</v>
      </c>
      <c r="D187" s="201" t="s">
        <v>719</v>
      </c>
      <c r="E187" s="146">
        <f t="shared" si="18"/>
        <v>41456</v>
      </c>
      <c r="F187" s="145">
        <v>3.37</v>
      </c>
      <c r="G187" s="145">
        <f>+'Lighting Rate Design'!H240</f>
        <v>1.96</v>
      </c>
    </row>
    <row r="188" spans="1:7">
      <c r="A188" s="201">
        <f t="shared" si="12"/>
        <v>183</v>
      </c>
      <c r="B188" s="201">
        <f t="shared" si="17"/>
        <v>53</v>
      </c>
      <c r="C188" s="149" t="s">
        <v>779</v>
      </c>
      <c r="D188" s="201" t="s">
        <v>720</v>
      </c>
      <c r="E188" s="146">
        <f t="shared" si="18"/>
        <v>41456</v>
      </c>
      <c r="F188" s="145">
        <v>3.5500000000000003</v>
      </c>
      <c r="G188" s="145">
        <f>+'Lighting Rate Design'!H241</f>
        <v>2.96</v>
      </c>
    </row>
    <row r="189" spans="1:7">
      <c r="A189" s="201">
        <f t="shared" si="12"/>
        <v>184</v>
      </c>
      <c r="B189" s="201">
        <f t="shared" si="17"/>
        <v>53</v>
      </c>
      <c r="C189" s="149" t="s">
        <v>779</v>
      </c>
      <c r="D189" s="201" t="s">
        <v>721</v>
      </c>
      <c r="E189" s="146">
        <f t="shared" si="18"/>
        <v>41456</v>
      </c>
      <c r="F189" s="145">
        <v>3.7199999999999998</v>
      </c>
      <c r="G189" s="145">
        <f>+'Lighting Rate Design'!H242</f>
        <v>2.96</v>
      </c>
    </row>
    <row r="190" spans="1:7">
      <c r="A190" s="201">
        <f t="shared" si="12"/>
        <v>185</v>
      </c>
      <c r="B190" s="201">
        <f t="shared" si="17"/>
        <v>53</v>
      </c>
      <c r="C190" s="149" t="s">
        <v>779</v>
      </c>
      <c r="D190" s="201" t="s">
        <v>722</v>
      </c>
      <c r="E190" s="146">
        <f t="shared" si="18"/>
        <v>41456</v>
      </c>
      <c r="F190" s="145">
        <v>3.8999999999999995</v>
      </c>
      <c r="G190" s="145">
        <f>+'Lighting Rate Design'!H243</f>
        <v>2.96</v>
      </c>
    </row>
    <row r="191" spans="1:7">
      <c r="A191" s="201">
        <f t="shared" si="12"/>
        <v>186</v>
      </c>
      <c r="B191" s="201">
        <f t="shared" si="17"/>
        <v>53</v>
      </c>
      <c r="C191" s="149" t="s">
        <v>779</v>
      </c>
      <c r="D191" s="201" t="s">
        <v>723</v>
      </c>
      <c r="E191" s="146">
        <f t="shared" si="18"/>
        <v>41456</v>
      </c>
      <c r="F191" s="145">
        <v>4.07</v>
      </c>
      <c r="G191" s="145">
        <f>+'Lighting Rate Design'!H244</f>
        <v>2.96</v>
      </c>
    </row>
    <row r="192" spans="1:7">
      <c r="A192" s="201">
        <f t="shared" si="12"/>
        <v>187</v>
      </c>
      <c r="B192" s="201">
        <f t="shared" si="17"/>
        <v>53</v>
      </c>
      <c r="C192" s="149" t="s">
        <v>779</v>
      </c>
      <c r="D192" s="201" t="s">
        <v>724</v>
      </c>
      <c r="E192" s="146">
        <f t="shared" si="18"/>
        <v>41456</v>
      </c>
      <c r="F192" s="145">
        <v>4.25</v>
      </c>
      <c r="G192" s="145">
        <f>+'Lighting Rate Design'!H245</f>
        <v>2.96</v>
      </c>
    </row>
    <row r="193" spans="1:7">
      <c r="A193" s="201">
        <f t="shared" si="12"/>
        <v>188</v>
      </c>
      <c r="B193" s="201">
        <f t="shared" si="17"/>
        <v>53</v>
      </c>
      <c r="C193" s="149" t="s">
        <v>779</v>
      </c>
      <c r="D193" s="201" t="s">
        <v>725</v>
      </c>
      <c r="E193" s="146">
        <f t="shared" si="18"/>
        <v>41456</v>
      </c>
      <c r="F193" s="145">
        <v>4.42</v>
      </c>
      <c r="G193" s="145">
        <f>+'Lighting Rate Design'!H246</f>
        <v>2.96</v>
      </c>
    </row>
    <row r="194" spans="1:7">
      <c r="A194" s="201">
        <f t="shared" si="12"/>
        <v>189</v>
      </c>
      <c r="B194" s="201">
        <f t="shared" si="17"/>
        <v>53</v>
      </c>
      <c r="C194" s="149" t="s">
        <v>779</v>
      </c>
      <c r="D194" s="201" t="s">
        <v>726</v>
      </c>
      <c r="E194" s="146">
        <f t="shared" si="18"/>
        <v>41456</v>
      </c>
      <c r="F194" s="145">
        <v>4.6100000000000003</v>
      </c>
      <c r="G194" s="145">
        <f>+'Lighting Rate Design'!H247</f>
        <v>3.95</v>
      </c>
    </row>
    <row r="195" spans="1:7">
      <c r="A195" s="201">
        <f t="shared" si="12"/>
        <v>190</v>
      </c>
      <c r="B195" s="201">
        <f t="shared" si="17"/>
        <v>53</v>
      </c>
      <c r="C195" s="149" t="s">
        <v>779</v>
      </c>
      <c r="D195" s="201" t="s">
        <v>727</v>
      </c>
      <c r="E195" s="146">
        <f t="shared" si="18"/>
        <v>41456</v>
      </c>
      <c r="F195" s="145">
        <v>4.7799999999999994</v>
      </c>
      <c r="G195" s="145">
        <f>+'Lighting Rate Design'!H248</f>
        <v>3.95</v>
      </c>
    </row>
    <row r="196" spans="1:7">
      <c r="A196" s="201">
        <f t="shared" si="12"/>
        <v>191</v>
      </c>
      <c r="B196" s="201">
        <f t="shared" si="17"/>
        <v>53</v>
      </c>
      <c r="C196" s="149" t="s">
        <v>779</v>
      </c>
      <c r="D196" s="201" t="s">
        <v>728</v>
      </c>
      <c r="E196" s="146">
        <f t="shared" si="18"/>
        <v>41456</v>
      </c>
      <c r="F196" s="145">
        <v>4.96</v>
      </c>
      <c r="G196" s="145">
        <f>+'Lighting Rate Design'!H249</f>
        <v>3.95</v>
      </c>
    </row>
    <row r="197" spans="1:7">
      <c r="A197" s="201">
        <f t="shared" si="12"/>
        <v>192</v>
      </c>
      <c r="B197" s="201">
        <f t="shared" si="17"/>
        <v>53</v>
      </c>
      <c r="C197" s="149" t="s">
        <v>779</v>
      </c>
      <c r="D197" s="201" t="s">
        <v>729</v>
      </c>
      <c r="E197" s="146">
        <f t="shared" si="18"/>
        <v>41456</v>
      </c>
      <c r="F197" s="145">
        <v>5.13</v>
      </c>
      <c r="G197" s="145">
        <f>+'Lighting Rate Design'!H250</f>
        <v>3.95</v>
      </c>
    </row>
    <row r="198" spans="1:7">
      <c r="A198" s="201">
        <f t="shared" si="12"/>
        <v>193</v>
      </c>
      <c r="B198" s="201">
        <f t="shared" si="17"/>
        <v>53</v>
      </c>
      <c r="C198" s="149" t="s">
        <v>779</v>
      </c>
      <c r="D198" s="201" t="s">
        <v>730</v>
      </c>
      <c r="E198" s="146">
        <f t="shared" si="18"/>
        <v>41456</v>
      </c>
      <c r="F198" s="145">
        <v>5.3</v>
      </c>
      <c r="G198" s="145">
        <f>+'Lighting Rate Design'!H251</f>
        <v>3.95</v>
      </c>
    </row>
    <row r="199" spans="1:7">
      <c r="A199" s="201">
        <f t="shared" si="12"/>
        <v>194</v>
      </c>
      <c r="B199" s="201">
        <f t="shared" si="17"/>
        <v>53</v>
      </c>
      <c r="C199" s="149" t="s">
        <v>779</v>
      </c>
      <c r="D199" s="201" t="s">
        <v>731</v>
      </c>
      <c r="E199" s="146">
        <f t="shared" si="18"/>
        <v>41456</v>
      </c>
      <c r="F199" s="145">
        <v>5.48</v>
      </c>
      <c r="G199" s="145">
        <f>+'Lighting Rate Design'!H252</f>
        <v>3.95</v>
      </c>
    </row>
    <row r="200" spans="1:7">
      <c r="A200" s="201">
        <f t="shared" ref="A200:A263" si="19">+A199+1</f>
        <v>195</v>
      </c>
      <c r="B200" s="201">
        <f t="shared" si="17"/>
        <v>53</v>
      </c>
      <c r="C200" s="149" t="s">
        <v>779</v>
      </c>
      <c r="D200" s="201" t="s">
        <v>732</v>
      </c>
      <c r="E200" s="146">
        <f t="shared" si="18"/>
        <v>41456</v>
      </c>
      <c r="F200" s="145">
        <v>5.65</v>
      </c>
      <c r="G200" s="145">
        <f>+'Lighting Rate Design'!H253</f>
        <v>4.95</v>
      </c>
    </row>
    <row r="201" spans="1:7">
      <c r="A201" s="201">
        <f t="shared" si="19"/>
        <v>196</v>
      </c>
      <c r="B201" s="201">
        <f t="shared" si="17"/>
        <v>53</v>
      </c>
      <c r="C201" s="149" t="s">
        <v>779</v>
      </c>
      <c r="D201" s="201" t="s">
        <v>733</v>
      </c>
      <c r="E201" s="146">
        <f t="shared" si="18"/>
        <v>41456</v>
      </c>
      <c r="F201" s="145">
        <v>5.84</v>
      </c>
      <c r="G201" s="145">
        <f>+'Lighting Rate Design'!H254</f>
        <v>4.95</v>
      </c>
    </row>
    <row r="202" spans="1:7">
      <c r="A202" s="201">
        <f t="shared" si="19"/>
        <v>197</v>
      </c>
      <c r="B202" s="201">
        <f t="shared" si="17"/>
        <v>53</v>
      </c>
      <c r="C202" s="149" t="s">
        <v>779</v>
      </c>
      <c r="D202" s="201" t="s">
        <v>734</v>
      </c>
      <c r="E202" s="146">
        <f t="shared" si="18"/>
        <v>41456</v>
      </c>
      <c r="F202" s="145">
        <v>6.01</v>
      </c>
      <c r="G202" s="145">
        <f>+'Lighting Rate Design'!H255</f>
        <v>4.95</v>
      </c>
    </row>
    <row r="203" spans="1:7">
      <c r="A203" s="201">
        <f t="shared" si="19"/>
        <v>198</v>
      </c>
      <c r="B203" s="201">
        <f t="shared" si="17"/>
        <v>53</v>
      </c>
      <c r="C203" s="149" t="s">
        <v>779</v>
      </c>
      <c r="D203" s="201" t="s">
        <v>735</v>
      </c>
      <c r="E203" s="146">
        <f t="shared" si="18"/>
        <v>41456</v>
      </c>
      <c r="F203" s="145">
        <v>6.1899999999999995</v>
      </c>
      <c r="G203" s="145">
        <f>+'Lighting Rate Design'!H256</f>
        <v>4.95</v>
      </c>
    </row>
    <row r="204" spans="1:7">
      <c r="A204" s="201">
        <f t="shared" si="19"/>
        <v>199</v>
      </c>
      <c r="B204" s="201">
        <f t="shared" si="17"/>
        <v>53</v>
      </c>
      <c r="C204" s="149" t="s">
        <v>779</v>
      </c>
      <c r="D204" s="201" t="s">
        <v>736</v>
      </c>
      <c r="E204" s="146">
        <f t="shared" si="18"/>
        <v>41456</v>
      </c>
      <c r="F204" s="145">
        <v>6.3599999999999994</v>
      </c>
      <c r="G204" s="145">
        <f>+'Lighting Rate Design'!H257</f>
        <v>4.95</v>
      </c>
    </row>
    <row r="205" spans="1:7">
      <c r="A205" s="201">
        <f t="shared" si="19"/>
        <v>200</v>
      </c>
      <c r="B205" s="201">
        <f t="shared" si="17"/>
        <v>53</v>
      </c>
      <c r="C205" s="149" t="s">
        <v>779</v>
      </c>
      <c r="D205" s="201" t="s">
        <v>737</v>
      </c>
      <c r="E205" s="146">
        <f t="shared" si="18"/>
        <v>41456</v>
      </c>
      <c r="F205" s="145">
        <v>6.54</v>
      </c>
      <c r="G205" s="145">
        <f>+'Lighting Rate Design'!H258</f>
        <v>4.95</v>
      </c>
    </row>
    <row r="206" spans="1:7">
      <c r="A206" s="201">
        <f t="shared" si="19"/>
        <v>201</v>
      </c>
      <c r="B206" s="201">
        <f t="shared" si="17"/>
        <v>53</v>
      </c>
      <c r="C206" s="149" t="s">
        <v>779</v>
      </c>
      <c r="D206" s="201" t="s">
        <v>738</v>
      </c>
      <c r="E206" s="146">
        <f t="shared" si="18"/>
        <v>41456</v>
      </c>
      <c r="F206" s="145">
        <v>6.71</v>
      </c>
      <c r="G206" s="145">
        <f>+'Lighting Rate Design'!H259</f>
        <v>5.95</v>
      </c>
    </row>
    <row r="207" spans="1:7">
      <c r="A207" s="201">
        <f t="shared" si="19"/>
        <v>202</v>
      </c>
      <c r="B207" s="201">
        <f t="shared" si="17"/>
        <v>53</v>
      </c>
      <c r="C207" s="149" t="s">
        <v>779</v>
      </c>
      <c r="D207" s="201" t="s">
        <v>739</v>
      </c>
      <c r="E207" s="146">
        <f t="shared" si="18"/>
        <v>41456</v>
      </c>
      <c r="F207" s="145">
        <v>6.89</v>
      </c>
      <c r="G207" s="145">
        <f>+'Lighting Rate Design'!H260</f>
        <v>5.95</v>
      </c>
    </row>
    <row r="208" spans="1:7">
      <c r="A208" s="201">
        <f t="shared" si="19"/>
        <v>203</v>
      </c>
      <c r="B208" s="201">
        <f t="shared" si="17"/>
        <v>53</v>
      </c>
      <c r="C208" s="149" t="s">
        <v>779</v>
      </c>
      <c r="D208" s="201" t="s">
        <v>740</v>
      </c>
      <c r="E208" s="146">
        <f t="shared" si="18"/>
        <v>41456</v>
      </c>
      <c r="F208" s="145">
        <v>7.07</v>
      </c>
      <c r="G208" s="145">
        <f>+'Lighting Rate Design'!H261</f>
        <v>5.95</v>
      </c>
    </row>
    <row r="209" spans="1:7">
      <c r="A209" s="201">
        <f t="shared" si="19"/>
        <v>204</v>
      </c>
      <c r="B209" s="201">
        <f t="shared" si="17"/>
        <v>53</v>
      </c>
      <c r="C209" s="149" t="s">
        <v>779</v>
      </c>
      <c r="D209" s="201" t="s">
        <v>741</v>
      </c>
      <c r="E209" s="146">
        <f t="shared" si="18"/>
        <v>41456</v>
      </c>
      <c r="F209" s="145">
        <v>7.2399999999999993</v>
      </c>
      <c r="G209" s="145">
        <f>+'Lighting Rate Design'!H262</f>
        <v>5.95</v>
      </c>
    </row>
    <row r="210" spans="1:7">
      <c r="A210" s="201">
        <f t="shared" si="19"/>
        <v>205</v>
      </c>
      <c r="B210" s="201">
        <f t="shared" si="17"/>
        <v>53</v>
      </c>
      <c r="C210" s="149" t="s">
        <v>779</v>
      </c>
      <c r="D210" s="201" t="s">
        <v>742</v>
      </c>
      <c r="E210" s="146">
        <f t="shared" si="18"/>
        <v>41456</v>
      </c>
      <c r="F210" s="145">
        <v>7.42</v>
      </c>
      <c r="G210" s="145">
        <f>+'Lighting Rate Design'!H263</f>
        <v>5.95</v>
      </c>
    </row>
    <row r="211" spans="1:7">
      <c r="A211" s="201">
        <f t="shared" si="19"/>
        <v>206</v>
      </c>
      <c r="B211" s="201">
        <f t="shared" si="17"/>
        <v>53</v>
      </c>
      <c r="C211" s="149" t="s">
        <v>779</v>
      </c>
      <c r="D211" s="201" t="s">
        <v>743</v>
      </c>
      <c r="E211" s="146">
        <f t="shared" si="18"/>
        <v>41456</v>
      </c>
      <c r="F211" s="145">
        <v>7.59</v>
      </c>
      <c r="G211" s="145">
        <f>+'Lighting Rate Design'!H264</f>
        <v>5.95</v>
      </c>
    </row>
    <row r="212" spans="1:7">
      <c r="A212" s="201">
        <f t="shared" si="19"/>
        <v>207</v>
      </c>
      <c r="B212" s="201">
        <f t="shared" si="17"/>
        <v>53</v>
      </c>
      <c r="C212" s="149" t="s">
        <v>779</v>
      </c>
      <c r="D212" s="201" t="s">
        <v>744</v>
      </c>
      <c r="E212" s="146">
        <f t="shared" si="18"/>
        <v>41456</v>
      </c>
      <c r="F212" s="145">
        <v>7.77</v>
      </c>
      <c r="G212" s="145">
        <f>+'Lighting Rate Design'!H265</f>
        <v>6.95</v>
      </c>
    </row>
    <row r="213" spans="1:7">
      <c r="A213" s="201">
        <f t="shared" si="19"/>
        <v>208</v>
      </c>
      <c r="B213" s="201">
        <f t="shared" si="17"/>
        <v>53</v>
      </c>
      <c r="C213" s="149" t="s">
        <v>779</v>
      </c>
      <c r="D213" s="201" t="s">
        <v>745</v>
      </c>
      <c r="E213" s="146">
        <f t="shared" si="18"/>
        <v>41456</v>
      </c>
      <c r="F213" s="145">
        <v>7.9399999999999995</v>
      </c>
      <c r="G213" s="145">
        <f>+'Lighting Rate Design'!H266</f>
        <v>6.95</v>
      </c>
    </row>
    <row r="214" spans="1:7">
      <c r="A214" s="201">
        <f t="shared" si="19"/>
        <v>209</v>
      </c>
      <c r="B214" s="201">
        <f t="shared" si="17"/>
        <v>53</v>
      </c>
      <c r="C214" s="149" t="s">
        <v>779</v>
      </c>
      <c r="D214" s="201" t="s">
        <v>746</v>
      </c>
      <c r="E214" s="146">
        <f t="shared" si="18"/>
        <v>41456</v>
      </c>
      <c r="F214" s="145">
        <v>8.1199999999999992</v>
      </c>
      <c r="G214" s="145">
        <f>+'Lighting Rate Design'!H267</f>
        <v>6.95</v>
      </c>
    </row>
    <row r="215" spans="1:7">
      <c r="A215" s="201">
        <f t="shared" si="19"/>
        <v>210</v>
      </c>
      <c r="B215" s="201">
        <f t="shared" si="17"/>
        <v>53</v>
      </c>
      <c r="C215" s="149" t="s">
        <v>779</v>
      </c>
      <c r="D215" s="201" t="s">
        <v>747</v>
      </c>
      <c r="E215" s="146">
        <f t="shared" si="18"/>
        <v>41456</v>
      </c>
      <c r="F215" s="145">
        <v>8.3000000000000007</v>
      </c>
      <c r="G215" s="145">
        <f>+'Lighting Rate Design'!H268</f>
        <v>6.95</v>
      </c>
    </row>
    <row r="216" spans="1:7">
      <c r="A216" s="201">
        <f t="shared" si="19"/>
        <v>211</v>
      </c>
      <c r="B216" s="201">
        <f t="shared" si="17"/>
        <v>53</v>
      </c>
      <c r="C216" s="149" t="s">
        <v>779</v>
      </c>
      <c r="D216" s="201" t="s">
        <v>748</v>
      </c>
      <c r="E216" s="146">
        <f t="shared" si="18"/>
        <v>41456</v>
      </c>
      <c r="F216" s="145">
        <v>8.48</v>
      </c>
      <c r="G216" s="145">
        <f>+'Lighting Rate Design'!H269</f>
        <v>6.95</v>
      </c>
    </row>
    <row r="217" spans="1:7">
      <c r="A217" s="201">
        <f t="shared" si="19"/>
        <v>212</v>
      </c>
      <c r="B217" s="201">
        <f t="shared" si="17"/>
        <v>53</v>
      </c>
      <c r="C217" s="149" t="s">
        <v>779</v>
      </c>
      <c r="D217" s="201" t="s">
        <v>749</v>
      </c>
      <c r="E217" s="146">
        <f t="shared" si="18"/>
        <v>41456</v>
      </c>
      <c r="F217" s="145">
        <v>8.65</v>
      </c>
      <c r="G217" s="145">
        <f>+'Lighting Rate Design'!H270</f>
        <v>6.95</v>
      </c>
    </row>
    <row r="218" spans="1:7">
      <c r="A218" s="201">
        <f t="shared" si="19"/>
        <v>213</v>
      </c>
      <c r="B218" s="201">
        <f t="shared" si="17"/>
        <v>53</v>
      </c>
      <c r="C218" s="149" t="s">
        <v>779</v>
      </c>
      <c r="D218" s="201" t="s">
        <v>750</v>
      </c>
      <c r="E218" s="146">
        <f t="shared" si="18"/>
        <v>41456</v>
      </c>
      <c r="F218" s="145">
        <v>8.83</v>
      </c>
      <c r="G218" s="145">
        <f>+'Lighting Rate Design'!H271</f>
        <v>7.95</v>
      </c>
    </row>
    <row r="219" spans="1:7">
      <c r="A219" s="201">
        <f t="shared" si="19"/>
        <v>214</v>
      </c>
      <c r="B219" s="201">
        <f t="shared" si="17"/>
        <v>53</v>
      </c>
      <c r="C219" s="149" t="s">
        <v>779</v>
      </c>
      <c r="D219" s="201" t="s">
        <v>751</v>
      </c>
      <c r="E219" s="146">
        <f t="shared" si="18"/>
        <v>41456</v>
      </c>
      <c r="F219" s="145">
        <v>9</v>
      </c>
      <c r="G219" s="145">
        <f>+'Lighting Rate Design'!H272</f>
        <v>7.95</v>
      </c>
    </row>
    <row r="220" spans="1:7">
      <c r="A220" s="201">
        <f t="shared" si="19"/>
        <v>215</v>
      </c>
      <c r="B220" s="201">
        <f t="shared" si="17"/>
        <v>53</v>
      </c>
      <c r="C220" s="149" t="s">
        <v>779</v>
      </c>
      <c r="D220" s="201" t="s">
        <v>752</v>
      </c>
      <c r="E220" s="146">
        <f t="shared" si="18"/>
        <v>41456</v>
      </c>
      <c r="F220" s="145">
        <v>9.1700000000000017</v>
      </c>
      <c r="G220" s="145">
        <f>+'Lighting Rate Design'!H273</f>
        <v>7.95</v>
      </c>
    </row>
    <row r="221" spans="1:7">
      <c r="A221" s="201">
        <f t="shared" si="19"/>
        <v>216</v>
      </c>
      <c r="B221" s="201">
        <f t="shared" si="17"/>
        <v>53</v>
      </c>
      <c r="C221" s="149" t="s">
        <v>779</v>
      </c>
      <c r="D221" s="201" t="s">
        <v>753</v>
      </c>
      <c r="E221" s="146">
        <f t="shared" si="18"/>
        <v>41456</v>
      </c>
      <c r="F221" s="145">
        <v>9.3500000000000014</v>
      </c>
      <c r="G221" s="145">
        <f>+'Lighting Rate Design'!H274</f>
        <v>7.95</v>
      </c>
    </row>
    <row r="222" spans="1:7">
      <c r="A222" s="201">
        <f t="shared" si="19"/>
        <v>217</v>
      </c>
      <c r="B222" s="201">
        <f t="shared" si="17"/>
        <v>53</v>
      </c>
      <c r="C222" s="149" t="s">
        <v>779</v>
      </c>
      <c r="D222" s="201" t="s">
        <v>754</v>
      </c>
      <c r="E222" s="146">
        <f t="shared" si="18"/>
        <v>41456</v>
      </c>
      <c r="F222" s="145">
        <v>9.5299999999999994</v>
      </c>
      <c r="G222" s="145">
        <f>+'Lighting Rate Design'!H275</f>
        <v>7.95</v>
      </c>
    </row>
    <row r="223" spans="1:7">
      <c r="A223" s="201">
        <f t="shared" si="19"/>
        <v>218</v>
      </c>
      <c r="B223" s="201">
        <f t="shared" si="17"/>
        <v>53</v>
      </c>
      <c r="C223" s="149" t="s">
        <v>779</v>
      </c>
      <c r="D223" s="201" t="s">
        <v>755</v>
      </c>
      <c r="E223" s="146">
        <f t="shared" si="18"/>
        <v>41456</v>
      </c>
      <c r="F223" s="145">
        <v>9.7099999999999991</v>
      </c>
      <c r="G223" s="145">
        <f>+'Lighting Rate Design'!H276</f>
        <v>7.95</v>
      </c>
    </row>
    <row r="224" spans="1:7">
      <c r="A224" s="201">
        <f t="shared" si="19"/>
        <v>219</v>
      </c>
      <c r="B224" s="201">
        <f t="shared" si="17"/>
        <v>53</v>
      </c>
      <c r="C224" s="149" t="s">
        <v>779</v>
      </c>
      <c r="D224" s="201" t="s">
        <v>756</v>
      </c>
      <c r="E224" s="146">
        <f t="shared" si="18"/>
        <v>41456</v>
      </c>
      <c r="F224" s="145">
        <v>9.879999999999999</v>
      </c>
      <c r="G224" s="145">
        <f>+'Lighting Rate Design'!H277</f>
        <v>8.94</v>
      </c>
    </row>
    <row r="225" spans="1:7">
      <c r="A225" s="201">
        <f t="shared" si="19"/>
        <v>220</v>
      </c>
      <c r="B225" s="201">
        <f t="shared" si="17"/>
        <v>53</v>
      </c>
      <c r="C225" s="149" t="s">
        <v>779</v>
      </c>
      <c r="D225" s="201" t="s">
        <v>757</v>
      </c>
      <c r="E225" s="146">
        <f t="shared" si="18"/>
        <v>41456</v>
      </c>
      <c r="F225" s="145">
        <v>10.059999999999999</v>
      </c>
      <c r="G225" s="145">
        <f>+'Lighting Rate Design'!H278</f>
        <v>8.94</v>
      </c>
    </row>
    <row r="226" spans="1:7">
      <c r="A226" s="201">
        <f t="shared" si="19"/>
        <v>221</v>
      </c>
      <c r="B226" s="201">
        <f t="shared" si="17"/>
        <v>53</v>
      </c>
      <c r="C226" s="149" t="s">
        <v>779</v>
      </c>
      <c r="D226" s="201" t="s">
        <v>758</v>
      </c>
      <c r="E226" s="146">
        <f t="shared" si="18"/>
        <v>41456</v>
      </c>
      <c r="F226" s="145">
        <v>10.23</v>
      </c>
      <c r="G226" s="145">
        <f>+'Lighting Rate Design'!H279</f>
        <v>8.94</v>
      </c>
    </row>
    <row r="227" spans="1:7">
      <c r="A227" s="201">
        <f t="shared" si="19"/>
        <v>222</v>
      </c>
      <c r="B227" s="201">
        <f t="shared" si="17"/>
        <v>53</v>
      </c>
      <c r="C227" s="149" t="s">
        <v>779</v>
      </c>
      <c r="D227" s="201" t="s">
        <v>759</v>
      </c>
      <c r="E227" s="146">
        <f t="shared" si="18"/>
        <v>41456</v>
      </c>
      <c r="F227" s="145">
        <v>10.41</v>
      </c>
      <c r="G227" s="145">
        <f>+'Lighting Rate Design'!H280</f>
        <v>8.94</v>
      </c>
    </row>
    <row r="228" spans="1:7">
      <c r="A228" s="201">
        <f t="shared" si="19"/>
        <v>223</v>
      </c>
      <c r="B228" s="201">
        <f t="shared" si="17"/>
        <v>53</v>
      </c>
      <c r="C228" s="149" t="s">
        <v>779</v>
      </c>
      <c r="D228" s="201" t="s">
        <v>760</v>
      </c>
      <c r="E228" s="146">
        <f t="shared" si="18"/>
        <v>41456</v>
      </c>
      <c r="F228" s="145">
        <v>10.58</v>
      </c>
      <c r="G228" s="145">
        <f>+'Lighting Rate Design'!H281</f>
        <v>8.94</v>
      </c>
    </row>
    <row r="229" spans="1:7">
      <c r="A229" s="201">
        <f t="shared" si="19"/>
        <v>224</v>
      </c>
      <c r="B229" s="201">
        <f t="shared" si="17"/>
        <v>53</v>
      </c>
      <c r="C229" s="149" t="s">
        <v>779</v>
      </c>
      <c r="D229" s="201" t="s">
        <v>761</v>
      </c>
      <c r="E229" s="146">
        <f t="shared" si="18"/>
        <v>41456</v>
      </c>
      <c r="F229" s="145">
        <v>10.76</v>
      </c>
      <c r="G229" s="145">
        <f>+'Lighting Rate Design'!H282</f>
        <v>8.94</v>
      </c>
    </row>
    <row r="230" spans="1:7">
      <c r="A230" s="201">
        <f t="shared" si="19"/>
        <v>225</v>
      </c>
      <c r="B230" s="201">
        <f t="shared" si="17"/>
        <v>53</v>
      </c>
      <c r="C230" s="149" t="s">
        <v>779</v>
      </c>
      <c r="D230" s="201" t="s">
        <v>762</v>
      </c>
      <c r="E230" s="146">
        <f t="shared" si="18"/>
        <v>41456</v>
      </c>
      <c r="F230" s="145">
        <v>10.94</v>
      </c>
      <c r="G230" s="145">
        <f>+'Lighting Rate Design'!H283</f>
        <v>9.94</v>
      </c>
    </row>
    <row r="231" spans="1:7">
      <c r="A231" s="201">
        <f t="shared" si="19"/>
        <v>226</v>
      </c>
      <c r="B231" s="201">
        <f t="shared" si="17"/>
        <v>53</v>
      </c>
      <c r="C231" s="149" t="s">
        <v>779</v>
      </c>
      <c r="D231" s="201" t="s">
        <v>763</v>
      </c>
      <c r="E231" s="146">
        <f t="shared" si="18"/>
        <v>41456</v>
      </c>
      <c r="F231" s="145">
        <v>11.110000000000001</v>
      </c>
      <c r="G231" s="145">
        <f>+'Lighting Rate Design'!H284</f>
        <v>9.94</v>
      </c>
    </row>
    <row r="232" spans="1:7">
      <c r="A232" s="201">
        <f t="shared" si="19"/>
        <v>227</v>
      </c>
      <c r="B232" s="201">
        <f t="shared" si="17"/>
        <v>53</v>
      </c>
      <c r="C232" s="149" t="s">
        <v>779</v>
      </c>
      <c r="D232" s="201" t="s">
        <v>764</v>
      </c>
      <c r="E232" s="146">
        <f t="shared" si="18"/>
        <v>41456</v>
      </c>
      <c r="F232" s="145">
        <v>11.290000000000001</v>
      </c>
      <c r="G232" s="145">
        <f>+'Lighting Rate Design'!H285</f>
        <v>9.94</v>
      </c>
    </row>
    <row r="233" spans="1:7">
      <c r="A233" s="201">
        <f t="shared" si="19"/>
        <v>228</v>
      </c>
      <c r="B233" s="201">
        <f t="shared" si="17"/>
        <v>53</v>
      </c>
      <c r="C233" s="149" t="s">
        <v>779</v>
      </c>
      <c r="D233" s="201" t="s">
        <v>765</v>
      </c>
      <c r="E233" s="146">
        <f t="shared" si="18"/>
        <v>41456</v>
      </c>
      <c r="F233" s="145">
        <v>11.46</v>
      </c>
      <c r="G233" s="145">
        <f>+'Lighting Rate Design'!H286</f>
        <v>9.94</v>
      </c>
    </row>
    <row r="234" spans="1:7">
      <c r="A234" s="201">
        <f t="shared" si="19"/>
        <v>229</v>
      </c>
      <c r="B234" s="201">
        <f t="shared" si="17"/>
        <v>53</v>
      </c>
      <c r="C234" s="149" t="s">
        <v>779</v>
      </c>
      <c r="D234" s="201" t="s">
        <v>766</v>
      </c>
      <c r="E234" s="146">
        <f t="shared" si="18"/>
        <v>41456</v>
      </c>
      <c r="F234" s="145">
        <v>11.64</v>
      </c>
      <c r="G234" s="145">
        <f>+'Lighting Rate Design'!H287</f>
        <v>9.94</v>
      </c>
    </row>
    <row r="235" spans="1:7">
      <c r="A235" s="201">
        <f t="shared" si="19"/>
        <v>230</v>
      </c>
      <c r="B235" s="201">
        <f t="shared" si="17"/>
        <v>53</v>
      </c>
      <c r="C235" s="149" t="s">
        <v>779</v>
      </c>
      <c r="D235" s="201" t="s">
        <v>767</v>
      </c>
      <c r="E235" s="146">
        <f t="shared" si="18"/>
        <v>41456</v>
      </c>
      <c r="F235" s="145">
        <v>11.81</v>
      </c>
      <c r="G235" s="145">
        <f>+'Lighting Rate Design'!H288</f>
        <v>9.94</v>
      </c>
    </row>
    <row r="236" spans="1:7">
      <c r="A236" s="201">
        <f t="shared" si="19"/>
        <v>231</v>
      </c>
      <c r="B236" s="201"/>
      <c r="D236" s="201"/>
      <c r="E236" s="146"/>
    </row>
    <row r="237" spans="1:7">
      <c r="A237" s="201">
        <f t="shared" si="19"/>
        <v>232</v>
      </c>
      <c r="B237" s="201">
        <v>54</v>
      </c>
      <c r="C237" s="136" t="s">
        <v>783</v>
      </c>
      <c r="D237" s="201" t="s">
        <v>769</v>
      </c>
      <c r="E237" s="146">
        <f t="shared" ref="E237:E245" si="20">+$E$6</f>
        <v>41456</v>
      </c>
      <c r="F237" s="145">
        <v>2.02</v>
      </c>
      <c r="G237" s="145">
        <f>+'Lighting Rate Design'!H303</f>
        <v>1.66</v>
      </c>
    </row>
    <row r="238" spans="1:7">
      <c r="A238" s="201">
        <f t="shared" si="19"/>
        <v>233</v>
      </c>
      <c r="B238" s="201">
        <f>+$B$237</f>
        <v>54</v>
      </c>
      <c r="C238" s="136" t="s">
        <v>783</v>
      </c>
      <c r="D238" s="201" t="s">
        <v>770</v>
      </c>
      <c r="E238" s="146">
        <f t="shared" si="20"/>
        <v>41456</v>
      </c>
      <c r="F238" s="145">
        <v>2.94</v>
      </c>
      <c r="G238" s="145">
        <f>+'Lighting Rate Design'!H304</f>
        <v>2.33</v>
      </c>
    </row>
    <row r="239" spans="1:7">
      <c r="A239" s="201">
        <f t="shared" si="19"/>
        <v>234</v>
      </c>
      <c r="B239" s="201">
        <f t="shared" ref="B239:B245" si="21">+$B$237</f>
        <v>54</v>
      </c>
      <c r="C239" s="136" t="s">
        <v>783</v>
      </c>
      <c r="D239" s="201" t="s">
        <v>705</v>
      </c>
      <c r="E239" s="146">
        <f t="shared" si="20"/>
        <v>41456</v>
      </c>
      <c r="F239" s="145">
        <v>4.1399999999999997</v>
      </c>
      <c r="G239" s="145">
        <f>+'Lighting Rate Design'!H305</f>
        <v>3.33</v>
      </c>
    </row>
    <row r="240" spans="1:7">
      <c r="A240" s="201">
        <f t="shared" si="19"/>
        <v>235</v>
      </c>
      <c r="B240" s="201">
        <f t="shared" si="21"/>
        <v>54</v>
      </c>
      <c r="C240" s="136" t="s">
        <v>783</v>
      </c>
      <c r="D240" s="201" t="s">
        <v>771</v>
      </c>
      <c r="E240" s="146">
        <f t="shared" si="20"/>
        <v>41456</v>
      </c>
      <c r="F240" s="145">
        <v>6.01</v>
      </c>
      <c r="G240" s="145">
        <f>+'Lighting Rate Design'!H306</f>
        <v>4.99</v>
      </c>
    </row>
    <row r="241" spans="1:7">
      <c r="A241" s="201">
        <f t="shared" si="19"/>
        <v>236</v>
      </c>
      <c r="B241" s="201">
        <f t="shared" si="21"/>
        <v>54</v>
      </c>
      <c r="C241" s="136" t="s">
        <v>783</v>
      </c>
      <c r="D241" s="201" t="s">
        <v>772</v>
      </c>
      <c r="E241" s="146">
        <f t="shared" si="20"/>
        <v>41456</v>
      </c>
      <c r="F241" s="145">
        <v>7.9600000000000009</v>
      </c>
      <c r="G241" s="145">
        <f>+'Lighting Rate Design'!H307</f>
        <v>6.65</v>
      </c>
    </row>
    <row r="242" spans="1:7">
      <c r="A242" s="201">
        <f t="shared" si="19"/>
        <v>237</v>
      </c>
      <c r="B242" s="201">
        <f t="shared" si="21"/>
        <v>54</v>
      </c>
      <c r="C242" s="136" t="s">
        <v>783</v>
      </c>
      <c r="D242" s="201" t="s">
        <v>773</v>
      </c>
      <c r="E242" s="146">
        <f t="shared" si="20"/>
        <v>41456</v>
      </c>
      <c r="F242" s="145">
        <v>9.879999999999999</v>
      </c>
      <c r="G242" s="145">
        <f>+'Lighting Rate Design'!H308</f>
        <v>8.32</v>
      </c>
    </row>
    <row r="243" spans="1:7">
      <c r="A243" s="201">
        <f t="shared" si="19"/>
        <v>238</v>
      </c>
      <c r="B243" s="201">
        <f t="shared" si="21"/>
        <v>54</v>
      </c>
      <c r="C243" s="136" t="s">
        <v>783</v>
      </c>
      <c r="D243" s="201" t="s">
        <v>774</v>
      </c>
      <c r="E243" s="146">
        <f t="shared" si="20"/>
        <v>41456</v>
      </c>
      <c r="F243" s="145">
        <v>13.49</v>
      </c>
      <c r="G243" s="145">
        <f>+'Lighting Rate Design'!H309</f>
        <v>10.31</v>
      </c>
    </row>
    <row r="244" spans="1:7">
      <c r="A244" s="201">
        <f t="shared" si="19"/>
        <v>239</v>
      </c>
      <c r="B244" s="201">
        <f t="shared" si="21"/>
        <v>54</v>
      </c>
      <c r="C244" s="136" t="s">
        <v>783</v>
      </c>
      <c r="D244" s="201" t="s">
        <v>707</v>
      </c>
      <c r="E244" s="146">
        <f t="shared" si="20"/>
        <v>41456</v>
      </c>
      <c r="F244" s="145">
        <v>15.43</v>
      </c>
      <c r="G244" s="145">
        <f>+'Lighting Rate Design'!H310</f>
        <v>13.31</v>
      </c>
    </row>
    <row r="245" spans="1:7">
      <c r="A245" s="201">
        <f t="shared" si="19"/>
        <v>240</v>
      </c>
      <c r="B245" s="201">
        <f t="shared" si="21"/>
        <v>54</v>
      </c>
      <c r="C245" s="136" t="s">
        <v>783</v>
      </c>
      <c r="D245" s="201" t="s">
        <v>776</v>
      </c>
      <c r="E245" s="146">
        <f t="shared" si="20"/>
        <v>41456</v>
      </c>
      <c r="F245" s="145">
        <v>38.839999999999996</v>
      </c>
      <c r="G245" s="145">
        <f>+'Lighting Rate Design'!H311</f>
        <v>33.26</v>
      </c>
    </row>
    <row r="246" spans="1:7">
      <c r="A246" s="201">
        <f t="shared" si="19"/>
        <v>241</v>
      </c>
      <c r="B246" s="201"/>
      <c r="D246" s="201"/>
    </row>
    <row r="247" spans="1:7">
      <c r="A247" s="201">
        <f t="shared" si="19"/>
        <v>242</v>
      </c>
      <c r="B247" s="201">
        <f t="shared" ref="B247:B300" si="22">+$B$237</f>
        <v>54</v>
      </c>
      <c r="C247" s="149" t="s">
        <v>784</v>
      </c>
      <c r="D247" s="201" t="s">
        <v>714</v>
      </c>
      <c r="E247" s="146">
        <f>+E242</f>
        <v>41456</v>
      </c>
      <c r="F247" s="145">
        <v>1.1399999999999999</v>
      </c>
      <c r="G247" s="145">
        <f>+'Lighting Rate Design'!H313</f>
        <v>1.5</v>
      </c>
    </row>
    <row r="248" spans="1:7">
      <c r="A248" s="201">
        <f t="shared" si="19"/>
        <v>243</v>
      </c>
      <c r="B248" s="201">
        <f t="shared" si="22"/>
        <v>54</v>
      </c>
      <c r="C248" s="149" t="s">
        <v>784</v>
      </c>
      <c r="D248" s="201" t="s">
        <v>715</v>
      </c>
      <c r="E248" s="146">
        <f>+E247</f>
        <v>41456</v>
      </c>
      <c r="F248" s="145">
        <v>1.3499999999999999</v>
      </c>
      <c r="G248" s="145">
        <f>+'Lighting Rate Design'!H314</f>
        <v>1.5</v>
      </c>
    </row>
    <row r="249" spans="1:7">
      <c r="A249" s="201">
        <f t="shared" si="19"/>
        <v>244</v>
      </c>
      <c r="B249" s="201">
        <f t="shared" si="22"/>
        <v>54</v>
      </c>
      <c r="C249" s="149" t="s">
        <v>784</v>
      </c>
      <c r="D249" s="201" t="s">
        <v>716</v>
      </c>
      <c r="E249" s="146">
        <f t="shared" ref="E249:E300" si="23">+E248</f>
        <v>41456</v>
      </c>
      <c r="F249" s="145">
        <v>1.49</v>
      </c>
      <c r="G249" s="145">
        <f>+'Lighting Rate Design'!H315</f>
        <v>1.5</v>
      </c>
    </row>
    <row r="250" spans="1:7">
      <c r="A250" s="201">
        <f t="shared" si="19"/>
        <v>245</v>
      </c>
      <c r="B250" s="201">
        <f t="shared" si="22"/>
        <v>54</v>
      </c>
      <c r="C250" s="149" t="s">
        <v>784</v>
      </c>
      <c r="D250" s="201" t="s">
        <v>717</v>
      </c>
      <c r="E250" s="146">
        <f t="shared" si="23"/>
        <v>41456</v>
      </c>
      <c r="F250" s="145">
        <v>1.67</v>
      </c>
      <c r="G250" s="145">
        <f>+'Lighting Rate Design'!H316</f>
        <v>1.5</v>
      </c>
    </row>
    <row r="251" spans="1:7">
      <c r="A251" s="201">
        <f t="shared" si="19"/>
        <v>246</v>
      </c>
      <c r="B251" s="201">
        <f t="shared" si="22"/>
        <v>54</v>
      </c>
      <c r="C251" s="149" t="s">
        <v>784</v>
      </c>
      <c r="D251" s="201" t="s">
        <v>718</v>
      </c>
      <c r="E251" s="146">
        <f t="shared" si="23"/>
        <v>41456</v>
      </c>
      <c r="F251" s="145">
        <v>1.8399999999999999</v>
      </c>
      <c r="G251" s="145">
        <f>+'Lighting Rate Design'!H317</f>
        <v>1.5</v>
      </c>
    </row>
    <row r="252" spans="1:7">
      <c r="A252" s="201">
        <f t="shared" si="19"/>
        <v>247</v>
      </c>
      <c r="B252" s="201">
        <f t="shared" si="22"/>
        <v>54</v>
      </c>
      <c r="C252" s="149" t="s">
        <v>784</v>
      </c>
      <c r="D252" s="201" t="s">
        <v>719</v>
      </c>
      <c r="E252" s="146">
        <f t="shared" si="23"/>
        <v>41456</v>
      </c>
      <c r="F252" s="145">
        <v>2.0299999999999998</v>
      </c>
      <c r="G252" s="145">
        <f>+'Lighting Rate Design'!H318</f>
        <v>1.5</v>
      </c>
    </row>
    <row r="253" spans="1:7">
      <c r="A253" s="201">
        <f t="shared" si="19"/>
        <v>248</v>
      </c>
      <c r="B253" s="201">
        <f t="shared" si="22"/>
        <v>54</v>
      </c>
      <c r="C253" s="149" t="s">
        <v>784</v>
      </c>
      <c r="D253" s="201" t="s">
        <v>720</v>
      </c>
      <c r="E253" s="146">
        <f t="shared" si="23"/>
        <v>41456</v>
      </c>
      <c r="F253" s="145">
        <v>2.2000000000000002</v>
      </c>
      <c r="G253" s="145">
        <f>+'Lighting Rate Design'!H319</f>
        <v>2.4900000000000002</v>
      </c>
    </row>
    <row r="254" spans="1:7">
      <c r="A254" s="201">
        <f t="shared" si="19"/>
        <v>249</v>
      </c>
      <c r="B254" s="201">
        <f t="shared" si="22"/>
        <v>54</v>
      </c>
      <c r="C254" s="149" t="s">
        <v>784</v>
      </c>
      <c r="D254" s="201" t="s">
        <v>721</v>
      </c>
      <c r="E254" s="146">
        <f t="shared" si="23"/>
        <v>41456</v>
      </c>
      <c r="F254" s="145">
        <v>2.3800000000000003</v>
      </c>
      <c r="G254" s="145">
        <f>+'Lighting Rate Design'!H320</f>
        <v>2.4900000000000002</v>
      </c>
    </row>
    <row r="255" spans="1:7">
      <c r="A255" s="201">
        <f t="shared" si="19"/>
        <v>250</v>
      </c>
      <c r="B255" s="201">
        <f t="shared" si="22"/>
        <v>54</v>
      </c>
      <c r="C255" s="149" t="s">
        <v>784</v>
      </c>
      <c r="D255" s="201" t="s">
        <v>722</v>
      </c>
      <c r="E255" s="146">
        <f t="shared" si="23"/>
        <v>41456</v>
      </c>
      <c r="F255" s="145">
        <v>2.5499999999999998</v>
      </c>
      <c r="G255" s="145">
        <f>+'Lighting Rate Design'!H321</f>
        <v>2.4900000000000002</v>
      </c>
    </row>
    <row r="256" spans="1:7">
      <c r="A256" s="201">
        <f t="shared" si="19"/>
        <v>251</v>
      </c>
      <c r="B256" s="201">
        <f t="shared" si="22"/>
        <v>54</v>
      </c>
      <c r="C256" s="149" t="s">
        <v>784</v>
      </c>
      <c r="D256" s="201" t="s">
        <v>723</v>
      </c>
      <c r="E256" s="146">
        <f t="shared" si="23"/>
        <v>41456</v>
      </c>
      <c r="F256" s="145">
        <v>2.73</v>
      </c>
      <c r="G256" s="145">
        <f>+'Lighting Rate Design'!H322</f>
        <v>2.4900000000000002</v>
      </c>
    </row>
    <row r="257" spans="1:7">
      <c r="A257" s="201">
        <f t="shared" si="19"/>
        <v>252</v>
      </c>
      <c r="B257" s="201">
        <f t="shared" si="22"/>
        <v>54</v>
      </c>
      <c r="C257" s="149" t="s">
        <v>784</v>
      </c>
      <c r="D257" s="201" t="s">
        <v>724</v>
      </c>
      <c r="E257" s="146">
        <f t="shared" si="23"/>
        <v>41456</v>
      </c>
      <c r="F257" s="145">
        <v>2.9000000000000004</v>
      </c>
      <c r="G257" s="145">
        <f>+'Lighting Rate Design'!H323</f>
        <v>2.4900000000000002</v>
      </c>
    </row>
    <row r="258" spans="1:7">
      <c r="A258" s="201">
        <f t="shared" si="19"/>
        <v>253</v>
      </c>
      <c r="B258" s="201">
        <f t="shared" si="22"/>
        <v>54</v>
      </c>
      <c r="C258" s="149" t="s">
        <v>784</v>
      </c>
      <c r="D258" s="201" t="s">
        <v>725</v>
      </c>
      <c r="E258" s="146">
        <f t="shared" si="23"/>
        <v>41456</v>
      </c>
      <c r="F258" s="145">
        <v>3.07</v>
      </c>
      <c r="G258" s="145">
        <f>+'Lighting Rate Design'!H324</f>
        <v>2.4900000000000002</v>
      </c>
    </row>
    <row r="259" spans="1:7">
      <c r="A259" s="201">
        <f t="shared" si="19"/>
        <v>254</v>
      </c>
      <c r="B259" s="201">
        <f t="shared" si="22"/>
        <v>54</v>
      </c>
      <c r="C259" s="149" t="s">
        <v>784</v>
      </c>
      <c r="D259" s="201" t="s">
        <v>726</v>
      </c>
      <c r="E259" s="146">
        <f t="shared" si="23"/>
        <v>41456</v>
      </c>
      <c r="F259" s="145">
        <v>3.26</v>
      </c>
      <c r="G259" s="145">
        <f>+'Lighting Rate Design'!H325</f>
        <v>3.49</v>
      </c>
    </row>
    <row r="260" spans="1:7">
      <c r="A260" s="201">
        <f t="shared" si="19"/>
        <v>255</v>
      </c>
      <c r="B260" s="201">
        <f t="shared" si="22"/>
        <v>54</v>
      </c>
      <c r="C260" s="149" t="s">
        <v>784</v>
      </c>
      <c r="D260" s="201" t="s">
        <v>727</v>
      </c>
      <c r="E260" s="146">
        <f t="shared" si="23"/>
        <v>41456</v>
      </c>
      <c r="F260" s="145">
        <v>3.43</v>
      </c>
      <c r="G260" s="145">
        <f>+'Lighting Rate Design'!H326</f>
        <v>3.49</v>
      </c>
    </row>
    <row r="261" spans="1:7">
      <c r="A261" s="201">
        <f t="shared" si="19"/>
        <v>256</v>
      </c>
      <c r="B261" s="201">
        <f t="shared" si="22"/>
        <v>54</v>
      </c>
      <c r="C261" s="149" t="s">
        <v>784</v>
      </c>
      <c r="D261" s="201" t="s">
        <v>728</v>
      </c>
      <c r="E261" s="146">
        <f t="shared" si="23"/>
        <v>41456</v>
      </c>
      <c r="F261" s="145">
        <v>3.6100000000000003</v>
      </c>
      <c r="G261" s="145">
        <f>+'Lighting Rate Design'!H327</f>
        <v>3.49</v>
      </c>
    </row>
    <row r="262" spans="1:7">
      <c r="A262" s="201">
        <f t="shared" si="19"/>
        <v>257</v>
      </c>
      <c r="B262" s="201">
        <f t="shared" si="22"/>
        <v>54</v>
      </c>
      <c r="C262" s="149" t="s">
        <v>784</v>
      </c>
      <c r="D262" s="201" t="s">
        <v>729</v>
      </c>
      <c r="E262" s="146">
        <f t="shared" si="23"/>
        <v>41456</v>
      </c>
      <c r="F262" s="145">
        <v>3.78</v>
      </c>
      <c r="G262" s="145">
        <f>+'Lighting Rate Design'!H328</f>
        <v>3.49</v>
      </c>
    </row>
    <row r="263" spans="1:7">
      <c r="A263" s="201">
        <f t="shared" si="19"/>
        <v>258</v>
      </c>
      <c r="B263" s="201">
        <f t="shared" si="22"/>
        <v>54</v>
      </c>
      <c r="C263" s="149" t="s">
        <v>784</v>
      </c>
      <c r="D263" s="201" t="s">
        <v>730</v>
      </c>
      <c r="E263" s="146">
        <f t="shared" si="23"/>
        <v>41456</v>
      </c>
      <c r="F263" s="145">
        <v>3.96</v>
      </c>
      <c r="G263" s="145">
        <f>+'Lighting Rate Design'!H329</f>
        <v>3.49</v>
      </c>
    </row>
    <row r="264" spans="1:7">
      <c r="A264" s="201">
        <f t="shared" ref="A264:A334" si="24">+A263+1</f>
        <v>259</v>
      </c>
      <c r="B264" s="201">
        <f t="shared" si="22"/>
        <v>54</v>
      </c>
      <c r="C264" s="149" t="s">
        <v>784</v>
      </c>
      <c r="D264" s="201" t="s">
        <v>731</v>
      </c>
      <c r="E264" s="146">
        <f t="shared" si="23"/>
        <v>41456</v>
      </c>
      <c r="F264" s="145">
        <v>4.13</v>
      </c>
      <c r="G264" s="145">
        <f>+'Lighting Rate Design'!H330</f>
        <v>3.49</v>
      </c>
    </row>
    <row r="265" spans="1:7">
      <c r="A265" s="201">
        <f t="shared" si="24"/>
        <v>260</v>
      </c>
      <c r="B265" s="201">
        <f t="shared" si="22"/>
        <v>54</v>
      </c>
      <c r="C265" s="149" t="s">
        <v>784</v>
      </c>
      <c r="D265" s="201" t="s">
        <v>732</v>
      </c>
      <c r="E265" s="146">
        <f t="shared" si="23"/>
        <v>41456</v>
      </c>
      <c r="F265" s="145">
        <v>4.3100000000000005</v>
      </c>
      <c r="G265" s="145">
        <f>+'Lighting Rate Design'!H331</f>
        <v>4.49</v>
      </c>
    </row>
    <row r="266" spans="1:7">
      <c r="A266" s="201">
        <f t="shared" si="24"/>
        <v>261</v>
      </c>
      <c r="B266" s="201">
        <f t="shared" si="22"/>
        <v>54</v>
      </c>
      <c r="C266" s="149" t="s">
        <v>784</v>
      </c>
      <c r="D266" s="201" t="s">
        <v>733</v>
      </c>
      <c r="E266" s="146">
        <f t="shared" si="23"/>
        <v>41456</v>
      </c>
      <c r="F266" s="145">
        <v>4.49</v>
      </c>
      <c r="G266" s="145">
        <f>+'Lighting Rate Design'!H332</f>
        <v>4.49</v>
      </c>
    </row>
    <row r="267" spans="1:7">
      <c r="A267" s="201">
        <f t="shared" si="24"/>
        <v>262</v>
      </c>
      <c r="B267" s="201">
        <f t="shared" si="22"/>
        <v>54</v>
      </c>
      <c r="C267" s="149" t="s">
        <v>784</v>
      </c>
      <c r="D267" s="201" t="s">
        <v>734</v>
      </c>
      <c r="E267" s="146">
        <f t="shared" si="23"/>
        <v>41456</v>
      </c>
      <c r="F267" s="145">
        <v>4.6599999999999993</v>
      </c>
      <c r="G267" s="145">
        <f>+'Lighting Rate Design'!H333</f>
        <v>4.49</v>
      </c>
    </row>
    <row r="268" spans="1:7">
      <c r="A268" s="201">
        <f t="shared" si="24"/>
        <v>263</v>
      </c>
      <c r="B268" s="201">
        <f t="shared" si="22"/>
        <v>54</v>
      </c>
      <c r="C268" s="149" t="s">
        <v>784</v>
      </c>
      <c r="D268" s="201" t="s">
        <v>735</v>
      </c>
      <c r="E268" s="146">
        <f t="shared" si="23"/>
        <v>41456</v>
      </c>
      <c r="F268" s="145">
        <v>4.84</v>
      </c>
      <c r="G268" s="145">
        <f>+'Lighting Rate Design'!H334</f>
        <v>4.49</v>
      </c>
    </row>
    <row r="269" spans="1:7">
      <c r="A269" s="201">
        <f t="shared" si="24"/>
        <v>264</v>
      </c>
      <c r="B269" s="201">
        <f t="shared" si="22"/>
        <v>54</v>
      </c>
      <c r="C269" s="149" t="s">
        <v>784</v>
      </c>
      <c r="D269" s="201" t="s">
        <v>736</v>
      </c>
      <c r="E269" s="146">
        <f t="shared" si="23"/>
        <v>41456</v>
      </c>
      <c r="F269" s="145">
        <v>5.01</v>
      </c>
      <c r="G269" s="145">
        <f>+'Lighting Rate Design'!H335</f>
        <v>4.49</v>
      </c>
    </row>
    <row r="270" spans="1:7">
      <c r="A270" s="201">
        <f t="shared" si="24"/>
        <v>265</v>
      </c>
      <c r="B270" s="201">
        <f t="shared" si="22"/>
        <v>54</v>
      </c>
      <c r="C270" s="149" t="s">
        <v>784</v>
      </c>
      <c r="D270" s="201" t="s">
        <v>737</v>
      </c>
      <c r="E270" s="146">
        <f t="shared" si="23"/>
        <v>41456</v>
      </c>
      <c r="F270" s="145">
        <v>5.1899999999999995</v>
      </c>
      <c r="G270" s="145">
        <f>+'Lighting Rate Design'!H336</f>
        <v>4.49</v>
      </c>
    </row>
    <row r="271" spans="1:7">
      <c r="A271" s="201">
        <f t="shared" si="24"/>
        <v>266</v>
      </c>
      <c r="B271" s="201">
        <f t="shared" si="22"/>
        <v>54</v>
      </c>
      <c r="C271" s="149" t="s">
        <v>784</v>
      </c>
      <c r="D271" s="201" t="s">
        <v>738</v>
      </c>
      <c r="E271" s="146">
        <f t="shared" si="23"/>
        <v>41456</v>
      </c>
      <c r="F271" s="145">
        <v>5.36</v>
      </c>
      <c r="G271" s="145">
        <f>+'Lighting Rate Design'!H337</f>
        <v>5.49</v>
      </c>
    </row>
    <row r="272" spans="1:7">
      <c r="A272" s="201">
        <f t="shared" si="24"/>
        <v>267</v>
      </c>
      <c r="B272" s="201">
        <f t="shared" si="22"/>
        <v>54</v>
      </c>
      <c r="C272" s="149" t="s">
        <v>784</v>
      </c>
      <c r="D272" s="201" t="s">
        <v>739</v>
      </c>
      <c r="E272" s="146">
        <f t="shared" si="23"/>
        <v>41456</v>
      </c>
      <c r="F272" s="145">
        <v>5.54</v>
      </c>
      <c r="G272" s="145">
        <f>+'Lighting Rate Design'!H338</f>
        <v>5.49</v>
      </c>
    </row>
    <row r="273" spans="1:7">
      <c r="A273" s="201">
        <f t="shared" si="24"/>
        <v>268</v>
      </c>
      <c r="B273" s="201">
        <f t="shared" si="22"/>
        <v>54</v>
      </c>
      <c r="C273" s="149" t="s">
        <v>784</v>
      </c>
      <c r="D273" s="201" t="s">
        <v>740</v>
      </c>
      <c r="E273" s="146">
        <f t="shared" si="23"/>
        <v>41456</v>
      </c>
      <c r="F273" s="145">
        <v>5.7200000000000006</v>
      </c>
      <c r="G273" s="145">
        <f>+'Lighting Rate Design'!H339</f>
        <v>5.49</v>
      </c>
    </row>
    <row r="274" spans="1:7">
      <c r="A274" s="201">
        <f t="shared" si="24"/>
        <v>269</v>
      </c>
      <c r="B274" s="201">
        <f t="shared" si="22"/>
        <v>54</v>
      </c>
      <c r="C274" s="149" t="s">
        <v>784</v>
      </c>
      <c r="D274" s="201" t="s">
        <v>741</v>
      </c>
      <c r="E274" s="146">
        <f t="shared" si="23"/>
        <v>41456</v>
      </c>
      <c r="F274" s="145">
        <v>5.9</v>
      </c>
      <c r="G274" s="145">
        <f>+'Lighting Rate Design'!H340</f>
        <v>5.49</v>
      </c>
    </row>
    <row r="275" spans="1:7">
      <c r="A275" s="201">
        <f t="shared" si="24"/>
        <v>270</v>
      </c>
      <c r="B275" s="201">
        <f t="shared" si="22"/>
        <v>54</v>
      </c>
      <c r="C275" s="149" t="s">
        <v>784</v>
      </c>
      <c r="D275" s="201" t="s">
        <v>742</v>
      </c>
      <c r="E275" s="146">
        <f t="shared" si="23"/>
        <v>41456</v>
      </c>
      <c r="F275" s="145">
        <v>6.0699999999999994</v>
      </c>
      <c r="G275" s="145">
        <f>+'Lighting Rate Design'!H341</f>
        <v>5.49</v>
      </c>
    </row>
    <row r="276" spans="1:7">
      <c r="A276" s="201">
        <f t="shared" si="24"/>
        <v>271</v>
      </c>
      <c r="B276" s="201">
        <f t="shared" si="22"/>
        <v>54</v>
      </c>
      <c r="C276" s="149" t="s">
        <v>784</v>
      </c>
      <c r="D276" s="201" t="s">
        <v>743</v>
      </c>
      <c r="E276" s="146">
        <f t="shared" si="23"/>
        <v>41456</v>
      </c>
      <c r="F276" s="145">
        <v>6.25</v>
      </c>
      <c r="G276" s="145">
        <f>+'Lighting Rate Design'!H342</f>
        <v>5.49</v>
      </c>
    </row>
    <row r="277" spans="1:7">
      <c r="A277" s="201">
        <f t="shared" si="24"/>
        <v>272</v>
      </c>
      <c r="B277" s="201">
        <f t="shared" si="22"/>
        <v>54</v>
      </c>
      <c r="C277" s="149" t="s">
        <v>784</v>
      </c>
      <c r="D277" s="201" t="s">
        <v>744</v>
      </c>
      <c r="E277" s="146">
        <f t="shared" si="23"/>
        <v>41456</v>
      </c>
      <c r="F277" s="145">
        <v>6.42</v>
      </c>
      <c r="G277" s="145">
        <f>+'Lighting Rate Design'!H343</f>
        <v>6.49</v>
      </c>
    </row>
    <row r="278" spans="1:7">
      <c r="A278" s="201">
        <f t="shared" si="24"/>
        <v>273</v>
      </c>
      <c r="B278" s="201">
        <f t="shared" si="22"/>
        <v>54</v>
      </c>
      <c r="C278" s="149" t="s">
        <v>784</v>
      </c>
      <c r="D278" s="201" t="s">
        <v>745</v>
      </c>
      <c r="E278" s="146">
        <f t="shared" si="23"/>
        <v>41456</v>
      </c>
      <c r="F278" s="145">
        <v>6.59</v>
      </c>
      <c r="G278" s="145">
        <f>+'Lighting Rate Design'!H344</f>
        <v>6.49</v>
      </c>
    </row>
    <row r="279" spans="1:7">
      <c r="A279" s="201">
        <f t="shared" si="24"/>
        <v>274</v>
      </c>
      <c r="B279" s="201">
        <f t="shared" si="22"/>
        <v>54</v>
      </c>
      <c r="C279" s="149" t="s">
        <v>784</v>
      </c>
      <c r="D279" s="201" t="s">
        <v>746</v>
      </c>
      <c r="E279" s="146">
        <f t="shared" si="23"/>
        <v>41456</v>
      </c>
      <c r="F279" s="145">
        <v>6.7700000000000005</v>
      </c>
      <c r="G279" s="145">
        <f>+'Lighting Rate Design'!H345</f>
        <v>6.49</v>
      </c>
    </row>
    <row r="280" spans="1:7">
      <c r="A280" s="201">
        <f t="shared" si="24"/>
        <v>275</v>
      </c>
      <c r="B280" s="201">
        <f t="shared" si="22"/>
        <v>54</v>
      </c>
      <c r="C280" s="149" t="s">
        <v>784</v>
      </c>
      <c r="D280" s="201" t="s">
        <v>747</v>
      </c>
      <c r="E280" s="146">
        <f t="shared" si="23"/>
        <v>41456</v>
      </c>
      <c r="F280" s="145">
        <v>6.95</v>
      </c>
      <c r="G280" s="145">
        <f>+'Lighting Rate Design'!H346</f>
        <v>6.49</v>
      </c>
    </row>
    <row r="281" spans="1:7">
      <c r="A281" s="201">
        <f t="shared" si="24"/>
        <v>276</v>
      </c>
      <c r="B281" s="201">
        <f t="shared" si="22"/>
        <v>54</v>
      </c>
      <c r="C281" s="149" t="s">
        <v>784</v>
      </c>
      <c r="D281" s="201" t="s">
        <v>748</v>
      </c>
      <c r="E281" s="146">
        <f t="shared" si="23"/>
        <v>41456</v>
      </c>
      <c r="F281" s="145">
        <v>7.13</v>
      </c>
      <c r="G281" s="145">
        <f>+'Lighting Rate Design'!H347</f>
        <v>6.49</v>
      </c>
    </row>
    <row r="282" spans="1:7">
      <c r="A282" s="201">
        <f t="shared" si="24"/>
        <v>277</v>
      </c>
      <c r="B282" s="201">
        <f t="shared" si="22"/>
        <v>54</v>
      </c>
      <c r="C282" s="149" t="s">
        <v>784</v>
      </c>
      <c r="D282" s="201" t="s">
        <v>749</v>
      </c>
      <c r="E282" s="146">
        <f t="shared" si="23"/>
        <v>41456</v>
      </c>
      <c r="F282" s="145">
        <v>7.3</v>
      </c>
      <c r="G282" s="145">
        <f>+'Lighting Rate Design'!H348</f>
        <v>6.49</v>
      </c>
    </row>
    <row r="283" spans="1:7">
      <c r="A283" s="201">
        <f t="shared" si="24"/>
        <v>278</v>
      </c>
      <c r="B283" s="201">
        <f t="shared" si="22"/>
        <v>54</v>
      </c>
      <c r="C283" s="149" t="s">
        <v>784</v>
      </c>
      <c r="D283" s="201" t="s">
        <v>750</v>
      </c>
      <c r="E283" s="146">
        <f t="shared" si="23"/>
        <v>41456</v>
      </c>
      <c r="F283" s="145">
        <v>7.4799999999999995</v>
      </c>
      <c r="G283" s="145">
        <f>+'Lighting Rate Design'!H349</f>
        <v>7.48</v>
      </c>
    </row>
    <row r="284" spans="1:7">
      <c r="A284" s="201">
        <f t="shared" si="24"/>
        <v>279</v>
      </c>
      <c r="B284" s="201">
        <f t="shared" si="22"/>
        <v>54</v>
      </c>
      <c r="C284" s="149" t="s">
        <v>784</v>
      </c>
      <c r="D284" s="201" t="s">
        <v>751</v>
      </c>
      <c r="E284" s="146">
        <f t="shared" si="23"/>
        <v>41456</v>
      </c>
      <c r="F284" s="145">
        <v>7.6499999999999995</v>
      </c>
      <c r="G284" s="145">
        <f>+'Lighting Rate Design'!H350</f>
        <v>7.48</v>
      </c>
    </row>
    <row r="285" spans="1:7">
      <c r="A285" s="201">
        <f t="shared" si="24"/>
        <v>280</v>
      </c>
      <c r="B285" s="201">
        <f t="shared" si="22"/>
        <v>54</v>
      </c>
      <c r="C285" s="149" t="s">
        <v>784</v>
      </c>
      <c r="D285" s="201" t="s">
        <v>752</v>
      </c>
      <c r="E285" s="146">
        <f t="shared" si="23"/>
        <v>41456</v>
      </c>
      <c r="F285" s="145">
        <v>7.83</v>
      </c>
      <c r="G285" s="145">
        <f>+'Lighting Rate Design'!H351</f>
        <v>7.48</v>
      </c>
    </row>
    <row r="286" spans="1:7">
      <c r="A286" s="201">
        <f t="shared" si="24"/>
        <v>281</v>
      </c>
      <c r="B286" s="201">
        <f t="shared" si="22"/>
        <v>54</v>
      </c>
      <c r="C286" s="149" t="s">
        <v>784</v>
      </c>
      <c r="D286" s="201" t="s">
        <v>753</v>
      </c>
      <c r="E286" s="146">
        <f t="shared" si="23"/>
        <v>41456</v>
      </c>
      <c r="F286" s="145">
        <v>8</v>
      </c>
      <c r="G286" s="145">
        <f>+'Lighting Rate Design'!H352</f>
        <v>7.48</v>
      </c>
    </row>
    <row r="287" spans="1:7">
      <c r="A287" s="201">
        <f t="shared" si="24"/>
        <v>282</v>
      </c>
      <c r="B287" s="201">
        <f t="shared" si="22"/>
        <v>54</v>
      </c>
      <c r="C287" s="149" t="s">
        <v>784</v>
      </c>
      <c r="D287" s="201" t="s">
        <v>754</v>
      </c>
      <c r="E287" s="146">
        <f t="shared" si="23"/>
        <v>41456</v>
      </c>
      <c r="F287" s="145">
        <v>8.19</v>
      </c>
      <c r="G287" s="145">
        <f>+'Lighting Rate Design'!H353</f>
        <v>7.48</v>
      </c>
    </row>
    <row r="288" spans="1:7">
      <c r="A288" s="201">
        <f t="shared" si="24"/>
        <v>283</v>
      </c>
      <c r="B288" s="201">
        <f t="shared" si="22"/>
        <v>54</v>
      </c>
      <c r="C288" s="149" t="s">
        <v>784</v>
      </c>
      <c r="D288" s="201" t="s">
        <v>755</v>
      </c>
      <c r="E288" s="146">
        <f t="shared" si="23"/>
        <v>41456</v>
      </c>
      <c r="F288" s="145">
        <v>8.36</v>
      </c>
      <c r="G288" s="145">
        <f>+'Lighting Rate Design'!H354</f>
        <v>7.48</v>
      </c>
    </row>
    <row r="289" spans="1:7">
      <c r="A289" s="201">
        <f t="shared" si="24"/>
        <v>284</v>
      </c>
      <c r="B289" s="201">
        <f t="shared" si="22"/>
        <v>54</v>
      </c>
      <c r="C289" s="149" t="s">
        <v>784</v>
      </c>
      <c r="D289" s="201" t="s">
        <v>756</v>
      </c>
      <c r="E289" s="146">
        <f t="shared" si="23"/>
        <v>41456</v>
      </c>
      <c r="F289" s="145">
        <v>8.5300000000000011</v>
      </c>
      <c r="G289" s="145">
        <f>+'Lighting Rate Design'!H355</f>
        <v>8.48</v>
      </c>
    </row>
    <row r="290" spans="1:7">
      <c r="A290" s="201">
        <f t="shared" si="24"/>
        <v>285</v>
      </c>
      <c r="B290" s="201">
        <f t="shared" si="22"/>
        <v>54</v>
      </c>
      <c r="C290" s="149" t="s">
        <v>784</v>
      </c>
      <c r="D290" s="201" t="s">
        <v>757</v>
      </c>
      <c r="E290" s="146">
        <f t="shared" si="23"/>
        <v>41456</v>
      </c>
      <c r="F290" s="145">
        <v>8.7100000000000009</v>
      </c>
      <c r="G290" s="145">
        <f>+'Lighting Rate Design'!H356</f>
        <v>8.48</v>
      </c>
    </row>
    <row r="291" spans="1:7">
      <c r="A291" s="201">
        <f t="shared" si="24"/>
        <v>286</v>
      </c>
      <c r="B291" s="201">
        <f t="shared" si="22"/>
        <v>54</v>
      </c>
      <c r="C291" s="149" t="s">
        <v>784</v>
      </c>
      <c r="D291" s="201" t="s">
        <v>758</v>
      </c>
      <c r="E291" s="146">
        <f t="shared" si="23"/>
        <v>41456</v>
      </c>
      <c r="F291" s="145">
        <v>8.8800000000000008</v>
      </c>
      <c r="G291" s="145">
        <f>+'Lighting Rate Design'!H357</f>
        <v>8.48</v>
      </c>
    </row>
    <row r="292" spans="1:7">
      <c r="A292" s="201">
        <f t="shared" si="24"/>
        <v>287</v>
      </c>
      <c r="B292" s="201">
        <f t="shared" si="22"/>
        <v>54</v>
      </c>
      <c r="C292" s="149" t="s">
        <v>784</v>
      </c>
      <c r="D292" s="201" t="s">
        <v>759</v>
      </c>
      <c r="E292" s="146">
        <f t="shared" si="23"/>
        <v>41456</v>
      </c>
      <c r="F292" s="145">
        <v>9.06</v>
      </c>
      <c r="G292" s="145">
        <f>+'Lighting Rate Design'!H358</f>
        <v>8.48</v>
      </c>
    </row>
    <row r="293" spans="1:7">
      <c r="A293" s="201">
        <f t="shared" si="24"/>
        <v>288</v>
      </c>
      <c r="B293" s="201">
        <f t="shared" si="22"/>
        <v>54</v>
      </c>
      <c r="C293" s="149" t="s">
        <v>784</v>
      </c>
      <c r="D293" s="201" t="s">
        <v>760</v>
      </c>
      <c r="E293" s="146">
        <f t="shared" si="23"/>
        <v>41456</v>
      </c>
      <c r="F293" s="145">
        <v>9.23</v>
      </c>
      <c r="G293" s="145">
        <f>+'Lighting Rate Design'!H359</f>
        <v>8.48</v>
      </c>
    </row>
    <row r="294" spans="1:7">
      <c r="A294" s="201">
        <f t="shared" si="24"/>
        <v>289</v>
      </c>
      <c r="B294" s="201">
        <f t="shared" si="22"/>
        <v>54</v>
      </c>
      <c r="C294" s="149" t="s">
        <v>784</v>
      </c>
      <c r="D294" s="201" t="s">
        <v>761</v>
      </c>
      <c r="E294" s="146">
        <f t="shared" si="23"/>
        <v>41456</v>
      </c>
      <c r="F294" s="145">
        <v>9.4200000000000017</v>
      </c>
      <c r="G294" s="145">
        <f>+'Lighting Rate Design'!H360</f>
        <v>8.48</v>
      </c>
    </row>
    <row r="295" spans="1:7">
      <c r="A295" s="201">
        <f t="shared" si="24"/>
        <v>290</v>
      </c>
      <c r="B295" s="201">
        <f t="shared" si="22"/>
        <v>54</v>
      </c>
      <c r="C295" s="149" t="s">
        <v>784</v>
      </c>
      <c r="D295" s="201" t="s">
        <v>762</v>
      </c>
      <c r="E295" s="146">
        <f t="shared" si="23"/>
        <v>41456</v>
      </c>
      <c r="F295" s="145">
        <v>9.59</v>
      </c>
      <c r="G295" s="145">
        <f>+'Lighting Rate Design'!H361</f>
        <v>9.48</v>
      </c>
    </row>
    <row r="296" spans="1:7">
      <c r="A296" s="201">
        <f t="shared" si="24"/>
        <v>291</v>
      </c>
      <c r="B296" s="201">
        <f t="shared" si="22"/>
        <v>54</v>
      </c>
      <c r="C296" s="149" t="s">
        <v>784</v>
      </c>
      <c r="D296" s="201" t="s">
        <v>763</v>
      </c>
      <c r="E296" s="146">
        <f t="shared" si="23"/>
        <v>41456</v>
      </c>
      <c r="F296" s="145">
        <v>9.77</v>
      </c>
      <c r="G296" s="145">
        <f>+'Lighting Rate Design'!H362</f>
        <v>9.48</v>
      </c>
    </row>
    <row r="297" spans="1:7">
      <c r="A297" s="201">
        <f t="shared" si="24"/>
        <v>292</v>
      </c>
      <c r="B297" s="201">
        <f t="shared" si="22"/>
        <v>54</v>
      </c>
      <c r="C297" s="149" t="s">
        <v>784</v>
      </c>
      <c r="D297" s="201" t="s">
        <v>764</v>
      </c>
      <c r="E297" s="146">
        <f t="shared" si="23"/>
        <v>41456</v>
      </c>
      <c r="F297" s="145">
        <v>9.94</v>
      </c>
      <c r="G297" s="145">
        <f>+'Lighting Rate Design'!H363</f>
        <v>9.48</v>
      </c>
    </row>
    <row r="298" spans="1:7">
      <c r="A298" s="201">
        <f t="shared" si="24"/>
        <v>293</v>
      </c>
      <c r="B298" s="201">
        <f t="shared" si="22"/>
        <v>54</v>
      </c>
      <c r="C298" s="149" t="s">
        <v>784</v>
      </c>
      <c r="D298" s="201" t="s">
        <v>765</v>
      </c>
      <c r="E298" s="146">
        <f t="shared" si="23"/>
        <v>41456</v>
      </c>
      <c r="F298" s="145">
        <v>10.119999999999999</v>
      </c>
      <c r="G298" s="145">
        <f>+'Lighting Rate Design'!H364</f>
        <v>9.48</v>
      </c>
    </row>
    <row r="299" spans="1:7">
      <c r="A299" s="201">
        <f t="shared" si="24"/>
        <v>294</v>
      </c>
      <c r="B299" s="201">
        <f t="shared" si="22"/>
        <v>54</v>
      </c>
      <c r="C299" s="149" t="s">
        <v>784</v>
      </c>
      <c r="D299" s="201" t="s">
        <v>766</v>
      </c>
      <c r="E299" s="146">
        <f t="shared" si="23"/>
        <v>41456</v>
      </c>
      <c r="F299" s="145">
        <v>10.29</v>
      </c>
      <c r="G299" s="145">
        <f>+'Lighting Rate Design'!H365</f>
        <v>9.48</v>
      </c>
    </row>
    <row r="300" spans="1:7">
      <c r="A300" s="201">
        <f t="shared" si="24"/>
        <v>295</v>
      </c>
      <c r="B300" s="201">
        <f t="shared" si="22"/>
        <v>54</v>
      </c>
      <c r="C300" s="149" t="s">
        <v>784</v>
      </c>
      <c r="D300" s="201" t="s">
        <v>767</v>
      </c>
      <c r="E300" s="146">
        <f t="shared" si="23"/>
        <v>41456</v>
      </c>
      <c r="F300" s="145">
        <v>10.459999999999999</v>
      </c>
      <c r="G300" s="145">
        <f>+'Lighting Rate Design'!H366</f>
        <v>9.48</v>
      </c>
    </row>
    <row r="301" spans="1:7">
      <c r="A301" s="201">
        <f t="shared" si="24"/>
        <v>296</v>
      </c>
      <c r="B301" s="201"/>
      <c r="D301" s="201"/>
      <c r="E301" s="146"/>
    </row>
    <row r="302" spans="1:7">
      <c r="A302" s="201">
        <f t="shared" si="24"/>
        <v>297</v>
      </c>
      <c r="B302" s="201" t="s">
        <v>785</v>
      </c>
      <c r="C302" s="136" t="s">
        <v>786</v>
      </c>
      <c r="D302" s="201" t="s">
        <v>770</v>
      </c>
      <c r="E302" s="146">
        <f t="shared" ref="E302:E307" si="25">+$E$6</f>
        <v>41456</v>
      </c>
      <c r="F302" s="145">
        <v>10.42</v>
      </c>
      <c r="G302" s="145">
        <f>+'Lighting Rate Design'!H379</f>
        <v>12</v>
      </c>
    </row>
    <row r="303" spans="1:7">
      <c r="A303" s="201">
        <f t="shared" si="24"/>
        <v>298</v>
      </c>
      <c r="B303" s="201" t="str">
        <f>+$B$302</f>
        <v>55 (56)</v>
      </c>
      <c r="C303" s="136" t="s">
        <v>786</v>
      </c>
      <c r="D303" s="201" t="s">
        <v>705</v>
      </c>
      <c r="E303" s="146">
        <f t="shared" si="25"/>
        <v>41456</v>
      </c>
      <c r="F303" s="145">
        <v>11.72</v>
      </c>
      <c r="G303" s="145">
        <f>+'Lighting Rate Design'!H380</f>
        <v>13.27</v>
      </c>
    </row>
    <row r="304" spans="1:7">
      <c r="A304" s="201">
        <f t="shared" si="24"/>
        <v>299</v>
      </c>
      <c r="B304" s="201" t="str">
        <f>+$B$302</f>
        <v>55 (56)</v>
      </c>
      <c r="C304" s="136" t="s">
        <v>786</v>
      </c>
      <c r="D304" s="201" t="s">
        <v>771</v>
      </c>
      <c r="E304" s="146">
        <f t="shared" si="25"/>
        <v>41456</v>
      </c>
      <c r="F304" s="145">
        <v>13.97</v>
      </c>
      <c r="G304" s="145">
        <f>+'Lighting Rate Design'!H381</f>
        <v>15.38</v>
      </c>
    </row>
    <row r="305" spans="1:7">
      <c r="A305" s="201">
        <f t="shared" si="24"/>
        <v>300</v>
      </c>
      <c r="B305" s="201" t="str">
        <f>+$B$302</f>
        <v>55 (56)</v>
      </c>
      <c r="C305" s="136" t="s">
        <v>786</v>
      </c>
      <c r="D305" s="201" t="s">
        <v>772</v>
      </c>
      <c r="E305" s="146">
        <f t="shared" si="25"/>
        <v>41456</v>
      </c>
      <c r="F305" s="145">
        <v>16.75</v>
      </c>
      <c r="G305" s="145">
        <f>+'Lighting Rate Design'!H382</f>
        <v>17.489999999999998</v>
      </c>
    </row>
    <row r="306" spans="1:7">
      <c r="A306" s="201">
        <f t="shared" si="24"/>
        <v>301</v>
      </c>
      <c r="B306" s="201" t="str">
        <f>+$B$302</f>
        <v>55 (56)</v>
      </c>
      <c r="C306" s="136" t="s">
        <v>786</v>
      </c>
      <c r="D306" s="201" t="s">
        <v>773</v>
      </c>
      <c r="E306" s="146">
        <f t="shared" si="25"/>
        <v>41456</v>
      </c>
      <c r="F306" s="145">
        <v>18.88</v>
      </c>
      <c r="G306" s="145">
        <f>+'Lighting Rate Design'!H383</f>
        <v>19.600000000000001</v>
      </c>
    </row>
    <row r="307" spans="1:7">
      <c r="A307" s="201">
        <f t="shared" si="24"/>
        <v>302</v>
      </c>
      <c r="B307" s="201" t="str">
        <f>+$B$302</f>
        <v>55 (56)</v>
      </c>
      <c r="C307" s="136" t="s">
        <v>786</v>
      </c>
      <c r="D307" s="201" t="s">
        <v>707</v>
      </c>
      <c r="E307" s="146">
        <f t="shared" si="25"/>
        <v>41456</v>
      </c>
      <c r="F307" s="145">
        <v>25.48</v>
      </c>
      <c r="G307" s="145">
        <f>+'Lighting Rate Design'!H384</f>
        <v>25.93</v>
      </c>
    </row>
    <row r="308" spans="1:7">
      <c r="A308" s="201">
        <f t="shared" si="24"/>
        <v>303</v>
      </c>
      <c r="B308" s="201"/>
      <c r="D308" s="201"/>
      <c r="E308" s="146"/>
      <c r="F308" s="145"/>
      <c r="G308" s="145"/>
    </row>
    <row r="309" spans="1:7">
      <c r="A309" s="201">
        <f t="shared" si="24"/>
        <v>304</v>
      </c>
      <c r="B309" s="201" t="str">
        <f>+$B$302</f>
        <v>55 (56)</v>
      </c>
      <c r="C309" s="136" t="s">
        <v>787</v>
      </c>
      <c r="D309" s="201" t="s">
        <v>773</v>
      </c>
      <c r="E309" s="146">
        <f>+$E$6</f>
        <v>41456</v>
      </c>
      <c r="F309" s="145">
        <v>21.79</v>
      </c>
      <c r="G309" s="145">
        <f>+'Lighting Rate Design'!H386</f>
        <v>22.94</v>
      </c>
    </row>
    <row r="310" spans="1:7">
      <c r="A310" s="201">
        <f t="shared" si="24"/>
        <v>305</v>
      </c>
      <c r="B310" s="201"/>
      <c r="D310" s="201"/>
      <c r="E310" s="146"/>
      <c r="F310" s="145"/>
      <c r="G310" s="145"/>
    </row>
    <row r="311" spans="1:7">
      <c r="A311" s="201">
        <f t="shared" si="24"/>
        <v>306</v>
      </c>
      <c r="B311" s="201" t="str">
        <f t="shared" ref="B311:B331" si="26">+$B$302</f>
        <v>55 (56)</v>
      </c>
      <c r="C311" s="149" t="s">
        <v>788</v>
      </c>
      <c r="D311" s="201" t="s">
        <v>714</v>
      </c>
      <c r="E311" s="146">
        <f>+E306</f>
        <v>41456</v>
      </c>
      <c r="F311" s="145">
        <v>9.2100000000000009</v>
      </c>
      <c r="G311" s="145">
        <f>+'Lighting Rate Design'!H388</f>
        <v>12.59</v>
      </c>
    </row>
    <row r="312" spans="1:7">
      <c r="A312" s="201">
        <f t="shared" si="24"/>
        <v>307</v>
      </c>
      <c r="B312" s="201" t="str">
        <f t="shared" si="26"/>
        <v>55 (56)</v>
      </c>
      <c r="C312" s="149" t="s">
        <v>788</v>
      </c>
      <c r="D312" s="201" t="s">
        <v>715</v>
      </c>
      <c r="E312" s="146">
        <f>+E311</f>
        <v>41456</v>
      </c>
      <c r="F312" s="145">
        <v>9.39</v>
      </c>
      <c r="G312" s="145">
        <f>+'Lighting Rate Design'!H389</f>
        <v>12.59</v>
      </c>
    </row>
    <row r="313" spans="1:7">
      <c r="A313" s="201">
        <f t="shared" si="24"/>
        <v>308</v>
      </c>
      <c r="B313" s="201" t="str">
        <f t="shared" si="26"/>
        <v>55 (56)</v>
      </c>
      <c r="C313" s="149" t="s">
        <v>788</v>
      </c>
      <c r="D313" s="201" t="s">
        <v>716</v>
      </c>
      <c r="E313" s="146">
        <f t="shared" ref="E313:E324" si="27">+E312</f>
        <v>41456</v>
      </c>
      <c r="F313" s="145">
        <v>9.56</v>
      </c>
      <c r="G313" s="145">
        <f>+'Lighting Rate Design'!H390</f>
        <v>12.59</v>
      </c>
    </row>
    <row r="314" spans="1:7">
      <c r="A314" s="201">
        <f t="shared" si="24"/>
        <v>309</v>
      </c>
      <c r="B314" s="201" t="str">
        <f t="shared" si="26"/>
        <v>55 (56)</v>
      </c>
      <c r="C314" s="149" t="s">
        <v>788</v>
      </c>
      <c r="D314" s="201" t="s">
        <v>717</v>
      </c>
      <c r="E314" s="146">
        <f t="shared" si="27"/>
        <v>41456</v>
      </c>
      <c r="F314" s="145">
        <v>9.74</v>
      </c>
      <c r="G314" s="145">
        <f>+'Lighting Rate Design'!H391</f>
        <v>12.59</v>
      </c>
    </row>
    <row r="315" spans="1:7">
      <c r="A315" s="201">
        <f t="shared" si="24"/>
        <v>310</v>
      </c>
      <c r="B315" s="201" t="str">
        <f t="shared" si="26"/>
        <v>55 (56)</v>
      </c>
      <c r="C315" s="149" t="s">
        <v>788</v>
      </c>
      <c r="D315" s="201" t="s">
        <v>718</v>
      </c>
      <c r="E315" s="146">
        <f t="shared" si="27"/>
        <v>41456</v>
      </c>
      <c r="F315" s="145">
        <v>9.91</v>
      </c>
      <c r="G315" s="145">
        <f>+'Lighting Rate Design'!H392</f>
        <v>12.59</v>
      </c>
    </row>
    <row r="316" spans="1:7">
      <c r="A316" s="201">
        <f t="shared" si="24"/>
        <v>311</v>
      </c>
      <c r="B316" s="201" t="str">
        <f t="shared" si="26"/>
        <v>55 (56)</v>
      </c>
      <c r="C316" s="149" t="s">
        <v>788</v>
      </c>
      <c r="D316" s="201" t="s">
        <v>719</v>
      </c>
      <c r="E316" s="146">
        <f t="shared" si="27"/>
        <v>41456</v>
      </c>
      <c r="F316" s="145">
        <v>10.09</v>
      </c>
      <c r="G316" s="145">
        <f>+'Lighting Rate Design'!H393</f>
        <v>12.59</v>
      </c>
    </row>
    <row r="317" spans="1:7">
      <c r="A317" s="201">
        <f t="shared" si="24"/>
        <v>312</v>
      </c>
      <c r="B317" s="201" t="str">
        <f t="shared" si="26"/>
        <v>55 (56)</v>
      </c>
      <c r="C317" s="149" t="s">
        <v>788</v>
      </c>
      <c r="D317" s="201" t="s">
        <v>720</v>
      </c>
      <c r="E317" s="146">
        <f t="shared" si="27"/>
        <v>41456</v>
      </c>
      <c r="F317" s="145">
        <v>10.27</v>
      </c>
      <c r="G317" s="145">
        <f>+'Lighting Rate Design'!H394</f>
        <v>13.79</v>
      </c>
    </row>
    <row r="318" spans="1:7">
      <c r="A318" s="201">
        <f t="shared" si="24"/>
        <v>313</v>
      </c>
      <c r="B318" s="201" t="str">
        <f t="shared" si="26"/>
        <v>55 (56)</v>
      </c>
      <c r="C318" s="149" t="s">
        <v>788</v>
      </c>
      <c r="D318" s="201" t="s">
        <v>721</v>
      </c>
      <c r="E318" s="146">
        <f t="shared" si="27"/>
        <v>41456</v>
      </c>
      <c r="F318" s="145">
        <v>10.44</v>
      </c>
      <c r="G318" s="145">
        <f>+'Lighting Rate Design'!H395</f>
        <v>13.79</v>
      </c>
    </row>
    <row r="319" spans="1:7">
      <c r="A319" s="201">
        <f t="shared" si="24"/>
        <v>314</v>
      </c>
      <c r="B319" s="201" t="str">
        <f t="shared" si="26"/>
        <v>55 (56)</v>
      </c>
      <c r="C319" s="149" t="s">
        <v>788</v>
      </c>
      <c r="D319" s="201" t="s">
        <v>722</v>
      </c>
      <c r="E319" s="146">
        <f t="shared" si="27"/>
        <v>41456</v>
      </c>
      <c r="F319" s="145">
        <v>10.62</v>
      </c>
      <c r="G319" s="145">
        <f>+'Lighting Rate Design'!H396</f>
        <v>13.79</v>
      </c>
    </row>
    <row r="320" spans="1:7">
      <c r="A320" s="201">
        <f t="shared" si="24"/>
        <v>315</v>
      </c>
      <c r="B320" s="201" t="str">
        <f t="shared" si="26"/>
        <v>55 (56)</v>
      </c>
      <c r="C320" s="149" t="s">
        <v>788</v>
      </c>
      <c r="D320" s="201" t="s">
        <v>723</v>
      </c>
      <c r="E320" s="146">
        <f t="shared" si="27"/>
        <v>41456</v>
      </c>
      <c r="F320" s="145">
        <v>10.79</v>
      </c>
      <c r="G320" s="145">
        <f>+'Lighting Rate Design'!H397</f>
        <v>13.79</v>
      </c>
    </row>
    <row r="321" spans="1:7">
      <c r="A321" s="201">
        <f t="shared" si="24"/>
        <v>316</v>
      </c>
      <c r="B321" s="201" t="str">
        <f t="shared" si="26"/>
        <v>55 (56)</v>
      </c>
      <c r="C321" s="149" t="s">
        <v>788</v>
      </c>
      <c r="D321" s="201" t="s">
        <v>724</v>
      </c>
      <c r="E321" s="146">
        <f t="shared" si="27"/>
        <v>41456</v>
      </c>
      <c r="F321" s="145">
        <v>10.97</v>
      </c>
      <c r="G321" s="145">
        <f>+'Lighting Rate Design'!H398</f>
        <v>13.79</v>
      </c>
    </row>
    <row r="322" spans="1:7">
      <c r="A322" s="201">
        <f t="shared" si="24"/>
        <v>317</v>
      </c>
      <c r="B322" s="201" t="str">
        <f t="shared" si="26"/>
        <v>55 (56)</v>
      </c>
      <c r="C322" s="149" t="s">
        <v>788</v>
      </c>
      <c r="D322" s="201" t="s">
        <v>725</v>
      </c>
      <c r="E322" s="146">
        <f t="shared" si="27"/>
        <v>41456</v>
      </c>
      <c r="F322" s="145">
        <v>11.14</v>
      </c>
      <c r="G322" s="145">
        <f>+'Lighting Rate Design'!H399</f>
        <v>13.79</v>
      </c>
    </row>
    <row r="323" spans="1:7">
      <c r="A323" s="201">
        <f t="shared" si="24"/>
        <v>318</v>
      </c>
      <c r="B323" s="201" t="str">
        <f t="shared" si="26"/>
        <v>55 (56)</v>
      </c>
      <c r="C323" s="149" t="s">
        <v>788</v>
      </c>
      <c r="D323" s="201" t="s">
        <v>726</v>
      </c>
      <c r="E323" s="146">
        <f t="shared" si="27"/>
        <v>41456</v>
      </c>
      <c r="F323" s="145">
        <v>11.33</v>
      </c>
      <c r="G323" s="145">
        <f>+'Lighting Rate Design'!H400</f>
        <v>14.98</v>
      </c>
    </row>
    <row r="324" spans="1:7">
      <c r="A324" s="201">
        <f t="shared" si="24"/>
        <v>319</v>
      </c>
      <c r="B324" s="201" t="str">
        <f t="shared" si="26"/>
        <v>55 (56)</v>
      </c>
      <c r="C324" s="149" t="s">
        <v>788</v>
      </c>
      <c r="D324" s="201" t="s">
        <v>727</v>
      </c>
      <c r="E324" s="146">
        <f t="shared" si="27"/>
        <v>41456</v>
      </c>
      <c r="F324" s="145">
        <v>11.5</v>
      </c>
      <c r="G324" s="145">
        <f>+'Lighting Rate Design'!H401</f>
        <v>14.98</v>
      </c>
    </row>
    <row r="325" spans="1:7">
      <c r="A325" s="201">
        <f t="shared" si="24"/>
        <v>320</v>
      </c>
      <c r="B325" s="201" t="str">
        <f t="shared" si="26"/>
        <v>55 (56)</v>
      </c>
      <c r="C325" s="149" t="s">
        <v>788</v>
      </c>
      <c r="D325" s="201" t="s">
        <v>889</v>
      </c>
      <c r="E325" s="146" t="s">
        <v>888</v>
      </c>
      <c r="F325" s="146" t="s">
        <v>888</v>
      </c>
      <c r="G325" s="145">
        <f>+'Lighting Rate Design'!H402</f>
        <v>14.98</v>
      </c>
    </row>
    <row r="326" spans="1:7">
      <c r="A326" s="201">
        <f t="shared" si="24"/>
        <v>321</v>
      </c>
      <c r="B326" s="201" t="str">
        <f t="shared" si="26"/>
        <v>55 (56)</v>
      </c>
      <c r="C326" s="149" t="s">
        <v>788</v>
      </c>
      <c r="D326" s="201" t="s">
        <v>890</v>
      </c>
      <c r="E326" s="146" t="s">
        <v>888</v>
      </c>
      <c r="F326" s="146" t="s">
        <v>888</v>
      </c>
      <c r="G326" s="145">
        <f>+'Lighting Rate Design'!H403</f>
        <v>16.170000000000002</v>
      </c>
    </row>
    <row r="327" spans="1:7">
      <c r="A327" s="201">
        <f t="shared" si="24"/>
        <v>322</v>
      </c>
      <c r="B327" s="201" t="str">
        <f t="shared" si="26"/>
        <v>55 (56)</v>
      </c>
      <c r="C327" s="149" t="s">
        <v>788</v>
      </c>
      <c r="D327" s="201" t="s">
        <v>891</v>
      </c>
      <c r="E327" s="146" t="s">
        <v>888</v>
      </c>
      <c r="F327" s="146" t="s">
        <v>888</v>
      </c>
      <c r="G327" s="145">
        <f>+'Lighting Rate Design'!H404</f>
        <v>17.36</v>
      </c>
    </row>
    <row r="328" spans="1:7">
      <c r="A328" s="201">
        <f t="shared" si="24"/>
        <v>323</v>
      </c>
      <c r="B328" s="201" t="str">
        <f t="shared" si="26"/>
        <v>55 (56)</v>
      </c>
      <c r="C328" s="149" t="s">
        <v>788</v>
      </c>
      <c r="D328" s="201" t="s">
        <v>892</v>
      </c>
      <c r="E328" s="146" t="s">
        <v>888</v>
      </c>
      <c r="F328" s="146" t="s">
        <v>888</v>
      </c>
      <c r="G328" s="145">
        <f>+'Lighting Rate Design'!H405</f>
        <v>18.55</v>
      </c>
    </row>
    <row r="329" spans="1:7">
      <c r="A329" s="201">
        <f t="shared" si="24"/>
        <v>324</v>
      </c>
      <c r="B329" s="201" t="str">
        <f t="shared" si="26"/>
        <v>55 (56)</v>
      </c>
      <c r="C329" s="149" t="s">
        <v>788</v>
      </c>
      <c r="D329" s="201" t="s">
        <v>893</v>
      </c>
      <c r="E329" s="146" t="s">
        <v>888</v>
      </c>
      <c r="F329" s="146" t="s">
        <v>888</v>
      </c>
      <c r="G329" s="145">
        <f>+'Lighting Rate Design'!H406</f>
        <v>19.739999999999998</v>
      </c>
    </row>
    <row r="330" spans="1:7">
      <c r="A330" s="201">
        <f t="shared" si="24"/>
        <v>325</v>
      </c>
      <c r="B330" s="201" t="str">
        <f t="shared" si="26"/>
        <v>55 (56)</v>
      </c>
      <c r="C330" s="149" t="s">
        <v>788</v>
      </c>
      <c r="D330" s="201" t="s">
        <v>894</v>
      </c>
      <c r="E330" s="146" t="s">
        <v>888</v>
      </c>
      <c r="F330" s="146" t="s">
        <v>888</v>
      </c>
      <c r="G330" s="145">
        <f>+'Lighting Rate Design'!H407</f>
        <v>20.93</v>
      </c>
    </row>
    <row r="331" spans="1:7">
      <c r="A331" s="201">
        <f t="shared" si="24"/>
        <v>326</v>
      </c>
      <c r="B331" s="201" t="str">
        <f t="shared" si="26"/>
        <v>55 (56)</v>
      </c>
      <c r="C331" s="149" t="s">
        <v>788</v>
      </c>
      <c r="D331" s="201" t="s">
        <v>895</v>
      </c>
      <c r="E331" s="146" t="s">
        <v>888</v>
      </c>
      <c r="F331" s="146" t="s">
        <v>888</v>
      </c>
      <c r="G331" s="145">
        <f>+'Lighting Rate Design'!H408</f>
        <v>22.12</v>
      </c>
    </row>
    <row r="332" spans="1:7">
      <c r="A332" s="201">
        <f t="shared" si="24"/>
        <v>327</v>
      </c>
      <c r="B332" s="201"/>
      <c r="D332" s="201"/>
      <c r="E332" s="146"/>
    </row>
    <row r="333" spans="1:7">
      <c r="A333" s="201">
        <f t="shared" si="24"/>
        <v>328</v>
      </c>
      <c r="B333" s="201" t="str">
        <f>+$B$302</f>
        <v>55 (56)</v>
      </c>
      <c r="C333" s="167" t="s">
        <v>789</v>
      </c>
      <c r="D333" s="201" t="s">
        <v>790</v>
      </c>
      <c r="E333" s="146">
        <f>+$E$6</f>
        <v>41456</v>
      </c>
      <c r="F333" s="145">
        <v>2.08</v>
      </c>
      <c r="G333" s="145">
        <f>+'Lighting Rate Design'!H410</f>
        <v>6.34</v>
      </c>
    </row>
    <row r="334" spans="1:7">
      <c r="A334" s="201">
        <f t="shared" si="24"/>
        <v>329</v>
      </c>
      <c r="B334" s="201" t="str">
        <f>+$B$302</f>
        <v>55 (56)</v>
      </c>
      <c r="C334" s="167" t="s">
        <v>789</v>
      </c>
      <c r="D334" s="201" t="s">
        <v>791</v>
      </c>
      <c r="E334" s="146">
        <f>+$E$6</f>
        <v>41456</v>
      </c>
      <c r="F334" s="145">
        <v>8.18</v>
      </c>
      <c r="G334" s="145">
        <f>+'Lighting Rate Design'!H411</f>
        <v>10.38</v>
      </c>
    </row>
    <row r="335" spans="1:7">
      <c r="A335" s="201">
        <f t="shared" ref="A335:A398" si="28">+A334+1</f>
        <v>330</v>
      </c>
      <c r="B335" s="201"/>
      <c r="D335" s="201"/>
    </row>
    <row r="336" spans="1:7">
      <c r="A336" s="201">
        <f t="shared" si="28"/>
        <v>331</v>
      </c>
      <c r="B336" s="201">
        <v>57</v>
      </c>
      <c r="C336" s="136" t="s">
        <v>792</v>
      </c>
      <c r="D336" s="150" t="s">
        <v>899</v>
      </c>
      <c r="E336" s="146">
        <f>+$E$6</f>
        <v>41456</v>
      </c>
      <c r="F336" s="152">
        <v>2.4980000000000002E-2</v>
      </c>
      <c r="G336" s="152">
        <f>+'Lighting Rate Design'!H424</f>
        <v>4.2009999999999999E-2</v>
      </c>
    </row>
    <row r="337" spans="1:7">
      <c r="A337" s="201">
        <f t="shared" si="28"/>
        <v>332</v>
      </c>
      <c r="B337" s="201">
        <f>+$B$336</f>
        <v>57</v>
      </c>
      <c r="C337" s="136" t="s">
        <v>792</v>
      </c>
      <c r="D337" s="201" t="s">
        <v>517</v>
      </c>
      <c r="E337" s="146">
        <f>+$E$6</f>
        <v>41456</v>
      </c>
      <c r="F337" s="145">
        <v>4.08</v>
      </c>
      <c r="G337" s="145" t="str">
        <f>+'Lighting Rate Design'!H425</f>
        <v>n/a</v>
      </c>
    </row>
    <row r="338" spans="1:7">
      <c r="A338" s="201">
        <f t="shared" si="28"/>
        <v>333</v>
      </c>
      <c r="B338" s="201"/>
      <c r="D338" s="201"/>
    </row>
    <row r="339" spans="1:7">
      <c r="A339" s="201">
        <f t="shared" si="28"/>
        <v>334</v>
      </c>
      <c r="B339" s="201" t="s">
        <v>793</v>
      </c>
      <c r="C339" s="136" t="s">
        <v>794</v>
      </c>
      <c r="D339" s="201" t="s">
        <v>770</v>
      </c>
      <c r="E339" s="146">
        <f t="shared" ref="E339:E344" si="29">+$E$6</f>
        <v>41456</v>
      </c>
      <c r="F339" s="145">
        <v>12.44</v>
      </c>
      <c r="G339" s="145">
        <f>+'Lighting Rate Design'!H438</f>
        <v>12</v>
      </c>
    </row>
    <row r="340" spans="1:7">
      <c r="A340" s="201">
        <f t="shared" si="28"/>
        <v>335</v>
      </c>
      <c r="B340" s="201" t="str">
        <f>+$B$339</f>
        <v>58 (59)</v>
      </c>
      <c r="C340" s="136" t="s">
        <v>794</v>
      </c>
      <c r="D340" s="201" t="s">
        <v>705</v>
      </c>
      <c r="E340" s="146">
        <f t="shared" si="29"/>
        <v>41456</v>
      </c>
      <c r="F340" s="145">
        <v>13.65</v>
      </c>
      <c r="G340" s="145">
        <f>+'Lighting Rate Design'!H439</f>
        <v>13.27</v>
      </c>
    </row>
    <row r="341" spans="1:7">
      <c r="A341" s="201">
        <f t="shared" si="28"/>
        <v>336</v>
      </c>
      <c r="B341" s="201" t="str">
        <f>+$B$339</f>
        <v>58 (59)</v>
      </c>
      <c r="C341" s="136" t="s">
        <v>794</v>
      </c>
      <c r="D341" s="201" t="s">
        <v>771</v>
      </c>
      <c r="E341" s="146">
        <f t="shared" si="29"/>
        <v>41456</v>
      </c>
      <c r="F341" s="145">
        <v>15.58</v>
      </c>
      <c r="G341" s="145">
        <f>+'Lighting Rate Design'!H440</f>
        <v>15.38</v>
      </c>
    </row>
    <row r="342" spans="1:7">
      <c r="A342" s="201">
        <f t="shared" si="28"/>
        <v>337</v>
      </c>
      <c r="B342" s="201" t="str">
        <f>+$B$339</f>
        <v>58 (59)</v>
      </c>
      <c r="C342" s="136" t="s">
        <v>794</v>
      </c>
      <c r="D342" s="201" t="s">
        <v>772</v>
      </c>
      <c r="E342" s="146">
        <f t="shared" si="29"/>
        <v>41456</v>
      </c>
      <c r="F342" s="145">
        <v>18.190000000000001</v>
      </c>
      <c r="G342" s="145">
        <f>+'Lighting Rate Design'!H441</f>
        <v>17.489999999999998</v>
      </c>
    </row>
    <row r="343" spans="1:7">
      <c r="A343" s="201">
        <f t="shared" si="28"/>
        <v>338</v>
      </c>
      <c r="B343" s="201" t="str">
        <f>+$B$339</f>
        <v>58 (59)</v>
      </c>
      <c r="C343" s="136" t="s">
        <v>794</v>
      </c>
      <c r="D343" s="201" t="s">
        <v>773</v>
      </c>
      <c r="E343" s="146">
        <f t="shared" si="29"/>
        <v>41456</v>
      </c>
      <c r="F343" s="145">
        <v>20.25</v>
      </c>
      <c r="G343" s="145">
        <f>+'Lighting Rate Design'!H442</f>
        <v>19.600000000000001</v>
      </c>
    </row>
    <row r="344" spans="1:7">
      <c r="A344" s="201">
        <f t="shared" si="28"/>
        <v>339</v>
      </c>
      <c r="B344" s="201" t="str">
        <f>+$B$339</f>
        <v>58 (59)</v>
      </c>
      <c r="C344" s="136" t="s">
        <v>794</v>
      </c>
      <c r="D344" s="201" t="s">
        <v>707</v>
      </c>
      <c r="E344" s="146">
        <f t="shared" si="29"/>
        <v>41456</v>
      </c>
      <c r="F344" s="145">
        <v>25.72</v>
      </c>
      <c r="G344" s="145">
        <f>+'Lighting Rate Design'!H443</f>
        <v>25.93</v>
      </c>
    </row>
    <row r="345" spans="1:7">
      <c r="A345" s="201">
        <f t="shared" si="28"/>
        <v>340</v>
      </c>
      <c r="B345" s="201"/>
      <c r="D345" s="201"/>
      <c r="E345" s="146"/>
      <c r="F345" s="145"/>
      <c r="G345" s="145"/>
    </row>
    <row r="346" spans="1:7">
      <c r="A346" s="201">
        <f t="shared" si="28"/>
        <v>341</v>
      </c>
      <c r="B346" s="201" t="str">
        <f>+$B$339</f>
        <v>58 (59)</v>
      </c>
      <c r="C346" s="136" t="s">
        <v>795</v>
      </c>
      <c r="D346" s="201" t="s">
        <v>706</v>
      </c>
      <c r="E346" s="146">
        <f>+$E$6</f>
        <v>41456</v>
      </c>
      <c r="F346" s="145">
        <v>17.77</v>
      </c>
      <c r="G346" s="145">
        <f>+'Lighting Rate Design'!H445</f>
        <v>19.59</v>
      </c>
    </row>
    <row r="347" spans="1:7">
      <c r="A347" s="201">
        <f t="shared" si="28"/>
        <v>342</v>
      </c>
      <c r="B347" s="201" t="str">
        <f>+$B$339</f>
        <v>58 (59)</v>
      </c>
      <c r="C347" s="136" t="s">
        <v>795</v>
      </c>
      <c r="D347" s="201" t="s">
        <v>773</v>
      </c>
      <c r="E347" s="146">
        <f>+$E$6</f>
        <v>41456</v>
      </c>
      <c r="F347" s="145">
        <v>20.810000000000002</v>
      </c>
      <c r="G347" s="145">
        <f>+'Lighting Rate Design'!H446</f>
        <v>22.94</v>
      </c>
    </row>
    <row r="348" spans="1:7">
      <c r="A348" s="201">
        <f t="shared" si="28"/>
        <v>343</v>
      </c>
      <c r="B348" s="201" t="str">
        <f>+$B$339</f>
        <v>58 (59)</v>
      </c>
      <c r="C348" s="136" t="s">
        <v>795</v>
      </c>
      <c r="D348" s="201" t="s">
        <v>707</v>
      </c>
      <c r="E348" s="146">
        <f>+$E$6</f>
        <v>41456</v>
      </c>
      <c r="F348" s="145">
        <v>25.880000000000003</v>
      </c>
      <c r="G348" s="145">
        <f>+'Lighting Rate Design'!H447</f>
        <v>29.64</v>
      </c>
    </row>
    <row r="349" spans="1:7">
      <c r="A349" s="201">
        <f t="shared" si="28"/>
        <v>344</v>
      </c>
      <c r="B349" s="201" t="str">
        <f>+$B$339</f>
        <v>58 (59)</v>
      </c>
      <c r="C349" s="136" t="s">
        <v>795</v>
      </c>
      <c r="D349" s="201" t="s">
        <v>776</v>
      </c>
      <c r="E349" s="146">
        <f>+$E$6</f>
        <v>41456</v>
      </c>
      <c r="F349" s="145">
        <v>47.91</v>
      </c>
      <c r="G349" s="145">
        <f>+'Lighting Rate Design'!H448</f>
        <v>56.45</v>
      </c>
    </row>
    <row r="350" spans="1:7">
      <c r="A350" s="201">
        <f t="shared" si="28"/>
        <v>345</v>
      </c>
      <c r="B350" s="201"/>
      <c r="D350" s="201"/>
      <c r="E350" s="146"/>
      <c r="F350" s="145"/>
      <c r="G350" s="145"/>
    </row>
    <row r="351" spans="1:7">
      <c r="A351" s="201">
        <f t="shared" si="28"/>
        <v>346</v>
      </c>
      <c r="B351" s="201" t="str">
        <f>+$B$339</f>
        <v>58 (59)</v>
      </c>
      <c r="C351" s="136" t="s">
        <v>796</v>
      </c>
      <c r="D351" s="201" t="s">
        <v>705</v>
      </c>
      <c r="E351" s="146">
        <f>+$E$6</f>
        <v>41456</v>
      </c>
      <c r="F351" s="145">
        <v>15.579999999999998</v>
      </c>
      <c r="G351" s="145">
        <f>+'Lighting Rate Design'!H450</f>
        <v>13.27</v>
      </c>
    </row>
    <row r="352" spans="1:7">
      <c r="A352" s="201">
        <f t="shared" si="28"/>
        <v>347</v>
      </c>
      <c r="B352" s="201" t="str">
        <f>+$B$339</f>
        <v>58 (59)</v>
      </c>
      <c r="C352" s="136" t="s">
        <v>796</v>
      </c>
      <c r="D352" s="201" t="s">
        <v>771</v>
      </c>
      <c r="E352" s="146">
        <f>+$E$6</f>
        <v>41456</v>
      </c>
      <c r="F352" s="145">
        <v>17.43</v>
      </c>
      <c r="G352" s="145">
        <f>+'Lighting Rate Design'!H451</f>
        <v>15.38</v>
      </c>
    </row>
    <row r="353" spans="1:9">
      <c r="A353" s="201">
        <f t="shared" si="28"/>
        <v>348</v>
      </c>
      <c r="B353" s="201" t="str">
        <f>+$B$339</f>
        <v>58 (59)</v>
      </c>
      <c r="C353" s="136" t="s">
        <v>796</v>
      </c>
      <c r="D353" s="201" t="s">
        <v>772</v>
      </c>
      <c r="E353" s="146">
        <f>+$E$6</f>
        <v>41456</v>
      </c>
      <c r="F353" s="145">
        <v>20.260000000000002</v>
      </c>
      <c r="G353" s="145">
        <f>+'Lighting Rate Design'!H452</f>
        <v>17.489999999999998</v>
      </c>
    </row>
    <row r="354" spans="1:9">
      <c r="A354" s="201">
        <f t="shared" si="28"/>
        <v>349</v>
      </c>
      <c r="B354" s="201" t="str">
        <f>+$B$339</f>
        <v>58 (59)</v>
      </c>
      <c r="C354" s="136" t="s">
        <v>796</v>
      </c>
      <c r="D354" s="201" t="s">
        <v>773</v>
      </c>
      <c r="E354" s="146">
        <f>+$E$6</f>
        <v>41456</v>
      </c>
      <c r="F354" s="145">
        <v>21.08</v>
      </c>
      <c r="G354" s="145">
        <f>+'Lighting Rate Design'!H453</f>
        <v>19.600000000000001</v>
      </c>
    </row>
    <row r="355" spans="1:9">
      <c r="A355" s="201">
        <f t="shared" si="28"/>
        <v>350</v>
      </c>
      <c r="B355" s="201" t="str">
        <f>+$B$339</f>
        <v>58 (59)</v>
      </c>
      <c r="C355" s="136" t="s">
        <v>796</v>
      </c>
      <c r="D355" s="201" t="s">
        <v>707</v>
      </c>
      <c r="E355" s="146">
        <f>+$E$6</f>
        <v>41456</v>
      </c>
      <c r="F355" s="145">
        <v>27.560000000000002</v>
      </c>
      <c r="G355" s="145">
        <f>+'Lighting Rate Design'!H454</f>
        <v>25.93</v>
      </c>
    </row>
    <row r="356" spans="1:9">
      <c r="A356" s="201">
        <f t="shared" si="28"/>
        <v>351</v>
      </c>
      <c r="B356" s="201"/>
      <c r="D356" s="201"/>
      <c r="E356" s="146"/>
      <c r="F356" s="145"/>
      <c r="G356" s="145"/>
    </row>
    <row r="357" spans="1:9">
      <c r="A357" s="201">
        <f t="shared" si="28"/>
        <v>352</v>
      </c>
      <c r="B357" s="201" t="str">
        <f>+$B$339</f>
        <v>58 (59)</v>
      </c>
      <c r="C357" s="136" t="s">
        <v>797</v>
      </c>
      <c r="D357" s="201" t="s">
        <v>773</v>
      </c>
      <c r="E357" s="146">
        <f>+$E$6</f>
        <v>41456</v>
      </c>
      <c r="F357" s="145">
        <v>24.75</v>
      </c>
      <c r="G357" s="145">
        <f>+'Lighting Rate Design'!H456</f>
        <v>22.94</v>
      </c>
    </row>
    <row r="358" spans="1:9">
      <c r="A358" s="201">
        <f t="shared" si="28"/>
        <v>353</v>
      </c>
      <c r="B358" s="201" t="str">
        <f>+$B$339</f>
        <v>58 (59)</v>
      </c>
      <c r="C358" s="136" t="s">
        <v>797</v>
      </c>
      <c r="D358" s="201" t="s">
        <v>707</v>
      </c>
      <c r="E358" s="146">
        <f>+$E$6</f>
        <v>41456</v>
      </c>
      <c r="F358" s="145">
        <v>31.29</v>
      </c>
      <c r="G358" s="145">
        <f>+'Lighting Rate Design'!H457</f>
        <v>29.64</v>
      </c>
    </row>
    <row r="359" spans="1:9">
      <c r="A359" s="201">
        <f t="shared" si="28"/>
        <v>354</v>
      </c>
      <c r="B359" s="201"/>
      <c r="D359" s="201"/>
      <c r="E359" s="146"/>
      <c r="F359" s="145"/>
      <c r="G359" s="145"/>
    </row>
    <row r="360" spans="1:9">
      <c r="A360" s="201">
        <f t="shared" si="28"/>
        <v>355</v>
      </c>
      <c r="B360" s="201" t="str">
        <f t="shared" ref="B360:B422" si="30">+$B$339</f>
        <v>58 (59)</v>
      </c>
      <c r="C360" s="149" t="s">
        <v>798</v>
      </c>
      <c r="D360" s="201" t="s">
        <v>900</v>
      </c>
      <c r="E360" s="146" t="s">
        <v>888</v>
      </c>
      <c r="F360" s="146" t="s">
        <v>888</v>
      </c>
      <c r="G360" s="145">
        <f>+'Lighting Rate Design'!H459</f>
        <v>12.594728155683717</v>
      </c>
      <c r="I360" s="145"/>
    </row>
    <row r="361" spans="1:9">
      <c r="A361" s="201">
        <f t="shared" si="28"/>
        <v>356</v>
      </c>
      <c r="B361" s="201" t="str">
        <f t="shared" si="30"/>
        <v>58 (59)</v>
      </c>
      <c r="C361" s="149" t="s">
        <v>798</v>
      </c>
      <c r="D361" s="201" t="s">
        <v>718</v>
      </c>
      <c r="E361" s="146">
        <f>+E358</f>
        <v>41456</v>
      </c>
      <c r="F361" s="145">
        <v>10.09</v>
      </c>
      <c r="G361" s="145">
        <f>+'Lighting Rate Design'!H460</f>
        <v>12.59</v>
      </c>
      <c r="I361" s="145"/>
    </row>
    <row r="362" spans="1:9">
      <c r="A362" s="201">
        <f t="shared" si="28"/>
        <v>357</v>
      </c>
      <c r="B362" s="201" t="str">
        <f t="shared" si="30"/>
        <v>58 (59)</v>
      </c>
      <c r="C362" s="149" t="s">
        <v>798</v>
      </c>
      <c r="D362" s="201" t="s">
        <v>719</v>
      </c>
      <c r="E362" s="146">
        <f t="shared" ref="E362:E421" si="31">+E361</f>
        <v>41456</v>
      </c>
      <c r="F362" s="145">
        <v>10.26</v>
      </c>
      <c r="G362" s="145">
        <f>+'Lighting Rate Design'!H461</f>
        <v>12.59</v>
      </c>
      <c r="I362" s="145"/>
    </row>
    <row r="363" spans="1:9">
      <c r="A363" s="201">
        <f t="shared" si="28"/>
        <v>358</v>
      </c>
      <c r="B363" s="201" t="str">
        <f t="shared" si="30"/>
        <v>58 (59)</v>
      </c>
      <c r="C363" s="149" t="s">
        <v>798</v>
      </c>
      <c r="D363" s="201" t="s">
        <v>720</v>
      </c>
      <c r="E363" s="146">
        <f t="shared" si="31"/>
        <v>41456</v>
      </c>
      <c r="F363" s="145">
        <v>10.44</v>
      </c>
      <c r="G363" s="145">
        <f>+'Lighting Rate Design'!H462</f>
        <v>13.79</v>
      </c>
      <c r="I363" s="145"/>
    </row>
    <row r="364" spans="1:9">
      <c r="A364" s="201">
        <f t="shared" si="28"/>
        <v>359</v>
      </c>
      <c r="B364" s="201" t="str">
        <f t="shared" si="30"/>
        <v>58 (59)</v>
      </c>
      <c r="C364" s="149" t="s">
        <v>798</v>
      </c>
      <c r="D364" s="201" t="s">
        <v>721</v>
      </c>
      <c r="E364" s="146">
        <f t="shared" si="31"/>
        <v>41456</v>
      </c>
      <c r="F364" s="145">
        <v>10.62</v>
      </c>
      <c r="G364" s="145">
        <f>+'Lighting Rate Design'!H463</f>
        <v>13.79</v>
      </c>
      <c r="I364" s="145"/>
    </row>
    <row r="365" spans="1:9">
      <c r="A365" s="201">
        <f t="shared" si="28"/>
        <v>360</v>
      </c>
      <c r="B365" s="201" t="str">
        <f t="shared" si="30"/>
        <v>58 (59)</v>
      </c>
      <c r="C365" s="149" t="s">
        <v>798</v>
      </c>
      <c r="D365" s="201" t="s">
        <v>722</v>
      </c>
      <c r="E365" s="146">
        <f t="shared" si="31"/>
        <v>41456</v>
      </c>
      <c r="F365" s="145">
        <v>10.79</v>
      </c>
      <c r="G365" s="145">
        <f>+'Lighting Rate Design'!H464</f>
        <v>13.79</v>
      </c>
      <c r="I365" s="145"/>
    </row>
    <row r="366" spans="1:9">
      <c r="A366" s="201">
        <f t="shared" si="28"/>
        <v>361</v>
      </c>
      <c r="B366" s="201" t="str">
        <f t="shared" si="30"/>
        <v>58 (59)</v>
      </c>
      <c r="C366" s="149" t="s">
        <v>798</v>
      </c>
      <c r="D366" s="201" t="s">
        <v>723</v>
      </c>
      <c r="E366" s="146">
        <f t="shared" si="31"/>
        <v>41456</v>
      </c>
      <c r="F366" s="145">
        <v>10.97</v>
      </c>
      <c r="G366" s="145">
        <f>+'Lighting Rate Design'!H465</f>
        <v>13.79</v>
      </c>
      <c r="I366" s="145"/>
    </row>
    <row r="367" spans="1:9">
      <c r="A367" s="201">
        <f t="shared" si="28"/>
        <v>362</v>
      </c>
      <c r="B367" s="201" t="str">
        <f t="shared" si="30"/>
        <v>58 (59)</v>
      </c>
      <c r="C367" s="149" t="s">
        <v>798</v>
      </c>
      <c r="D367" s="201" t="s">
        <v>724</v>
      </c>
      <c r="E367" s="146">
        <f t="shared" si="31"/>
        <v>41456</v>
      </c>
      <c r="F367" s="145">
        <v>11.14</v>
      </c>
      <c r="G367" s="145">
        <f>+'Lighting Rate Design'!H466</f>
        <v>13.79</v>
      </c>
      <c r="I367" s="145"/>
    </row>
    <row r="368" spans="1:9">
      <c r="A368" s="201">
        <f t="shared" si="28"/>
        <v>363</v>
      </c>
      <c r="B368" s="201" t="str">
        <f t="shared" si="30"/>
        <v>58 (59)</v>
      </c>
      <c r="C368" s="149" t="s">
        <v>798</v>
      </c>
      <c r="D368" s="150" t="s">
        <v>725</v>
      </c>
      <c r="E368" s="146" t="s">
        <v>888</v>
      </c>
      <c r="F368" s="146" t="s">
        <v>888</v>
      </c>
      <c r="G368" s="145">
        <f>+'Lighting Rate Design'!H467</f>
        <v>13.79</v>
      </c>
      <c r="I368" s="145"/>
    </row>
    <row r="369" spans="1:9">
      <c r="A369" s="201">
        <f t="shared" si="28"/>
        <v>364</v>
      </c>
      <c r="B369" s="201" t="str">
        <f t="shared" si="30"/>
        <v>58 (59)</v>
      </c>
      <c r="C369" s="149" t="s">
        <v>798</v>
      </c>
      <c r="D369" s="150" t="s">
        <v>901</v>
      </c>
      <c r="E369" s="146" t="s">
        <v>888</v>
      </c>
      <c r="F369" s="146" t="s">
        <v>888</v>
      </c>
      <c r="G369" s="145">
        <f>+'Lighting Rate Design'!H468</f>
        <v>14.98</v>
      </c>
      <c r="I369" s="145"/>
    </row>
    <row r="370" spans="1:9">
      <c r="A370" s="201">
        <f t="shared" si="28"/>
        <v>365</v>
      </c>
      <c r="B370" s="201" t="str">
        <f t="shared" si="30"/>
        <v>58 (59)</v>
      </c>
      <c r="C370" s="149" t="s">
        <v>798</v>
      </c>
      <c r="D370" s="201" t="s">
        <v>728</v>
      </c>
      <c r="E370" s="146">
        <f>+E367</f>
        <v>41456</v>
      </c>
      <c r="F370" s="145">
        <v>13.13</v>
      </c>
      <c r="G370" s="145">
        <f>+'Lighting Rate Design'!H469</f>
        <v>14.98</v>
      </c>
      <c r="I370" s="145"/>
    </row>
    <row r="371" spans="1:9">
      <c r="A371" s="201">
        <f t="shared" si="28"/>
        <v>366</v>
      </c>
      <c r="B371" s="201" t="str">
        <f t="shared" si="30"/>
        <v>58 (59)</v>
      </c>
      <c r="C371" s="149" t="s">
        <v>798</v>
      </c>
      <c r="D371" s="201" t="s">
        <v>729</v>
      </c>
      <c r="E371" s="146">
        <f t="shared" si="31"/>
        <v>41456</v>
      </c>
      <c r="F371" s="145">
        <v>13.3</v>
      </c>
      <c r="G371" s="145">
        <f>+'Lighting Rate Design'!H470</f>
        <v>14.98</v>
      </c>
      <c r="I371" s="145"/>
    </row>
    <row r="372" spans="1:9">
      <c r="A372" s="201">
        <f t="shared" si="28"/>
        <v>367</v>
      </c>
      <c r="B372" s="201" t="str">
        <f t="shared" si="30"/>
        <v>58 (59)</v>
      </c>
      <c r="C372" s="149" t="s">
        <v>798</v>
      </c>
      <c r="D372" s="201" t="s">
        <v>730</v>
      </c>
      <c r="E372" s="146">
        <f t="shared" si="31"/>
        <v>41456</v>
      </c>
      <c r="F372" s="145">
        <v>13.48</v>
      </c>
      <c r="G372" s="145">
        <f>+'Lighting Rate Design'!H471</f>
        <v>14.98</v>
      </c>
      <c r="I372" s="145"/>
    </row>
    <row r="373" spans="1:9">
      <c r="A373" s="201">
        <f t="shared" si="28"/>
        <v>368</v>
      </c>
      <c r="B373" s="201" t="str">
        <f t="shared" si="30"/>
        <v>58 (59)</v>
      </c>
      <c r="C373" s="149" t="s">
        <v>798</v>
      </c>
      <c r="D373" s="201" t="s">
        <v>731</v>
      </c>
      <c r="E373" s="146">
        <f t="shared" si="31"/>
        <v>41456</v>
      </c>
      <c r="F373" s="145">
        <v>13.66</v>
      </c>
      <c r="G373" s="145">
        <f>+'Lighting Rate Design'!H472</f>
        <v>14.98</v>
      </c>
      <c r="I373" s="145"/>
    </row>
    <row r="374" spans="1:9">
      <c r="A374" s="201">
        <f t="shared" si="28"/>
        <v>369</v>
      </c>
      <c r="B374" s="201" t="str">
        <f t="shared" si="30"/>
        <v>58 (59)</v>
      </c>
      <c r="C374" s="149" t="s">
        <v>798</v>
      </c>
      <c r="D374" s="201" t="s">
        <v>732</v>
      </c>
      <c r="E374" s="146">
        <f t="shared" si="31"/>
        <v>41456</v>
      </c>
      <c r="F374" s="145">
        <v>13.83</v>
      </c>
      <c r="G374" s="145">
        <f>+'Lighting Rate Design'!H473</f>
        <v>16.170000000000002</v>
      </c>
      <c r="I374" s="145"/>
    </row>
    <row r="375" spans="1:9">
      <c r="A375" s="201">
        <f t="shared" si="28"/>
        <v>370</v>
      </c>
      <c r="B375" s="201" t="str">
        <f t="shared" si="30"/>
        <v>58 (59)</v>
      </c>
      <c r="C375" s="149" t="s">
        <v>798</v>
      </c>
      <c r="D375" s="150" t="s">
        <v>733</v>
      </c>
      <c r="E375" s="146">
        <f t="shared" si="31"/>
        <v>41456</v>
      </c>
      <c r="F375" s="145">
        <v>14.01</v>
      </c>
      <c r="G375" s="145">
        <f>+'Lighting Rate Design'!H474</f>
        <v>16.170000000000002</v>
      </c>
      <c r="I375" s="145"/>
    </row>
    <row r="376" spans="1:9">
      <c r="A376" s="201">
        <f t="shared" si="28"/>
        <v>371</v>
      </c>
      <c r="B376" s="201" t="str">
        <f t="shared" si="30"/>
        <v>58 (59)</v>
      </c>
      <c r="C376" s="149" t="s">
        <v>798</v>
      </c>
      <c r="D376" s="150" t="s">
        <v>902</v>
      </c>
      <c r="E376" s="146" t="s">
        <v>888</v>
      </c>
      <c r="F376" s="146" t="s">
        <v>888</v>
      </c>
      <c r="G376" s="145">
        <f>+'Lighting Rate Design'!H475</f>
        <v>16.170000000000002</v>
      </c>
      <c r="I376" s="145"/>
    </row>
    <row r="377" spans="1:9">
      <c r="A377" s="201">
        <f t="shared" si="28"/>
        <v>372</v>
      </c>
      <c r="B377" s="201" t="str">
        <f t="shared" si="30"/>
        <v>58 (59)</v>
      </c>
      <c r="C377" s="149" t="s">
        <v>798</v>
      </c>
      <c r="D377" s="150" t="s">
        <v>738</v>
      </c>
      <c r="E377" s="146" t="s">
        <v>888</v>
      </c>
      <c r="F377" s="146" t="s">
        <v>888</v>
      </c>
      <c r="G377" s="145">
        <f>+'Lighting Rate Design'!H476</f>
        <v>17.36</v>
      </c>
      <c r="I377" s="145"/>
    </row>
    <row r="378" spans="1:9">
      <c r="A378" s="201">
        <f t="shared" si="28"/>
        <v>373</v>
      </c>
      <c r="B378" s="201" t="str">
        <f t="shared" si="30"/>
        <v>58 (59)</v>
      </c>
      <c r="C378" s="149" t="s">
        <v>798</v>
      </c>
      <c r="D378" s="150" t="s">
        <v>739</v>
      </c>
      <c r="E378" s="146">
        <v>42610</v>
      </c>
      <c r="F378" s="145">
        <v>15.28</v>
      </c>
      <c r="G378" s="145">
        <f>+'Lighting Rate Design'!H477</f>
        <v>17.36</v>
      </c>
      <c r="I378" s="145"/>
    </row>
    <row r="379" spans="1:9">
      <c r="A379" s="201">
        <f t="shared" si="28"/>
        <v>374</v>
      </c>
      <c r="B379" s="201" t="str">
        <f t="shared" si="30"/>
        <v>58 (59)</v>
      </c>
      <c r="C379" s="149" t="s">
        <v>798</v>
      </c>
      <c r="D379" s="150" t="s">
        <v>903</v>
      </c>
      <c r="E379" s="146" t="s">
        <v>888</v>
      </c>
      <c r="F379" s="146" t="s">
        <v>888</v>
      </c>
      <c r="G379" s="145">
        <f>+'Lighting Rate Design'!H478</f>
        <v>17.36</v>
      </c>
      <c r="I379" s="145"/>
    </row>
    <row r="380" spans="1:9">
      <c r="A380" s="201">
        <f t="shared" si="28"/>
        <v>375</v>
      </c>
      <c r="B380" s="201" t="str">
        <f t="shared" si="30"/>
        <v>58 (59)</v>
      </c>
      <c r="C380" s="149" t="s">
        <v>798</v>
      </c>
      <c r="D380" s="150" t="s">
        <v>904</v>
      </c>
      <c r="E380" s="146" t="s">
        <v>888</v>
      </c>
      <c r="F380" s="146" t="s">
        <v>888</v>
      </c>
      <c r="G380" s="145">
        <f>+'Lighting Rate Design'!H479</f>
        <v>18.55</v>
      </c>
      <c r="I380" s="145"/>
    </row>
    <row r="381" spans="1:9">
      <c r="A381" s="201">
        <f t="shared" si="28"/>
        <v>376</v>
      </c>
      <c r="B381" s="201" t="str">
        <f t="shared" si="30"/>
        <v>58 (59)</v>
      </c>
      <c r="C381" s="149" t="s">
        <v>798</v>
      </c>
      <c r="D381" s="150" t="s">
        <v>746</v>
      </c>
      <c r="E381" s="146">
        <v>42610</v>
      </c>
      <c r="F381" s="145">
        <v>18.41</v>
      </c>
      <c r="G381" s="145">
        <f>+'Lighting Rate Design'!H480</f>
        <v>18.55</v>
      </c>
      <c r="I381" s="145"/>
    </row>
    <row r="382" spans="1:9">
      <c r="A382" s="201">
        <f t="shared" si="28"/>
        <v>377</v>
      </c>
      <c r="B382" s="201" t="str">
        <f t="shared" si="30"/>
        <v>58 (59)</v>
      </c>
      <c r="C382" s="149" t="s">
        <v>798</v>
      </c>
      <c r="D382" s="150" t="s">
        <v>747</v>
      </c>
      <c r="E382" s="146">
        <v>42610</v>
      </c>
      <c r="F382" s="145">
        <v>15.59</v>
      </c>
      <c r="G382" s="145">
        <f>+'Lighting Rate Design'!H481</f>
        <v>18.55</v>
      </c>
      <c r="I382" s="145"/>
    </row>
    <row r="383" spans="1:9">
      <c r="A383" s="201">
        <f t="shared" si="28"/>
        <v>378</v>
      </c>
      <c r="B383" s="201" t="str">
        <f t="shared" si="30"/>
        <v>58 (59)</v>
      </c>
      <c r="C383" s="149" t="s">
        <v>798</v>
      </c>
      <c r="D383" s="150" t="s">
        <v>748</v>
      </c>
      <c r="E383" s="146">
        <v>42610</v>
      </c>
      <c r="F383" s="145">
        <v>18.77</v>
      </c>
      <c r="G383" s="145">
        <f>+'Lighting Rate Design'!H482</f>
        <v>18.55</v>
      </c>
      <c r="I383" s="145"/>
    </row>
    <row r="384" spans="1:9">
      <c r="A384" s="201">
        <f t="shared" si="28"/>
        <v>379</v>
      </c>
      <c r="B384" s="201" t="str">
        <f t="shared" si="30"/>
        <v>58 (59)</v>
      </c>
      <c r="C384" s="149" t="s">
        <v>798</v>
      </c>
      <c r="D384" s="150" t="s">
        <v>824</v>
      </c>
      <c r="E384" s="146">
        <v>42610</v>
      </c>
      <c r="F384" s="145">
        <v>18.940000000000001</v>
      </c>
      <c r="G384" s="145">
        <f>+'Lighting Rate Design'!H483</f>
        <v>18.55</v>
      </c>
      <c r="I384" s="145"/>
    </row>
    <row r="385" spans="1:9">
      <c r="A385" s="201">
        <f t="shared" si="28"/>
        <v>380</v>
      </c>
      <c r="B385" s="201" t="str">
        <f t="shared" si="30"/>
        <v>58 (59)</v>
      </c>
      <c r="C385" s="149" t="s">
        <v>798</v>
      </c>
      <c r="D385" s="150" t="s">
        <v>750</v>
      </c>
      <c r="E385" s="146">
        <v>42610</v>
      </c>
      <c r="F385" s="145">
        <v>19.12</v>
      </c>
      <c r="G385" s="145">
        <f>+'Lighting Rate Design'!H484</f>
        <v>19.739999999999998</v>
      </c>
      <c r="I385" s="145"/>
    </row>
    <row r="386" spans="1:9">
      <c r="A386" s="201">
        <f t="shared" si="28"/>
        <v>381</v>
      </c>
      <c r="B386" s="201" t="str">
        <f t="shared" si="30"/>
        <v>58 (59)</v>
      </c>
      <c r="C386" s="149" t="s">
        <v>798</v>
      </c>
      <c r="D386" s="150" t="s">
        <v>751</v>
      </c>
      <c r="E386" s="146">
        <v>42610</v>
      </c>
      <c r="F386" s="145">
        <v>19.29</v>
      </c>
      <c r="G386" s="145">
        <f>+'Lighting Rate Design'!H485</f>
        <v>19.739999999999998</v>
      </c>
      <c r="I386" s="145"/>
    </row>
    <row r="387" spans="1:9">
      <c r="A387" s="201">
        <f t="shared" si="28"/>
        <v>382</v>
      </c>
      <c r="B387" s="201" t="str">
        <f t="shared" si="30"/>
        <v>58 (59)</v>
      </c>
      <c r="C387" s="149" t="s">
        <v>798</v>
      </c>
      <c r="D387" s="150" t="s">
        <v>905</v>
      </c>
      <c r="E387" s="146" t="s">
        <v>888</v>
      </c>
      <c r="F387" s="146" t="s">
        <v>888</v>
      </c>
      <c r="G387" s="145">
        <f>+'Lighting Rate Design'!H486</f>
        <v>19.739999999999998</v>
      </c>
      <c r="I387" s="145"/>
    </row>
    <row r="388" spans="1:9">
      <c r="A388" s="201">
        <f t="shared" si="28"/>
        <v>383</v>
      </c>
      <c r="B388" s="201" t="str">
        <f t="shared" si="30"/>
        <v>58 (59)</v>
      </c>
      <c r="C388" s="149" t="s">
        <v>798</v>
      </c>
      <c r="D388" s="150" t="s">
        <v>756</v>
      </c>
      <c r="E388" s="146">
        <v>42610</v>
      </c>
      <c r="F388" s="145">
        <v>24.38</v>
      </c>
      <c r="G388" s="145">
        <f>+'Lighting Rate Design'!H487</f>
        <v>20.93</v>
      </c>
      <c r="I388" s="145"/>
    </row>
    <row r="389" spans="1:9">
      <c r="A389" s="201">
        <f t="shared" si="28"/>
        <v>384</v>
      </c>
      <c r="B389" s="201" t="str">
        <f t="shared" si="30"/>
        <v>58 (59)</v>
      </c>
      <c r="C389" s="149" t="s">
        <v>798</v>
      </c>
      <c r="D389" s="150" t="s">
        <v>757</v>
      </c>
      <c r="E389" s="146">
        <v>42610</v>
      </c>
      <c r="F389" s="145">
        <v>24.56</v>
      </c>
      <c r="G389" s="145">
        <f>+'Lighting Rate Design'!H488</f>
        <v>20.93</v>
      </c>
      <c r="I389" s="145"/>
    </row>
    <row r="390" spans="1:9">
      <c r="A390" s="201">
        <f t="shared" si="28"/>
        <v>385</v>
      </c>
      <c r="B390" s="201" t="str">
        <f t="shared" si="30"/>
        <v>58 (59)</v>
      </c>
      <c r="C390" s="149" t="s">
        <v>798</v>
      </c>
      <c r="D390" s="150" t="s">
        <v>758</v>
      </c>
      <c r="E390" s="146">
        <v>42610</v>
      </c>
      <c r="F390" s="145">
        <v>24.73</v>
      </c>
      <c r="G390" s="145">
        <f>+'Lighting Rate Design'!H489</f>
        <v>20.93</v>
      </c>
      <c r="I390" s="145"/>
    </row>
    <row r="391" spans="1:9">
      <c r="A391" s="201">
        <f t="shared" si="28"/>
        <v>386</v>
      </c>
      <c r="B391" s="201" t="str">
        <f t="shared" si="30"/>
        <v>58 (59)</v>
      </c>
      <c r="C391" s="149" t="s">
        <v>798</v>
      </c>
      <c r="D391" s="150" t="s">
        <v>759</v>
      </c>
      <c r="E391" s="146">
        <v>42610</v>
      </c>
      <c r="F391" s="145">
        <v>24.91</v>
      </c>
      <c r="G391" s="145">
        <f>+'Lighting Rate Design'!H490</f>
        <v>20.93</v>
      </c>
      <c r="I391" s="145"/>
    </row>
    <row r="392" spans="1:9">
      <c r="A392" s="201">
        <f t="shared" si="28"/>
        <v>387</v>
      </c>
      <c r="B392" s="201" t="str">
        <f t="shared" si="30"/>
        <v>58 (59)</v>
      </c>
      <c r="C392" s="149" t="s">
        <v>798</v>
      </c>
      <c r="D392" s="150" t="s">
        <v>760</v>
      </c>
      <c r="E392" s="146">
        <v>42610</v>
      </c>
      <c r="F392" s="145">
        <v>25.08</v>
      </c>
      <c r="G392" s="145">
        <f>+'Lighting Rate Design'!H491</f>
        <v>20.93</v>
      </c>
      <c r="I392" s="145"/>
    </row>
    <row r="393" spans="1:9">
      <c r="A393" s="201">
        <f t="shared" si="28"/>
        <v>388</v>
      </c>
      <c r="B393" s="201" t="str">
        <f t="shared" si="30"/>
        <v>58 (59)</v>
      </c>
      <c r="C393" s="149" t="s">
        <v>798</v>
      </c>
      <c r="D393" s="150" t="s">
        <v>761</v>
      </c>
      <c r="E393" s="146">
        <v>42610</v>
      </c>
      <c r="F393" s="145">
        <v>25.27</v>
      </c>
      <c r="G393" s="145">
        <f>+'Lighting Rate Design'!H492</f>
        <v>20.93</v>
      </c>
      <c r="I393" s="145"/>
    </row>
    <row r="394" spans="1:9">
      <c r="A394" s="201">
        <f t="shared" si="28"/>
        <v>389</v>
      </c>
      <c r="B394" s="201" t="str">
        <f t="shared" si="30"/>
        <v>58 (59)</v>
      </c>
      <c r="C394" s="149" t="s">
        <v>798</v>
      </c>
      <c r="D394" s="150" t="s">
        <v>895</v>
      </c>
      <c r="E394" s="146" t="s">
        <v>888</v>
      </c>
      <c r="F394" s="146" t="s">
        <v>888</v>
      </c>
      <c r="G394" s="145">
        <f>+'Lighting Rate Design'!H493</f>
        <v>22.12</v>
      </c>
      <c r="I394" s="145"/>
    </row>
    <row r="395" spans="1:9">
      <c r="A395" s="201">
        <f t="shared" si="28"/>
        <v>390</v>
      </c>
      <c r="B395" s="201" t="str">
        <f t="shared" si="30"/>
        <v>58 (59)</v>
      </c>
      <c r="C395" s="149" t="s">
        <v>798</v>
      </c>
      <c r="D395" s="150" t="s">
        <v>906</v>
      </c>
      <c r="E395" s="146">
        <f>+E375</f>
        <v>41456</v>
      </c>
      <c r="F395" s="145">
        <v>30.11</v>
      </c>
      <c r="G395" s="145">
        <f>+'Lighting Rate Design'!H494</f>
        <v>24.7</v>
      </c>
      <c r="I395" s="145"/>
    </row>
    <row r="396" spans="1:9">
      <c r="A396" s="201">
        <f t="shared" si="28"/>
        <v>391</v>
      </c>
      <c r="B396" s="201" t="str">
        <f t="shared" si="30"/>
        <v>58 (59)</v>
      </c>
      <c r="C396" s="149" t="s">
        <v>798</v>
      </c>
      <c r="D396" s="150" t="s">
        <v>799</v>
      </c>
      <c r="E396" s="146">
        <f>+E395</f>
        <v>41456</v>
      </c>
      <c r="F396" s="145">
        <v>30.29</v>
      </c>
      <c r="G396" s="145">
        <f>+'Lighting Rate Design'!H495</f>
        <v>24.7</v>
      </c>
      <c r="I396" s="145"/>
    </row>
    <row r="397" spans="1:9">
      <c r="A397" s="201">
        <f t="shared" si="28"/>
        <v>392</v>
      </c>
      <c r="B397" s="201" t="str">
        <f t="shared" si="30"/>
        <v>58 (59)</v>
      </c>
      <c r="C397" s="149" t="s">
        <v>798</v>
      </c>
      <c r="D397" s="150" t="s">
        <v>800</v>
      </c>
      <c r="E397" s="146">
        <f t="shared" si="31"/>
        <v>41456</v>
      </c>
      <c r="F397" s="145">
        <v>30.47</v>
      </c>
      <c r="G397" s="145">
        <f>+'Lighting Rate Design'!H496</f>
        <v>24.7</v>
      </c>
      <c r="I397" s="145"/>
    </row>
    <row r="398" spans="1:9">
      <c r="A398" s="201">
        <f t="shared" si="28"/>
        <v>393</v>
      </c>
      <c r="B398" s="201" t="str">
        <f t="shared" si="30"/>
        <v>58 (59)</v>
      </c>
      <c r="C398" s="149" t="s">
        <v>798</v>
      </c>
      <c r="D398" s="150" t="s">
        <v>801</v>
      </c>
      <c r="E398" s="146">
        <f t="shared" si="31"/>
        <v>41456</v>
      </c>
      <c r="F398" s="145">
        <v>30.64</v>
      </c>
      <c r="G398" s="145">
        <f>+'Lighting Rate Design'!H497</f>
        <v>24.7</v>
      </c>
      <c r="I398" s="145"/>
    </row>
    <row r="399" spans="1:9">
      <c r="A399" s="201">
        <f t="shared" ref="A399:A424" si="32">+A398+1</f>
        <v>394</v>
      </c>
      <c r="B399" s="201" t="str">
        <f t="shared" si="30"/>
        <v>58 (59)</v>
      </c>
      <c r="C399" s="149" t="s">
        <v>798</v>
      </c>
      <c r="D399" s="150" t="s">
        <v>802</v>
      </c>
      <c r="E399" s="146">
        <f t="shared" si="31"/>
        <v>41456</v>
      </c>
      <c r="F399" s="145">
        <v>30.82</v>
      </c>
      <c r="G399" s="145">
        <f>+'Lighting Rate Design'!H498</f>
        <v>24.7</v>
      </c>
      <c r="I399" s="145"/>
    </row>
    <row r="400" spans="1:9">
      <c r="A400" s="201">
        <f t="shared" si="32"/>
        <v>395</v>
      </c>
      <c r="B400" s="201" t="str">
        <f t="shared" si="30"/>
        <v>58 (59)</v>
      </c>
      <c r="C400" s="149" t="s">
        <v>798</v>
      </c>
      <c r="D400" s="150" t="s">
        <v>907</v>
      </c>
      <c r="E400" s="146" t="s">
        <v>888</v>
      </c>
      <c r="F400" s="146" t="s">
        <v>888</v>
      </c>
      <c r="G400" s="145">
        <f>+'Lighting Rate Design'!H499</f>
        <v>24.7</v>
      </c>
      <c r="I400" s="145"/>
    </row>
    <row r="401" spans="1:9">
      <c r="A401" s="201">
        <f t="shared" si="32"/>
        <v>396</v>
      </c>
      <c r="B401" s="201" t="str">
        <f t="shared" si="30"/>
        <v>58 (59)</v>
      </c>
      <c r="C401" s="149" t="s">
        <v>798</v>
      </c>
      <c r="D401" s="150" t="s">
        <v>908</v>
      </c>
      <c r="E401" s="146" t="s">
        <v>888</v>
      </c>
      <c r="F401" s="146" t="s">
        <v>888</v>
      </c>
      <c r="G401" s="145">
        <f>+'Lighting Rate Design'!H500</f>
        <v>28.67</v>
      </c>
      <c r="I401" s="145"/>
    </row>
    <row r="402" spans="1:9">
      <c r="A402" s="201">
        <f t="shared" si="32"/>
        <v>397</v>
      </c>
      <c r="B402" s="201" t="str">
        <f t="shared" si="30"/>
        <v>58 (59)</v>
      </c>
      <c r="C402" s="149" t="s">
        <v>798</v>
      </c>
      <c r="D402" s="150" t="s">
        <v>803</v>
      </c>
      <c r="E402" s="146">
        <f>+E399</f>
        <v>41456</v>
      </c>
      <c r="F402" s="145">
        <v>52.24</v>
      </c>
      <c r="G402" s="145">
        <f>+'Lighting Rate Design'!H501</f>
        <v>32.64</v>
      </c>
      <c r="I402" s="145"/>
    </row>
    <row r="403" spans="1:9">
      <c r="A403" s="201">
        <f t="shared" si="32"/>
        <v>398</v>
      </c>
      <c r="B403" s="201" t="str">
        <f t="shared" si="30"/>
        <v>58 (59)</v>
      </c>
      <c r="C403" s="149" t="s">
        <v>798</v>
      </c>
      <c r="D403" s="150" t="s">
        <v>804</v>
      </c>
      <c r="E403" s="146">
        <f t="shared" si="31"/>
        <v>41456</v>
      </c>
      <c r="F403" s="145">
        <v>52.41</v>
      </c>
      <c r="G403" s="145">
        <f>+'Lighting Rate Design'!H502</f>
        <v>32.64</v>
      </c>
      <c r="I403" s="145"/>
    </row>
    <row r="404" spans="1:9">
      <c r="A404" s="201">
        <f t="shared" si="32"/>
        <v>399</v>
      </c>
      <c r="B404" s="201" t="str">
        <f t="shared" si="30"/>
        <v>58 (59)</v>
      </c>
      <c r="C404" s="149" t="s">
        <v>798</v>
      </c>
      <c r="D404" s="150" t="s">
        <v>805</v>
      </c>
      <c r="E404" s="146">
        <f t="shared" si="31"/>
        <v>41456</v>
      </c>
      <c r="F404" s="145">
        <v>52.59</v>
      </c>
      <c r="G404" s="145">
        <f>+'Lighting Rate Design'!H503</f>
        <v>32.64</v>
      </c>
      <c r="I404" s="145"/>
    </row>
    <row r="405" spans="1:9">
      <c r="A405" s="201">
        <f t="shared" si="32"/>
        <v>400</v>
      </c>
      <c r="B405" s="201" t="str">
        <f t="shared" si="30"/>
        <v>58 (59)</v>
      </c>
      <c r="C405" s="149" t="s">
        <v>798</v>
      </c>
      <c r="D405" s="150" t="s">
        <v>806</v>
      </c>
      <c r="E405" s="146">
        <f t="shared" si="31"/>
        <v>41456</v>
      </c>
      <c r="F405" s="145">
        <v>52.76</v>
      </c>
      <c r="G405" s="145">
        <f>+'Lighting Rate Design'!H504</f>
        <v>32.64</v>
      </c>
      <c r="I405" s="145"/>
    </row>
    <row r="406" spans="1:9">
      <c r="A406" s="201">
        <f t="shared" si="32"/>
        <v>401</v>
      </c>
      <c r="B406" s="201" t="str">
        <f t="shared" si="30"/>
        <v>58 (59)</v>
      </c>
      <c r="C406" s="149" t="s">
        <v>798</v>
      </c>
      <c r="D406" s="150" t="s">
        <v>807</v>
      </c>
      <c r="E406" s="146">
        <f t="shared" si="31"/>
        <v>41456</v>
      </c>
      <c r="F406" s="145">
        <v>52.94</v>
      </c>
      <c r="G406" s="145">
        <f>+'Lighting Rate Design'!H505</f>
        <v>32.64</v>
      </c>
      <c r="I406" s="145"/>
    </row>
    <row r="407" spans="1:9">
      <c r="A407" s="201">
        <f t="shared" si="32"/>
        <v>402</v>
      </c>
      <c r="B407" s="201" t="str">
        <f t="shared" si="30"/>
        <v>58 (59)</v>
      </c>
      <c r="C407" s="149" t="s">
        <v>798</v>
      </c>
      <c r="D407" s="150" t="s">
        <v>808</v>
      </c>
      <c r="E407" s="146">
        <f t="shared" si="31"/>
        <v>41456</v>
      </c>
      <c r="F407" s="145">
        <v>53.12</v>
      </c>
      <c r="G407" s="145">
        <f>+'Lighting Rate Design'!H506</f>
        <v>32.64</v>
      </c>
      <c r="I407" s="145"/>
    </row>
    <row r="408" spans="1:9">
      <c r="A408" s="201">
        <f t="shared" si="32"/>
        <v>403</v>
      </c>
      <c r="B408" s="201" t="str">
        <f t="shared" si="30"/>
        <v>58 (59)</v>
      </c>
      <c r="C408" s="149" t="s">
        <v>798</v>
      </c>
      <c r="D408" s="150" t="s">
        <v>909</v>
      </c>
      <c r="E408" s="146" t="s">
        <v>888</v>
      </c>
      <c r="F408" s="146" t="s">
        <v>888</v>
      </c>
      <c r="G408" s="145">
        <f>+'Lighting Rate Design'!H507</f>
        <v>32.64</v>
      </c>
      <c r="I408" s="145"/>
    </row>
    <row r="409" spans="1:9">
      <c r="A409" s="201">
        <f t="shared" si="32"/>
        <v>404</v>
      </c>
      <c r="B409" s="201" t="str">
        <f t="shared" si="30"/>
        <v>58 (59)</v>
      </c>
      <c r="C409" s="149" t="s">
        <v>798</v>
      </c>
      <c r="D409" s="150" t="s">
        <v>910</v>
      </c>
      <c r="E409" s="146" t="s">
        <v>888</v>
      </c>
      <c r="F409" s="146" t="s">
        <v>888</v>
      </c>
      <c r="G409" s="145">
        <f>+'Lighting Rate Design'!H508</f>
        <v>36.6</v>
      </c>
      <c r="I409" s="145"/>
    </row>
    <row r="410" spans="1:9">
      <c r="A410" s="201">
        <f t="shared" si="32"/>
        <v>405</v>
      </c>
      <c r="B410" s="201" t="str">
        <f t="shared" si="30"/>
        <v>58 (59)</v>
      </c>
      <c r="C410" s="149" t="s">
        <v>798</v>
      </c>
      <c r="D410" s="150" t="s">
        <v>911</v>
      </c>
      <c r="E410" s="146" t="s">
        <v>888</v>
      </c>
      <c r="F410" s="146" t="s">
        <v>888</v>
      </c>
      <c r="G410" s="145">
        <f>+'Lighting Rate Design'!H509</f>
        <v>40.57</v>
      </c>
      <c r="I410" s="145"/>
    </row>
    <row r="411" spans="1:9">
      <c r="A411" s="201">
        <f t="shared" si="32"/>
        <v>406</v>
      </c>
      <c r="B411" s="201" t="str">
        <f t="shared" si="30"/>
        <v>58 (59)</v>
      </c>
      <c r="C411" s="149" t="s">
        <v>798</v>
      </c>
      <c r="D411" s="150" t="s">
        <v>913</v>
      </c>
      <c r="E411" s="146" t="s">
        <v>888</v>
      </c>
      <c r="F411" s="146" t="s">
        <v>888</v>
      </c>
      <c r="G411" s="145">
        <f>+'Lighting Rate Design'!H510</f>
        <v>44.54</v>
      </c>
      <c r="I411" s="145"/>
    </row>
    <row r="412" spans="1:9">
      <c r="A412" s="201">
        <f t="shared" si="32"/>
        <v>407</v>
      </c>
      <c r="B412" s="201" t="str">
        <f t="shared" si="30"/>
        <v>58 (59)</v>
      </c>
      <c r="C412" s="149" t="s">
        <v>798</v>
      </c>
      <c r="D412" s="150" t="s">
        <v>912</v>
      </c>
      <c r="E412" s="146">
        <f>+E407</f>
        <v>41456</v>
      </c>
      <c r="F412" s="145">
        <v>63.32</v>
      </c>
      <c r="G412" s="145">
        <f>+'Lighting Rate Design'!H511</f>
        <v>44.54</v>
      </c>
      <c r="I412" s="145"/>
    </row>
    <row r="413" spans="1:9">
      <c r="A413" s="201">
        <f t="shared" si="32"/>
        <v>408</v>
      </c>
      <c r="B413" s="201" t="str">
        <f t="shared" si="30"/>
        <v>58 (59)</v>
      </c>
      <c r="C413" s="149" t="s">
        <v>798</v>
      </c>
      <c r="D413" s="150" t="s">
        <v>914</v>
      </c>
      <c r="E413" s="146">
        <f t="shared" si="31"/>
        <v>41456</v>
      </c>
      <c r="F413" s="145">
        <v>63.49</v>
      </c>
      <c r="G413" s="145">
        <f>+'Lighting Rate Design'!H512</f>
        <v>44.54</v>
      </c>
      <c r="I413" s="145"/>
    </row>
    <row r="414" spans="1:9">
      <c r="A414" s="201">
        <f t="shared" si="32"/>
        <v>409</v>
      </c>
      <c r="B414" s="201" t="str">
        <f t="shared" si="30"/>
        <v>58 (59)</v>
      </c>
      <c r="C414" s="149" t="s">
        <v>798</v>
      </c>
      <c r="D414" s="150" t="s">
        <v>809</v>
      </c>
      <c r="E414" s="146">
        <f t="shared" si="31"/>
        <v>41456</v>
      </c>
      <c r="F414" s="145">
        <v>63.67</v>
      </c>
      <c r="G414" s="145">
        <f>+'Lighting Rate Design'!H513</f>
        <v>44.54</v>
      </c>
      <c r="I414" s="145"/>
    </row>
    <row r="415" spans="1:9">
      <c r="A415" s="201">
        <f t="shared" si="32"/>
        <v>410</v>
      </c>
      <c r="B415" s="201" t="str">
        <f t="shared" si="30"/>
        <v>58 (59)</v>
      </c>
      <c r="C415" s="149" t="s">
        <v>798</v>
      </c>
      <c r="D415" s="150" t="s">
        <v>810</v>
      </c>
      <c r="E415" s="146">
        <f t="shared" si="31"/>
        <v>41456</v>
      </c>
      <c r="F415" s="145">
        <v>63.84</v>
      </c>
      <c r="G415" s="145">
        <f>+'Lighting Rate Design'!H514</f>
        <v>44.54</v>
      </c>
      <c r="I415" s="145"/>
    </row>
    <row r="416" spans="1:9">
      <c r="A416" s="201">
        <f t="shared" si="32"/>
        <v>411</v>
      </c>
      <c r="B416" s="201" t="str">
        <f t="shared" si="30"/>
        <v>58 (59)</v>
      </c>
      <c r="C416" s="149" t="s">
        <v>798</v>
      </c>
      <c r="D416" s="150" t="s">
        <v>811</v>
      </c>
      <c r="E416" s="146">
        <f t="shared" si="31"/>
        <v>41456</v>
      </c>
      <c r="F416" s="145">
        <v>64.02</v>
      </c>
      <c r="G416" s="145">
        <f>+'Lighting Rate Design'!H515</f>
        <v>44.54</v>
      </c>
      <c r="I416" s="145"/>
    </row>
    <row r="417" spans="1:9">
      <c r="A417" s="201">
        <f t="shared" si="32"/>
        <v>412</v>
      </c>
      <c r="B417" s="201" t="str">
        <f t="shared" si="30"/>
        <v>58 (59)</v>
      </c>
      <c r="C417" s="149" t="s">
        <v>798</v>
      </c>
      <c r="D417" s="150" t="s">
        <v>812</v>
      </c>
      <c r="E417" s="146">
        <f t="shared" si="31"/>
        <v>41456</v>
      </c>
      <c r="F417" s="145">
        <v>64.2</v>
      </c>
      <c r="G417" s="145">
        <f>+'Lighting Rate Design'!H516</f>
        <v>44.54</v>
      </c>
      <c r="I417" s="145"/>
    </row>
    <row r="418" spans="1:9">
      <c r="A418" s="201">
        <f t="shared" si="32"/>
        <v>413</v>
      </c>
      <c r="B418" s="201" t="str">
        <f t="shared" si="30"/>
        <v>58 (59)</v>
      </c>
      <c r="C418" s="149" t="s">
        <v>798</v>
      </c>
      <c r="D418" s="150" t="s">
        <v>813</v>
      </c>
      <c r="E418" s="146">
        <f t="shared" si="31"/>
        <v>41456</v>
      </c>
      <c r="F418" s="145">
        <v>64.37</v>
      </c>
      <c r="G418" s="145">
        <f>+'Lighting Rate Design'!H517</f>
        <v>44.54</v>
      </c>
      <c r="I418" s="145"/>
    </row>
    <row r="419" spans="1:9">
      <c r="A419" s="201">
        <f t="shared" si="32"/>
        <v>414</v>
      </c>
      <c r="B419" s="201" t="str">
        <f t="shared" si="30"/>
        <v>58 (59)</v>
      </c>
      <c r="C419" s="149" t="s">
        <v>798</v>
      </c>
      <c r="D419" s="150" t="s">
        <v>814</v>
      </c>
      <c r="E419" s="146">
        <f t="shared" si="31"/>
        <v>41456</v>
      </c>
      <c r="F419" s="145">
        <v>64.55</v>
      </c>
      <c r="G419" s="145">
        <f>+'Lighting Rate Design'!H518</f>
        <v>44.54</v>
      </c>
      <c r="I419" s="145"/>
    </row>
    <row r="420" spans="1:9">
      <c r="A420" s="201">
        <f t="shared" si="32"/>
        <v>415</v>
      </c>
      <c r="B420" s="201" t="str">
        <f t="shared" si="30"/>
        <v>58 (59)</v>
      </c>
      <c r="C420" s="149" t="s">
        <v>798</v>
      </c>
      <c r="D420" s="150" t="s">
        <v>815</v>
      </c>
      <c r="E420" s="146">
        <f t="shared" si="31"/>
        <v>41456</v>
      </c>
      <c r="F420" s="145">
        <v>64.72</v>
      </c>
      <c r="G420" s="145">
        <f>+'Lighting Rate Design'!H519</f>
        <v>44.54</v>
      </c>
      <c r="I420" s="145"/>
    </row>
    <row r="421" spans="1:9">
      <c r="A421" s="201">
        <f t="shared" si="32"/>
        <v>416</v>
      </c>
      <c r="B421" s="201" t="str">
        <f t="shared" si="30"/>
        <v>58 (59)</v>
      </c>
      <c r="C421" s="149" t="s">
        <v>798</v>
      </c>
      <c r="D421" s="150" t="s">
        <v>816</v>
      </c>
      <c r="E421" s="146">
        <f t="shared" si="31"/>
        <v>41456</v>
      </c>
      <c r="F421" s="145">
        <v>64.900000000000006</v>
      </c>
      <c r="G421" s="145">
        <f>+'Lighting Rate Design'!H520</f>
        <v>44.54</v>
      </c>
      <c r="I421" s="145"/>
    </row>
    <row r="422" spans="1:9">
      <c r="A422" s="201">
        <f t="shared" si="32"/>
        <v>417</v>
      </c>
      <c r="B422" s="201" t="str">
        <f t="shared" si="30"/>
        <v>58 (59)</v>
      </c>
      <c r="C422" s="149" t="s">
        <v>798</v>
      </c>
      <c r="D422" s="150" t="s">
        <v>915</v>
      </c>
      <c r="E422" s="146" t="s">
        <v>888</v>
      </c>
      <c r="F422" s="146" t="s">
        <v>888</v>
      </c>
      <c r="G422" s="145">
        <f>+'Lighting Rate Design'!H521</f>
        <v>44.54</v>
      </c>
      <c r="I422" s="145"/>
    </row>
    <row r="423" spans="1:9">
      <c r="A423" s="201">
        <f t="shared" si="32"/>
        <v>418</v>
      </c>
      <c r="B423" s="201"/>
      <c r="D423" s="201"/>
      <c r="E423" s="146"/>
    </row>
    <row r="424" spans="1:9">
      <c r="A424" s="201">
        <f t="shared" si="32"/>
        <v>419</v>
      </c>
      <c r="B424" s="201" t="str">
        <f>+$B$339</f>
        <v>58 (59)</v>
      </c>
      <c r="C424" s="136" t="s">
        <v>817</v>
      </c>
      <c r="D424" s="201" t="s">
        <v>791</v>
      </c>
      <c r="E424" s="146">
        <f>+$E$6</f>
        <v>41456</v>
      </c>
      <c r="F424" s="145">
        <v>8.18</v>
      </c>
      <c r="G424" s="145">
        <f>+'Lighting Rate Design'!H523</f>
        <v>10.38</v>
      </c>
    </row>
    <row r="425" spans="1:9">
      <c r="D425" s="201"/>
    </row>
  </sheetData>
  <printOptions horizontalCentered="1"/>
  <pageMargins left="0.7" right="0.7" top="0.75" bottom="0.71" header="0.3" footer="0.3"/>
  <pageSetup scale="56" fitToHeight="7" orientation="landscape" r:id="rId1"/>
  <headerFooter alignWithMargins="0">
    <oddFooter>&amp;L&amp;A&amp;RExhibit No.___(JAP-15)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"/>
  <sheetViews>
    <sheetView topLeftCell="A4" workbookViewId="0">
      <selection sqref="A1:XFD1048576"/>
    </sheetView>
  </sheetViews>
  <sheetFormatPr defaultRowHeight="15.6"/>
  <cols>
    <col min="1" max="16384" width="8.796875" style="29"/>
  </cols>
  <sheetData/>
  <printOptions horizontalCentered="1"/>
  <pageMargins left="0.7" right="0.7" top="0.75" bottom="0.71" header="0.3" footer="0.3"/>
  <pageSetup fitToHeight="7" orientation="landscape" r:id="rId1"/>
  <headerFooter alignWithMargins="0">
    <oddFooter>&amp;L&amp;A&amp;RExhibit No.___(JAP-15)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O40"/>
  <sheetViews>
    <sheetView zoomScaleNormal="100" workbookViewId="0">
      <selection activeCell="D13" sqref="D13"/>
    </sheetView>
  </sheetViews>
  <sheetFormatPr defaultRowHeight="12"/>
  <cols>
    <col min="1" max="1" width="3.8984375" style="49" customWidth="1"/>
    <col min="2" max="2" width="27" style="49" bestFit="1" customWidth="1"/>
    <col min="3" max="3" width="11.796875" style="49" bestFit="1" customWidth="1"/>
    <col min="4" max="5" width="10.09765625" style="49" bestFit="1" customWidth="1"/>
    <col min="6" max="6" width="11" style="49" bestFit="1" customWidth="1"/>
    <col min="7" max="7" width="9.19921875" style="49" bestFit="1" customWidth="1"/>
    <col min="8" max="8" width="8.09765625" style="49" bestFit="1" customWidth="1"/>
    <col min="9" max="9" width="10.796875" style="49" bestFit="1" customWidth="1"/>
    <col min="10" max="10" width="8" style="49" bestFit="1" customWidth="1"/>
    <col min="11" max="11" width="10.09765625" style="49" bestFit="1" customWidth="1"/>
    <col min="12" max="12" width="3.5" style="49" customWidth="1"/>
    <col min="13" max="13" width="10.5" style="49" bestFit="1" customWidth="1"/>
    <col min="14" max="14" width="10" style="49" bestFit="1" customWidth="1"/>
    <col min="15" max="16384" width="8.796875" style="49"/>
  </cols>
  <sheetData>
    <row r="1" spans="1:13">
      <c r="A1" s="367" t="s">
        <v>83</v>
      </c>
      <c r="B1" s="368" t="s">
        <v>578</v>
      </c>
      <c r="C1" s="368"/>
      <c r="D1" s="368"/>
      <c r="E1" s="368"/>
      <c r="F1" s="368"/>
      <c r="G1" s="368"/>
      <c r="H1" s="368"/>
      <c r="I1" s="368"/>
      <c r="J1" s="368"/>
      <c r="K1" s="368"/>
    </row>
    <row r="2" spans="1:13">
      <c r="A2" s="367" t="s">
        <v>822</v>
      </c>
      <c r="B2" s="368" t="s">
        <v>578</v>
      </c>
      <c r="C2" s="368"/>
      <c r="D2" s="368"/>
      <c r="E2" s="368"/>
      <c r="F2" s="368"/>
      <c r="G2" s="368"/>
      <c r="H2" s="368"/>
      <c r="I2" s="368"/>
      <c r="J2" s="368"/>
      <c r="K2" s="368"/>
    </row>
    <row r="3" spans="1:13">
      <c r="A3" s="368" t="s">
        <v>579</v>
      </c>
      <c r="B3" s="368" t="s">
        <v>579</v>
      </c>
      <c r="C3" s="368"/>
      <c r="D3" s="368"/>
      <c r="E3" s="368"/>
      <c r="F3" s="368"/>
      <c r="G3" s="368"/>
      <c r="H3" s="368"/>
      <c r="I3" s="368"/>
      <c r="J3" s="368"/>
      <c r="K3" s="368"/>
    </row>
    <row r="4" spans="1:13"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3" ht="60">
      <c r="A5" s="51" t="s">
        <v>580</v>
      </c>
      <c r="B5" s="51" t="s">
        <v>581</v>
      </c>
      <c r="C5" s="51" t="s">
        <v>582</v>
      </c>
      <c r="D5" s="52" t="s">
        <v>617</v>
      </c>
      <c r="E5" s="52" t="s">
        <v>623</v>
      </c>
      <c r="F5" s="52" t="s">
        <v>621</v>
      </c>
      <c r="G5" s="52" t="s">
        <v>618</v>
      </c>
      <c r="H5" s="52" t="s">
        <v>583</v>
      </c>
      <c r="I5" s="52" t="s">
        <v>584</v>
      </c>
      <c r="J5" s="52" t="s">
        <v>620</v>
      </c>
      <c r="K5" s="52" t="s">
        <v>619</v>
      </c>
    </row>
    <row r="6" spans="1:13">
      <c r="A6" s="53"/>
      <c r="B6" s="54"/>
      <c r="C6" s="55"/>
      <c r="D6" s="55" t="s">
        <v>585</v>
      </c>
      <c r="E6" s="55" t="s">
        <v>586</v>
      </c>
      <c r="F6" s="53" t="s">
        <v>587</v>
      </c>
      <c r="G6" s="55" t="s">
        <v>588</v>
      </c>
      <c r="H6" s="53" t="s">
        <v>589</v>
      </c>
      <c r="I6" s="53" t="s">
        <v>590</v>
      </c>
      <c r="J6" s="56" t="s">
        <v>591</v>
      </c>
      <c r="K6" s="56" t="s">
        <v>592</v>
      </c>
    </row>
    <row r="7" spans="1:13">
      <c r="A7" s="53"/>
      <c r="B7" s="54"/>
      <c r="C7" s="55"/>
      <c r="D7" s="55"/>
      <c r="E7" s="55"/>
      <c r="F7" s="53"/>
      <c r="G7" s="55"/>
      <c r="H7" s="53"/>
      <c r="I7" s="53"/>
      <c r="J7" s="53"/>
      <c r="K7" s="53"/>
    </row>
    <row r="8" spans="1:13">
      <c r="A8" s="57">
        <v>1</v>
      </c>
      <c r="B8" s="58" t="s">
        <v>593</v>
      </c>
      <c r="C8" s="59">
        <v>7</v>
      </c>
      <c r="D8" s="60">
        <f>+'Proforma-Proposed'!I17</f>
        <v>10442426</v>
      </c>
      <c r="E8" s="61">
        <f>+'Proforma-Proposed'!K17</f>
        <v>1066627</v>
      </c>
      <c r="G8" s="62">
        <f>E8/(E$33-E$21-E$31-$E$25)</f>
        <v>0.55907676536335116</v>
      </c>
      <c r="H8" s="63">
        <v>1</v>
      </c>
      <c r="I8" s="64">
        <f>+$I$39*H8</f>
        <v>8.3224326412326355E-2</v>
      </c>
      <c r="J8" s="61">
        <f>+E8*I8</f>
        <v>88769.31360820042</v>
      </c>
      <c r="K8" s="61">
        <f>+E8+J8</f>
        <v>1155396.3136082005</v>
      </c>
      <c r="M8" s="76">
        <f>+J8*1000</f>
        <v>88769313.608200416</v>
      </c>
    </row>
    <row r="9" spans="1:13">
      <c r="A9" s="57">
        <f>+A8+1</f>
        <v>2</v>
      </c>
      <c r="C9" s="59"/>
      <c r="D9" s="65"/>
      <c r="E9" s="66"/>
      <c r="G9" s="67"/>
      <c r="J9" s="66"/>
      <c r="K9" s="66"/>
      <c r="M9" s="76">
        <f t="shared" ref="M9:M33" si="0">+J9*1000</f>
        <v>0</v>
      </c>
    </row>
    <row r="10" spans="1:13">
      <c r="A10" s="57">
        <f t="shared" ref="A10:A39" si="1">+A9+1</f>
        <v>3</v>
      </c>
      <c r="B10" s="49" t="s">
        <v>148</v>
      </c>
      <c r="C10" s="59"/>
      <c r="D10" s="65"/>
      <c r="E10" s="66"/>
      <c r="G10" s="67"/>
      <c r="J10" s="66"/>
      <c r="K10" s="66"/>
      <c r="M10" s="76">
        <f t="shared" si="0"/>
        <v>0</v>
      </c>
    </row>
    <row r="11" spans="1:13">
      <c r="A11" s="57">
        <f t="shared" si="1"/>
        <v>4</v>
      </c>
      <c r="B11" s="68" t="s">
        <v>594</v>
      </c>
      <c r="C11" s="69" t="s">
        <v>595</v>
      </c>
      <c r="D11" s="70">
        <f>SUM('Proforma-Proposed'!I21)</f>
        <v>2787459</v>
      </c>
      <c r="E11" s="66">
        <f>SUM('Proforma-Proposed'!K21)</f>
        <v>266944</v>
      </c>
      <c r="G11" s="62">
        <f t="shared" ref="G11:G13" si="2">E11/(E$33-E$21-E$31-$E$25)</f>
        <v>0.13991975456570516</v>
      </c>
      <c r="H11" s="63">
        <v>0.75</v>
      </c>
      <c r="I11" s="64">
        <f t="shared" ref="I11:I13" si="3">+$I$39*H11</f>
        <v>6.2418244809244766E-2</v>
      </c>
      <c r="J11" s="66">
        <f t="shared" ref="J11:J13" si="4">+E11*I11</f>
        <v>16662.175942359034</v>
      </c>
      <c r="K11" s="66">
        <f>+E11+J11</f>
        <v>283606.17594235903</v>
      </c>
      <c r="M11" s="76">
        <f t="shared" si="0"/>
        <v>16662175.942359034</v>
      </c>
    </row>
    <row r="12" spans="1:13">
      <c r="A12" s="57">
        <f t="shared" si="1"/>
        <v>5</v>
      </c>
      <c r="B12" s="68" t="s">
        <v>596</v>
      </c>
      <c r="C12" s="69" t="s">
        <v>597</v>
      </c>
      <c r="D12" s="70">
        <f>SUM('Proforma-Proposed'!I22,'Proforma-Proposed'!I24)</f>
        <v>2845226</v>
      </c>
      <c r="E12" s="66">
        <f>SUM('Proforma-Proposed'!K22,'Proforma-Proposed'!K24)</f>
        <v>252922.74600000001</v>
      </c>
      <c r="G12" s="62">
        <f t="shared" si="2"/>
        <v>0.13257045876440074</v>
      </c>
      <c r="H12" s="63">
        <v>0.75</v>
      </c>
      <c r="I12" s="64">
        <f t="shared" si="3"/>
        <v>6.2418244809244766E-2</v>
      </c>
      <c r="J12" s="66">
        <f t="shared" si="4"/>
        <v>15786.993877654433</v>
      </c>
      <c r="K12" s="66">
        <f>+E12+J12</f>
        <v>268709.73987765447</v>
      </c>
      <c r="M12" s="76">
        <f t="shared" si="0"/>
        <v>15786993.877654433</v>
      </c>
    </row>
    <row r="13" spans="1:13">
      <c r="A13" s="57">
        <f t="shared" si="1"/>
        <v>6</v>
      </c>
      <c r="B13" s="68" t="s">
        <v>598</v>
      </c>
      <c r="C13" s="69" t="s">
        <v>599</v>
      </c>
      <c r="D13" s="70">
        <f>SUM('Proforma-Proposed'!I23)</f>
        <v>1867681.9043816456</v>
      </c>
      <c r="E13" s="66">
        <f>SUM('Proforma-Proposed'!K23)</f>
        <v>151834.74299999999</v>
      </c>
      <c r="G13" s="62">
        <f t="shared" si="2"/>
        <v>7.9584781733647955E-2</v>
      </c>
      <c r="H13" s="63">
        <v>0.75</v>
      </c>
      <c r="I13" s="64">
        <f t="shared" si="3"/>
        <v>6.2418244809244766E-2</v>
      </c>
      <c r="J13" s="66">
        <f t="shared" si="4"/>
        <v>9477.2581591227627</v>
      </c>
      <c r="K13" s="66">
        <f>+E13+J13</f>
        <v>161312.00115912274</v>
      </c>
      <c r="M13" s="76">
        <f t="shared" si="0"/>
        <v>9477258.1591227632</v>
      </c>
    </row>
    <row r="14" spans="1:13">
      <c r="A14" s="57">
        <f t="shared" si="1"/>
        <v>7</v>
      </c>
      <c r="B14" s="71" t="s">
        <v>600</v>
      </c>
      <c r="C14" s="59"/>
      <c r="D14" s="72">
        <f>SUM(D11:D13)</f>
        <v>7500366.9043816458</v>
      </c>
      <c r="E14" s="61">
        <f>SUM(E11:E13)</f>
        <v>671701.48900000006</v>
      </c>
      <c r="G14" s="67"/>
      <c r="J14" s="61">
        <f>SUM(J11:J13)</f>
        <v>41926.427979136228</v>
      </c>
      <c r="K14" s="61">
        <f>SUM(K11:K13)</f>
        <v>713627.91697913618</v>
      </c>
      <c r="M14" s="76">
        <f t="shared" si="0"/>
        <v>41926427.979136229</v>
      </c>
    </row>
    <row r="15" spans="1:13">
      <c r="A15" s="57">
        <f t="shared" si="1"/>
        <v>8</v>
      </c>
      <c r="C15" s="59"/>
      <c r="D15" s="73"/>
      <c r="E15" s="66"/>
      <c r="G15" s="67"/>
      <c r="J15" s="66"/>
      <c r="K15" s="66"/>
      <c r="M15" s="76">
        <f t="shared" si="0"/>
        <v>0</v>
      </c>
    </row>
    <row r="16" spans="1:13">
      <c r="A16" s="57">
        <f t="shared" si="1"/>
        <v>9</v>
      </c>
      <c r="B16" s="49" t="s">
        <v>144</v>
      </c>
      <c r="C16" s="59"/>
      <c r="D16" s="73"/>
      <c r="E16" s="66"/>
      <c r="G16" s="67"/>
      <c r="J16" s="66"/>
      <c r="K16" s="66"/>
      <c r="M16" s="76">
        <f t="shared" si="0"/>
        <v>0</v>
      </c>
    </row>
    <row r="17" spans="1:15">
      <c r="A17" s="57">
        <f t="shared" si="1"/>
        <v>10</v>
      </c>
      <c r="B17" s="68" t="s">
        <v>601</v>
      </c>
      <c r="C17" s="69" t="s">
        <v>602</v>
      </c>
      <c r="D17" s="70">
        <f>SUM('Proforma-Proposed'!I28:I29)</f>
        <v>1268986.9744586968</v>
      </c>
      <c r="E17" s="66">
        <f>SUM('Proforma-Proposed'!K28:K29)</f>
        <v>101642.894</v>
      </c>
      <c r="G17" s="62">
        <f t="shared" ref="G17:G18" si="5">E17/(E$33-E$21-E$31-$E$25)</f>
        <v>5.3276525345495637E-2</v>
      </c>
      <c r="H17" s="63">
        <v>0.75</v>
      </c>
      <c r="I17" s="64">
        <f t="shared" ref="I17:I18" si="6">+$I$39*H17</f>
        <v>6.2418244809244766E-2</v>
      </c>
      <c r="J17" s="66">
        <f t="shared" ref="J17:J18" si="7">+E17*I17</f>
        <v>6344.371040812116</v>
      </c>
      <c r="K17" s="66">
        <f>+E17+J17</f>
        <v>107987.26504081211</v>
      </c>
      <c r="M17" s="76">
        <f t="shared" si="0"/>
        <v>6344371.0408121161</v>
      </c>
    </row>
    <row r="18" spans="1:15">
      <c r="A18" s="57">
        <f t="shared" si="1"/>
        <v>11</v>
      </c>
      <c r="B18" s="74" t="s">
        <v>603</v>
      </c>
      <c r="C18" s="59">
        <v>43</v>
      </c>
      <c r="D18" s="70">
        <f>SUM('Proforma-Proposed'!I30)</f>
        <v>119660.40146477679</v>
      </c>
      <c r="E18" s="66">
        <f>SUM('Proforma-Proposed'!K30)</f>
        <v>10337.824000000001</v>
      </c>
      <c r="G18" s="62">
        <f t="shared" si="5"/>
        <v>5.4186113822504217E-3</v>
      </c>
      <c r="H18" s="63">
        <v>1</v>
      </c>
      <c r="I18" s="64">
        <f t="shared" si="6"/>
        <v>8.3224326412326355E-2</v>
      </c>
      <c r="J18" s="66">
        <f t="shared" si="7"/>
        <v>860.35843896918129</v>
      </c>
      <c r="K18" s="66">
        <f>+E18+J18</f>
        <v>11198.182438969181</v>
      </c>
      <c r="M18" s="76">
        <f t="shared" si="0"/>
        <v>860358.43896918127</v>
      </c>
    </row>
    <row r="19" spans="1:15">
      <c r="A19" s="57">
        <f t="shared" si="1"/>
        <v>12</v>
      </c>
      <c r="B19" s="58" t="s">
        <v>604</v>
      </c>
      <c r="C19" s="59"/>
      <c r="D19" s="72">
        <f>SUM(D17:D18)</f>
        <v>1388647.3759234736</v>
      </c>
      <c r="E19" s="61">
        <f>SUM(E17:E18)</f>
        <v>111980.71799999999</v>
      </c>
      <c r="G19" s="67"/>
      <c r="J19" s="61">
        <f>SUM(J17:J18)</f>
        <v>7204.7294797812974</v>
      </c>
      <c r="K19" s="61">
        <f>SUM(K17:K18)</f>
        <v>119185.44747978129</v>
      </c>
      <c r="M19" s="76">
        <f t="shared" si="0"/>
        <v>7204729.479781297</v>
      </c>
    </row>
    <row r="20" spans="1:15">
      <c r="A20" s="57">
        <f t="shared" si="1"/>
        <v>13</v>
      </c>
      <c r="C20" s="59"/>
      <c r="D20" s="75"/>
      <c r="E20" s="76"/>
      <c r="G20" s="77"/>
      <c r="M20" s="76">
        <f t="shared" si="0"/>
        <v>0</v>
      </c>
    </row>
    <row r="21" spans="1:15">
      <c r="A21" s="57">
        <f t="shared" si="1"/>
        <v>14</v>
      </c>
      <c r="B21" s="58" t="s">
        <v>52</v>
      </c>
      <c r="C21" s="59">
        <v>40</v>
      </c>
      <c r="D21" s="78">
        <f>SUM('Proforma-Proposed'!I33)</f>
        <v>674604.05341613106</v>
      </c>
      <c r="E21" s="61">
        <f>SUM('Proforma-Proposed'!K33)</f>
        <v>47836.637129941089</v>
      </c>
      <c r="G21" s="67"/>
      <c r="I21" s="64">
        <f>((J21)/E21)</f>
        <v>0.1327807147731819</v>
      </c>
      <c r="J21" s="61">
        <v>6351.7828704589101</v>
      </c>
      <c r="K21" s="61">
        <f>+E21+J21</f>
        <v>54188.420000400001</v>
      </c>
      <c r="M21" s="76">
        <f t="shared" si="0"/>
        <v>6351782.8704589102</v>
      </c>
    </row>
    <row r="22" spans="1:15">
      <c r="A22" s="57">
        <f t="shared" si="1"/>
        <v>15</v>
      </c>
      <c r="C22" s="59"/>
      <c r="D22" s="75"/>
      <c r="E22" s="76"/>
      <c r="G22" s="77"/>
      <c r="M22" s="76">
        <f t="shared" si="0"/>
        <v>0</v>
      </c>
    </row>
    <row r="23" spans="1:15">
      <c r="A23" s="57">
        <f t="shared" si="1"/>
        <v>16</v>
      </c>
      <c r="B23" s="71" t="s">
        <v>605</v>
      </c>
      <c r="C23" s="59" t="s">
        <v>606</v>
      </c>
      <c r="D23" s="78">
        <f>SUM('Proforma-Proposed'!I38)</f>
        <v>632259.21669800009</v>
      </c>
      <c r="E23" s="61">
        <f>SUM('Proforma-Proposed'!K38)</f>
        <v>40360.090000000004</v>
      </c>
      <c r="G23" s="62">
        <f>E23/(E$33-E$21-E$31-$E$25)</f>
        <v>2.1154900979418051E-2</v>
      </c>
      <c r="H23" s="63">
        <v>0.75</v>
      </c>
      <c r="I23" s="64">
        <f>+$I$39*H23</f>
        <v>6.2418244809244766E-2</v>
      </c>
      <c r="J23" s="61">
        <f>+E23*I23</f>
        <v>2519.2059781431517</v>
      </c>
      <c r="K23" s="61">
        <f>+E23+J23</f>
        <v>42879.295978143156</v>
      </c>
      <c r="M23" s="76">
        <f t="shared" si="0"/>
        <v>2519205.9781431518</v>
      </c>
    </row>
    <row r="24" spans="1:15">
      <c r="A24" s="57">
        <f t="shared" si="1"/>
        <v>17</v>
      </c>
      <c r="C24" s="59"/>
      <c r="D24" s="75"/>
      <c r="E24" s="76"/>
      <c r="G24" s="77"/>
      <c r="J24" s="79"/>
      <c r="K24" s="79"/>
      <c r="M24" s="76">
        <f t="shared" si="0"/>
        <v>0</v>
      </c>
    </row>
    <row r="25" spans="1:15">
      <c r="A25" s="57">
        <f t="shared" si="1"/>
        <v>18</v>
      </c>
      <c r="B25" s="58" t="s">
        <v>607</v>
      </c>
      <c r="C25" s="69" t="s">
        <v>608</v>
      </c>
      <c r="D25" s="78">
        <f>SUM('Proforma-Proposed'!I40)</f>
        <v>2098103.6366259996</v>
      </c>
      <c r="E25" s="61">
        <f>SUM('Proforma-Proposed'!K40)</f>
        <v>7513.2849999999999</v>
      </c>
      <c r="G25" s="62"/>
      <c r="H25" s="63"/>
      <c r="I25" s="64">
        <f>((J25)/E25)</f>
        <v>6.0654693652643289E-2</v>
      </c>
      <c r="J25" s="61">
        <f>(+'Transportation Rate Design'!J27-'Transportation Rate Design'!G27)/1000</f>
        <v>455.71600000000001</v>
      </c>
      <c r="K25" s="61">
        <f>+E25+J25</f>
        <v>7969.0010000000002</v>
      </c>
      <c r="M25" s="76">
        <f t="shared" si="0"/>
        <v>455716</v>
      </c>
    </row>
    <row r="26" spans="1:15">
      <c r="A26" s="57">
        <f t="shared" si="1"/>
        <v>19</v>
      </c>
      <c r="C26" s="59"/>
      <c r="D26" s="75"/>
      <c r="E26" s="76"/>
      <c r="G26" s="77"/>
      <c r="M26" s="76">
        <f t="shared" si="0"/>
        <v>0</v>
      </c>
    </row>
    <row r="27" spans="1:15">
      <c r="A27" s="57">
        <f t="shared" si="1"/>
        <v>20</v>
      </c>
      <c r="B27" s="49" t="s">
        <v>609</v>
      </c>
      <c r="C27" s="59" t="s">
        <v>68</v>
      </c>
      <c r="D27" s="78">
        <f>SUM('Proforma-Proposed'!I42)</f>
        <v>77972.349305999989</v>
      </c>
      <c r="E27" s="61">
        <f>SUM('Proforma-Proposed'!K42)</f>
        <v>17167.097000000002</v>
      </c>
      <c r="G27" s="62">
        <f>E27/(E$33-E$21-E$31-$E$25)</f>
        <v>8.998201865730842E-3</v>
      </c>
      <c r="H27" s="63">
        <v>1</v>
      </c>
      <c r="I27" s="64">
        <f>+$I$39*H27</f>
        <v>8.3224326412326355E-2</v>
      </c>
      <c r="J27" s="61">
        <f>+E27*I27</f>
        <v>1428.7200842800687</v>
      </c>
      <c r="K27" s="61">
        <f>+E27+J27</f>
        <v>18595.817084280072</v>
      </c>
      <c r="M27" s="76">
        <f t="shared" si="0"/>
        <v>1428720.0842800688</v>
      </c>
      <c r="N27" s="76"/>
      <c r="O27" s="76"/>
    </row>
    <row r="28" spans="1:15">
      <c r="A28" s="57">
        <f t="shared" si="1"/>
        <v>21</v>
      </c>
      <c r="C28" s="59"/>
      <c r="D28" s="80"/>
      <c r="E28" s="76"/>
      <c r="G28" s="76"/>
      <c r="M28" s="76">
        <f t="shared" si="0"/>
        <v>0</v>
      </c>
    </row>
    <row r="29" spans="1:15" ht="12.6" thickBot="1">
      <c r="A29" s="57">
        <f t="shared" si="1"/>
        <v>22</v>
      </c>
      <c r="B29" s="71" t="s">
        <v>610</v>
      </c>
      <c r="C29" s="59"/>
      <c r="D29" s="81">
        <f>SUM(D27,D25,D21,D23,D19,D14,D8)</f>
        <v>22814379.536351249</v>
      </c>
      <c r="E29" s="82">
        <f>SUM(E27,E25,E21,E23,E19,E14,E8)</f>
        <v>1963186.316129941</v>
      </c>
      <c r="I29" s="64">
        <f>((J29)/E29)</f>
        <v>7.5721746213598146E-2</v>
      </c>
      <c r="J29" s="82">
        <f>SUM(J27,J25,J21,J23,J19,J14,J8)</f>
        <v>148655.89600000007</v>
      </c>
      <c r="K29" s="82">
        <f>SUM(K27,K25,K21,K23,K19,K14,K8)</f>
        <v>2111842.2121299412</v>
      </c>
      <c r="M29" s="76">
        <f t="shared" si="0"/>
        <v>148655896.00000006</v>
      </c>
    </row>
    <row r="30" spans="1:15" ht="12.6" thickTop="1">
      <c r="A30" s="57">
        <f t="shared" si="1"/>
        <v>23</v>
      </c>
      <c r="C30" s="59"/>
      <c r="D30" s="75"/>
      <c r="E30" s="76"/>
      <c r="G30" s="77"/>
      <c r="J30" s="79"/>
      <c r="K30" s="79"/>
      <c r="M30" s="76">
        <f t="shared" si="0"/>
        <v>0</v>
      </c>
    </row>
    <row r="31" spans="1:15">
      <c r="A31" s="57">
        <f t="shared" si="1"/>
        <v>24</v>
      </c>
      <c r="B31" s="71" t="s">
        <v>611</v>
      </c>
      <c r="C31" s="69"/>
      <c r="D31" s="78">
        <f>SUM('Proforma-Proposed'!I46)</f>
        <v>6929.8034221808284</v>
      </c>
      <c r="E31" s="61">
        <f>SUM('Proforma-Proposed'!K46)</f>
        <v>316.39299999999997</v>
      </c>
      <c r="G31" s="62"/>
      <c r="H31" s="64"/>
      <c r="I31" s="64">
        <f>((J31)/E31)</f>
        <v>1.2834986867598208</v>
      </c>
      <c r="J31" s="61">
        <f>406090/1000</f>
        <v>406.09</v>
      </c>
      <c r="K31" s="61">
        <f>+E31+J31</f>
        <v>722.48299999999995</v>
      </c>
      <c r="M31" s="76">
        <f t="shared" si="0"/>
        <v>406090</v>
      </c>
    </row>
    <row r="32" spans="1:15">
      <c r="A32" s="57">
        <f t="shared" si="1"/>
        <v>25</v>
      </c>
      <c r="C32" s="59"/>
      <c r="D32" s="80"/>
      <c r="E32" s="76"/>
      <c r="G32" s="76"/>
      <c r="M32" s="76">
        <f t="shared" si="0"/>
        <v>0</v>
      </c>
    </row>
    <row r="33" spans="1:13" ht="12.6" thickBot="1">
      <c r="A33" s="57">
        <f t="shared" si="1"/>
        <v>26</v>
      </c>
      <c r="B33" s="49" t="s">
        <v>612</v>
      </c>
      <c r="C33" s="59"/>
      <c r="D33" s="81">
        <f>SUM(D31,D29)</f>
        <v>22821309.339773428</v>
      </c>
      <c r="E33" s="82">
        <f>SUM(E31,E29)</f>
        <v>1963502.709129941</v>
      </c>
      <c r="F33" s="76">
        <v>149061986</v>
      </c>
      <c r="G33" s="83">
        <f>SUM(G8:G31)</f>
        <v>1</v>
      </c>
      <c r="I33" s="83">
        <f>(+F33/1000)/E33</f>
        <v>7.591636380580892E-2</v>
      </c>
      <c r="J33" s="82">
        <f>SUM(J31,J29)</f>
        <v>149061.98600000006</v>
      </c>
      <c r="K33" s="82">
        <f>SUM(K31,K29)</f>
        <v>2112564.6951299412</v>
      </c>
      <c r="M33" s="76">
        <f t="shared" si="0"/>
        <v>149061986.00000006</v>
      </c>
    </row>
    <row r="34" spans="1:13" ht="12.6" thickTop="1">
      <c r="A34" s="57">
        <f t="shared" si="1"/>
        <v>27</v>
      </c>
      <c r="C34" s="59"/>
      <c r="D34" s="65"/>
      <c r="E34" s="66"/>
      <c r="F34" s="66"/>
      <c r="G34" s="84"/>
      <c r="H34" s="66"/>
      <c r="I34" s="84"/>
      <c r="J34" s="85"/>
      <c r="K34" s="66"/>
    </row>
    <row r="35" spans="1:13" ht="12.6" thickBot="1">
      <c r="A35" s="57">
        <f t="shared" si="1"/>
        <v>28</v>
      </c>
      <c r="C35" s="59"/>
      <c r="D35" s="59"/>
      <c r="J35" s="86"/>
      <c r="K35" s="86"/>
    </row>
    <row r="36" spans="1:13">
      <c r="A36" s="57">
        <f t="shared" si="1"/>
        <v>29</v>
      </c>
      <c r="B36" s="369" t="s">
        <v>613</v>
      </c>
      <c r="C36" s="370"/>
      <c r="D36" s="370"/>
      <c r="E36" s="370"/>
      <c r="F36" s="87">
        <v>1</v>
      </c>
      <c r="G36" s="88"/>
      <c r="H36" s="87"/>
      <c r="I36" s="133">
        <f>(F33)/(E33*1000)</f>
        <v>7.591636380580892E-2</v>
      </c>
    </row>
    <row r="37" spans="1:13">
      <c r="A37" s="57">
        <f t="shared" si="1"/>
        <v>30</v>
      </c>
      <c r="B37" s="371" t="s">
        <v>614</v>
      </c>
      <c r="C37" s="372"/>
      <c r="D37" s="372"/>
      <c r="E37" s="372"/>
      <c r="F37" s="79"/>
      <c r="G37" s="79"/>
      <c r="H37" s="79"/>
      <c r="I37" s="134">
        <f>((F33/1000)-(J21)-(J25)-(J31))/(E33-E21-E25-E31)</f>
        <v>7.435039900467541E-2</v>
      </c>
      <c r="K37" s="86"/>
    </row>
    <row r="38" spans="1:13">
      <c r="A38" s="57">
        <f t="shared" si="1"/>
        <v>31</v>
      </c>
      <c r="B38" s="373" t="s">
        <v>615</v>
      </c>
      <c r="C38" s="374"/>
      <c r="D38" s="374"/>
      <c r="E38" s="374"/>
      <c r="F38" s="79"/>
      <c r="G38" s="79"/>
      <c r="H38" s="79"/>
      <c r="I38" s="89">
        <f>1/SUMPRODUCT($H$8:$H$31,$G$8:$G$31)</f>
        <v>1.1193527879667857</v>
      </c>
      <c r="K38" s="86"/>
    </row>
    <row r="39" spans="1:13" ht="12.6" thickBot="1">
      <c r="A39" s="57">
        <f t="shared" si="1"/>
        <v>32</v>
      </c>
      <c r="B39" s="365" t="s">
        <v>616</v>
      </c>
      <c r="C39" s="366"/>
      <c r="D39" s="366"/>
      <c r="E39" s="366"/>
      <c r="F39" s="90"/>
      <c r="G39" s="90"/>
      <c r="H39" s="90"/>
      <c r="I39" s="135">
        <f>I38*I37</f>
        <v>8.3224326412326355E-2</v>
      </c>
      <c r="K39" s="86"/>
    </row>
    <row r="40" spans="1:13">
      <c r="B40" s="91"/>
      <c r="C40" s="91"/>
      <c r="D40" s="91"/>
      <c r="E40" s="91"/>
      <c r="F40" s="91"/>
      <c r="G40" s="91"/>
    </row>
  </sheetData>
  <mergeCells count="7">
    <mergeCell ref="B39:E39"/>
    <mergeCell ref="A1:K1"/>
    <mergeCell ref="A3:K3"/>
    <mergeCell ref="B36:E36"/>
    <mergeCell ref="B37:E37"/>
    <mergeCell ref="B38:E38"/>
    <mergeCell ref="A2:K2"/>
  </mergeCells>
  <printOptions horizontalCentered="1"/>
  <pageMargins left="0.7" right="0.7" top="0.75" bottom="0.71" header="0.3" footer="0.3"/>
  <pageSetup scale="95" fitToHeight="7" orientation="landscape" r:id="rId1"/>
  <headerFooter alignWithMargins="0">
    <oddFooter>&amp;L&amp;A&amp;RExhibit No.___(JAP-15)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workbookViewId="0">
      <selection sqref="A1:XFD1048576"/>
    </sheetView>
  </sheetViews>
  <sheetFormatPr defaultColWidth="38.796875" defaultRowHeight="15.6"/>
  <cols>
    <col min="1" max="1" width="6.8984375" style="29" bestFit="1" customWidth="1"/>
    <col min="2" max="2" width="24.59765625" style="29" bestFit="1" customWidth="1"/>
    <col min="3" max="3" width="6.796875" style="29" bestFit="1" customWidth="1"/>
    <col min="4" max="4" width="16.296875" style="29" bestFit="1" customWidth="1"/>
    <col min="5" max="5" width="36.5" style="29" bestFit="1" customWidth="1"/>
    <col min="6" max="6" width="16.8984375" style="29" bestFit="1" customWidth="1"/>
    <col min="7" max="7" width="24.796875" style="29" bestFit="1" customWidth="1"/>
    <col min="8" max="8" width="16.69921875" style="29" bestFit="1" customWidth="1"/>
    <col min="9" max="16384" width="38.796875" style="29"/>
  </cols>
  <sheetData>
    <row r="1" spans="1:8">
      <c r="A1" s="375" t="s">
        <v>83</v>
      </c>
      <c r="B1" s="375"/>
      <c r="C1" s="375"/>
      <c r="D1" s="375"/>
      <c r="E1" s="375"/>
      <c r="F1" s="375"/>
      <c r="G1" s="375"/>
      <c r="H1" s="375"/>
    </row>
    <row r="2" spans="1:8">
      <c r="A2" s="375" t="s">
        <v>849</v>
      </c>
      <c r="B2" s="375"/>
      <c r="C2" s="375"/>
      <c r="D2" s="375"/>
      <c r="E2" s="375"/>
      <c r="F2" s="375"/>
      <c r="G2" s="375"/>
      <c r="H2" s="375"/>
    </row>
    <row r="3" spans="1:8">
      <c r="A3" s="375"/>
      <c r="B3" s="375"/>
      <c r="C3" s="375"/>
      <c r="D3" s="375"/>
      <c r="E3" s="375"/>
      <c r="F3" s="375"/>
      <c r="G3" s="375"/>
      <c r="H3" s="375"/>
    </row>
    <row r="4" spans="1:8" ht="16.2" thickBot="1">
      <c r="A4" s="179"/>
      <c r="B4" s="179"/>
      <c r="C4" s="179"/>
      <c r="D4" s="179"/>
      <c r="E4" s="179"/>
      <c r="F4" s="179"/>
      <c r="G4" s="179"/>
      <c r="H4" s="179"/>
    </row>
    <row r="5" spans="1:8" ht="16.2" thickBot="1">
      <c r="A5" s="180" t="s">
        <v>580</v>
      </c>
      <c r="B5" s="181" t="s">
        <v>850</v>
      </c>
      <c r="C5" s="181" t="s">
        <v>851</v>
      </c>
      <c r="D5" s="181" t="s">
        <v>33</v>
      </c>
      <c r="E5" s="181" t="s">
        <v>199</v>
      </c>
      <c r="F5" s="181" t="s">
        <v>155</v>
      </c>
      <c r="G5" s="181" t="s">
        <v>86</v>
      </c>
      <c r="H5" s="182" t="s">
        <v>852</v>
      </c>
    </row>
    <row r="6" spans="1:8" ht="26.4">
      <c r="A6" s="183">
        <v>1</v>
      </c>
      <c r="B6" s="184" t="s">
        <v>593</v>
      </c>
      <c r="C6" s="185">
        <v>7</v>
      </c>
      <c r="D6" s="195">
        <v>9</v>
      </c>
      <c r="E6" s="185" t="s">
        <v>854</v>
      </c>
      <c r="F6" s="185" t="s">
        <v>854</v>
      </c>
      <c r="G6" s="187" t="s">
        <v>855</v>
      </c>
      <c r="H6" s="188" t="s">
        <v>854</v>
      </c>
    </row>
    <row r="7" spans="1:8" ht="26.4">
      <c r="A7" s="189">
        <f>+A6+1</f>
        <v>2</v>
      </c>
      <c r="B7" s="190" t="s">
        <v>856</v>
      </c>
      <c r="C7" s="186">
        <v>24</v>
      </c>
      <c r="D7" s="186" t="s">
        <v>853</v>
      </c>
      <c r="E7" s="186" t="s">
        <v>854</v>
      </c>
      <c r="F7" s="186" t="s">
        <v>854</v>
      </c>
      <c r="G7" s="187" t="s">
        <v>857</v>
      </c>
      <c r="H7" s="191" t="s">
        <v>854</v>
      </c>
    </row>
    <row r="8" spans="1:8" ht="26.4">
      <c r="A8" s="189">
        <f t="shared" ref="A8:A18" si="0">+A7+1</f>
        <v>3</v>
      </c>
      <c r="B8" s="190" t="s">
        <v>858</v>
      </c>
      <c r="C8" s="186">
        <v>25</v>
      </c>
      <c r="D8" s="186" t="s">
        <v>853</v>
      </c>
      <c r="E8" s="186" t="s">
        <v>853</v>
      </c>
      <c r="F8" s="186" t="s">
        <v>859</v>
      </c>
      <c r="G8" s="192" t="s">
        <v>860</v>
      </c>
      <c r="H8" s="191" t="s">
        <v>854</v>
      </c>
    </row>
    <row r="9" spans="1:8">
      <c r="A9" s="189">
        <f t="shared" si="0"/>
        <v>4</v>
      </c>
      <c r="B9" s="190" t="s">
        <v>861</v>
      </c>
      <c r="C9" s="186">
        <v>26</v>
      </c>
      <c r="D9" s="186" t="s">
        <v>853</v>
      </c>
      <c r="E9" s="192" t="s">
        <v>862</v>
      </c>
      <c r="F9" s="186" t="s">
        <v>859</v>
      </c>
      <c r="G9" s="192" t="s">
        <v>862</v>
      </c>
      <c r="H9" s="191" t="s">
        <v>854</v>
      </c>
    </row>
    <row r="10" spans="1:8" ht="26.4">
      <c r="A10" s="189">
        <f t="shared" si="0"/>
        <v>5</v>
      </c>
      <c r="B10" s="190" t="s">
        <v>863</v>
      </c>
      <c r="C10" s="186">
        <v>29</v>
      </c>
      <c r="D10" s="186" t="s">
        <v>853</v>
      </c>
      <c r="E10" s="186" t="s">
        <v>853</v>
      </c>
      <c r="F10" s="186" t="s">
        <v>859</v>
      </c>
      <c r="G10" s="192" t="s">
        <v>878</v>
      </c>
      <c r="H10" s="191" t="s">
        <v>854</v>
      </c>
    </row>
    <row r="11" spans="1:8" ht="26.4">
      <c r="A11" s="189">
        <f t="shared" si="0"/>
        <v>6</v>
      </c>
      <c r="B11" s="193" t="s">
        <v>864</v>
      </c>
      <c r="C11" s="186">
        <v>31</v>
      </c>
      <c r="D11" s="186" t="s">
        <v>853</v>
      </c>
      <c r="E11" s="186" t="s">
        <v>853</v>
      </c>
      <c r="F11" s="186" t="s">
        <v>859</v>
      </c>
      <c r="G11" s="194" t="s">
        <v>865</v>
      </c>
      <c r="H11" s="191" t="s">
        <v>854</v>
      </c>
    </row>
    <row r="12" spans="1:8">
      <c r="A12" s="189">
        <f t="shared" si="0"/>
        <v>7</v>
      </c>
      <c r="B12" s="190" t="s">
        <v>866</v>
      </c>
      <c r="C12" s="186">
        <v>35</v>
      </c>
      <c r="D12" s="195" t="s">
        <v>867</v>
      </c>
      <c r="E12" s="186" t="s">
        <v>853</v>
      </c>
      <c r="F12" s="186" t="s">
        <v>859</v>
      </c>
      <c r="G12" s="186" t="s">
        <v>868</v>
      </c>
      <c r="H12" s="191" t="s">
        <v>854</v>
      </c>
    </row>
    <row r="13" spans="1:8">
      <c r="A13" s="189">
        <f t="shared" si="0"/>
        <v>8</v>
      </c>
      <c r="B13" s="190" t="s">
        <v>869</v>
      </c>
      <c r="C13" s="186">
        <v>43</v>
      </c>
      <c r="D13" s="195" t="s">
        <v>867</v>
      </c>
      <c r="E13" s="186" t="s">
        <v>853</v>
      </c>
      <c r="F13" s="186" t="s">
        <v>859</v>
      </c>
      <c r="G13" s="186" t="s">
        <v>868</v>
      </c>
      <c r="H13" s="191" t="s">
        <v>854</v>
      </c>
    </row>
    <row r="14" spans="1:8">
      <c r="A14" s="189">
        <f t="shared" si="0"/>
        <v>9</v>
      </c>
      <c r="B14" s="190" t="s">
        <v>52</v>
      </c>
      <c r="C14" s="186">
        <v>40</v>
      </c>
      <c r="D14" s="192" t="s">
        <v>870</v>
      </c>
      <c r="E14" s="192" t="s">
        <v>871</v>
      </c>
      <c r="F14" s="192" t="s">
        <v>872</v>
      </c>
      <c r="G14" s="186" t="s">
        <v>873</v>
      </c>
      <c r="H14" s="191" t="s">
        <v>854</v>
      </c>
    </row>
    <row r="15" spans="1:8">
      <c r="A15" s="189">
        <f t="shared" si="0"/>
        <v>10</v>
      </c>
      <c r="B15" s="193" t="s">
        <v>874</v>
      </c>
      <c r="C15" s="186">
        <v>46</v>
      </c>
      <c r="D15" s="186" t="s">
        <v>854</v>
      </c>
      <c r="E15" s="186" t="s">
        <v>853</v>
      </c>
      <c r="F15" s="186" t="s">
        <v>854</v>
      </c>
      <c r="G15" s="186" t="s">
        <v>875</v>
      </c>
      <c r="H15" s="191" t="s">
        <v>854</v>
      </c>
    </row>
    <row r="16" spans="1:8" ht="26.4">
      <c r="A16" s="189">
        <f t="shared" si="0"/>
        <v>11</v>
      </c>
      <c r="B16" s="190" t="s">
        <v>876</v>
      </c>
      <c r="C16" s="186">
        <v>49</v>
      </c>
      <c r="D16" s="186" t="s">
        <v>854</v>
      </c>
      <c r="E16" s="186" t="s">
        <v>853</v>
      </c>
      <c r="F16" s="186" t="s">
        <v>854</v>
      </c>
      <c r="G16" s="194" t="s">
        <v>865</v>
      </c>
      <c r="H16" s="191" t="s">
        <v>854</v>
      </c>
    </row>
    <row r="17" spans="1:8">
      <c r="A17" s="189">
        <f t="shared" si="0"/>
        <v>12</v>
      </c>
      <c r="B17" s="193" t="s">
        <v>609</v>
      </c>
      <c r="C17" s="186" t="s">
        <v>68</v>
      </c>
      <c r="D17" s="186" t="s">
        <v>854</v>
      </c>
      <c r="E17" s="186" t="s">
        <v>854</v>
      </c>
      <c r="F17" s="186" t="s">
        <v>854</v>
      </c>
      <c r="G17" s="186" t="s">
        <v>854</v>
      </c>
      <c r="H17" s="191" t="s">
        <v>879</v>
      </c>
    </row>
    <row r="18" spans="1:8">
      <c r="A18" s="189">
        <f t="shared" si="0"/>
        <v>13</v>
      </c>
      <c r="B18" s="193" t="s">
        <v>607</v>
      </c>
      <c r="C18" s="186" t="s">
        <v>877</v>
      </c>
      <c r="D18" s="192" t="s">
        <v>191</v>
      </c>
      <c r="E18" s="186" t="s">
        <v>854</v>
      </c>
      <c r="F18" s="186" t="s">
        <v>854</v>
      </c>
      <c r="G18" s="186" t="s">
        <v>854</v>
      </c>
      <c r="H18" s="191" t="s">
        <v>854</v>
      </c>
    </row>
  </sheetData>
  <mergeCells count="3">
    <mergeCell ref="A1:H1"/>
    <mergeCell ref="A2:H2"/>
    <mergeCell ref="A3:H3"/>
  </mergeCells>
  <printOptions horizontalCentered="1"/>
  <pageMargins left="0.7" right="0.7" top="0.75" bottom="0.71" header="0.3" footer="0.3"/>
  <pageSetup scale="76" fitToHeight="7" orientation="landscape" r:id="rId1"/>
  <headerFooter alignWithMargins="0">
    <oddFooter>&amp;L&amp;A&amp;RExhibit No.___(JAP-15)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">
    <pageSetUpPr fitToPage="1"/>
  </sheetPr>
  <dimension ref="A1:X59"/>
  <sheetViews>
    <sheetView zoomScale="70" zoomScaleNormal="70" zoomScaleSheetLayoutView="70" workbookViewId="0">
      <pane xSplit="6" ySplit="14" topLeftCell="G15" activePane="bottomRight" state="frozen"/>
      <selection sqref="A1:XFD1048576"/>
      <selection pane="topRight" sqref="A1:XFD1048576"/>
      <selection pane="bottomLeft" sqref="A1:XFD1048576"/>
      <selection pane="bottomRight" activeCell="U21" sqref="U21"/>
    </sheetView>
  </sheetViews>
  <sheetFormatPr defaultColWidth="5.69921875" defaultRowHeight="15.6"/>
  <cols>
    <col min="1" max="1" width="4.3984375" style="2" bestFit="1" customWidth="1"/>
    <col min="2" max="2" width="1.796875" style="2" customWidth="1"/>
    <col min="3" max="3" width="34.796875" style="2" bestFit="1" customWidth="1"/>
    <col min="4" max="4" width="1.796875" style="2" customWidth="1"/>
    <col min="5" max="5" width="10.3984375" style="2" bestFit="1" customWidth="1"/>
    <col min="6" max="6" width="1.796875" style="2" customWidth="1"/>
    <col min="7" max="7" width="9.796875" style="2" bestFit="1" customWidth="1"/>
    <col min="8" max="8" width="1.796875" style="2" customWidth="1"/>
    <col min="9" max="9" width="10.796875" style="2" bestFit="1" customWidth="1"/>
    <col min="10" max="10" width="1.796875" style="2" customWidth="1"/>
    <col min="11" max="11" width="10.09765625" style="2" bestFit="1" customWidth="1"/>
    <col min="12" max="12" width="1.796875" style="2" customWidth="1"/>
    <col min="13" max="13" width="10.09765625" style="2" bestFit="1" customWidth="1"/>
    <col min="14" max="14" width="1.796875" style="2" customWidth="1"/>
    <col min="15" max="15" width="8.5" style="2" bestFit="1" customWidth="1"/>
    <col min="16" max="16" width="8.19921875" style="2" bestFit="1" customWidth="1"/>
    <col min="17" max="17" width="1.796875" style="2" customWidth="1"/>
    <col min="18" max="18" width="11.09765625" style="2" bestFit="1" customWidth="1"/>
    <col min="19" max="19" width="1.796875" style="2" customWidth="1"/>
    <col min="20" max="20" width="8.5" style="2" bestFit="1" customWidth="1"/>
    <col min="21" max="21" width="9.5" style="2" bestFit="1" customWidth="1"/>
    <col min="22" max="16384" width="5.69921875" style="2"/>
  </cols>
  <sheetData>
    <row r="1" spans="1:21" ht="17.399999999999999">
      <c r="B1" s="1"/>
      <c r="C1" s="1"/>
      <c r="M1" s="2" t="s">
        <v>0</v>
      </c>
    </row>
    <row r="2" spans="1:21">
      <c r="A2" s="384" t="s">
        <v>1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27"/>
    </row>
    <row r="3" spans="1:21">
      <c r="A3" s="385" t="s">
        <v>44</v>
      </c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28"/>
      <c r="S3" s="328"/>
    </row>
    <row r="4" spans="1:21">
      <c r="A4" s="385" t="s">
        <v>2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28"/>
      <c r="S4" s="328"/>
    </row>
    <row r="5" spans="1:21">
      <c r="A5" s="384" t="s">
        <v>92</v>
      </c>
      <c r="B5" s="385"/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5"/>
      <c r="O5" s="385"/>
      <c r="P5" s="385"/>
      <c r="Q5" s="385"/>
      <c r="R5" s="328"/>
      <c r="S5" s="328"/>
    </row>
    <row r="6" spans="1:21">
      <c r="A6" s="384" t="s">
        <v>823</v>
      </c>
      <c r="B6" s="384"/>
      <c r="C6" s="384"/>
      <c r="D6" s="384"/>
      <c r="E6" s="384"/>
      <c r="F6" s="384"/>
      <c r="G6" s="384"/>
      <c r="H6" s="384"/>
      <c r="I6" s="384"/>
      <c r="J6" s="384"/>
      <c r="K6" s="384"/>
      <c r="L6" s="384"/>
      <c r="M6" s="384"/>
      <c r="N6" s="384"/>
      <c r="O6" s="384"/>
      <c r="P6" s="384"/>
      <c r="Q6" s="384"/>
      <c r="R6" s="328"/>
      <c r="S6" s="328"/>
    </row>
    <row r="7" spans="1:21">
      <c r="A7" s="384"/>
      <c r="B7" s="384"/>
      <c r="C7" s="384"/>
      <c r="D7" s="384"/>
      <c r="E7" s="384"/>
      <c r="F7" s="384"/>
      <c r="G7" s="384"/>
      <c r="H7" s="384"/>
      <c r="I7" s="384"/>
      <c r="J7" s="384"/>
      <c r="K7" s="384"/>
      <c r="L7" s="384"/>
      <c r="M7" s="384"/>
      <c r="N7" s="384"/>
      <c r="O7" s="384"/>
      <c r="P7" s="384"/>
      <c r="Q7" s="384"/>
      <c r="R7" s="327"/>
      <c r="S7" s="327"/>
    </row>
    <row r="8" spans="1:21">
      <c r="A8" s="329"/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29"/>
      <c r="Q8" s="327"/>
      <c r="R8" s="327"/>
      <c r="S8" s="327"/>
    </row>
    <row r="9" spans="1:21">
      <c r="J9" s="15"/>
      <c r="K9" s="330"/>
      <c r="L9" s="331"/>
      <c r="M9" s="376"/>
      <c r="N9" s="377"/>
      <c r="O9" s="377"/>
      <c r="P9" s="378"/>
      <c r="Q9" s="331"/>
      <c r="R9" s="332"/>
      <c r="S9" s="331"/>
    </row>
    <row r="10" spans="1:21">
      <c r="K10" s="3" t="s">
        <v>3</v>
      </c>
      <c r="L10" s="4"/>
      <c r="M10" s="379" t="s">
        <v>4</v>
      </c>
      <c r="N10" s="380"/>
      <c r="O10" s="380"/>
      <c r="P10" s="381"/>
      <c r="Q10" s="4"/>
      <c r="R10" s="5"/>
      <c r="S10" s="4"/>
    </row>
    <row r="11" spans="1:21">
      <c r="E11" s="8" t="s">
        <v>196</v>
      </c>
      <c r="F11" s="3"/>
      <c r="K11" s="5" t="s">
        <v>5</v>
      </c>
      <c r="L11" s="6"/>
      <c r="M11" s="5" t="s">
        <v>5</v>
      </c>
      <c r="N11" s="5"/>
      <c r="O11" s="7" t="s">
        <v>0</v>
      </c>
      <c r="P11" s="7"/>
      <c r="Q11" s="7"/>
      <c r="R11" s="5" t="s">
        <v>4</v>
      </c>
      <c r="S11" s="3"/>
      <c r="T11" s="5" t="s">
        <v>957</v>
      </c>
      <c r="U11" s="5"/>
    </row>
    <row r="12" spans="1:21">
      <c r="A12" s="3" t="s">
        <v>7</v>
      </c>
      <c r="E12" s="3" t="s">
        <v>8</v>
      </c>
      <c r="F12" s="3"/>
      <c r="G12" s="3" t="s">
        <v>9</v>
      </c>
      <c r="K12" s="3" t="s">
        <v>10</v>
      </c>
      <c r="L12" s="3"/>
      <c r="M12" s="288" t="s">
        <v>10</v>
      </c>
      <c r="N12" s="3"/>
      <c r="O12" s="8" t="s">
        <v>11</v>
      </c>
      <c r="P12" s="3" t="s">
        <v>5</v>
      </c>
      <c r="Q12" s="3"/>
      <c r="R12" s="3" t="s">
        <v>12</v>
      </c>
      <c r="S12" s="5"/>
      <c r="T12" s="3" t="s">
        <v>958</v>
      </c>
      <c r="U12" s="3"/>
    </row>
    <row r="13" spans="1:21">
      <c r="A13" s="289" t="s">
        <v>13</v>
      </c>
      <c r="C13" s="289" t="s">
        <v>14</v>
      </c>
      <c r="E13" s="289" t="s">
        <v>13</v>
      </c>
      <c r="F13" s="5"/>
      <c r="G13" s="202" t="s">
        <v>15</v>
      </c>
      <c r="I13" s="202" t="s">
        <v>16</v>
      </c>
      <c r="K13" s="9" t="s">
        <v>17</v>
      </c>
      <c r="L13" s="5"/>
      <c r="M13" s="290" t="s">
        <v>17</v>
      </c>
      <c r="N13" s="10"/>
      <c r="O13" s="11" t="s">
        <v>17</v>
      </c>
      <c r="P13" s="202" t="s">
        <v>18</v>
      </c>
      <c r="Q13" s="5"/>
      <c r="R13" s="9" t="s">
        <v>19</v>
      </c>
      <c r="S13" s="5"/>
      <c r="T13" s="9" t="s">
        <v>11</v>
      </c>
      <c r="U13" s="9" t="s">
        <v>29</v>
      </c>
    </row>
    <row r="14" spans="1:21">
      <c r="A14" s="12"/>
      <c r="C14" s="8" t="s">
        <v>942</v>
      </c>
      <c r="E14" s="8" t="s">
        <v>943</v>
      </c>
      <c r="F14" s="3"/>
      <c r="G14" s="8" t="s">
        <v>944</v>
      </c>
      <c r="I14" s="8" t="s">
        <v>945</v>
      </c>
      <c r="K14" s="8" t="s">
        <v>946</v>
      </c>
      <c r="L14" s="8"/>
      <c r="M14" s="8" t="s">
        <v>947</v>
      </c>
      <c r="N14" s="8"/>
      <c r="O14" s="8" t="s">
        <v>948</v>
      </c>
      <c r="P14" s="8" t="s">
        <v>950</v>
      </c>
      <c r="Q14" s="8"/>
      <c r="R14" s="8" t="s">
        <v>952</v>
      </c>
      <c r="S14" s="6"/>
      <c r="T14" s="8" t="s">
        <v>954</v>
      </c>
      <c r="U14" s="8" t="s">
        <v>955</v>
      </c>
    </row>
    <row r="15" spans="1:21">
      <c r="L15" s="8"/>
      <c r="M15" s="8" t="s">
        <v>0</v>
      </c>
      <c r="O15" s="8" t="s">
        <v>949</v>
      </c>
      <c r="P15" s="8" t="s">
        <v>951</v>
      </c>
      <c r="R15" s="8" t="s">
        <v>953</v>
      </c>
      <c r="S15" s="15"/>
      <c r="U15" s="8" t="s">
        <v>956</v>
      </c>
    </row>
    <row r="16" spans="1:21">
      <c r="C16" s="333" t="s">
        <v>20</v>
      </c>
      <c r="S16" s="15"/>
    </row>
    <row r="17" spans="1:24">
      <c r="A17" s="3">
        <v>1</v>
      </c>
      <c r="C17" s="2" t="s">
        <v>20</v>
      </c>
      <c r="E17" s="8">
        <v>7</v>
      </c>
      <c r="F17" s="8"/>
      <c r="G17" s="13">
        <f>ROUND('Residential Rate Design'!D32/12,0)</f>
        <v>999942</v>
      </c>
      <c r="I17" s="13">
        <f>ROUND('Residential Rate Design'!D41/1000,0)</f>
        <v>10442426</v>
      </c>
      <c r="K17" s="291">
        <f>ROUND('Residential Rate Design'!G24/1000,0)</f>
        <v>1066627</v>
      </c>
      <c r="L17" s="292"/>
      <c r="M17" s="291">
        <f>ROUND('Residential Rate Design'!J24/1000,0)</f>
        <v>1155391</v>
      </c>
      <c r="N17" s="291"/>
      <c r="O17" s="291">
        <f>M17-K17</f>
        <v>88764</v>
      </c>
      <c r="P17" s="293">
        <f>O17/K17</f>
        <v>8.3219344719381749E-2</v>
      </c>
      <c r="Q17" s="293"/>
      <c r="R17" s="14">
        <f>M17/I17*100</f>
        <v>11.064392508024476</v>
      </c>
      <c r="S17" s="294"/>
      <c r="T17" s="291"/>
      <c r="U17" s="291"/>
    </row>
    <row r="18" spans="1:24">
      <c r="A18" s="16">
        <f>MAX(A$14:A17)+1</f>
        <v>2</v>
      </c>
      <c r="C18" s="334" t="s">
        <v>62</v>
      </c>
      <c r="G18" s="40">
        <f>SUM(G17:G17)</f>
        <v>999942</v>
      </c>
      <c r="I18" s="40">
        <f>SUM(I17:I17)</f>
        <v>10442426</v>
      </c>
      <c r="K18" s="295">
        <f>SUM(K17:K17)</f>
        <v>1066627</v>
      </c>
      <c r="L18" s="292"/>
      <c r="M18" s="295">
        <f>SUM(M17:M17)</f>
        <v>1155391</v>
      </c>
      <c r="N18" s="291"/>
      <c r="O18" s="295">
        <f>SUM(O17)</f>
        <v>88764</v>
      </c>
      <c r="P18" s="296">
        <f>O18/K18</f>
        <v>8.3219344719381749E-2</v>
      </c>
      <c r="Q18" s="293"/>
      <c r="R18" s="41">
        <f>M18/I18*100</f>
        <v>11.064392508024476</v>
      </c>
      <c r="S18" s="294"/>
      <c r="T18" s="295">
        <f>'Rate Spread'!J8</f>
        <v>88769.31360820042</v>
      </c>
      <c r="U18" s="295">
        <f>T18-O18</f>
        <v>5.3136082004202763</v>
      </c>
      <c r="X18" s="297"/>
    </row>
    <row r="19" spans="1:24">
      <c r="I19" s="2" t="s">
        <v>0</v>
      </c>
      <c r="K19" s="297"/>
      <c r="L19" s="297"/>
      <c r="M19" s="297"/>
      <c r="N19" s="297"/>
      <c r="O19" s="297"/>
      <c r="P19" s="298"/>
      <c r="S19" s="15"/>
      <c r="T19" s="297"/>
      <c r="U19" s="297"/>
    </row>
    <row r="20" spans="1:24">
      <c r="C20" s="335" t="s">
        <v>55</v>
      </c>
      <c r="G20" s="299"/>
      <c r="K20" s="297"/>
      <c r="L20" s="297"/>
      <c r="M20" s="297"/>
      <c r="N20" s="297"/>
      <c r="O20" s="297"/>
      <c r="P20" s="298"/>
      <c r="S20" s="15"/>
      <c r="T20" s="297"/>
      <c r="U20" s="297"/>
    </row>
    <row r="21" spans="1:24">
      <c r="A21" s="16">
        <f>MAX(A$14:A20)+1</f>
        <v>3</v>
      </c>
      <c r="C21" s="203" t="s">
        <v>46</v>
      </c>
      <c r="E21" s="8" t="s">
        <v>58</v>
      </c>
      <c r="F21" s="3"/>
      <c r="G21" s="13">
        <f>'Secondary Voltage Rate Design'!D17/12</f>
        <v>126826.25</v>
      </c>
      <c r="I21" s="13">
        <f>ROUND('Secondary Voltage Rate Design'!D25/1000,0)</f>
        <v>2787459</v>
      </c>
      <c r="K21" s="291">
        <f>ROUND('Secondary Voltage Rate Design'!G25/1000,0)</f>
        <v>266944</v>
      </c>
      <c r="L21" s="292"/>
      <c r="M21" s="291">
        <f>ROUND('Secondary Voltage Rate Design'!J25/1000,0)</f>
        <v>283607</v>
      </c>
      <c r="N21" s="291"/>
      <c r="O21" s="291">
        <f t="shared" ref="O21:O24" si="0">M21-K21</f>
        <v>16663</v>
      </c>
      <c r="P21" s="293">
        <f>O21/K21</f>
        <v>6.2421331814912488E-2</v>
      </c>
      <c r="Q21" s="293"/>
      <c r="R21" s="14">
        <f>M21/I21*100</f>
        <v>10.17439180271351</v>
      </c>
      <c r="S21" s="294"/>
      <c r="T21" s="291"/>
      <c r="U21" s="291"/>
      <c r="X21" s="297"/>
    </row>
    <row r="22" spans="1:24">
      <c r="A22" s="16">
        <f>MAX(A$14:A21)+1</f>
        <v>4</v>
      </c>
      <c r="C22" s="203" t="s">
        <v>45</v>
      </c>
      <c r="D22" s="18"/>
      <c r="E22" s="8" t="s">
        <v>59</v>
      </c>
      <c r="F22" s="3"/>
      <c r="G22" s="13">
        <f>'Secondary Voltage Rate Design'!D31/12</f>
        <v>7209</v>
      </c>
      <c r="I22" s="13">
        <f>ROUND('Secondary Voltage Rate Design'!D39/1000,0)</f>
        <v>2830899</v>
      </c>
      <c r="K22" s="291">
        <f>ROUND('Secondary Voltage Rate Design'!G47/1000,0)</f>
        <v>251785</v>
      </c>
      <c r="L22" s="292"/>
      <c r="M22" s="291">
        <f>ROUND('Secondary Voltage Rate Design'!J47/1000,0)</f>
        <v>267501</v>
      </c>
      <c r="N22" s="291"/>
      <c r="O22" s="291">
        <f t="shared" si="0"/>
        <v>15716</v>
      </c>
      <c r="P22" s="293">
        <f>O22/K22</f>
        <v>6.2418333101654191E-2</v>
      </c>
      <c r="Q22" s="293"/>
      <c r="R22" s="14">
        <f>M22/I22*100</f>
        <v>9.4493304070544379</v>
      </c>
      <c r="S22" s="294"/>
      <c r="T22" s="291"/>
      <c r="U22" s="291"/>
      <c r="X22" s="297"/>
    </row>
    <row r="23" spans="1:24">
      <c r="A23" s="16">
        <f>MAX(A$14:A22)+1</f>
        <v>5</v>
      </c>
      <c r="C23" s="203" t="s">
        <v>47</v>
      </c>
      <c r="E23" s="8" t="s">
        <v>60</v>
      </c>
      <c r="F23" s="3"/>
      <c r="G23" s="13">
        <f>SUM('Secondary Voltage Rate Design'!D55,'Secondary Voltage Rate Design'!D75)</f>
        <v>9638</v>
      </c>
      <c r="I23" s="13">
        <f>SUM('Secondary Voltage Rate Design'!D61,'Secondary Voltage Rate Design'!D84)/1000</f>
        <v>1867681.9043816456</v>
      </c>
      <c r="K23" s="291">
        <f>SUM('Secondary Voltage Rate Design'!G69,'Secondary Voltage Rate Design'!G95)/1000</f>
        <v>151834.74299999999</v>
      </c>
      <c r="L23" s="292"/>
      <c r="M23" s="291">
        <f>SUM('Secondary Voltage Rate Design'!J69,'Secondary Voltage Rate Design'!J95)/1000</f>
        <v>161312.50200000001</v>
      </c>
      <c r="N23" s="291"/>
      <c r="O23" s="291">
        <f t="shared" si="0"/>
        <v>9477.75900000002</v>
      </c>
      <c r="P23" s="293">
        <f t="shared" ref="P23:P31" si="1">O23/K23</f>
        <v>6.2421543401301904E-2</v>
      </c>
      <c r="Q23" s="293"/>
      <c r="R23" s="14">
        <f>M23/I23*100</f>
        <v>8.6370436861627979</v>
      </c>
      <c r="S23" s="294"/>
      <c r="T23" s="291"/>
      <c r="U23" s="291"/>
      <c r="X23" s="297"/>
    </row>
    <row r="24" spans="1:24">
      <c r="A24" s="16">
        <f>MAX(A$14:A23)+1</f>
        <v>6</v>
      </c>
      <c r="C24" s="203" t="s">
        <v>49</v>
      </c>
      <c r="E24" s="3">
        <v>29</v>
      </c>
      <c r="F24" s="3"/>
      <c r="G24" s="13">
        <f>'Secondary Voltage Rate Design'!D108/12</f>
        <v>607.5</v>
      </c>
      <c r="I24" s="13">
        <f>ROUND('Secondary Voltage Rate Design'!D118/1000,0)</f>
        <v>14327</v>
      </c>
      <c r="K24" s="291">
        <f>SUM('Secondary Voltage Rate Design'!G126/1000)</f>
        <v>1137.7460000000001</v>
      </c>
      <c r="L24" s="292"/>
      <c r="M24" s="291">
        <f>SUM('Secondary Voltage Rate Design'!J126/1000)</f>
        <v>1208.7919999999999</v>
      </c>
      <c r="N24" s="291"/>
      <c r="O24" s="291">
        <f t="shared" si="0"/>
        <v>71.045999999999822</v>
      </c>
      <c r="P24" s="293">
        <f t="shared" si="1"/>
        <v>6.2444517493359518E-2</v>
      </c>
      <c r="Q24" s="293"/>
      <c r="R24" s="14">
        <f>M24/I24*100</f>
        <v>8.4371606058490958</v>
      </c>
      <c r="S24" s="294"/>
      <c r="T24" s="291"/>
      <c r="U24" s="291"/>
      <c r="X24" s="297"/>
    </row>
    <row r="25" spans="1:24">
      <c r="A25" s="16">
        <f>MAX(A$14:A24)+1</f>
        <v>7</v>
      </c>
      <c r="C25" s="334" t="s">
        <v>63</v>
      </c>
      <c r="E25" s="3"/>
      <c r="F25" s="3"/>
      <c r="G25" s="40">
        <f>SUM(G21:G24)</f>
        <v>144280.75</v>
      </c>
      <c r="I25" s="40">
        <f>SUM(I21:I24)</f>
        <v>7500366.9043816458</v>
      </c>
      <c r="K25" s="295">
        <f>SUM(K21:K24)</f>
        <v>671701.48900000006</v>
      </c>
      <c r="L25" s="292"/>
      <c r="M25" s="295">
        <f>SUM(M21:M24)</f>
        <v>713629.29399999999</v>
      </c>
      <c r="N25" s="291"/>
      <c r="O25" s="295">
        <f>SUM(O21:O24)</f>
        <v>41927.805000000022</v>
      </c>
      <c r="P25" s="296">
        <f t="shared" ref="P25" si="2">O25/K25</f>
        <v>6.2420294858092862E-2</v>
      </c>
      <c r="Q25" s="293"/>
      <c r="R25" s="41">
        <f>M25/I25*100</f>
        <v>9.5145917939441649</v>
      </c>
      <c r="S25" s="294"/>
      <c r="T25" s="295">
        <f>'Rate Spread'!J14</f>
        <v>41926.427979136228</v>
      </c>
      <c r="U25" s="295">
        <f>T25-O25</f>
        <v>-1.3770208637943142</v>
      </c>
      <c r="X25" s="297"/>
    </row>
    <row r="26" spans="1:24">
      <c r="A26" s="16"/>
      <c r="C26" s="203"/>
      <c r="E26" s="3"/>
      <c r="F26" s="3"/>
      <c r="G26" s="13"/>
      <c r="I26" s="13"/>
      <c r="K26" s="291"/>
      <c r="L26" s="292"/>
      <c r="M26" s="291"/>
      <c r="N26" s="291"/>
      <c r="O26" s="291"/>
      <c r="P26" s="293"/>
      <c r="Q26" s="293"/>
      <c r="R26" s="14"/>
      <c r="S26" s="294"/>
      <c r="T26" s="291"/>
      <c r="U26" s="291"/>
    </row>
    <row r="27" spans="1:24">
      <c r="A27" s="16"/>
      <c r="C27" s="335" t="s">
        <v>56</v>
      </c>
      <c r="E27" s="3"/>
      <c r="F27" s="3"/>
      <c r="G27" s="13"/>
      <c r="I27" s="13"/>
      <c r="K27" s="291"/>
      <c r="L27" s="292"/>
      <c r="M27" s="291"/>
      <c r="N27" s="291"/>
      <c r="O27" s="291"/>
      <c r="P27" s="293"/>
      <c r="Q27" s="293"/>
      <c r="R27" s="14"/>
      <c r="S27" s="294"/>
      <c r="T27" s="291"/>
      <c r="U27" s="291"/>
    </row>
    <row r="28" spans="1:24">
      <c r="A28" s="16">
        <f>MAX(A$14:A26)+1</f>
        <v>8</v>
      </c>
      <c r="C28" s="203" t="s">
        <v>48</v>
      </c>
      <c r="E28" s="8" t="s">
        <v>61</v>
      </c>
      <c r="F28" s="3"/>
      <c r="G28" s="13">
        <f>'Primary Voltage Rate Design'!D15/12</f>
        <v>486.83333333333331</v>
      </c>
      <c r="I28" s="13">
        <f>'Primary Voltage Rate Design'!D21/1000</f>
        <v>1264534.3744586967</v>
      </c>
      <c r="K28" s="291">
        <f>'Primary Voltage Rate Design'!G29/1000</f>
        <v>101394.679</v>
      </c>
      <c r="L28" s="292"/>
      <c r="M28" s="291">
        <f>'Primary Voltage Rate Design'!J29/1000</f>
        <v>107724.022</v>
      </c>
      <c r="N28" s="291"/>
      <c r="O28" s="291">
        <f t="shared" ref="O28:O30" si="3">M28-K28</f>
        <v>6329.3429999999935</v>
      </c>
      <c r="P28" s="293">
        <f t="shared" si="1"/>
        <v>6.2422831872666548E-2</v>
      </c>
      <c r="Q28" s="293"/>
      <c r="R28" s="14">
        <f>M28/I28*100</f>
        <v>8.5188686188236602</v>
      </c>
      <c r="S28" s="294"/>
      <c r="T28" s="291"/>
      <c r="U28" s="291"/>
      <c r="X28" s="297"/>
    </row>
    <row r="29" spans="1:24">
      <c r="A29" s="16">
        <f>MAX(A$14:A28)+1</f>
        <v>9</v>
      </c>
      <c r="C29" s="203" t="s">
        <v>50</v>
      </c>
      <c r="E29" s="3">
        <v>35</v>
      </c>
      <c r="F29" s="3"/>
      <c r="G29" s="13">
        <f>'Primary Voltage Rate Design'!D37/12</f>
        <v>1</v>
      </c>
      <c r="I29" s="13">
        <f>'Primary Voltage Rate Design'!D43/1000</f>
        <v>4452.6000000000004</v>
      </c>
      <c r="K29" s="291">
        <f>'Primary Voltage Rate Design'!G51/1000</f>
        <v>248.215</v>
      </c>
      <c r="L29" s="292"/>
      <c r="M29" s="291">
        <f>'Primary Voltage Rate Design'!J51/1000</f>
        <v>263.74</v>
      </c>
      <c r="N29" s="291"/>
      <c r="O29" s="291">
        <f t="shared" si="3"/>
        <v>15.525000000000006</v>
      </c>
      <c r="P29" s="293">
        <f t="shared" si="1"/>
        <v>6.2546582599762326E-2</v>
      </c>
      <c r="Q29" s="293"/>
      <c r="R29" s="14">
        <f>M29/I29*100</f>
        <v>5.9232807797691231</v>
      </c>
      <c r="S29" s="294"/>
      <c r="T29" s="291"/>
      <c r="U29" s="291"/>
      <c r="X29" s="297"/>
    </row>
    <row r="30" spans="1:24">
      <c r="A30" s="16">
        <f>MAX(A$14:A29)+1</f>
        <v>10</v>
      </c>
      <c r="C30" s="2" t="s">
        <v>51</v>
      </c>
      <c r="E30" s="8">
        <v>43</v>
      </c>
      <c r="F30" s="3"/>
      <c r="G30" s="13">
        <f>'Primary Voltage Rate Design'!D56/12</f>
        <v>158.66666666666666</v>
      </c>
      <c r="I30" s="13">
        <f>'Primary Voltage Rate Design'!D62/1000</f>
        <v>119660.40146477679</v>
      </c>
      <c r="K30" s="291">
        <f>'Primary Voltage Rate Design'!G71/1000</f>
        <v>10337.824000000001</v>
      </c>
      <c r="L30" s="292"/>
      <c r="M30" s="291">
        <f>'Primary Voltage Rate Design'!J71/1000</f>
        <v>11198.239</v>
      </c>
      <c r="N30" s="291"/>
      <c r="O30" s="291">
        <f t="shared" si="3"/>
        <v>860.41499999999905</v>
      </c>
      <c r="P30" s="293">
        <f t="shared" si="1"/>
        <v>8.3229797682761772E-2</v>
      </c>
      <c r="Q30" s="293"/>
      <c r="R30" s="14">
        <f>M30/I30*100</f>
        <v>9.3583498491740489</v>
      </c>
      <c r="S30" s="294"/>
      <c r="T30" s="291"/>
      <c r="U30" s="291"/>
      <c r="X30" s="297"/>
    </row>
    <row r="31" spans="1:24">
      <c r="A31" s="16">
        <f>MAX(A$14:A30)+1</f>
        <v>11</v>
      </c>
      <c r="C31" s="334" t="s">
        <v>64</v>
      </c>
      <c r="E31" s="3"/>
      <c r="F31" s="3"/>
      <c r="G31" s="40">
        <f>SUM(G28:G30)</f>
        <v>646.5</v>
      </c>
      <c r="I31" s="40">
        <f>SUM(I28:I30)</f>
        <v>1388647.3759234736</v>
      </c>
      <c r="K31" s="295">
        <f>SUM(K28:K30)</f>
        <v>111980.71799999999</v>
      </c>
      <c r="L31" s="292"/>
      <c r="M31" s="295">
        <f>SUM(M28:M30)</f>
        <v>119186.001</v>
      </c>
      <c r="N31" s="291"/>
      <c r="O31" s="295">
        <f>SUM(O28:O30)</f>
        <v>7205.2829999999922</v>
      </c>
      <c r="P31" s="296">
        <f t="shared" si="1"/>
        <v>6.4343961430931282E-2</v>
      </c>
      <c r="Q31" s="293"/>
      <c r="R31" s="41">
        <f>M31/I31*100</f>
        <v>8.5828845440866033</v>
      </c>
      <c r="S31" s="294"/>
      <c r="T31" s="295">
        <f>'Rate Spread'!J19</f>
        <v>7204.7294797812974</v>
      </c>
      <c r="U31" s="295">
        <f>T31-O31</f>
        <v>-0.5535202186947572</v>
      </c>
      <c r="X31" s="297"/>
    </row>
    <row r="32" spans="1:24">
      <c r="A32" s="16"/>
      <c r="E32" s="8"/>
      <c r="F32" s="3"/>
      <c r="G32" s="13"/>
      <c r="I32" s="13"/>
      <c r="K32" s="291"/>
      <c r="L32" s="292"/>
      <c r="M32" s="291"/>
      <c r="N32" s="291"/>
      <c r="O32" s="291"/>
      <c r="P32" s="293"/>
      <c r="Q32" s="293"/>
      <c r="R32" s="14"/>
      <c r="S32" s="294"/>
      <c r="T32" s="291"/>
      <c r="U32" s="291"/>
      <c r="X32" s="297"/>
    </row>
    <row r="33" spans="1:24">
      <c r="A33" s="16">
        <f>MAX(A$14:A32)+1</f>
        <v>12</v>
      </c>
      <c r="C33" s="2" t="s">
        <v>52</v>
      </c>
      <c r="E33" s="8">
        <v>40</v>
      </c>
      <c r="F33" s="3"/>
      <c r="G33" s="40">
        <f>'Campus Rate Design'!D18/12</f>
        <v>167.25</v>
      </c>
      <c r="I33" s="40">
        <f>'Campus Rate Design'!D27/1000</f>
        <v>674604.05341613106</v>
      </c>
      <c r="K33" s="295">
        <f>'Campus Rate Design'!H41/1000</f>
        <v>47836.637129941089</v>
      </c>
      <c r="L33" s="292"/>
      <c r="M33" s="295">
        <f>'Campus Rate Design'!K41/1000</f>
        <v>54188.420000400001</v>
      </c>
      <c r="N33" s="291"/>
      <c r="O33" s="295">
        <f>M33-K33</f>
        <v>6351.7828704589119</v>
      </c>
      <c r="P33" s="296">
        <f t="shared" ref="P33" si="4">O33/K33</f>
        <v>0.13278071477318193</v>
      </c>
      <c r="Q33" s="293"/>
      <c r="R33" s="41">
        <f>M33/I33*100</f>
        <v>8.0326259123399826</v>
      </c>
      <c r="S33" s="294"/>
      <c r="T33" s="295">
        <f>'Rate Spread'!J21</f>
        <v>6351.7828704589101</v>
      </c>
      <c r="U33" s="295">
        <f>T33-O33</f>
        <v>0</v>
      </c>
      <c r="X33" s="297"/>
    </row>
    <row r="34" spans="1:24">
      <c r="A34" s="16"/>
      <c r="E34" s="8"/>
      <c r="F34" s="3"/>
      <c r="G34" s="13"/>
      <c r="I34" s="13"/>
      <c r="K34" s="291"/>
      <c r="L34" s="292"/>
      <c r="M34" s="291"/>
      <c r="N34" s="291"/>
      <c r="O34" s="291"/>
      <c r="P34" s="293"/>
      <c r="Q34" s="293"/>
      <c r="R34" s="14"/>
      <c r="S34" s="294"/>
      <c r="T34" s="291"/>
      <c r="U34" s="291"/>
      <c r="X34" s="297"/>
    </row>
    <row r="35" spans="1:24">
      <c r="A35" s="16"/>
      <c r="C35" s="335" t="s">
        <v>57</v>
      </c>
      <c r="E35" s="8"/>
      <c r="F35" s="3"/>
      <c r="G35" s="13"/>
      <c r="I35" s="13"/>
      <c r="K35" s="291"/>
      <c r="L35" s="292"/>
      <c r="M35" s="291"/>
      <c r="N35" s="291"/>
      <c r="O35" s="291"/>
      <c r="P35" s="293"/>
      <c r="Q35" s="293"/>
      <c r="R35" s="14"/>
      <c r="S35" s="294"/>
      <c r="T35" s="291"/>
      <c r="U35" s="291"/>
    </row>
    <row r="36" spans="1:24">
      <c r="A36" s="16">
        <f>MAX(A$14:A34)+1</f>
        <v>13</v>
      </c>
      <c r="C36" s="203" t="s">
        <v>53</v>
      </c>
      <c r="E36" s="8">
        <v>46</v>
      </c>
      <c r="F36" s="3"/>
      <c r="G36" s="13">
        <f>'High Voltage Rate Design'!D14/12</f>
        <v>5</v>
      </c>
      <c r="I36" s="13">
        <f>'High Voltage Rate Design'!D19/1000</f>
        <v>64275.357697999993</v>
      </c>
      <c r="K36" s="291">
        <f>'High Voltage Rate Design'!G23/1000</f>
        <v>4202.3490000000002</v>
      </c>
      <c r="L36" s="292"/>
      <c r="M36" s="291">
        <f>'High Voltage Rate Design'!J23/1000</f>
        <v>4464.67</v>
      </c>
      <c r="N36" s="291"/>
      <c r="O36" s="291">
        <f t="shared" ref="O36:O37" si="5">M36-K36</f>
        <v>262.32099999999991</v>
      </c>
      <c r="P36" s="293">
        <f t="shared" ref="P36:P37" si="6">O36/K36</f>
        <v>6.2422468957242697E-2</v>
      </c>
      <c r="Q36" s="293"/>
      <c r="R36" s="14">
        <f t="shared" ref="R36:R37" si="7">M36/I36*100</f>
        <v>6.9461612659977829</v>
      </c>
      <c r="S36" s="294"/>
      <c r="T36" s="291"/>
      <c r="U36" s="291"/>
      <c r="X36" s="297"/>
    </row>
    <row r="37" spans="1:24">
      <c r="A37" s="16">
        <f>MAX(A$14:A36)+1</f>
        <v>14</v>
      </c>
      <c r="C37" s="2" t="s">
        <v>54</v>
      </c>
      <c r="E37" s="8">
        <v>49</v>
      </c>
      <c r="F37" s="3"/>
      <c r="G37" s="13">
        <f>'High Voltage Rate Design'!D30/12</f>
        <v>20</v>
      </c>
      <c r="I37" s="13">
        <f>'High Voltage Rate Design'!D35/1000</f>
        <v>567983.85900000005</v>
      </c>
      <c r="K37" s="291">
        <f>'High Voltage Rate Design'!G39/1000</f>
        <v>36157.741000000002</v>
      </c>
      <c r="L37" s="292"/>
      <c r="M37" s="291">
        <f>'High Voltage Rate Design'!J39/1000</f>
        <v>38414.796000000002</v>
      </c>
      <c r="N37" s="291"/>
      <c r="O37" s="291">
        <f t="shared" si="5"/>
        <v>2257.0550000000003</v>
      </c>
      <c r="P37" s="293">
        <f t="shared" si="6"/>
        <v>6.2422456093150294E-2</v>
      </c>
      <c r="Q37" s="293"/>
      <c r="R37" s="14">
        <f t="shared" si="7"/>
        <v>6.7633605059893078</v>
      </c>
      <c r="S37" s="294"/>
      <c r="T37" s="291"/>
      <c r="U37" s="291"/>
      <c r="X37" s="297"/>
    </row>
    <row r="38" spans="1:24">
      <c r="A38" s="16">
        <f>MAX(A$14:A37)+1</f>
        <v>15</v>
      </c>
      <c r="C38" s="334" t="s">
        <v>57</v>
      </c>
      <c r="E38" s="3"/>
      <c r="F38" s="3"/>
      <c r="G38" s="40">
        <f>SUM(G36:G37)</f>
        <v>25</v>
      </c>
      <c r="I38" s="40">
        <f>SUM(I36:I37)</f>
        <v>632259.21669800009</v>
      </c>
      <c r="K38" s="295">
        <f>SUM(K36:K37)</f>
        <v>40360.090000000004</v>
      </c>
      <c r="L38" s="292"/>
      <c r="M38" s="295">
        <f>SUM(M36:M37)</f>
        <v>42879.466</v>
      </c>
      <c r="N38" s="291"/>
      <c r="O38" s="295">
        <f>SUM(O36:O37)</f>
        <v>2519.3760000000002</v>
      </c>
      <c r="P38" s="296">
        <f t="shared" ref="P38" si="8">O38/K38</f>
        <v>6.2422457432577579E-2</v>
      </c>
      <c r="Q38" s="293"/>
      <c r="R38" s="41">
        <f>M38/I38*100</f>
        <v>6.7819439982132304</v>
      </c>
      <c r="S38" s="294"/>
      <c r="T38" s="295">
        <f>'Rate Spread'!J23</f>
        <v>2519.2059781431517</v>
      </c>
      <c r="U38" s="295">
        <f>T38-O38</f>
        <v>-0.17002185684850701</v>
      </c>
      <c r="X38" s="297"/>
    </row>
    <row r="39" spans="1:24">
      <c r="A39" s="16"/>
      <c r="E39" s="8"/>
      <c r="F39" s="3"/>
      <c r="G39" s="13"/>
      <c r="I39" s="13"/>
      <c r="K39" s="291"/>
      <c r="L39" s="292"/>
      <c r="M39" s="291"/>
      <c r="N39" s="291"/>
      <c r="O39" s="291"/>
      <c r="P39" s="293"/>
      <c r="Q39" s="293"/>
      <c r="R39" s="14"/>
      <c r="S39" s="294"/>
      <c r="T39" s="291"/>
      <c r="U39" s="291"/>
      <c r="X39" s="297"/>
    </row>
    <row r="40" spans="1:24">
      <c r="A40" s="16">
        <f>MAX(A$14:A39)+1</f>
        <v>16</v>
      </c>
      <c r="C40" s="2" t="s">
        <v>65</v>
      </c>
      <c r="E40" s="8" t="s">
        <v>66</v>
      </c>
      <c r="F40" s="3"/>
      <c r="G40" s="40">
        <f>'Transportation Rate Design'!D14/12</f>
        <v>20</v>
      </c>
      <c r="I40" s="40">
        <f>'Transportation Rate Design'!D19/1000</f>
        <v>2098103.6366259996</v>
      </c>
      <c r="K40" s="295">
        <f>'Transportation Rate Design'!G27/1000</f>
        <v>7513.2849999999999</v>
      </c>
      <c r="L40" s="292"/>
      <c r="M40" s="295">
        <f>'Transportation Rate Design'!J27/1000</f>
        <v>7969.0010000000002</v>
      </c>
      <c r="N40" s="291"/>
      <c r="O40" s="295">
        <f>M40-K40</f>
        <v>455.71600000000035</v>
      </c>
      <c r="P40" s="296">
        <f t="shared" ref="P40" si="9">O40/K40</f>
        <v>6.0654693652643331E-2</v>
      </c>
      <c r="Q40" s="293"/>
      <c r="R40" s="41">
        <f>M40/I40*100</f>
        <v>0.37981922631882487</v>
      </c>
      <c r="S40" s="294"/>
      <c r="T40" s="295">
        <f>'Rate Spread'!J25</f>
        <v>455.71600000000001</v>
      </c>
      <c r="U40" s="295">
        <f>T40-O40</f>
        <v>0</v>
      </c>
      <c r="X40" s="297"/>
    </row>
    <row r="41" spans="1:24">
      <c r="A41" s="16"/>
      <c r="E41" s="8"/>
      <c r="F41" s="3"/>
      <c r="G41" s="13"/>
      <c r="I41" s="13"/>
      <c r="K41" s="291"/>
      <c r="L41" s="292"/>
      <c r="M41" s="291"/>
      <c r="N41" s="291"/>
      <c r="O41" s="291"/>
      <c r="P41" s="293"/>
      <c r="Q41" s="293"/>
      <c r="R41" s="14"/>
      <c r="S41" s="294"/>
      <c r="T41" s="291"/>
      <c r="U41" s="291"/>
      <c r="X41" s="297"/>
    </row>
    <row r="42" spans="1:24">
      <c r="A42" s="16">
        <f>MAX(A$14:A41)+1</f>
        <v>17</v>
      </c>
      <c r="C42" s="2" t="s">
        <v>67</v>
      </c>
      <c r="E42" s="8" t="s">
        <v>68</v>
      </c>
      <c r="F42" s="3"/>
      <c r="G42" s="40">
        <f>'Lighting Rate Design'!D22/12</f>
        <v>7226.5</v>
      </c>
      <c r="I42" s="40">
        <f>'Lighting Rate Design'!L22/1000</f>
        <v>77972.349305999989</v>
      </c>
      <c r="K42" s="295">
        <f>'Lighting Rate Design'!G22/1000</f>
        <v>17167.097000000002</v>
      </c>
      <c r="L42" s="292"/>
      <c r="M42" s="295">
        <f>'Lighting Rate Design'!J22/1000</f>
        <v>18598.393</v>
      </c>
      <c r="N42" s="291"/>
      <c r="O42" s="295">
        <f>M42-K42</f>
        <v>1431.2959999999985</v>
      </c>
      <c r="P42" s="296">
        <f t="shared" ref="P42" si="10">O42/K42</f>
        <v>8.3374375993797809E-2</v>
      </c>
      <c r="Q42" s="293"/>
      <c r="R42" s="41">
        <f>M42/I42*100</f>
        <v>23.852549224868426</v>
      </c>
      <c r="S42" s="294"/>
      <c r="T42" s="295">
        <f>'Rate Spread'!J27</f>
        <v>1428.7200842800687</v>
      </c>
      <c r="U42" s="295">
        <f>T42-O42</f>
        <v>-2.5759157199297533</v>
      </c>
      <c r="X42" s="297"/>
    </row>
    <row r="43" spans="1:24">
      <c r="A43" s="16"/>
      <c r="E43" s="8"/>
      <c r="F43" s="3"/>
      <c r="G43" s="13"/>
      <c r="I43" s="13"/>
      <c r="K43" s="291"/>
      <c r="L43" s="292"/>
      <c r="M43" s="291"/>
      <c r="N43" s="291"/>
      <c r="O43" s="291"/>
      <c r="P43" s="293"/>
      <c r="Q43" s="293"/>
      <c r="R43" s="14"/>
      <c r="S43" s="294"/>
      <c r="T43" s="291"/>
      <c r="U43" s="291"/>
      <c r="X43" s="297"/>
    </row>
    <row r="44" spans="1:24">
      <c r="A44" s="16">
        <f>MAX(A$14:A43)+1</f>
        <v>18</v>
      </c>
      <c r="C44" s="334" t="s">
        <v>69</v>
      </c>
      <c r="G44" s="40">
        <f>SUM(G42,G40,G38,G33,G31,G25,G18)</f>
        <v>1152308</v>
      </c>
      <c r="I44" s="40">
        <f>SUM(I42,I40,I38,I33,I31,I25,I18)</f>
        <v>22814379.536351249</v>
      </c>
      <c r="K44" s="295">
        <f>SUM(K42,K40,K38,K33,K31,K25,K18)</f>
        <v>1963186.316129941</v>
      </c>
      <c r="L44" s="292"/>
      <c r="M44" s="295">
        <f>SUM(M42,M40,M38,M33,M31,M25,M18)</f>
        <v>2111841.5750003997</v>
      </c>
      <c r="N44" s="291"/>
      <c r="O44" s="295">
        <f>SUM(O42,O40,O38,O33,O31,O25,O18)</f>
        <v>148655.25887045893</v>
      </c>
      <c r="P44" s="296">
        <f>O44/K44</f>
        <v>7.5721421675098724E-2</v>
      </c>
      <c r="Q44" s="293"/>
      <c r="R44" s="41">
        <f>M44/I44*100</f>
        <v>9.2566250668158681</v>
      </c>
      <c r="S44" s="294"/>
      <c r="T44" s="295">
        <f>SUM(T42,T40,T38,T33,T31,T25,T18)</f>
        <v>148655.89600000007</v>
      </c>
      <c r="U44" s="295">
        <f>T44-O44</f>
        <v>0.63712954113725573</v>
      </c>
      <c r="X44" s="297"/>
    </row>
    <row r="45" spans="1:24">
      <c r="A45" s="3"/>
      <c r="K45" s="297"/>
      <c r="L45" s="297"/>
      <c r="M45" s="297"/>
      <c r="N45" s="297"/>
      <c r="O45" s="297"/>
      <c r="P45" s="298"/>
      <c r="S45" s="15"/>
      <c r="T45" s="297"/>
      <c r="U45" s="297"/>
      <c r="X45" s="297"/>
    </row>
    <row r="46" spans="1:24">
      <c r="A46" s="16">
        <f>MAX(A$14:A45)+1</f>
        <v>19</v>
      </c>
      <c r="C46" s="2" t="s">
        <v>70</v>
      </c>
      <c r="E46" s="8" t="s">
        <v>68</v>
      </c>
      <c r="F46" s="3"/>
      <c r="G46" s="40">
        <f>'Transportation Rate Design'!D34/12</f>
        <v>8</v>
      </c>
      <c r="I46" s="40">
        <f>'Transportation Rate Design'!D39/1000</f>
        <v>6929.8034221808284</v>
      </c>
      <c r="K46" s="295">
        <f>'Transportation Rate Design'!G47/1000</f>
        <v>316.39299999999997</v>
      </c>
      <c r="L46" s="297"/>
      <c r="M46" s="295">
        <f>'Transportation Rate Design'!J47/1000</f>
        <v>722.48299999999995</v>
      </c>
      <c r="N46" s="291"/>
      <c r="O46" s="295">
        <f>M46-K46</f>
        <v>406.09</v>
      </c>
      <c r="P46" s="296">
        <f t="shared" ref="P46" si="11">O46/K46</f>
        <v>1.2834986867598208</v>
      </c>
      <c r="Q46" s="293"/>
      <c r="R46" s="41">
        <f>M46/I46*100</f>
        <v>10.42573585402849</v>
      </c>
      <c r="S46" s="15"/>
      <c r="T46" s="295">
        <f>'Rate Spread'!J31</f>
        <v>406.09</v>
      </c>
      <c r="U46" s="295">
        <f>T46-O46</f>
        <v>0</v>
      </c>
      <c r="X46" s="297"/>
    </row>
    <row r="47" spans="1:24">
      <c r="A47" s="3"/>
      <c r="K47" s="297"/>
      <c r="L47" s="297"/>
      <c r="M47" s="297"/>
      <c r="N47" s="297"/>
      <c r="O47" s="297"/>
      <c r="P47" s="298"/>
      <c r="S47" s="15"/>
      <c r="T47" s="297"/>
      <c r="U47" s="297"/>
      <c r="X47" s="297"/>
    </row>
    <row r="48" spans="1:24" ht="16.2" thickBot="1">
      <c r="A48" s="16">
        <f>MAX(A$14:A47)+1</f>
        <v>20</v>
      </c>
      <c r="C48" s="300" t="s">
        <v>71</v>
      </c>
      <c r="G48" s="301">
        <f>G46+G44</f>
        <v>1152316</v>
      </c>
      <c r="I48" s="301">
        <f>I46+I44</f>
        <v>22821309.339773428</v>
      </c>
      <c r="K48" s="302">
        <f>K46+K44</f>
        <v>1963502.709129941</v>
      </c>
      <c r="L48" s="303"/>
      <c r="M48" s="302">
        <f>M46+M44</f>
        <v>2112564.0580003997</v>
      </c>
      <c r="N48" s="304"/>
      <c r="O48" s="302">
        <f>O46+O44</f>
        <v>149061.34887045893</v>
      </c>
      <c r="P48" s="305">
        <f>O48/K48</f>
        <v>7.5916039319604695E-2</v>
      </c>
      <c r="Q48" s="294"/>
      <c r="R48" s="306">
        <f>M48/I48*100</f>
        <v>9.256980073087135</v>
      </c>
      <c r="S48" s="294"/>
      <c r="T48" s="302">
        <f t="shared" ref="T48:U48" si="12">T46+T44</f>
        <v>149061.98600000006</v>
      </c>
      <c r="U48" s="302">
        <f t="shared" si="12"/>
        <v>0.63712954113725573</v>
      </c>
      <c r="X48" s="297"/>
    </row>
    <row r="49" spans="1:24" ht="16.2" thickTop="1">
      <c r="A49" s="382" t="s">
        <v>0</v>
      </c>
      <c r="B49" s="383"/>
      <c r="C49" s="383"/>
      <c r="G49" s="307"/>
      <c r="I49" s="307"/>
      <c r="K49" s="19"/>
      <c r="L49" s="294"/>
      <c r="M49" s="19"/>
      <c r="N49" s="19"/>
      <c r="O49" s="19"/>
      <c r="P49" s="298"/>
      <c r="Q49" s="294"/>
      <c r="R49" s="294"/>
      <c r="S49" s="294"/>
      <c r="X49" s="297"/>
    </row>
    <row r="50" spans="1:24" ht="18.75" customHeight="1" thickBot="1">
      <c r="C50" s="2" t="s">
        <v>836</v>
      </c>
      <c r="I50" s="301">
        <v>22821309</v>
      </c>
      <c r="K50" s="302">
        <v>1963503</v>
      </c>
      <c r="O50" s="19" t="s">
        <v>0</v>
      </c>
      <c r="P50" s="308" t="s">
        <v>0</v>
      </c>
      <c r="X50" s="297"/>
    </row>
    <row r="51" spans="1:24" ht="16.8" thickTop="1" thickBot="1">
      <c r="C51" s="2" t="s">
        <v>836</v>
      </c>
      <c r="I51" s="301">
        <f>I50-I48</f>
        <v>-0.33977342769503593</v>
      </c>
      <c r="K51" s="302">
        <f>K50-K48</f>
        <v>0.29087005904875696</v>
      </c>
      <c r="L51" s="15"/>
      <c r="M51" s="47"/>
      <c r="O51" s="47"/>
      <c r="P51" s="20"/>
      <c r="Q51" s="15"/>
      <c r="R51" s="15"/>
      <c r="S51" s="15"/>
      <c r="X51" s="297"/>
    </row>
    <row r="52" spans="1:24" ht="16.2" thickTop="1">
      <c r="I52" s="299"/>
      <c r="K52" s="31"/>
      <c r="L52" s="15"/>
      <c r="M52" s="31"/>
      <c r="O52" s="31"/>
      <c r="Q52" s="15"/>
      <c r="R52" s="19"/>
      <c r="S52" s="15"/>
    </row>
    <row r="53" spans="1:24">
      <c r="M53" s="15"/>
      <c r="O53" s="31"/>
      <c r="P53" s="308"/>
    </row>
    <row r="54" spans="1:24">
      <c r="M54" s="15"/>
      <c r="O54" s="309"/>
      <c r="P54" s="22"/>
    </row>
    <row r="55" spans="1:24">
      <c r="M55" s="12"/>
      <c r="O55" s="309"/>
      <c r="P55" s="17"/>
    </row>
    <row r="56" spans="1:24">
      <c r="M56" s="310"/>
      <c r="P56" s="311"/>
    </row>
    <row r="57" spans="1:24">
      <c r="P57" s="17"/>
    </row>
    <row r="59" spans="1:24">
      <c r="M59" s="12"/>
    </row>
  </sheetData>
  <mergeCells count="9">
    <mergeCell ref="M9:P9"/>
    <mergeCell ref="M10:P10"/>
    <mergeCell ref="A49:C49"/>
    <mergeCell ref="A7:Q7"/>
    <mergeCell ref="A2:Q2"/>
    <mergeCell ref="A3:Q3"/>
    <mergeCell ref="A4:Q4"/>
    <mergeCell ref="A5:Q5"/>
    <mergeCell ref="A6:Q6"/>
  </mergeCells>
  <printOptions horizontalCentered="1"/>
  <pageMargins left="0.7" right="0.7" top="0.75" bottom="0.71" header="0.3" footer="0.3"/>
  <pageSetup scale="67" orientation="landscape" r:id="rId1"/>
  <headerFooter alignWithMargins="0">
    <oddFooter>&amp;L&amp;A&amp;RExhibit No.___(JAP-15)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7">
    <pageSetUpPr fitToPage="1"/>
  </sheetPr>
  <dimension ref="A1:AG51"/>
  <sheetViews>
    <sheetView zoomScale="75" zoomScaleNormal="75" zoomScaleSheetLayoutView="80" workbookViewId="0">
      <pane ySplit="10" topLeftCell="A11" activePane="bottomLeft" state="frozen"/>
      <selection sqref="A1:XFD1048576"/>
      <selection pane="bottomLeft" activeCell="E24" sqref="E24"/>
    </sheetView>
  </sheetViews>
  <sheetFormatPr defaultColWidth="10.19921875" defaultRowHeight="15.6"/>
  <cols>
    <col min="1" max="1" width="4.59765625" style="29" bestFit="1" customWidth="1"/>
    <col min="2" max="2" width="22.3984375" style="29" bestFit="1" customWidth="1"/>
    <col min="3" max="3" width="1.3984375" style="29" bestFit="1" customWidth="1"/>
    <col min="4" max="4" width="14.19921875" style="29" bestFit="1" customWidth="1"/>
    <col min="5" max="5" width="10.796875" style="29" bestFit="1" customWidth="1"/>
    <col min="6" max="6" width="2" style="29" bestFit="1" customWidth="1"/>
    <col min="7" max="7" width="14.19921875" style="29" bestFit="1" customWidth="1"/>
    <col min="8" max="8" width="17" style="29" customWidth="1"/>
    <col min="9" max="9" width="2" style="29" bestFit="1" customWidth="1"/>
    <col min="10" max="10" width="17" style="29" customWidth="1"/>
    <col min="11" max="11" width="1.59765625" style="29" customWidth="1"/>
    <col min="12" max="12" width="20.3984375" style="29" bestFit="1" customWidth="1"/>
    <col min="13" max="13" width="16" style="98" bestFit="1" customWidth="1"/>
    <col min="14" max="14" width="12" style="98" customWidth="1"/>
    <col min="15" max="17" width="1.3984375" style="29" bestFit="1" customWidth="1"/>
    <col min="18" max="18" width="14.09765625" style="29" bestFit="1" customWidth="1"/>
    <col min="19" max="19" width="1.3984375" style="29" bestFit="1" customWidth="1"/>
    <col min="20" max="20" width="13.19921875" style="29" bestFit="1" customWidth="1"/>
    <col min="21" max="21" width="13" style="29" bestFit="1" customWidth="1"/>
    <col min="22" max="22" width="12.19921875" style="29" bestFit="1" customWidth="1"/>
    <col min="23" max="23" width="5.5" style="29" bestFit="1" customWidth="1"/>
    <col min="24" max="24" width="1.3984375" style="29" bestFit="1" customWidth="1"/>
    <col min="25" max="25" width="10.19921875" style="29" customWidth="1"/>
    <col min="26" max="26" width="12.09765625" style="29" customWidth="1"/>
    <col min="27" max="16384" width="10.19921875" style="29"/>
  </cols>
  <sheetData>
    <row r="1" spans="1:31" ht="17.399999999999999">
      <c r="B1" s="386" t="s">
        <v>44</v>
      </c>
      <c r="C1" s="386"/>
      <c r="D1" s="386"/>
      <c r="E1" s="386"/>
      <c r="F1" s="386"/>
      <c r="G1" s="386"/>
      <c r="H1" s="386"/>
      <c r="I1" s="386"/>
      <c r="J1" s="386"/>
      <c r="K1" s="386"/>
      <c r="L1" s="92"/>
      <c r="M1" s="93"/>
      <c r="N1" s="93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</row>
    <row r="2" spans="1:31" ht="17.399999999999999">
      <c r="B2" s="386"/>
      <c r="C2" s="386"/>
      <c r="D2" s="386"/>
      <c r="E2" s="386"/>
      <c r="F2" s="386"/>
      <c r="G2" s="386"/>
      <c r="H2" s="386"/>
      <c r="I2" s="386"/>
      <c r="J2" s="386"/>
      <c r="K2" s="94"/>
      <c r="L2" s="92"/>
      <c r="M2" s="93"/>
      <c r="N2" s="93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</row>
    <row r="3" spans="1:31">
      <c r="B3" s="387" t="str">
        <f>'Proforma-Proposed'!$A$6</f>
        <v>12 MONTHS ENDED SEPTEMBER 2016</v>
      </c>
      <c r="C3" s="387"/>
      <c r="D3" s="387"/>
      <c r="E3" s="387"/>
      <c r="F3" s="387"/>
      <c r="G3" s="387"/>
      <c r="H3" s="387"/>
      <c r="I3" s="387"/>
      <c r="J3" s="387"/>
      <c r="K3" s="95"/>
      <c r="L3" s="92"/>
      <c r="M3" s="93"/>
      <c r="N3" s="93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</row>
    <row r="4" spans="1:31">
      <c r="B4" s="388" t="s">
        <v>21</v>
      </c>
      <c r="C4" s="388"/>
      <c r="D4" s="388"/>
      <c r="E4" s="388"/>
      <c r="F4" s="388"/>
      <c r="G4" s="388"/>
      <c r="H4" s="388"/>
      <c r="I4" s="388"/>
      <c r="J4" s="388"/>
      <c r="K4" s="23"/>
      <c r="L4" s="92"/>
      <c r="M4" s="93"/>
      <c r="N4" s="93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</row>
    <row r="5" spans="1:31">
      <c r="B5" s="24" t="s">
        <v>100</v>
      </c>
      <c r="C5" s="96"/>
      <c r="D5" s="96"/>
      <c r="E5" s="97"/>
      <c r="F5" s="97"/>
      <c r="G5" s="96"/>
      <c r="H5" s="97"/>
      <c r="I5" s="96"/>
      <c r="J5" s="96"/>
      <c r="K5" s="96"/>
      <c r="L5" s="92"/>
      <c r="M5" s="93"/>
      <c r="N5" s="93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</row>
    <row r="6" spans="1:31">
      <c r="B6" s="24"/>
      <c r="C6" s="96"/>
      <c r="D6" s="96"/>
      <c r="E6" s="97"/>
      <c r="F6" s="97"/>
      <c r="G6" s="96"/>
      <c r="H6" s="97"/>
      <c r="I6" s="96"/>
      <c r="J6" s="96"/>
      <c r="K6" s="96"/>
      <c r="L6" s="92"/>
      <c r="M6" s="93"/>
      <c r="N6" s="93"/>
      <c r="O6" s="93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</row>
    <row r="7" spans="1:31">
      <c r="B7" s="96"/>
      <c r="C7" s="96"/>
      <c r="D7" s="96"/>
      <c r="E7" s="97"/>
      <c r="F7" s="97"/>
      <c r="G7" s="96"/>
      <c r="H7" s="97"/>
      <c r="I7" s="96"/>
      <c r="J7" s="96"/>
      <c r="K7" s="96"/>
      <c r="L7" s="92"/>
      <c r="M7" s="93"/>
      <c r="N7" s="93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</row>
    <row r="8" spans="1:31">
      <c r="B8" s="26"/>
      <c r="C8" s="26"/>
      <c r="D8" s="25"/>
      <c r="E8" s="26"/>
      <c r="F8" s="26"/>
      <c r="H8" s="26"/>
      <c r="I8" s="27"/>
      <c r="J8" s="27"/>
      <c r="K8" s="27"/>
      <c r="L8" s="92"/>
      <c r="M8" s="93"/>
      <c r="N8" s="93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</row>
    <row r="9" spans="1:31">
      <c r="A9" s="25" t="s">
        <v>7</v>
      </c>
      <c r="B9" s="26"/>
      <c r="C9" s="26"/>
      <c r="D9" s="25" t="s">
        <v>22</v>
      </c>
      <c r="E9" s="389" t="s">
        <v>3</v>
      </c>
      <c r="F9" s="390"/>
      <c r="G9" s="391"/>
      <c r="H9" s="392" t="s">
        <v>936</v>
      </c>
      <c r="I9" s="390"/>
      <c r="J9" s="391"/>
      <c r="K9" s="27"/>
      <c r="L9" s="92"/>
      <c r="M9" s="93"/>
      <c r="N9" s="93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</row>
    <row r="10" spans="1:31">
      <c r="A10" s="336" t="s">
        <v>13</v>
      </c>
      <c r="B10" s="337"/>
      <c r="C10" s="337"/>
      <c r="D10" s="336" t="s">
        <v>23</v>
      </c>
      <c r="E10" s="338" t="s">
        <v>24</v>
      </c>
      <c r="F10" s="338"/>
      <c r="G10" s="338" t="s">
        <v>25</v>
      </c>
      <c r="H10" s="338" t="s">
        <v>24</v>
      </c>
      <c r="I10" s="338"/>
      <c r="J10" s="338" t="s">
        <v>25</v>
      </c>
      <c r="K10" s="338"/>
      <c r="L10" s="339"/>
      <c r="M10" s="262"/>
      <c r="N10" s="26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</row>
    <row r="11" spans="1:31">
      <c r="A11" s="205"/>
      <c r="B11" s="26"/>
      <c r="C11" s="26"/>
      <c r="D11" s="28" t="s">
        <v>966</v>
      </c>
      <c r="E11" s="28" t="s">
        <v>959</v>
      </c>
      <c r="F11" s="28"/>
      <c r="G11" s="27" t="s">
        <v>960</v>
      </c>
      <c r="H11" s="28" t="s">
        <v>961</v>
      </c>
      <c r="I11" s="28"/>
      <c r="J11" s="28" t="s">
        <v>962</v>
      </c>
      <c r="K11" s="28"/>
      <c r="L11" s="28" t="s">
        <v>963</v>
      </c>
      <c r="M11" s="28" t="s">
        <v>964</v>
      </c>
      <c r="N11" s="28" t="s">
        <v>965</v>
      </c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</row>
    <row r="12" spans="1:31">
      <c r="A12" s="206">
        <v>1</v>
      </c>
      <c r="B12" s="207" t="s">
        <v>844</v>
      </c>
      <c r="C12" s="102"/>
      <c r="D12" s="102"/>
      <c r="E12" s="100"/>
      <c r="F12" s="102"/>
      <c r="G12" s="102"/>
      <c r="H12" s="100"/>
      <c r="I12" s="102"/>
      <c r="J12" s="102"/>
      <c r="K12" s="102"/>
      <c r="L12" s="92"/>
      <c r="M12" s="93"/>
      <c r="N12" s="93"/>
    </row>
    <row r="13" spans="1:31">
      <c r="A13" s="206">
        <f>A12+1</f>
        <v>2</v>
      </c>
      <c r="B13" s="207" t="s">
        <v>20</v>
      </c>
      <c r="C13" s="102"/>
      <c r="D13" s="102"/>
      <c r="E13" s="100"/>
      <c r="F13" s="102"/>
      <c r="G13" s="102"/>
      <c r="H13" s="100"/>
      <c r="I13" s="102"/>
      <c r="J13" s="102"/>
      <c r="K13" s="102"/>
      <c r="L13" s="278"/>
      <c r="M13" s="93"/>
      <c r="N13" s="93"/>
    </row>
    <row r="14" spans="1:31">
      <c r="A14" s="206">
        <f t="shared" ref="A14:A41" si="0">A13+1</f>
        <v>3</v>
      </c>
      <c r="B14" s="102" t="s">
        <v>33</v>
      </c>
      <c r="C14" s="102"/>
      <c r="D14" s="102"/>
      <c r="E14" s="100"/>
      <c r="F14" s="102"/>
      <c r="G14" s="102"/>
      <c r="H14" s="100"/>
      <c r="I14" s="102"/>
      <c r="J14" s="102"/>
      <c r="K14" s="102"/>
      <c r="L14" s="92"/>
      <c r="M14" s="93"/>
      <c r="N14" s="30"/>
    </row>
    <row r="15" spans="1:31">
      <c r="A15" s="206">
        <f t="shared" si="0"/>
        <v>4</v>
      </c>
      <c r="B15" s="102" t="s">
        <v>31</v>
      </c>
      <c r="C15" s="102"/>
      <c r="D15" s="100">
        <f>D30</f>
        <v>11996380</v>
      </c>
      <c r="E15" s="213">
        <f>E30</f>
        <v>7.49</v>
      </c>
      <c r="F15" s="102"/>
      <c r="G15" s="116">
        <f>ROUND(E15*$D15,0)</f>
        <v>89852886</v>
      </c>
      <c r="H15" s="213">
        <v>9</v>
      </c>
      <c r="I15" s="102"/>
      <c r="J15" s="116">
        <f>ROUND(H15*$D15,0)</f>
        <v>107967420</v>
      </c>
      <c r="K15" s="116"/>
      <c r="L15" s="393" t="s">
        <v>78</v>
      </c>
      <c r="M15" s="393"/>
      <c r="N15" s="393"/>
    </row>
    <row r="16" spans="1:31">
      <c r="A16" s="206">
        <f t="shared" si="0"/>
        <v>5</v>
      </c>
      <c r="B16" s="102" t="s">
        <v>32</v>
      </c>
      <c r="C16" s="102"/>
      <c r="D16" s="100">
        <f>D31</f>
        <v>2918</v>
      </c>
      <c r="E16" s="213">
        <f>E31</f>
        <v>17.989999999999998</v>
      </c>
      <c r="F16" s="102"/>
      <c r="G16" s="116">
        <f>ROUND(E16*$D16,0)</f>
        <v>52495</v>
      </c>
      <c r="H16" s="213">
        <f>ROUND(J15/G15*G16/D16,1)</f>
        <v>21.6</v>
      </c>
      <c r="I16" s="102"/>
      <c r="J16" s="116">
        <f>ROUND(H16*$D16,0)</f>
        <v>63029</v>
      </c>
      <c r="K16" s="116"/>
      <c r="L16" s="393" t="s">
        <v>79</v>
      </c>
      <c r="M16" s="393"/>
      <c r="N16" s="393"/>
    </row>
    <row r="17" spans="1:33">
      <c r="A17" s="206">
        <f t="shared" si="0"/>
        <v>6</v>
      </c>
      <c r="B17" s="212" t="s">
        <v>26</v>
      </c>
      <c r="C17" s="102"/>
      <c r="D17" s="117">
        <f>SUM(D15:D16)</f>
        <v>11999298</v>
      </c>
      <c r="E17" s="216"/>
      <c r="F17" s="102"/>
      <c r="G17" s="120">
        <f>SUM(G15:G16)</f>
        <v>89905381</v>
      </c>
      <c r="H17" s="216"/>
      <c r="I17" s="102"/>
      <c r="J17" s="120">
        <f>SUM(J15:J16)</f>
        <v>108030449</v>
      </c>
      <c r="K17" s="116"/>
      <c r="L17" s="393"/>
      <c r="M17" s="393"/>
      <c r="N17" s="393"/>
    </row>
    <row r="18" spans="1:33">
      <c r="A18" s="206">
        <f t="shared" si="0"/>
        <v>7</v>
      </c>
      <c r="B18" s="102" t="s">
        <v>86</v>
      </c>
      <c r="C18" s="102"/>
      <c r="D18" s="113"/>
      <c r="E18" s="216"/>
      <c r="F18" s="102"/>
      <c r="G18" s="103"/>
      <c r="H18" s="216"/>
      <c r="I18" s="102"/>
      <c r="J18" s="103"/>
      <c r="K18" s="116"/>
      <c r="L18" s="279"/>
      <c r="M18" s="279"/>
      <c r="N18" s="279"/>
    </row>
    <row r="19" spans="1:33">
      <c r="A19" s="206">
        <f t="shared" si="0"/>
        <v>8</v>
      </c>
      <c r="B19" s="209" t="s">
        <v>75</v>
      </c>
      <c r="C19" s="102"/>
      <c r="D19" s="100">
        <f>D34</f>
        <v>5973778123</v>
      </c>
      <c r="E19" s="208">
        <f>E34</f>
        <v>8.5578000000000001E-2</v>
      </c>
      <c r="F19" s="102"/>
      <c r="G19" s="116">
        <f>ROUND(E19*$D19,0)</f>
        <v>511223984</v>
      </c>
      <c r="H19" s="208">
        <v>9.1770000000000004E-2</v>
      </c>
      <c r="I19" s="102"/>
      <c r="J19" s="116">
        <f>ROUND(H19*$D19,0)</f>
        <v>548213618</v>
      </c>
      <c r="K19" s="116"/>
      <c r="L19" s="393" t="s">
        <v>898</v>
      </c>
      <c r="M19" s="393"/>
      <c r="N19" s="393"/>
    </row>
    <row r="20" spans="1:33" ht="15.6" customHeight="1">
      <c r="A20" s="206">
        <f t="shared" si="0"/>
        <v>9</v>
      </c>
      <c r="B20" s="209" t="s">
        <v>625</v>
      </c>
      <c r="C20" s="102"/>
      <c r="D20" s="100">
        <f>SUM(D35:D37)</f>
        <v>4254038622</v>
      </c>
      <c r="E20" s="208">
        <f>E35</f>
        <v>0.104157</v>
      </c>
      <c r="F20" s="102"/>
      <c r="G20" s="116">
        <f>ROUND(E20*$D20,0)</f>
        <v>443087901</v>
      </c>
      <c r="H20" s="208">
        <f>ROUND(J19/G19*G20/D20,6)</f>
        <v>0.111693</v>
      </c>
      <c r="I20" s="102"/>
      <c r="J20" s="116">
        <f>ROUND(H20*$D20,0)</f>
        <v>475146336</v>
      </c>
      <c r="K20" s="116"/>
      <c r="L20" s="394" t="s">
        <v>845</v>
      </c>
      <c r="M20" s="394"/>
      <c r="N20" s="394"/>
    </row>
    <row r="21" spans="1:33">
      <c r="A21" s="206">
        <f t="shared" si="0"/>
        <v>10</v>
      </c>
      <c r="B21" s="212" t="s">
        <v>26</v>
      </c>
      <c r="C21" s="280"/>
      <c r="D21" s="117">
        <f>SUM(D19:D20)</f>
        <v>10227816745</v>
      </c>
      <c r="E21" s="281"/>
      <c r="F21" s="116"/>
      <c r="G21" s="120">
        <f>SUM(G19:G20)</f>
        <v>954311885</v>
      </c>
      <c r="H21" s="116"/>
      <c r="I21" s="116"/>
      <c r="J21" s="120">
        <f>SUM(J19:J20)</f>
        <v>1023359954</v>
      </c>
      <c r="K21" s="116"/>
      <c r="L21" s="393"/>
      <c r="M21" s="393"/>
      <c r="N21" s="393"/>
    </row>
    <row r="22" spans="1:33" ht="15.6" customHeight="1">
      <c r="A22" s="206">
        <f t="shared" si="0"/>
        <v>11</v>
      </c>
      <c r="B22" s="123" t="s">
        <v>72</v>
      </c>
      <c r="C22" s="102"/>
      <c r="D22" s="100">
        <f>D39</f>
        <v>242969649</v>
      </c>
      <c r="E22" s="208">
        <f>E20</f>
        <v>0.104157</v>
      </c>
      <c r="F22" s="102"/>
      <c r="G22" s="116">
        <f>ROUND(E22*$D22,0)</f>
        <v>25306990</v>
      </c>
      <c r="H22" s="208">
        <f>H20</f>
        <v>0.111693</v>
      </c>
      <c r="I22" s="102"/>
      <c r="J22" s="116">
        <f>ROUND(H22*$D22,0)</f>
        <v>27138009</v>
      </c>
      <c r="K22" s="116"/>
      <c r="L22" s="393" t="s">
        <v>846</v>
      </c>
      <c r="M22" s="393"/>
      <c r="N22" s="393"/>
    </row>
    <row r="23" spans="1:33">
      <c r="A23" s="206">
        <f t="shared" si="0"/>
        <v>12</v>
      </c>
      <c r="B23" s="123" t="s">
        <v>77</v>
      </c>
      <c r="C23" s="220"/>
      <c r="D23" s="100">
        <f>D40</f>
        <v>-28359904.933104038</v>
      </c>
      <c r="E23" s="208">
        <f>ROUND(SUM($G$17,$G$21,$G$22)/SUM($D$21:$D$22),6)</f>
        <v>0.102144</v>
      </c>
      <c r="F23" s="102"/>
      <c r="G23" s="116">
        <f>ROUND(E23*$D23,0)</f>
        <v>-2896794</v>
      </c>
      <c r="H23" s="208">
        <f>ROUND(SUM($J$17,$J$21,$J$22)/SUM($D$21:$D$22),6)</f>
        <v>0.11064400000000001</v>
      </c>
      <c r="I23" s="102"/>
      <c r="J23" s="116">
        <f>ROUND(H23*$D23,0)</f>
        <v>-3137853</v>
      </c>
      <c r="K23" s="103"/>
      <c r="L23" s="393" t="s">
        <v>82</v>
      </c>
      <c r="M23" s="393"/>
      <c r="N23" s="393"/>
    </row>
    <row r="24" spans="1:33" ht="16.2" thickBot="1">
      <c r="A24" s="206">
        <f t="shared" si="0"/>
        <v>13</v>
      </c>
      <c r="B24" s="102" t="s">
        <v>27</v>
      </c>
      <c r="C24" s="102"/>
      <c r="D24" s="282">
        <f>SUM(D21:D23)</f>
        <v>10442426489.066896</v>
      </c>
      <c r="E24" s="208"/>
      <c r="F24" s="102"/>
      <c r="G24" s="215">
        <f>SUM(G21:G23,G17)</f>
        <v>1066627462</v>
      </c>
      <c r="H24" s="102"/>
      <c r="I24" s="102"/>
      <c r="J24" s="215">
        <f>SUM(J21:J23,J17)</f>
        <v>1155390559</v>
      </c>
      <c r="K24" s="109"/>
      <c r="L24" s="110" t="s">
        <v>28</v>
      </c>
      <c r="M24" s="230">
        <f>'Rate Spread'!K8*1000</f>
        <v>1155396313.6082006</v>
      </c>
      <c r="N24" s="112">
        <f>M24/G24-1</f>
        <v>8.3223857223545306E-2</v>
      </c>
    </row>
    <row r="25" spans="1:33" ht="16.2" thickTop="1">
      <c r="A25" s="206">
        <f t="shared" si="0"/>
        <v>14</v>
      </c>
      <c r="B25" s="102"/>
      <c r="C25" s="102"/>
      <c r="D25" s="113"/>
      <c r="E25" s="103"/>
      <c r="F25" s="103"/>
      <c r="G25" s="103"/>
      <c r="H25" s="103"/>
      <c r="I25" s="103"/>
      <c r="J25" s="103"/>
      <c r="K25" s="103"/>
      <c r="L25" s="114" t="s">
        <v>29</v>
      </c>
      <c r="M25" s="283">
        <f>M24-J24</f>
        <v>5754.6082005500793</v>
      </c>
      <c r="N25" s="284"/>
    </row>
    <row r="26" spans="1:33">
      <c r="A26" s="206">
        <f t="shared" si="0"/>
        <v>15</v>
      </c>
      <c r="D26" s="100"/>
      <c r="E26" s="102" t="s">
        <v>0</v>
      </c>
      <c r="F26" s="100"/>
      <c r="G26" s="116"/>
      <c r="H26" s="102" t="s">
        <v>0</v>
      </c>
      <c r="I26" s="100"/>
      <c r="J26" s="116" t="s">
        <v>0</v>
      </c>
      <c r="K26" s="116"/>
      <c r="L26" s="92"/>
      <c r="M26" s="93"/>
      <c r="N26" s="93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G26" s="99"/>
    </row>
    <row r="27" spans="1:33">
      <c r="A27" s="206">
        <f t="shared" si="0"/>
        <v>16</v>
      </c>
      <c r="B27" s="207" t="s">
        <v>624</v>
      </c>
      <c r="C27" s="102"/>
      <c r="D27" s="102"/>
      <c r="E27" s="100"/>
      <c r="F27" s="102"/>
      <c r="G27" s="102"/>
      <c r="H27" s="100"/>
      <c r="I27" s="102"/>
      <c r="J27" s="102"/>
      <c r="K27" s="102"/>
      <c r="L27" s="92"/>
      <c r="M27" s="93"/>
      <c r="N27" s="93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G27" s="99"/>
    </row>
    <row r="28" spans="1:33">
      <c r="A28" s="206">
        <f t="shared" si="0"/>
        <v>17</v>
      </c>
      <c r="B28" s="207" t="s">
        <v>20</v>
      </c>
      <c r="C28" s="102"/>
      <c r="D28" s="102"/>
      <c r="E28" s="100"/>
      <c r="F28" s="102"/>
      <c r="G28" s="102"/>
      <c r="H28" s="100"/>
      <c r="I28" s="102"/>
      <c r="J28" s="102"/>
      <c r="K28" s="102"/>
      <c r="L28" s="278"/>
      <c r="M28" s="93"/>
      <c r="N28" s="93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G28" s="99"/>
    </row>
    <row r="29" spans="1:33">
      <c r="A29" s="206">
        <f t="shared" si="0"/>
        <v>18</v>
      </c>
      <c r="B29" s="102" t="s">
        <v>33</v>
      </c>
      <c r="C29" s="102"/>
      <c r="D29" s="102"/>
      <c r="E29" s="100"/>
      <c r="F29" s="102"/>
      <c r="G29" s="102"/>
      <c r="H29" s="100"/>
      <c r="I29" s="102"/>
      <c r="J29" s="102"/>
      <c r="K29" s="102"/>
      <c r="L29" s="92"/>
      <c r="M29" s="93"/>
      <c r="N29" s="30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G29" s="99"/>
    </row>
    <row r="30" spans="1:33">
      <c r="A30" s="206">
        <f t="shared" si="0"/>
        <v>19</v>
      </c>
      <c r="B30" s="102" t="s">
        <v>31</v>
      </c>
      <c r="C30" s="102"/>
      <c r="D30" s="100">
        <v>11996380</v>
      </c>
      <c r="E30" s="213">
        <f>'Tariff Summary'!E8</f>
        <v>7.49</v>
      </c>
      <c r="F30" s="102"/>
      <c r="G30" s="116">
        <f>ROUND(E30*$D30,0)</f>
        <v>89852886</v>
      </c>
      <c r="H30" s="213">
        <v>9</v>
      </c>
      <c r="I30" s="102"/>
      <c r="J30" s="116">
        <f>ROUND(H30*$D30,0)</f>
        <v>107967420</v>
      </c>
      <c r="K30" s="116"/>
      <c r="L30" s="393" t="s">
        <v>78</v>
      </c>
      <c r="M30" s="393"/>
      <c r="N30" s="393"/>
      <c r="Z30" s="92"/>
      <c r="AA30" s="92"/>
      <c r="AB30" s="92"/>
      <c r="AC30" s="92"/>
      <c r="AD30" s="92"/>
      <c r="AE30" s="92"/>
      <c r="AG30" s="99"/>
    </row>
    <row r="31" spans="1:33">
      <c r="A31" s="206">
        <f t="shared" si="0"/>
        <v>20</v>
      </c>
      <c r="B31" s="102" t="s">
        <v>32</v>
      </c>
      <c r="C31" s="102"/>
      <c r="D31" s="100">
        <v>2918</v>
      </c>
      <c r="E31" s="213">
        <f>'Tariff Summary'!E9</f>
        <v>17.989999999999998</v>
      </c>
      <c r="F31" s="102"/>
      <c r="G31" s="116">
        <f>ROUND(E31*$D31,0)</f>
        <v>52495</v>
      </c>
      <c r="H31" s="213">
        <f>ROUND(J30/G30*G31/D31,1)</f>
        <v>21.6</v>
      </c>
      <c r="I31" s="102"/>
      <c r="J31" s="116">
        <f>ROUND(H31*$D31,0)</f>
        <v>63029</v>
      </c>
      <c r="K31" s="116"/>
      <c r="L31" s="393" t="s">
        <v>79</v>
      </c>
      <c r="M31" s="393"/>
      <c r="N31" s="393"/>
      <c r="Z31" s="92"/>
      <c r="AA31" s="92"/>
      <c r="AB31" s="92"/>
      <c r="AC31" s="92"/>
      <c r="AD31" s="92"/>
      <c r="AE31" s="92"/>
      <c r="AG31" s="99"/>
    </row>
    <row r="32" spans="1:33">
      <c r="A32" s="206">
        <f t="shared" si="0"/>
        <v>21</v>
      </c>
      <c r="B32" s="212" t="s">
        <v>26</v>
      </c>
      <c r="C32" s="102"/>
      <c r="D32" s="117">
        <f>SUM(D30:D31)</f>
        <v>11999298</v>
      </c>
      <c r="E32" s="216"/>
      <c r="F32" s="102"/>
      <c r="G32" s="120">
        <f>SUM(G30:G31)</f>
        <v>89905381</v>
      </c>
      <c r="H32" s="216"/>
      <c r="I32" s="102"/>
      <c r="J32" s="120">
        <f>SUM(J30:J31)</f>
        <v>108030449</v>
      </c>
      <c r="K32" s="116"/>
      <c r="L32" s="393"/>
      <c r="M32" s="393"/>
      <c r="N32" s="393"/>
      <c r="Z32" s="92"/>
      <c r="AA32" s="92"/>
      <c r="AB32" s="92"/>
      <c r="AC32" s="92"/>
      <c r="AD32" s="92"/>
      <c r="AE32" s="92"/>
      <c r="AG32" s="99"/>
    </row>
    <row r="33" spans="1:33">
      <c r="A33" s="206">
        <f t="shared" si="0"/>
        <v>22</v>
      </c>
      <c r="B33" s="102" t="s">
        <v>86</v>
      </c>
      <c r="C33" s="102"/>
      <c r="D33" s="113"/>
      <c r="E33" s="216"/>
      <c r="F33" s="102"/>
      <c r="G33" s="103"/>
      <c r="H33" s="216"/>
      <c r="I33" s="102"/>
      <c r="J33" s="103"/>
      <c r="K33" s="116"/>
      <c r="L33" s="279"/>
      <c r="M33" s="279"/>
      <c r="N33" s="279"/>
      <c r="Z33" s="92"/>
      <c r="AA33" s="92"/>
      <c r="AB33" s="92"/>
      <c r="AC33" s="92"/>
      <c r="AD33" s="92"/>
      <c r="AE33" s="92"/>
      <c r="AG33" s="99"/>
    </row>
    <row r="34" spans="1:33">
      <c r="A34" s="206">
        <f t="shared" si="0"/>
        <v>23</v>
      </c>
      <c r="B34" s="209" t="s">
        <v>75</v>
      </c>
      <c r="C34" s="102"/>
      <c r="D34" s="100">
        <v>5973778123</v>
      </c>
      <c r="E34" s="208">
        <f>'Tariff Summary'!E11</f>
        <v>8.5578000000000001E-2</v>
      </c>
      <c r="F34" s="102"/>
      <c r="G34" s="116">
        <f t="shared" ref="G34:G37" si="1">ROUND(E34*$D34,0)</f>
        <v>511223984</v>
      </c>
      <c r="H34" s="208">
        <v>9.6377000000000004E-2</v>
      </c>
      <c r="I34" s="102"/>
      <c r="J34" s="116">
        <f t="shared" ref="J34:J37" si="2">ROUND(H34*$D34,0)</f>
        <v>575734814</v>
      </c>
      <c r="K34" s="116"/>
      <c r="L34" s="393" t="s">
        <v>898</v>
      </c>
      <c r="M34" s="393"/>
      <c r="N34" s="393"/>
      <c r="O34" s="21"/>
      <c r="Q34" s="21"/>
      <c r="S34" s="99"/>
      <c r="T34" s="99"/>
      <c r="U34" s="21"/>
      <c r="Z34" s="92"/>
      <c r="AA34" s="92"/>
      <c r="AB34" s="92"/>
      <c r="AC34" s="92"/>
      <c r="AD34" s="92"/>
      <c r="AE34" s="92"/>
      <c r="AG34" s="99"/>
    </row>
    <row r="35" spans="1:33">
      <c r="A35" s="206">
        <f t="shared" si="0"/>
        <v>24</v>
      </c>
      <c r="B35" s="123" t="s">
        <v>73</v>
      </c>
      <c r="C35" s="102"/>
      <c r="D35" s="100">
        <v>1168812410</v>
      </c>
      <c r="E35" s="208">
        <f>'Tariff Summary'!E12</f>
        <v>0.104157</v>
      </c>
      <c r="F35" s="102"/>
      <c r="G35" s="116">
        <f t="shared" si="1"/>
        <v>121739994</v>
      </c>
      <c r="H35" s="208">
        <f>H34</f>
        <v>9.6377000000000004E-2</v>
      </c>
      <c r="I35" s="102"/>
      <c r="J35" s="116">
        <f t="shared" si="2"/>
        <v>112646634</v>
      </c>
      <c r="K35" s="116"/>
      <c r="L35" s="393"/>
      <c r="M35" s="393"/>
      <c r="N35" s="393"/>
      <c r="O35" s="21"/>
      <c r="Q35" s="21"/>
      <c r="S35" s="31"/>
      <c r="T35" s="31"/>
      <c r="U35" s="21"/>
      <c r="Z35" s="92"/>
      <c r="AA35" s="92"/>
      <c r="AB35" s="92"/>
      <c r="AC35" s="92"/>
      <c r="AD35" s="92"/>
      <c r="AE35" s="92"/>
      <c r="AG35" s="99"/>
    </row>
    <row r="36" spans="1:33" ht="15.6" customHeight="1">
      <c r="A36" s="206">
        <f t="shared" si="0"/>
        <v>25</v>
      </c>
      <c r="B36" s="123" t="s">
        <v>74</v>
      </c>
      <c r="C36" s="102"/>
      <c r="D36" s="100">
        <v>2302258119</v>
      </c>
      <c r="E36" s="208">
        <f>E35</f>
        <v>0.104157</v>
      </c>
      <c r="F36" s="102"/>
      <c r="G36" s="116">
        <f t="shared" si="1"/>
        <v>239796299</v>
      </c>
      <c r="H36" s="208">
        <f>ROUND(H34*E35/E34,6)</f>
        <v>0.1173</v>
      </c>
      <c r="I36" s="102"/>
      <c r="J36" s="116">
        <f t="shared" si="2"/>
        <v>270054877</v>
      </c>
      <c r="K36" s="116"/>
      <c r="L36" s="393" t="s">
        <v>897</v>
      </c>
      <c r="M36" s="393"/>
      <c r="N36" s="393"/>
      <c r="O36" s="21"/>
      <c r="Q36" s="21"/>
      <c r="S36" s="31"/>
      <c r="T36" s="31"/>
      <c r="U36" s="21"/>
      <c r="Z36" s="92"/>
      <c r="AA36" s="92"/>
      <c r="AB36" s="92"/>
      <c r="AC36" s="92"/>
      <c r="AD36" s="92"/>
      <c r="AE36" s="92"/>
      <c r="AG36" s="99"/>
    </row>
    <row r="37" spans="1:33">
      <c r="A37" s="206">
        <f t="shared" si="0"/>
        <v>26</v>
      </c>
      <c r="B37" s="123" t="s">
        <v>76</v>
      </c>
      <c r="C37" s="102"/>
      <c r="D37" s="100">
        <v>782968093</v>
      </c>
      <c r="E37" s="208">
        <f>E36</f>
        <v>0.104157</v>
      </c>
      <c r="F37" s="102"/>
      <c r="G37" s="116">
        <f t="shared" si="1"/>
        <v>81551608</v>
      </c>
      <c r="H37" s="208">
        <v>8.9742000000000002E-2</v>
      </c>
      <c r="I37" s="102"/>
      <c r="J37" s="116">
        <f t="shared" si="2"/>
        <v>70265123</v>
      </c>
      <c r="K37" s="116"/>
      <c r="L37" s="393" t="s">
        <v>80</v>
      </c>
      <c r="M37" s="393"/>
      <c r="N37" s="393"/>
      <c r="O37" s="21"/>
      <c r="Q37" s="21"/>
      <c r="S37" s="31"/>
      <c r="T37" s="31"/>
      <c r="U37" s="21"/>
      <c r="Z37" s="92"/>
      <c r="AA37" s="92"/>
      <c r="AB37" s="92"/>
      <c r="AC37" s="92"/>
      <c r="AD37" s="92"/>
      <c r="AE37" s="92"/>
      <c r="AG37" s="99"/>
    </row>
    <row r="38" spans="1:33">
      <c r="A38" s="206">
        <f t="shared" si="0"/>
        <v>27</v>
      </c>
      <c r="B38" s="212" t="s">
        <v>26</v>
      </c>
      <c r="C38" s="280"/>
      <c r="D38" s="117">
        <f>SUM(D34:D37)</f>
        <v>10227816745</v>
      </c>
      <c r="E38" s="281"/>
      <c r="F38" s="116"/>
      <c r="G38" s="120">
        <f>SUM(G34:G37)</f>
        <v>954311885</v>
      </c>
      <c r="H38" s="116"/>
      <c r="I38" s="116"/>
      <c r="J38" s="120">
        <f>SUM(J34:J37)</f>
        <v>1028701448</v>
      </c>
      <c r="K38" s="116"/>
      <c r="L38" s="393"/>
      <c r="M38" s="393"/>
      <c r="N38" s="393"/>
      <c r="Z38" s="92"/>
      <c r="AA38" s="92"/>
      <c r="AB38" s="92"/>
      <c r="AC38" s="92"/>
      <c r="AD38" s="92"/>
      <c r="AE38" s="92"/>
      <c r="AG38" s="99"/>
    </row>
    <row r="39" spans="1:33">
      <c r="A39" s="206">
        <f t="shared" si="0"/>
        <v>28</v>
      </c>
      <c r="B39" s="123" t="s">
        <v>72</v>
      </c>
      <c r="C39" s="102"/>
      <c r="D39" s="100">
        <v>242969649</v>
      </c>
      <c r="E39" s="208">
        <f>E37</f>
        <v>0.104157</v>
      </c>
      <c r="F39" s="102"/>
      <c r="G39" s="116">
        <f t="shared" ref="G39:G40" si="3">ROUND(E39*$D39,0)</f>
        <v>25306990</v>
      </c>
      <c r="H39" s="208">
        <f>H37</f>
        <v>8.9742000000000002E-2</v>
      </c>
      <c r="I39" s="102"/>
      <c r="J39" s="116">
        <f t="shared" ref="J39:J40" si="4">ROUND(H39*$D39,0)</f>
        <v>21804582</v>
      </c>
      <c r="K39" s="116"/>
      <c r="L39" s="393" t="s">
        <v>81</v>
      </c>
      <c r="M39" s="393"/>
      <c r="N39" s="393"/>
      <c r="O39" s="21"/>
      <c r="Q39" s="21"/>
      <c r="S39" s="31"/>
      <c r="T39" s="31"/>
      <c r="U39" s="21"/>
      <c r="Z39" s="92"/>
      <c r="AA39" s="92"/>
      <c r="AB39" s="92"/>
      <c r="AC39" s="92"/>
      <c r="AD39" s="92"/>
      <c r="AE39" s="92"/>
      <c r="AG39" s="99"/>
    </row>
    <row r="40" spans="1:33">
      <c r="A40" s="206">
        <f t="shared" si="0"/>
        <v>29</v>
      </c>
      <c r="B40" s="123" t="s">
        <v>77</v>
      </c>
      <c r="C40" s="220"/>
      <c r="D40" s="100">
        <v>-28359904.933104038</v>
      </c>
      <c r="E40" s="208">
        <f>ROUND(SUM($G$32,$G$38,$G$39)/SUM($D$38:$D$39),6)</f>
        <v>0.102144</v>
      </c>
      <c r="F40" s="102"/>
      <c r="G40" s="116">
        <f t="shared" si="3"/>
        <v>-2896794</v>
      </c>
      <c r="H40" s="208">
        <f>ROUND(SUM($J$32,$J$38,$J$39)/SUM($D$38:$D$39),6)</f>
        <v>0.11064499999999999</v>
      </c>
      <c r="I40" s="102"/>
      <c r="J40" s="116">
        <f t="shared" si="4"/>
        <v>-3137882</v>
      </c>
      <c r="K40" s="103"/>
      <c r="L40" s="393" t="s">
        <v>82</v>
      </c>
      <c r="M40" s="393"/>
      <c r="N40" s="393"/>
      <c r="Z40" s="92"/>
      <c r="AA40" s="92"/>
      <c r="AB40" s="92"/>
      <c r="AC40" s="92"/>
      <c r="AD40" s="92"/>
      <c r="AE40" s="92"/>
      <c r="AG40" s="99"/>
    </row>
    <row r="41" spans="1:33" ht="16.2" thickBot="1">
      <c r="A41" s="206">
        <f t="shared" si="0"/>
        <v>30</v>
      </c>
      <c r="B41" s="102" t="s">
        <v>27</v>
      </c>
      <c r="C41" s="102"/>
      <c r="D41" s="282">
        <f>SUM(D38:D40)</f>
        <v>10442426489.066896</v>
      </c>
      <c r="E41" s="208"/>
      <c r="F41" s="102"/>
      <c r="G41" s="215">
        <f>SUM(G38:G40,G32)</f>
        <v>1066627462</v>
      </c>
      <c r="H41" s="102"/>
      <c r="I41" s="102"/>
      <c r="J41" s="215">
        <f>SUM(J38:J40,J32)</f>
        <v>1155398597</v>
      </c>
      <c r="K41" s="109"/>
      <c r="L41" s="110" t="s">
        <v>28</v>
      </c>
      <c r="M41" s="230">
        <f>'Rate Spread'!K8*1000</f>
        <v>1155396313.6082006</v>
      </c>
      <c r="N41" s="112">
        <f>M41/G41-1</f>
        <v>8.3223857223545306E-2</v>
      </c>
      <c r="O41" s="29" t="s">
        <v>0</v>
      </c>
      <c r="P41" s="29" t="s">
        <v>0</v>
      </c>
      <c r="Z41" s="92"/>
      <c r="AA41" s="92"/>
      <c r="AB41" s="92"/>
      <c r="AC41" s="92"/>
      <c r="AD41" s="92"/>
      <c r="AE41" s="92"/>
      <c r="AG41" s="99"/>
    </row>
    <row r="42" spans="1:33" ht="16.2" thickTop="1">
      <c r="B42" s="102"/>
      <c r="C42" s="102"/>
      <c r="D42" s="113"/>
      <c r="E42" s="103"/>
      <c r="F42" s="103"/>
      <c r="G42" s="103"/>
      <c r="H42" s="103"/>
      <c r="I42" s="103"/>
      <c r="J42" s="103"/>
      <c r="K42" s="103"/>
      <c r="L42" s="114" t="s">
        <v>29</v>
      </c>
      <c r="M42" s="283">
        <f>M41-J41</f>
        <v>-2283.3917994499207</v>
      </c>
      <c r="N42" s="284"/>
      <c r="Z42" s="92"/>
      <c r="AA42" s="92"/>
      <c r="AB42" s="92"/>
      <c r="AC42" s="92"/>
      <c r="AD42" s="92"/>
      <c r="AE42" s="92"/>
      <c r="AG42" s="99"/>
    </row>
    <row r="43" spans="1:33">
      <c r="B43" s="102"/>
      <c r="C43" s="102"/>
      <c r="D43" s="113"/>
      <c r="E43" s="208"/>
      <c r="F43" s="103"/>
      <c r="G43" s="103"/>
      <c r="H43" s="103"/>
      <c r="I43" s="103"/>
      <c r="J43" s="103"/>
      <c r="K43" s="103"/>
      <c r="L43" s="285"/>
      <c r="M43" s="286"/>
      <c r="N43" s="287"/>
      <c r="Z43" s="92"/>
      <c r="AA43" s="92"/>
      <c r="AB43" s="92"/>
      <c r="AC43" s="92"/>
      <c r="AD43" s="92"/>
      <c r="AE43" s="92"/>
      <c r="AG43" s="99"/>
    </row>
    <row r="44" spans="1:33">
      <c r="B44" s="102"/>
      <c r="C44" s="275"/>
      <c r="D44" s="100"/>
      <c r="E44" s="102" t="s">
        <v>0</v>
      </c>
      <c r="F44" s="102"/>
      <c r="H44" s="102" t="s">
        <v>0</v>
      </c>
      <c r="I44" s="102"/>
      <c r="J44" s="116" t="s">
        <v>0</v>
      </c>
      <c r="K44" s="116"/>
      <c r="L44" s="92"/>
      <c r="M44" s="93"/>
      <c r="N44" s="93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G44" s="99"/>
    </row>
    <row r="46" spans="1:33">
      <c r="D46" s="100"/>
      <c r="E46" s="102" t="s">
        <v>0</v>
      </c>
      <c r="F46" s="100"/>
      <c r="G46" s="116"/>
      <c r="H46" s="102" t="s">
        <v>0</v>
      </c>
      <c r="I46" s="100"/>
      <c r="J46" s="116" t="s">
        <v>0</v>
      </c>
      <c r="K46" s="116"/>
      <c r="L46" s="92"/>
      <c r="M46" s="93"/>
      <c r="N46" s="93"/>
    </row>
    <row r="50" spans="8:12">
      <c r="H50" s="269"/>
      <c r="L50" s="238"/>
    </row>
    <row r="51" spans="8:12">
      <c r="H51" s="269"/>
      <c r="L51" s="238"/>
    </row>
  </sheetData>
  <mergeCells count="24">
    <mergeCell ref="L22:N22"/>
    <mergeCell ref="L21:N21"/>
    <mergeCell ref="L23:N23"/>
    <mergeCell ref="L15:N15"/>
    <mergeCell ref="L16:N16"/>
    <mergeCell ref="L17:N17"/>
    <mergeCell ref="L19:N19"/>
    <mergeCell ref="L20:N20"/>
    <mergeCell ref="L37:N37"/>
    <mergeCell ref="L38:N38"/>
    <mergeCell ref="L39:N39"/>
    <mergeCell ref="L40:N40"/>
    <mergeCell ref="L36:N36"/>
    <mergeCell ref="L30:N30"/>
    <mergeCell ref="L31:N31"/>
    <mergeCell ref="L32:N32"/>
    <mergeCell ref="L34:N34"/>
    <mergeCell ref="L35:N35"/>
    <mergeCell ref="B1:K1"/>
    <mergeCell ref="B2:J2"/>
    <mergeCell ref="B3:J3"/>
    <mergeCell ref="B4:J4"/>
    <mergeCell ref="E9:G9"/>
    <mergeCell ref="H9:J9"/>
  </mergeCells>
  <printOptions horizontalCentered="1"/>
  <pageMargins left="0.7" right="0.7" top="0.75" bottom="0.71" header="0.3" footer="0.3"/>
  <pageSetup scale="76" fitToHeight="7" orientation="landscape" r:id="rId1"/>
  <headerFooter alignWithMargins="0">
    <oddFooter>&amp;L&amp;A&amp;RExhibit No.___(JAP-15)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8"/>
  <dimension ref="A1:AO129"/>
  <sheetViews>
    <sheetView zoomScale="90" zoomScaleNormal="90" zoomScaleSheetLayoutView="80" workbookViewId="0">
      <pane ySplit="10" topLeftCell="A128" activePane="bottomLeft" state="frozen"/>
      <selection sqref="A1:XFD1048576"/>
      <selection pane="bottomLeft" activeCell="A10" sqref="A10:N10"/>
    </sheetView>
  </sheetViews>
  <sheetFormatPr defaultColWidth="10.19921875" defaultRowHeight="15.6"/>
  <cols>
    <col min="1" max="1" width="5.09765625" style="29" bestFit="1" customWidth="1"/>
    <col min="2" max="2" width="42.3984375" style="29" bestFit="1" customWidth="1"/>
    <col min="3" max="3" width="1.3984375" style="29" bestFit="1" customWidth="1"/>
    <col min="4" max="4" width="13.19921875" style="29" bestFit="1" customWidth="1"/>
    <col min="5" max="5" width="12.796875" style="29" bestFit="1" customWidth="1"/>
    <col min="6" max="6" width="2" style="29" bestFit="1" customWidth="1"/>
    <col min="7" max="7" width="12.59765625" style="29" bestFit="1" customWidth="1"/>
    <col min="8" max="8" width="14.5" style="29" customWidth="1"/>
    <col min="9" max="9" width="2" style="29" bestFit="1" customWidth="1"/>
    <col min="10" max="10" width="14.5" style="29" customWidth="1"/>
    <col min="11" max="11" width="1.59765625" style="29" customWidth="1"/>
    <col min="12" max="12" width="38.796875" style="29" bestFit="1" customWidth="1"/>
    <col min="13" max="13" width="12.59765625" style="98" bestFit="1" customWidth="1"/>
    <col min="14" max="14" width="10.19921875" style="98" bestFit="1" customWidth="1"/>
    <col min="15" max="15" width="7.09765625" style="98" bestFit="1" customWidth="1"/>
    <col min="16" max="16" width="9.796875" style="29" bestFit="1" customWidth="1"/>
    <col min="17" max="18" width="1.3984375" style="29" bestFit="1" customWidth="1"/>
    <col min="19" max="19" width="14.09765625" style="29" bestFit="1" customWidth="1"/>
    <col min="20" max="20" width="1.3984375" style="29" bestFit="1" customWidth="1"/>
    <col min="21" max="21" width="13.19921875" style="29" bestFit="1" customWidth="1"/>
    <col min="22" max="22" width="13" style="29" bestFit="1" customWidth="1"/>
    <col min="23" max="23" width="12.19921875" style="29" bestFit="1" customWidth="1"/>
    <col min="24" max="24" width="5.5" style="29" bestFit="1" customWidth="1"/>
    <col min="25" max="25" width="1.3984375" style="29" bestFit="1" customWidth="1"/>
    <col min="26" max="26" width="10.19921875" style="29" customWidth="1"/>
    <col min="27" max="27" width="12.09765625" style="29" customWidth="1"/>
    <col min="28" max="16384" width="10.19921875" style="29"/>
  </cols>
  <sheetData>
    <row r="1" spans="1:41" ht="17.399999999999999">
      <c r="B1" s="386" t="s">
        <v>44</v>
      </c>
      <c r="C1" s="386"/>
      <c r="D1" s="386"/>
      <c r="E1" s="386"/>
      <c r="F1" s="386"/>
      <c r="G1" s="386"/>
      <c r="H1" s="386"/>
      <c r="I1" s="386"/>
      <c r="J1" s="386"/>
      <c r="K1" s="386"/>
      <c r="L1" s="92"/>
      <c r="M1" s="93"/>
      <c r="N1" s="93"/>
      <c r="O1" s="93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</row>
    <row r="2" spans="1:41" ht="17.399999999999999">
      <c r="B2" s="386"/>
      <c r="C2" s="386"/>
      <c r="D2" s="386"/>
      <c r="E2" s="386"/>
      <c r="F2" s="386"/>
      <c r="G2" s="386"/>
      <c r="H2" s="386"/>
      <c r="I2" s="386"/>
      <c r="J2" s="386"/>
      <c r="K2" s="94"/>
      <c r="L2" s="92"/>
      <c r="M2" s="93"/>
      <c r="N2" s="93"/>
      <c r="O2" s="93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</row>
    <row r="3" spans="1:41">
      <c r="B3" s="387" t="str">
        <f>'Proforma-Proposed'!$A$6</f>
        <v>12 MONTHS ENDED SEPTEMBER 2016</v>
      </c>
      <c r="C3" s="387"/>
      <c r="D3" s="387"/>
      <c r="E3" s="387"/>
      <c r="F3" s="387"/>
      <c r="G3" s="387"/>
      <c r="H3" s="387"/>
      <c r="I3" s="387"/>
      <c r="J3" s="387"/>
      <c r="K3" s="95"/>
      <c r="L3" s="92"/>
      <c r="M3" s="93"/>
      <c r="N3" s="93"/>
      <c r="O3" s="93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</row>
    <row r="4" spans="1:41">
      <c r="B4" s="388" t="s">
        <v>21</v>
      </c>
      <c r="C4" s="388"/>
      <c r="D4" s="388"/>
      <c r="E4" s="388"/>
      <c r="F4" s="388"/>
      <c r="G4" s="388"/>
      <c r="H4" s="388"/>
      <c r="I4" s="388"/>
      <c r="J4" s="388"/>
      <c r="K4" s="23"/>
      <c r="L4" s="92"/>
      <c r="M4" s="93"/>
      <c r="N4" s="93"/>
      <c r="O4" s="93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</row>
    <row r="5" spans="1:41">
      <c r="B5" s="24" t="s">
        <v>101</v>
      </c>
      <c r="C5" s="96"/>
      <c r="D5" s="96"/>
      <c r="E5" s="97"/>
      <c r="F5" s="97"/>
      <c r="G5" s="96"/>
      <c r="H5" s="97"/>
      <c r="I5" s="96"/>
      <c r="J5" s="96"/>
      <c r="K5" s="96"/>
      <c r="L5" s="92"/>
      <c r="M5" s="93"/>
      <c r="N5" s="93"/>
      <c r="O5" s="93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</row>
    <row r="6" spans="1:41">
      <c r="B6" s="24"/>
      <c r="C6" s="96"/>
      <c r="D6" s="96"/>
      <c r="E6" s="97"/>
      <c r="F6" s="97"/>
      <c r="G6" s="96"/>
      <c r="H6" s="97"/>
      <c r="I6" s="96"/>
      <c r="J6" s="96"/>
      <c r="K6" s="96"/>
      <c r="L6" s="92"/>
      <c r="M6" s="93"/>
      <c r="N6" s="93"/>
      <c r="O6" s="93"/>
      <c r="P6" s="93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</row>
    <row r="7" spans="1:41">
      <c r="B7" s="96"/>
      <c r="C7" s="96"/>
      <c r="D7" s="96"/>
      <c r="E7" s="97"/>
      <c r="F7" s="97"/>
      <c r="G7" s="96"/>
      <c r="H7" s="97"/>
      <c r="I7" s="96"/>
      <c r="J7" s="96"/>
      <c r="K7" s="96"/>
      <c r="L7" s="92"/>
      <c r="M7" s="93"/>
      <c r="N7" s="93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</row>
    <row r="8" spans="1:41">
      <c r="B8" s="26"/>
      <c r="C8" s="26"/>
      <c r="D8" s="25"/>
      <c r="E8" s="26"/>
      <c r="F8" s="26"/>
      <c r="H8" s="26"/>
      <c r="I8" s="27"/>
      <c r="J8" s="27"/>
      <c r="K8" s="27"/>
      <c r="L8" s="92"/>
      <c r="M8" s="93"/>
      <c r="N8" s="93"/>
      <c r="O8" s="93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</row>
    <row r="9" spans="1:41">
      <c r="A9" s="25" t="s">
        <v>7</v>
      </c>
      <c r="B9" s="26"/>
      <c r="C9" s="26"/>
      <c r="D9" s="25" t="s">
        <v>22</v>
      </c>
      <c r="E9" s="389" t="s">
        <v>3</v>
      </c>
      <c r="F9" s="390"/>
      <c r="G9" s="391"/>
      <c r="H9" s="392" t="str">
        <f>'Residential Rate Design'!$H$9</f>
        <v xml:space="preserve">Proposed </v>
      </c>
      <c r="I9" s="390"/>
      <c r="J9" s="391"/>
      <c r="K9" s="27"/>
      <c r="L9" s="92"/>
      <c r="M9" s="93"/>
      <c r="N9" s="93"/>
      <c r="O9" s="93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</row>
    <row r="10" spans="1:41">
      <c r="A10" s="336" t="s">
        <v>13</v>
      </c>
      <c r="B10" s="337"/>
      <c r="C10" s="337"/>
      <c r="D10" s="336" t="s">
        <v>23</v>
      </c>
      <c r="E10" s="338" t="s">
        <v>24</v>
      </c>
      <c r="F10" s="338"/>
      <c r="G10" s="338" t="s">
        <v>25</v>
      </c>
      <c r="H10" s="338" t="s">
        <v>24</v>
      </c>
      <c r="I10" s="338"/>
      <c r="J10" s="338" t="s">
        <v>25</v>
      </c>
      <c r="K10" s="338"/>
      <c r="L10" s="339"/>
      <c r="M10" s="262"/>
      <c r="N10" s="262"/>
      <c r="O10" s="93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</row>
    <row r="11" spans="1:41">
      <c r="A11" s="205"/>
      <c r="B11" s="102"/>
      <c r="C11" s="275"/>
      <c r="D11" s="28" t="s">
        <v>966</v>
      </c>
      <c r="E11" s="28" t="s">
        <v>959</v>
      </c>
      <c r="F11" s="28"/>
      <c r="G11" s="27" t="s">
        <v>960</v>
      </c>
      <c r="H11" s="28" t="s">
        <v>961</v>
      </c>
      <c r="I11" s="28"/>
      <c r="J11" s="28" t="s">
        <v>962</v>
      </c>
      <c r="K11" s="28"/>
      <c r="L11" s="28" t="s">
        <v>963</v>
      </c>
      <c r="M11" s="28" t="s">
        <v>964</v>
      </c>
      <c r="N11" s="28" t="s">
        <v>965</v>
      </c>
      <c r="O11" s="93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H11" s="99"/>
    </row>
    <row r="12" spans="1:41">
      <c r="A12" s="206">
        <v>1</v>
      </c>
      <c r="B12" s="207" t="s">
        <v>110</v>
      </c>
      <c r="C12" s="102"/>
      <c r="D12" s="102" t="s">
        <v>0</v>
      </c>
      <c r="E12" s="116"/>
      <c r="F12" s="102"/>
      <c r="G12" s="102"/>
      <c r="H12" s="116"/>
      <c r="I12" s="102"/>
      <c r="J12" s="102"/>
      <c r="K12" s="102"/>
      <c r="L12" s="92"/>
      <c r="M12" s="93"/>
      <c r="N12" s="93"/>
      <c r="O12" s="93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H12" s="99"/>
    </row>
    <row r="13" spans="1:41">
      <c r="A13" s="206">
        <f>A12+1</f>
        <v>2</v>
      </c>
      <c r="B13" s="207" t="s">
        <v>91</v>
      </c>
      <c r="C13" s="102"/>
      <c r="D13" s="102"/>
      <c r="E13" s="116"/>
      <c r="F13" s="102"/>
      <c r="G13" s="102"/>
      <c r="H13" s="116"/>
      <c r="I13" s="102"/>
      <c r="J13" s="102"/>
      <c r="K13" s="102"/>
      <c r="L13" s="92"/>
      <c r="M13" s="93"/>
      <c r="N13" s="93"/>
      <c r="O13" s="93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H13" s="99"/>
    </row>
    <row r="14" spans="1:41">
      <c r="A14" s="206">
        <f t="shared" ref="A14:A77" si="0">A13+1</f>
        <v>3</v>
      </c>
      <c r="B14" s="102" t="s">
        <v>33</v>
      </c>
      <c r="C14" s="102"/>
      <c r="D14" s="100"/>
      <c r="E14" s="116"/>
      <c r="F14" s="102"/>
      <c r="G14" s="102"/>
      <c r="H14" s="116"/>
      <c r="I14" s="102"/>
      <c r="J14" s="102"/>
      <c r="K14" s="102"/>
      <c r="N14" s="101"/>
      <c r="O14" s="101"/>
      <c r="Q14" s="99"/>
      <c r="R14" s="32"/>
      <c r="S14" s="99"/>
      <c r="T14" s="32"/>
      <c r="U14" s="99"/>
      <c r="V14" s="99"/>
      <c r="W14" s="32"/>
      <c r="X14" s="21"/>
      <c r="Y14" s="99"/>
      <c r="Z14" s="99"/>
      <c r="AH14" s="92"/>
      <c r="AI14" s="92"/>
      <c r="AJ14" s="92"/>
      <c r="AK14" s="92"/>
      <c r="AL14" s="92"/>
      <c r="AM14" s="92"/>
      <c r="AO14" s="99"/>
    </row>
    <row r="15" spans="1:41">
      <c r="A15" s="206">
        <f t="shared" si="0"/>
        <v>4</v>
      </c>
      <c r="B15" s="102" t="s">
        <v>31</v>
      </c>
      <c r="C15" s="102"/>
      <c r="D15" s="100">
        <v>1066064</v>
      </c>
      <c r="E15" s="213">
        <f>'Tariff Summary'!E15</f>
        <v>9.66</v>
      </c>
      <c r="F15" s="102"/>
      <c r="G15" s="116">
        <f>ROUND(E15*$D15,0)</f>
        <v>10298178</v>
      </c>
      <c r="H15" s="213">
        <f>ROUND(E15*(1+$N$25),2)</f>
        <v>10.26</v>
      </c>
      <c r="I15" s="102"/>
      <c r="J15" s="116">
        <f>ROUND(H15*$D15,0)</f>
        <v>10937817</v>
      </c>
      <c r="K15" s="103"/>
      <c r="L15" s="394" t="s">
        <v>89</v>
      </c>
      <c r="M15" s="394"/>
      <c r="N15" s="394"/>
      <c r="O15" s="17"/>
      <c r="Q15" s="99"/>
      <c r="R15" s="32"/>
      <c r="S15" s="99"/>
      <c r="T15" s="32"/>
      <c r="U15" s="99"/>
      <c r="V15" s="99"/>
      <c r="W15" s="32"/>
      <c r="X15" s="21"/>
      <c r="Y15" s="99"/>
      <c r="Z15" s="99"/>
      <c r="AH15" s="92"/>
      <c r="AI15" s="92"/>
      <c r="AJ15" s="92"/>
      <c r="AK15" s="92"/>
      <c r="AL15" s="92"/>
      <c r="AM15" s="92"/>
      <c r="AO15" s="99"/>
    </row>
    <row r="16" spans="1:41">
      <c r="A16" s="206">
        <f t="shared" si="0"/>
        <v>5</v>
      </c>
      <c r="B16" s="102" t="s">
        <v>32</v>
      </c>
      <c r="C16" s="102"/>
      <c r="D16" s="100">
        <v>455851</v>
      </c>
      <c r="E16" s="213">
        <f>'Tariff Summary'!E16</f>
        <v>24.55</v>
      </c>
      <c r="F16" s="276"/>
      <c r="G16" s="116">
        <f>ROUND(E16*$D16,0)</f>
        <v>11191142</v>
      </c>
      <c r="H16" s="213">
        <f>ROUND(E16*(1+$N$25),2)</f>
        <v>26.08</v>
      </c>
      <c r="I16" s="276"/>
      <c r="J16" s="116">
        <f>ROUND(H16*$D16,0)</f>
        <v>11888594</v>
      </c>
      <c r="K16" s="103"/>
      <c r="L16" s="394" t="s">
        <v>89</v>
      </c>
      <c r="M16" s="394"/>
      <c r="N16" s="394"/>
      <c r="O16" s="17"/>
      <c r="P16" s="98"/>
      <c r="Q16" s="99"/>
      <c r="R16" s="32"/>
      <c r="S16" s="99"/>
      <c r="T16" s="104"/>
      <c r="U16" s="99"/>
      <c r="V16" s="99"/>
      <c r="W16" s="104"/>
      <c r="Y16" s="92"/>
      <c r="Z16" s="92"/>
      <c r="AA16" s="92"/>
      <c r="AB16" s="92"/>
      <c r="AC16" s="92"/>
      <c r="AD16" s="92"/>
      <c r="AE16" s="92"/>
      <c r="AF16" s="92"/>
      <c r="AH16" s="99"/>
    </row>
    <row r="17" spans="1:34">
      <c r="A17" s="206">
        <f t="shared" si="0"/>
        <v>6</v>
      </c>
      <c r="B17" s="212" t="s">
        <v>26</v>
      </c>
      <c r="C17" s="102"/>
      <c r="D17" s="117">
        <f>SUM(D15:D16)</f>
        <v>1521915</v>
      </c>
      <c r="E17" s="216"/>
      <c r="F17" s="102"/>
      <c r="G17" s="120">
        <f>SUM(G15:G16)</f>
        <v>21489320</v>
      </c>
      <c r="H17" s="216"/>
      <c r="I17" s="102"/>
      <c r="J17" s="120">
        <f>SUM(J15:J16)</f>
        <v>22826411</v>
      </c>
      <c r="K17" s="103"/>
      <c r="L17" s="204"/>
      <c r="N17" s="101"/>
      <c r="O17" s="101"/>
      <c r="P17" s="98"/>
      <c r="Y17" s="92"/>
      <c r="Z17" s="92"/>
      <c r="AA17" s="92"/>
      <c r="AB17" s="92"/>
      <c r="AC17" s="92"/>
      <c r="AD17" s="92"/>
      <c r="AE17" s="92"/>
      <c r="AF17" s="92"/>
      <c r="AH17" s="99"/>
    </row>
    <row r="18" spans="1:34">
      <c r="A18" s="206">
        <f t="shared" si="0"/>
        <v>7</v>
      </c>
      <c r="B18" s="102" t="s">
        <v>86</v>
      </c>
      <c r="C18" s="102"/>
      <c r="D18" s="100"/>
      <c r="E18" s="216"/>
      <c r="F18" s="102"/>
      <c r="G18" s="103"/>
      <c r="H18" s="216"/>
      <c r="I18" s="102"/>
      <c r="J18" s="103"/>
      <c r="K18" s="103"/>
      <c r="L18" s="204"/>
      <c r="N18" s="101"/>
      <c r="O18" s="101"/>
      <c r="P18" s="98"/>
      <c r="Y18" s="92"/>
      <c r="Z18" s="92"/>
      <c r="AA18" s="92"/>
      <c r="AB18" s="92"/>
      <c r="AC18" s="92"/>
      <c r="AD18" s="92"/>
      <c r="AE18" s="92"/>
      <c r="AF18" s="92"/>
      <c r="AH18" s="99"/>
    </row>
    <row r="19" spans="1:34">
      <c r="A19" s="206">
        <f t="shared" si="0"/>
        <v>8</v>
      </c>
      <c r="B19" s="209" t="s">
        <v>84</v>
      </c>
      <c r="C19" s="102"/>
      <c r="D19" s="100">
        <v>1448584632</v>
      </c>
      <c r="E19" s="208">
        <f>'Tariff Summary'!E18</f>
        <v>8.9456999999999995E-2</v>
      </c>
      <c r="F19" s="102"/>
      <c r="G19" s="116">
        <f t="shared" ref="G19:G20" si="1">ROUND(E19*$D19,0)</f>
        <v>129586035</v>
      </c>
      <c r="H19" s="208">
        <f>ROUND(E19*(1+$N$25),6)+0.000003</f>
        <v>9.5044000000000003E-2</v>
      </c>
      <c r="I19" s="102"/>
      <c r="J19" s="116">
        <f t="shared" ref="J19:J20" si="2">ROUND(H19*$D19,0)</f>
        <v>137679278</v>
      </c>
      <c r="K19" s="103"/>
      <c r="L19" s="394" t="s">
        <v>90</v>
      </c>
      <c r="M19" s="394"/>
      <c r="N19" s="394"/>
      <c r="O19" s="17"/>
      <c r="P19" s="98"/>
      <c r="Q19" s="20"/>
      <c r="R19" s="20"/>
      <c r="S19" s="20"/>
      <c r="T19" s="20"/>
      <c r="U19" s="20"/>
      <c r="V19" s="20"/>
      <c r="Y19" s="92"/>
      <c r="Z19" s="92"/>
      <c r="AA19" s="92"/>
      <c r="AB19" s="92"/>
      <c r="AC19" s="92"/>
      <c r="AD19" s="92"/>
      <c r="AE19" s="92"/>
      <c r="AF19" s="92"/>
      <c r="AH19" s="99"/>
    </row>
    <row r="20" spans="1:34">
      <c r="A20" s="206">
        <f t="shared" si="0"/>
        <v>9</v>
      </c>
      <c r="B20" s="123" t="s">
        <v>85</v>
      </c>
      <c r="C20" s="102"/>
      <c r="D20" s="100">
        <v>1297302966.9230001</v>
      </c>
      <c r="E20" s="208">
        <f>'Tariff Summary'!E19</f>
        <v>8.6359000000000005E-2</v>
      </c>
      <c r="F20" s="102"/>
      <c r="G20" s="116">
        <f t="shared" si="1"/>
        <v>112033787</v>
      </c>
      <c r="H20" s="208">
        <f>ROUND(E20*(1+$N$25),6)</f>
        <v>9.1748999999999997E-2</v>
      </c>
      <c r="I20" s="102"/>
      <c r="J20" s="116">
        <f t="shared" si="2"/>
        <v>119026250</v>
      </c>
      <c r="K20" s="103"/>
      <c r="L20" s="394" t="s">
        <v>89</v>
      </c>
      <c r="M20" s="394"/>
      <c r="N20" s="394"/>
      <c r="O20" s="17"/>
      <c r="P20" s="98"/>
      <c r="Y20" s="92"/>
      <c r="Z20" s="92"/>
      <c r="AA20" s="92"/>
      <c r="AB20" s="92"/>
      <c r="AC20" s="92"/>
      <c r="AD20" s="92"/>
      <c r="AE20" s="92"/>
      <c r="AF20" s="92"/>
      <c r="AH20" s="99"/>
    </row>
    <row r="21" spans="1:34">
      <c r="A21" s="206">
        <f t="shared" si="0"/>
        <v>10</v>
      </c>
      <c r="B21" s="212" t="s">
        <v>26</v>
      </c>
      <c r="C21" s="105"/>
      <c r="D21" s="117">
        <f>SUM(D19:D20)</f>
        <v>2745887598.9230003</v>
      </c>
      <c r="E21" s="256"/>
      <c r="F21" s="102"/>
      <c r="G21" s="120">
        <f>SUM(G19:G20)</f>
        <v>241619822</v>
      </c>
      <c r="H21" s="256"/>
      <c r="I21" s="102"/>
      <c r="J21" s="120">
        <f>SUM(J19:J20)</f>
        <v>256705528</v>
      </c>
      <c r="K21" s="103"/>
      <c r="L21" s="204"/>
      <c r="Y21" s="92"/>
      <c r="Z21" s="92"/>
      <c r="AA21" s="92"/>
      <c r="AB21" s="92"/>
      <c r="AC21" s="92"/>
      <c r="AD21" s="92"/>
      <c r="AE21" s="92"/>
      <c r="AF21" s="92"/>
      <c r="AH21" s="99"/>
    </row>
    <row r="22" spans="1:34">
      <c r="A22" s="206">
        <f t="shared" si="0"/>
        <v>11</v>
      </c>
      <c r="B22" s="209" t="s">
        <v>87</v>
      </c>
      <c r="C22" s="105"/>
      <c r="D22" s="100">
        <v>21337341.172849126</v>
      </c>
      <c r="E22" s="208">
        <f>E19</f>
        <v>8.9456999999999995E-2</v>
      </c>
      <c r="F22" s="102"/>
      <c r="G22" s="116">
        <f t="shared" ref="G22:G24" si="3">ROUND(E22*$D22,0)</f>
        <v>1908775</v>
      </c>
      <c r="H22" s="208">
        <f>H19</f>
        <v>9.5044000000000003E-2</v>
      </c>
      <c r="I22" s="102"/>
      <c r="J22" s="116">
        <f t="shared" ref="J22:J24" si="4">ROUND(H22*$D22,0)</f>
        <v>2027986</v>
      </c>
      <c r="K22" s="103"/>
      <c r="L22" s="394" t="s">
        <v>89</v>
      </c>
      <c r="M22" s="394"/>
      <c r="N22" s="394"/>
      <c r="Y22" s="92"/>
      <c r="Z22" s="92"/>
      <c r="AA22" s="92"/>
      <c r="AB22" s="92"/>
      <c r="AC22" s="92"/>
      <c r="AD22" s="92"/>
      <c r="AE22" s="92"/>
      <c r="AF22" s="92"/>
      <c r="AH22" s="99"/>
    </row>
    <row r="23" spans="1:34">
      <c r="A23" s="206">
        <f t="shared" si="0"/>
        <v>12</v>
      </c>
      <c r="B23" s="209" t="s">
        <v>88</v>
      </c>
      <c r="C23" s="105"/>
      <c r="D23" s="100">
        <v>1211126.9944080415</v>
      </c>
      <c r="E23" s="208">
        <f>E20</f>
        <v>8.6359000000000005E-2</v>
      </c>
      <c r="F23" s="208"/>
      <c r="G23" s="116">
        <f t="shared" si="3"/>
        <v>104592</v>
      </c>
      <c r="H23" s="208">
        <f>H20</f>
        <v>9.1748999999999997E-2</v>
      </c>
      <c r="I23" s="102"/>
      <c r="J23" s="116">
        <f t="shared" si="4"/>
        <v>111120</v>
      </c>
      <c r="K23" s="103"/>
      <c r="L23" s="394" t="s">
        <v>89</v>
      </c>
      <c r="M23" s="394"/>
      <c r="N23" s="394"/>
      <c r="Y23" s="92"/>
      <c r="Z23" s="92"/>
      <c r="AA23" s="92"/>
      <c r="AB23" s="92"/>
      <c r="AC23" s="92"/>
      <c r="AD23" s="92"/>
      <c r="AE23" s="92"/>
      <c r="AF23" s="92"/>
      <c r="AH23" s="99"/>
    </row>
    <row r="24" spans="1:34">
      <c r="A24" s="206">
        <f t="shared" si="0"/>
        <v>13</v>
      </c>
      <c r="B24" s="123" t="s">
        <v>77</v>
      </c>
      <c r="C24" s="210"/>
      <c r="D24" s="106">
        <v>19022939.703836836</v>
      </c>
      <c r="E24" s="208">
        <f>ROUND(SUM(G17,G21:G23)/SUM(D21:D23),6)</f>
        <v>9.5766000000000004E-2</v>
      </c>
      <c r="F24" s="102"/>
      <c r="G24" s="116">
        <f t="shared" si="3"/>
        <v>1821751</v>
      </c>
      <c r="H24" s="208">
        <f>ROUND(SUM(J17,J21:J23)/SUM(D21:D23),6)</f>
        <v>0.101744</v>
      </c>
      <c r="I24" s="102"/>
      <c r="J24" s="116">
        <f t="shared" si="4"/>
        <v>1935470</v>
      </c>
      <c r="K24" s="103"/>
      <c r="L24" s="394" t="s">
        <v>89</v>
      </c>
      <c r="M24" s="394"/>
      <c r="N24" s="394"/>
      <c r="O24" s="21"/>
      <c r="Y24" s="92"/>
      <c r="Z24" s="92"/>
      <c r="AA24" s="92"/>
      <c r="AB24" s="92"/>
      <c r="AC24" s="92"/>
      <c r="AD24" s="92"/>
      <c r="AE24" s="92"/>
      <c r="AF24" s="92"/>
      <c r="AH24" s="99"/>
    </row>
    <row r="25" spans="1:34" ht="16.2" thickBot="1">
      <c r="A25" s="206">
        <f t="shared" si="0"/>
        <v>14</v>
      </c>
      <c r="B25" s="102" t="s">
        <v>30</v>
      </c>
      <c r="C25" s="102"/>
      <c r="D25" s="107">
        <f>SUM(D21:D24)</f>
        <v>2787459006.7940946</v>
      </c>
      <c r="E25" s="108"/>
      <c r="F25" s="214"/>
      <c r="G25" s="215">
        <f>SUM(G21:G24,G17)</f>
        <v>266944260</v>
      </c>
      <c r="H25" s="108"/>
      <c r="I25" s="214"/>
      <c r="J25" s="215">
        <f>SUM(J21:J24,J17)</f>
        <v>283606515</v>
      </c>
      <c r="K25" s="109"/>
      <c r="L25" s="110" t="s">
        <v>34</v>
      </c>
      <c r="M25" s="111">
        <f>'Rate Spread'!K11*1000</f>
        <v>283606175.94235903</v>
      </c>
      <c r="N25" s="112">
        <f>M25/G25-1</f>
        <v>6.2417210028636871E-2</v>
      </c>
      <c r="O25" s="33"/>
      <c r="P25" s="17" t="s">
        <v>0</v>
      </c>
      <c r="Y25" s="92"/>
      <c r="Z25" s="92"/>
      <c r="AA25" s="92"/>
      <c r="AB25" s="92"/>
      <c r="AC25" s="92"/>
      <c r="AD25" s="92"/>
      <c r="AE25" s="92"/>
      <c r="AF25" s="92"/>
      <c r="AH25" s="99"/>
    </row>
    <row r="26" spans="1:34" ht="16.2" thickTop="1">
      <c r="A26" s="206">
        <f t="shared" si="0"/>
        <v>15</v>
      </c>
      <c r="B26" s="102"/>
      <c r="C26" s="102"/>
      <c r="D26" s="113"/>
      <c r="E26" s="108"/>
      <c r="F26" s="214"/>
      <c r="G26" s="103"/>
      <c r="H26" s="34"/>
      <c r="I26" s="214"/>
      <c r="J26" s="103"/>
      <c r="K26" s="103"/>
      <c r="L26" s="114" t="s">
        <v>29</v>
      </c>
      <c r="M26" s="115">
        <f>M25-J25</f>
        <v>-339.05764096975327</v>
      </c>
      <c r="N26" s="35"/>
      <c r="O26" s="33"/>
      <c r="P26" s="17"/>
      <c r="Y26" s="92"/>
      <c r="Z26" s="92"/>
      <c r="AA26" s="92"/>
      <c r="AB26" s="92"/>
      <c r="AC26" s="92"/>
      <c r="AD26" s="92"/>
      <c r="AE26" s="92"/>
      <c r="AF26" s="92"/>
      <c r="AH26" s="99"/>
    </row>
    <row r="27" spans="1:34">
      <c r="A27" s="206">
        <f t="shared" si="0"/>
        <v>16</v>
      </c>
      <c r="B27" s="102"/>
      <c r="C27" s="102"/>
      <c r="D27" s="100"/>
      <c r="E27" s="36" t="s">
        <v>0</v>
      </c>
      <c r="F27" s="102"/>
      <c r="G27" s="116"/>
      <c r="H27" s="36" t="s">
        <v>0</v>
      </c>
      <c r="I27" s="102"/>
      <c r="J27" s="116" t="s">
        <v>0</v>
      </c>
      <c r="K27" s="116"/>
      <c r="L27" s="92"/>
      <c r="M27" s="93"/>
      <c r="N27" s="93"/>
      <c r="O27" s="93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</row>
    <row r="28" spans="1:34">
      <c r="A28" s="206">
        <f t="shared" si="0"/>
        <v>17</v>
      </c>
      <c r="B28" s="207" t="s">
        <v>112</v>
      </c>
      <c r="C28" s="102"/>
      <c r="D28" s="100"/>
      <c r="E28" s="116"/>
      <c r="F28" s="102"/>
      <c r="G28" s="102"/>
      <c r="H28" s="116"/>
      <c r="I28" s="102"/>
      <c r="J28" s="116" t="s">
        <v>0</v>
      </c>
      <c r="K28" s="116"/>
      <c r="L28" s="92"/>
      <c r="M28" s="93"/>
      <c r="N28" s="93"/>
      <c r="O28" s="93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</row>
    <row r="29" spans="1:34">
      <c r="A29" s="206">
        <f t="shared" si="0"/>
        <v>18</v>
      </c>
      <c r="B29" s="207" t="s">
        <v>93</v>
      </c>
      <c r="C29" s="102"/>
      <c r="D29" s="102" t="s">
        <v>0</v>
      </c>
      <c r="E29" s="116"/>
      <c r="F29" s="102"/>
      <c r="G29" s="102"/>
      <c r="H29" s="116"/>
      <c r="I29" s="102"/>
      <c r="J29" s="102"/>
      <c r="K29" s="102"/>
      <c r="L29" s="92"/>
      <c r="M29" s="93"/>
      <c r="N29" s="93"/>
      <c r="O29" s="93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</row>
    <row r="30" spans="1:34">
      <c r="A30" s="206">
        <f t="shared" si="0"/>
        <v>19</v>
      </c>
      <c r="B30" s="102"/>
      <c r="C30" s="102"/>
      <c r="D30" s="102"/>
      <c r="E30" s="116"/>
      <c r="F30" s="102"/>
      <c r="G30" s="102"/>
      <c r="H30" s="116"/>
      <c r="I30" s="102"/>
      <c r="J30" s="102"/>
      <c r="K30" s="102"/>
      <c r="L30" s="92"/>
      <c r="M30" s="93"/>
      <c r="N30" s="93"/>
      <c r="O30" s="93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</row>
    <row r="31" spans="1:34">
      <c r="A31" s="206">
        <f t="shared" si="0"/>
        <v>20</v>
      </c>
      <c r="B31" s="102" t="s">
        <v>33</v>
      </c>
      <c r="C31" s="102"/>
      <c r="D31" s="100">
        <v>86508</v>
      </c>
      <c r="E31" s="213">
        <f>'Tariff Summary'!E22</f>
        <v>51.67</v>
      </c>
      <c r="F31" s="102"/>
      <c r="G31" s="116">
        <f>ROUND(E31*$D31,0)</f>
        <v>4469868</v>
      </c>
      <c r="H31" s="213">
        <f>ROUND(E31*(1+$N$47),2)</f>
        <v>54.9</v>
      </c>
      <c r="I31" s="102"/>
      <c r="J31" s="116">
        <f>ROUND(H31*$D31,0)</f>
        <v>4749289</v>
      </c>
      <c r="K31" s="116"/>
      <c r="L31" s="394" t="s">
        <v>89</v>
      </c>
      <c r="M31" s="394"/>
      <c r="N31" s="394"/>
      <c r="O31" s="93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</row>
    <row r="32" spans="1:34">
      <c r="A32" s="206">
        <f t="shared" si="0"/>
        <v>21</v>
      </c>
      <c r="B32" s="102" t="s">
        <v>36</v>
      </c>
      <c r="C32" s="102"/>
      <c r="D32" s="100"/>
      <c r="E32" s="36"/>
      <c r="F32" s="116"/>
      <c r="G32" s="116"/>
      <c r="H32" s="213"/>
      <c r="I32" s="116"/>
      <c r="J32" s="116"/>
      <c r="K32" s="116"/>
      <c r="L32" s="92"/>
      <c r="M32" s="93"/>
      <c r="N32" s="93"/>
      <c r="O32" s="93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</row>
    <row r="33" spans="1:32">
      <c r="A33" s="206">
        <f t="shared" si="0"/>
        <v>22</v>
      </c>
      <c r="B33" s="209" t="s">
        <v>95</v>
      </c>
      <c r="C33" s="102"/>
      <c r="D33" s="100">
        <v>728310837</v>
      </c>
      <c r="E33" s="208">
        <f>'Tariff Summary'!E24</f>
        <v>8.9582999999999996E-2</v>
      </c>
      <c r="F33" s="116"/>
      <c r="G33" s="116">
        <f>ROUND($D33*E33,0)</f>
        <v>65244270</v>
      </c>
      <c r="H33" s="208">
        <f>ROUND(E33*(1+$N$47),6)-0.000011</f>
        <v>9.5163999999999999E-2</v>
      </c>
      <c r="I33" s="116"/>
      <c r="J33" s="116">
        <f>ROUND($D33*H33,0)</f>
        <v>69308972</v>
      </c>
      <c r="K33" s="116"/>
      <c r="L33" s="394" t="s">
        <v>102</v>
      </c>
      <c r="M33" s="394"/>
      <c r="N33" s="394"/>
      <c r="O33" s="93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</row>
    <row r="34" spans="1:32">
      <c r="A34" s="206">
        <f t="shared" si="0"/>
        <v>23</v>
      </c>
      <c r="B34" s="209" t="s">
        <v>94</v>
      </c>
      <c r="C34" s="102"/>
      <c r="D34" s="100">
        <v>698873485</v>
      </c>
      <c r="E34" s="208">
        <f>'Tariff Summary'!E25</f>
        <v>8.1430000000000002E-2</v>
      </c>
      <c r="F34" s="116"/>
      <c r="G34" s="116">
        <f t="shared" ref="G34:G38" si="5">ROUND($D34*E34,0)</f>
        <v>56909268</v>
      </c>
      <c r="H34" s="208">
        <f>ROUND(E34*(1+$N$47),6)</f>
        <v>8.6513000000000007E-2</v>
      </c>
      <c r="I34" s="116"/>
      <c r="J34" s="116">
        <f t="shared" ref="J34:J38" si="6">ROUND($D34*H34,0)</f>
        <v>60461642</v>
      </c>
      <c r="K34" s="116"/>
      <c r="L34" s="394" t="s">
        <v>89</v>
      </c>
      <c r="M34" s="394"/>
      <c r="N34" s="394"/>
      <c r="O34" s="93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</row>
    <row r="35" spans="1:32">
      <c r="A35" s="206">
        <f t="shared" si="0"/>
        <v>24</v>
      </c>
      <c r="B35" s="209" t="s">
        <v>96</v>
      </c>
      <c r="C35" s="102"/>
      <c r="D35" s="100">
        <v>1362741884</v>
      </c>
      <c r="E35" s="208">
        <f>'Tariff Summary'!E26</f>
        <v>6.4072000000000004E-2</v>
      </c>
      <c r="F35" s="116"/>
      <c r="G35" s="116">
        <f t="shared" si="5"/>
        <v>87313598</v>
      </c>
      <c r="H35" s="208">
        <f>ROUND(E35*(1+$N$47),6)</f>
        <v>6.8071000000000007E-2</v>
      </c>
      <c r="I35" s="116"/>
      <c r="J35" s="116">
        <f t="shared" si="6"/>
        <v>92763203</v>
      </c>
      <c r="K35" s="116"/>
      <c r="L35" s="394" t="s">
        <v>89</v>
      </c>
      <c r="M35" s="394"/>
      <c r="N35" s="394"/>
      <c r="O35" s="93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</row>
    <row r="36" spans="1:32">
      <c r="A36" s="206">
        <f t="shared" si="0"/>
        <v>25</v>
      </c>
      <c r="B36" s="212" t="s">
        <v>26</v>
      </c>
      <c r="C36" s="102"/>
      <c r="D36" s="117">
        <f>SUM(D33:D35)</f>
        <v>2789926206</v>
      </c>
      <c r="E36" s="256"/>
      <c r="F36" s="102"/>
      <c r="G36" s="120">
        <f>SUM(G33:G35)</f>
        <v>209467136</v>
      </c>
      <c r="H36" s="256"/>
      <c r="I36" s="102"/>
      <c r="J36" s="120">
        <f>SUM(J33:J35)</f>
        <v>222533817</v>
      </c>
      <c r="K36" s="116"/>
      <c r="L36" s="92"/>
      <c r="M36" s="93"/>
      <c r="N36" s="93"/>
      <c r="O36" s="93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</row>
    <row r="37" spans="1:32">
      <c r="A37" s="206">
        <f t="shared" si="0"/>
        <v>26</v>
      </c>
      <c r="B37" s="209" t="s">
        <v>72</v>
      </c>
      <c r="C37" s="102"/>
      <c r="D37" s="100">
        <v>11247064.07998576</v>
      </c>
      <c r="E37" s="208">
        <f>E35</f>
        <v>6.4072000000000004E-2</v>
      </c>
      <c r="F37" s="102"/>
      <c r="G37" s="116">
        <f t="shared" si="5"/>
        <v>720622</v>
      </c>
      <c r="H37" s="208">
        <f>H35</f>
        <v>6.8071000000000007E-2</v>
      </c>
      <c r="I37" s="102"/>
      <c r="J37" s="116">
        <f t="shared" si="6"/>
        <v>765599</v>
      </c>
      <c r="K37" s="116"/>
      <c r="L37" s="118"/>
      <c r="M37" s="93"/>
      <c r="N37" s="93"/>
      <c r="O37" s="93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</row>
    <row r="38" spans="1:32">
      <c r="A38" s="206">
        <f t="shared" si="0"/>
        <v>27</v>
      </c>
      <c r="B38" s="123" t="s">
        <v>77</v>
      </c>
      <c r="C38" s="102"/>
      <c r="D38" s="100">
        <v>29725507.391902685</v>
      </c>
      <c r="E38" s="208">
        <f>ROUND(SUM(G31,G36:G37,G43,G45)/SUM(D36:D37),6)</f>
        <v>8.8941999999999993E-2</v>
      </c>
      <c r="F38" s="102"/>
      <c r="G38" s="116">
        <f t="shared" si="5"/>
        <v>2643846</v>
      </c>
      <c r="H38" s="208">
        <f>ROUND(SUM(J31,J36:J37,J43,J45)/SUM(D36:D37),6)</f>
        <v>9.4492999999999994E-2</v>
      </c>
      <c r="I38" s="102"/>
      <c r="J38" s="116">
        <f t="shared" si="6"/>
        <v>2808852</v>
      </c>
      <c r="K38" s="103"/>
      <c r="L38" s="394" t="s">
        <v>89</v>
      </c>
      <c r="M38" s="394"/>
      <c r="N38" s="394"/>
      <c r="O38" s="93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</row>
    <row r="39" spans="1:32">
      <c r="A39" s="206">
        <f t="shared" si="0"/>
        <v>28</v>
      </c>
      <c r="B39" s="212" t="s">
        <v>26</v>
      </c>
      <c r="C39" s="102"/>
      <c r="D39" s="117">
        <f>SUM(D36:D38)</f>
        <v>2830898777.4718885</v>
      </c>
      <c r="E39" s="102"/>
      <c r="F39" s="102"/>
      <c r="G39" s="120">
        <f>SUM(G36:G38)</f>
        <v>212831604</v>
      </c>
      <c r="H39" s="102"/>
      <c r="I39" s="102"/>
      <c r="J39" s="120">
        <f>SUM(J36:J38)</f>
        <v>226108268</v>
      </c>
      <c r="K39" s="103"/>
      <c r="L39" s="277"/>
      <c r="M39" s="119"/>
      <c r="N39" s="93"/>
      <c r="O39" s="93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</row>
    <row r="40" spans="1:32">
      <c r="A40" s="206">
        <f t="shared" si="0"/>
        <v>29</v>
      </c>
      <c r="B40" s="102" t="s">
        <v>35</v>
      </c>
      <c r="C40" s="102"/>
      <c r="D40" s="100"/>
      <c r="E40" s="216"/>
      <c r="F40" s="102"/>
      <c r="G40" s="116"/>
      <c r="H40" s="216"/>
      <c r="I40" s="102"/>
      <c r="J40" s="116"/>
      <c r="K40" s="116"/>
      <c r="L40" s="92"/>
      <c r="M40" s="93"/>
      <c r="N40" s="93"/>
      <c r="O40" s="93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  <c r="AD40" s="92"/>
      <c r="AE40" s="92"/>
      <c r="AF40" s="92"/>
    </row>
    <row r="41" spans="1:32">
      <c r="A41" s="206">
        <f t="shared" si="0"/>
        <v>30</v>
      </c>
      <c r="B41" s="209" t="s">
        <v>97</v>
      </c>
      <c r="C41" s="102"/>
      <c r="D41" s="100">
        <v>2191038.54</v>
      </c>
      <c r="E41" s="213">
        <f>'Tariff Summary'!E29</f>
        <v>9.01</v>
      </c>
      <c r="F41" s="102"/>
      <c r="G41" s="116">
        <f>ROUND(E41*$D41,0)</f>
        <v>19741257</v>
      </c>
      <c r="H41" s="213">
        <f t="shared" ref="H41:H42" si="7">ROUND(E41*(1+$N$47),2)</f>
        <v>9.57</v>
      </c>
      <c r="I41" s="102"/>
      <c r="J41" s="116">
        <f>ROUND(H41*$D41,0)</f>
        <v>20968239</v>
      </c>
      <c r="K41" s="116"/>
      <c r="L41" s="394" t="s">
        <v>89</v>
      </c>
      <c r="M41" s="394"/>
      <c r="N41" s="394"/>
      <c r="O41" s="93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</row>
    <row r="42" spans="1:32">
      <c r="A42" s="206">
        <f t="shared" si="0"/>
        <v>31</v>
      </c>
      <c r="B42" s="209" t="s">
        <v>98</v>
      </c>
      <c r="C42" s="102"/>
      <c r="D42" s="100">
        <v>2131080.64</v>
      </c>
      <c r="E42" s="213">
        <f>'Tariff Summary'!E30</f>
        <v>6.01</v>
      </c>
      <c r="F42" s="102"/>
      <c r="G42" s="116">
        <f>ROUND(E42*$D42,0)</f>
        <v>12807795</v>
      </c>
      <c r="H42" s="213">
        <f t="shared" si="7"/>
        <v>6.39</v>
      </c>
      <c r="I42" s="102"/>
      <c r="J42" s="116">
        <f>ROUND(H42*$D42,0)</f>
        <v>13617605</v>
      </c>
      <c r="K42" s="116"/>
      <c r="L42" s="394" t="s">
        <v>89</v>
      </c>
      <c r="M42" s="394"/>
      <c r="N42" s="394"/>
      <c r="O42" s="93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</row>
    <row r="43" spans="1:32">
      <c r="A43" s="206">
        <f t="shared" si="0"/>
        <v>32</v>
      </c>
      <c r="B43" s="212" t="s">
        <v>26</v>
      </c>
      <c r="C43" s="102"/>
      <c r="D43" s="117">
        <f>SUM(D41:D42)</f>
        <v>4322119.18</v>
      </c>
      <c r="E43" s="216"/>
      <c r="F43" s="102"/>
      <c r="G43" s="120">
        <f>SUM(G41:G42)</f>
        <v>32549052</v>
      </c>
      <c r="H43" s="216"/>
      <c r="I43" s="102"/>
      <c r="J43" s="120">
        <f>SUM(J41:J42)</f>
        <v>34585844</v>
      </c>
      <c r="K43" s="116"/>
      <c r="L43" s="92"/>
      <c r="M43" s="93"/>
      <c r="N43" s="93"/>
      <c r="O43" s="93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</row>
    <row r="44" spans="1:32">
      <c r="A44" s="206">
        <f t="shared" si="0"/>
        <v>33</v>
      </c>
      <c r="B44" s="102"/>
      <c r="C44" s="102"/>
      <c r="D44" s="113"/>
      <c r="E44" s="113"/>
      <c r="F44" s="102"/>
      <c r="G44" s="103"/>
      <c r="H44" s="113"/>
      <c r="I44" s="102"/>
      <c r="J44" s="103"/>
      <c r="K44" s="103"/>
      <c r="L44" s="277"/>
      <c r="M44" s="119"/>
      <c r="N44" s="93"/>
      <c r="O44" s="93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2"/>
      <c r="AE44" s="92"/>
      <c r="AF44" s="92"/>
    </row>
    <row r="45" spans="1:32">
      <c r="A45" s="206">
        <f t="shared" si="0"/>
        <v>34</v>
      </c>
      <c r="B45" s="102" t="s">
        <v>99</v>
      </c>
      <c r="C45" s="102"/>
      <c r="D45" s="100">
        <v>683582755</v>
      </c>
      <c r="E45" s="255">
        <f>'Tariff Summary'!E32</f>
        <v>2.8300000000000001E-3</v>
      </c>
      <c r="F45" s="102"/>
      <c r="G45" s="116">
        <f>ROUND(E45*$D45,0)</f>
        <v>1934539</v>
      </c>
      <c r="H45" s="255">
        <f>ROUND(E45*(1+$N$47),5)</f>
        <v>3.0100000000000001E-3</v>
      </c>
      <c r="I45" s="102"/>
      <c r="J45" s="116">
        <f>ROUND(H45*$D45,0)</f>
        <v>2057584</v>
      </c>
      <c r="K45" s="103"/>
      <c r="L45" s="394" t="s">
        <v>89</v>
      </c>
      <c r="M45" s="394"/>
      <c r="N45" s="394"/>
      <c r="O45" s="93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</row>
    <row r="46" spans="1:32">
      <c r="A46" s="206">
        <f t="shared" si="0"/>
        <v>35</v>
      </c>
      <c r="B46" s="102"/>
      <c r="C46" s="102"/>
      <c r="D46" s="113"/>
      <c r="E46" s="113"/>
      <c r="F46" s="102"/>
      <c r="G46" s="103"/>
      <c r="H46" s="113"/>
      <c r="I46" s="102"/>
      <c r="J46" s="103"/>
      <c r="K46" s="103"/>
      <c r="O46" s="93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</row>
    <row r="47" spans="1:32" ht="16.2" thickBot="1">
      <c r="A47" s="206">
        <f t="shared" si="0"/>
        <v>36</v>
      </c>
      <c r="B47" s="102" t="s">
        <v>30</v>
      </c>
      <c r="C47" s="102"/>
      <c r="D47" s="113"/>
      <c r="E47" s="113"/>
      <c r="F47" s="102"/>
      <c r="G47" s="109">
        <f>SUM(G31,G39,G43,G45)</f>
        <v>251785063</v>
      </c>
      <c r="H47" s="113"/>
      <c r="I47" s="102"/>
      <c r="J47" s="109">
        <f>SUM(J31,J39,J43,J45)</f>
        <v>267500985</v>
      </c>
      <c r="K47" s="103"/>
      <c r="L47" s="121" t="s">
        <v>117</v>
      </c>
      <c r="M47" s="111">
        <f>'Rate Spread'!K12*1000</f>
        <v>268709739.87765449</v>
      </c>
      <c r="N47" s="112">
        <f>M47/SUM(G126,G47)-1</f>
        <v>6.241798017376321E-2</v>
      </c>
      <c r="O47" s="93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</row>
    <row r="48" spans="1:32" ht="16.2" thickTop="1">
      <c r="A48" s="206">
        <f t="shared" si="0"/>
        <v>37</v>
      </c>
      <c r="B48" s="102"/>
      <c r="C48" s="122"/>
      <c r="D48" s="113"/>
      <c r="E48" s="113"/>
      <c r="F48" s="102"/>
      <c r="G48" s="116"/>
      <c r="H48" s="113"/>
      <c r="I48" s="102"/>
      <c r="J48" s="116"/>
      <c r="K48" s="116"/>
      <c r="L48" s="114" t="s">
        <v>29</v>
      </c>
      <c r="M48" s="115">
        <f>M47-J126-J47</f>
        <v>-37.122345507144928</v>
      </c>
      <c r="N48" s="38" t="s">
        <v>0</v>
      </c>
      <c r="O48" s="93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</row>
    <row r="49" spans="1:14">
      <c r="A49" s="206">
        <f t="shared" si="0"/>
        <v>38</v>
      </c>
    </row>
    <row r="50" spans="1:14">
      <c r="A50" s="206">
        <f t="shared" si="0"/>
        <v>39</v>
      </c>
    </row>
    <row r="51" spans="1:14">
      <c r="A51" s="206">
        <f t="shared" si="0"/>
        <v>40</v>
      </c>
    </row>
    <row r="52" spans="1:14">
      <c r="A52" s="206">
        <f t="shared" si="0"/>
        <v>41</v>
      </c>
      <c r="B52" s="207" t="s">
        <v>111</v>
      </c>
      <c r="C52" s="102"/>
      <c r="D52" s="100"/>
      <c r="E52" s="116"/>
      <c r="F52" s="102"/>
      <c r="G52" s="102"/>
      <c r="H52" s="116"/>
      <c r="I52" s="102"/>
      <c r="J52" s="116" t="s">
        <v>0</v>
      </c>
      <c r="K52" s="116"/>
      <c r="M52" s="29"/>
      <c r="N52" s="29"/>
    </row>
    <row r="53" spans="1:14">
      <c r="A53" s="206">
        <f t="shared" si="0"/>
        <v>42</v>
      </c>
      <c r="B53" s="207" t="s">
        <v>103</v>
      </c>
      <c r="C53" s="102"/>
      <c r="D53" s="102" t="s">
        <v>0</v>
      </c>
      <c r="E53" s="116"/>
      <c r="F53" s="102"/>
      <c r="G53" s="102"/>
      <c r="H53" s="116"/>
      <c r="I53" s="102"/>
      <c r="J53" s="102"/>
      <c r="K53" s="102"/>
      <c r="M53" s="29"/>
      <c r="N53" s="29"/>
    </row>
    <row r="54" spans="1:14">
      <c r="A54" s="206">
        <f t="shared" si="0"/>
        <v>43</v>
      </c>
      <c r="B54" s="102"/>
      <c r="C54" s="102"/>
      <c r="D54" s="102"/>
      <c r="E54" s="116"/>
      <c r="F54" s="102"/>
      <c r="G54" s="102"/>
      <c r="H54" s="116"/>
      <c r="I54" s="102"/>
      <c r="J54" s="102"/>
      <c r="K54" s="102"/>
      <c r="L54" s="92"/>
      <c r="M54" s="93"/>
      <c r="N54" s="93"/>
    </row>
    <row r="55" spans="1:14">
      <c r="A55" s="206">
        <f t="shared" si="0"/>
        <v>44</v>
      </c>
      <c r="B55" s="102" t="s">
        <v>33</v>
      </c>
      <c r="C55" s="102"/>
      <c r="D55" s="100">
        <v>9614</v>
      </c>
      <c r="E55" s="213">
        <f>'Tariff Summary'!E35</f>
        <v>104.46</v>
      </c>
      <c r="F55" s="102"/>
      <c r="G55" s="116">
        <f>ROUND(E55*$D55,0)</f>
        <v>1004278</v>
      </c>
      <c r="H55" s="213">
        <f>ROUND(E55*(1+$N$71),2)</f>
        <v>110.98</v>
      </c>
      <c r="I55" s="102"/>
      <c r="J55" s="116">
        <f>ROUND(H55*$D55,0)</f>
        <v>1066962</v>
      </c>
      <c r="K55" s="116"/>
      <c r="L55" s="394" t="s">
        <v>89</v>
      </c>
      <c r="M55" s="394"/>
      <c r="N55" s="394"/>
    </row>
    <row r="56" spans="1:14">
      <c r="A56" s="206">
        <f t="shared" si="0"/>
        <v>45</v>
      </c>
      <c r="B56" s="102" t="s">
        <v>36</v>
      </c>
      <c r="C56" s="102"/>
      <c r="D56" s="100"/>
      <c r="E56" s="36"/>
      <c r="F56" s="116"/>
      <c r="G56" s="116"/>
      <c r="H56" s="36"/>
      <c r="I56" s="116"/>
      <c r="J56" s="116"/>
      <c r="K56" s="116"/>
      <c r="L56" s="92"/>
      <c r="M56" s="93"/>
      <c r="N56" s="93"/>
    </row>
    <row r="57" spans="1:14">
      <c r="A57" s="206">
        <f t="shared" si="0"/>
        <v>46</v>
      </c>
      <c r="B57" s="209" t="s">
        <v>42</v>
      </c>
      <c r="C57" s="102"/>
      <c r="D57" s="100">
        <v>1853076121</v>
      </c>
      <c r="E57" s="208">
        <f>'Tariff Summary'!E37</f>
        <v>5.6732999999999999E-2</v>
      </c>
      <c r="F57" s="116"/>
      <c r="G57" s="116">
        <f t="shared" ref="G57" si="8">ROUND($D57*E57,0)</f>
        <v>105130568</v>
      </c>
      <c r="H57" s="208">
        <f>ROUND((1+$M$99)*'Primary Voltage Rate Design'!H17,6)+0.000007</f>
        <v>6.0011000000000002E-2</v>
      </c>
      <c r="I57" s="116"/>
      <c r="J57" s="116">
        <f t="shared" ref="J57" si="9">ROUND($D57*H57,0)</f>
        <v>111204951</v>
      </c>
      <c r="K57" s="116"/>
      <c r="L57" s="394" t="s">
        <v>118</v>
      </c>
      <c r="M57" s="394"/>
      <c r="N57" s="394"/>
    </row>
    <row r="58" spans="1:14">
      <c r="A58" s="206">
        <f t="shared" si="0"/>
        <v>47</v>
      </c>
      <c r="B58" s="212" t="s">
        <v>26</v>
      </c>
      <c r="C58" s="102"/>
      <c r="D58" s="117">
        <f>SUM(D57:D57)</f>
        <v>1853076121</v>
      </c>
      <c r="E58" s="256"/>
      <c r="F58" s="102"/>
      <c r="G58" s="120">
        <f>SUM(G57:G57)</f>
        <v>105130568</v>
      </c>
      <c r="H58" s="256"/>
      <c r="I58" s="102"/>
      <c r="J58" s="120">
        <f>SUM(J57:J57)</f>
        <v>111204951</v>
      </c>
      <c r="K58" s="116"/>
      <c r="L58" s="92"/>
      <c r="M58" s="93"/>
      <c r="N58" s="93"/>
    </row>
    <row r="59" spans="1:14">
      <c r="A59" s="206">
        <f t="shared" si="0"/>
        <v>48</v>
      </c>
      <c r="B59" s="209" t="s">
        <v>72</v>
      </c>
      <c r="C59" s="102"/>
      <c r="D59" s="100">
        <v>-231987.67610922537</v>
      </c>
      <c r="E59" s="208">
        <f>E57</f>
        <v>5.6732999999999999E-2</v>
      </c>
      <c r="F59" s="102"/>
      <c r="G59" s="116">
        <f t="shared" ref="G59:G60" si="10">ROUND($D59*E59,0)</f>
        <v>-13161</v>
      </c>
      <c r="H59" s="208">
        <f>H57</f>
        <v>6.0011000000000002E-2</v>
      </c>
      <c r="I59" s="102"/>
      <c r="J59" s="116">
        <f t="shared" ref="J59:J60" si="11">ROUND($D59*H59,0)</f>
        <v>-13922</v>
      </c>
      <c r="K59" s="116"/>
      <c r="L59" s="118"/>
      <c r="M59" s="93"/>
      <c r="N59" s="93"/>
    </row>
    <row r="60" spans="1:14">
      <c r="A60" s="206">
        <f t="shared" si="0"/>
        <v>49</v>
      </c>
      <c r="B60" s="123" t="s">
        <v>77</v>
      </c>
      <c r="C60" s="102"/>
      <c r="D60" s="113">
        <v>1605471.0577550698</v>
      </c>
      <c r="E60" s="208">
        <f>ROUND(SUM(G55,G58:G59,G65,G67)/SUM(D58:D59),6)</f>
        <v>8.1318000000000001E-2</v>
      </c>
      <c r="F60" s="102"/>
      <c r="G60" s="116">
        <f t="shared" si="10"/>
        <v>130554</v>
      </c>
      <c r="H60" s="208">
        <f>ROUND(SUM(J55,J58:J59,J65,J67)/SUM(D58:D59),6)</f>
        <v>8.6397000000000002E-2</v>
      </c>
      <c r="I60" s="102"/>
      <c r="J60" s="116">
        <f t="shared" si="11"/>
        <v>138708</v>
      </c>
      <c r="K60" s="103"/>
      <c r="L60" s="394" t="s">
        <v>89</v>
      </c>
      <c r="M60" s="394"/>
      <c r="N60" s="394"/>
    </row>
    <row r="61" spans="1:14">
      <c r="A61" s="206">
        <f t="shared" si="0"/>
        <v>50</v>
      </c>
      <c r="B61" s="212" t="s">
        <v>26</v>
      </c>
      <c r="C61" s="102"/>
      <c r="D61" s="117">
        <f>SUM(D58:D60)</f>
        <v>1854449604.3816457</v>
      </c>
      <c r="E61" s="102"/>
      <c r="F61" s="102"/>
      <c r="G61" s="120">
        <f>SUM(G58:G60)</f>
        <v>105247961</v>
      </c>
      <c r="H61" s="102"/>
      <c r="I61" s="102"/>
      <c r="J61" s="120">
        <f>SUM(J58:J60)</f>
        <v>111329737</v>
      </c>
      <c r="K61" s="103"/>
      <c r="L61" s="118"/>
      <c r="M61" s="93"/>
      <c r="N61" s="93"/>
    </row>
    <row r="62" spans="1:14">
      <c r="A62" s="206">
        <f t="shared" si="0"/>
        <v>51</v>
      </c>
      <c r="B62" s="102" t="s">
        <v>35</v>
      </c>
      <c r="C62" s="102"/>
      <c r="D62" s="100"/>
      <c r="E62" s="216"/>
      <c r="F62" s="102"/>
      <c r="G62" s="116"/>
      <c r="H62" s="216"/>
      <c r="I62" s="102"/>
      <c r="J62" s="116"/>
      <c r="K62" s="116"/>
      <c r="L62" s="118"/>
      <c r="M62" s="119"/>
      <c r="N62" s="93"/>
    </row>
    <row r="63" spans="1:14">
      <c r="A63" s="206">
        <f t="shared" si="0"/>
        <v>52</v>
      </c>
      <c r="B63" s="209" t="s">
        <v>104</v>
      </c>
      <c r="C63" s="102"/>
      <c r="D63" s="100">
        <v>2196750.7200000002</v>
      </c>
      <c r="E63" s="213">
        <f>'Tariff Summary'!E39</f>
        <v>11.65</v>
      </c>
      <c r="F63" s="102"/>
      <c r="G63" s="116">
        <f>ROUND(E63*$D63,0)</f>
        <v>25592146</v>
      </c>
      <c r="H63" s="213">
        <f>ROUND((1+$M$99)*'Primary Voltage Rate Design'!H23,2)</f>
        <v>12.5</v>
      </c>
      <c r="I63" s="102"/>
      <c r="J63" s="116">
        <f>ROUND(H63*$D63,0)</f>
        <v>27459384</v>
      </c>
      <c r="K63" s="116"/>
      <c r="L63" s="394" t="s">
        <v>124</v>
      </c>
      <c r="M63" s="394"/>
      <c r="N63" s="394"/>
    </row>
    <row r="64" spans="1:14">
      <c r="A64" s="206">
        <f t="shared" si="0"/>
        <v>53</v>
      </c>
      <c r="B64" s="209" t="s">
        <v>105</v>
      </c>
      <c r="C64" s="102"/>
      <c r="D64" s="100">
        <v>2312125.64</v>
      </c>
      <c r="E64" s="213">
        <f>'Tariff Summary'!E40</f>
        <v>7.76</v>
      </c>
      <c r="F64" s="102"/>
      <c r="G64" s="116">
        <f>ROUND(E64*$D64,0)</f>
        <v>17942095</v>
      </c>
      <c r="H64" s="213">
        <f>ROUND((1+$M$99)*'Primary Voltage Rate Design'!H24,2)</f>
        <v>8.34</v>
      </c>
      <c r="I64" s="102"/>
      <c r="J64" s="116">
        <f>ROUND(H64*$D64,0)</f>
        <v>19283128</v>
      </c>
      <c r="K64" s="116"/>
      <c r="L64" s="394" t="s">
        <v>124</v>
      </c>
      <c r="M64" s="394"/>
      <c r="N64" s="394"/>
    </row>
    <row r="65" spans="1:14">
      <c r="A65" s="206">
        <f t="shared" si="0"/>
        <v>54</v>
      </c>
      <c r="B65" s="212" t="s">
        <v>26</v>
      </c>
      <c r="C65" s="102"/>
      <c r="D65" s="117">
        <f>SUM(D63:D64)</f>
        <v>4508876.3600000003</v>
      </c>
      <c r="E65" s="216"/>
      <c r="F65" s="102"/>
      <c r="G65" s="120">
        <f>SUM(G63:G64)</f>
        <v>43534241</v>
      </c>
      <c r="H65" s="216"/>
      <c r="I65" s="102"/>
      <c r="J65" s="120">
        <f>SUM(J63:J64)</f>
        <v>46742512</v>
      </c>
      <c r="K65" s="116"/>
      <c r="L65" s="118"/>
      <c r="M65" s="93"/>
      <c r="N65" s="93"/>
    </row>
    <row r="66" spans="1:14">
      <c r="A66" s="206">
        <f t="shared" si="0"/>
        <v>55</v>
      </c>
      <c r="B66" s="102"/>
      <c r="C66" s="102"/>
      <c r="D66" s="113"/>
      <c r="E66" s="113"/>
      <c r="F66" s="102"/>
      <c r="G66" s="103"/>
      <c r="H66" s="113"/>
      <c r="I66" s="102"/>
      <c r="J66" s="103"/>
      <c r="K66" s="103"/>
      <c r="L66" s="118"/>
      <c r="M66" s="93"/>
      <c r="N66" s="93"/>
    </row>
    <row r="67" spans="1:14">
      <c r="A67" s="206">
        <f t="shared" si="0"/>
        <v>56</v>
      </c>
      <c r="B67" s="102" t="s">
        <v>99</v>
      </c>
      <c r="C67" s="102"/>
      <c r="D67" s="100">
        <v>817586142</v>
      </c>
      <c r="E67" s="255">
        <f>'Tariff Summary'!E42</f>
        <v>1.24E-3</v>
      </c>
      <c r="F67" s="102"/>
      <c r="G67" s="116">
        <f>ROUND(E67*$D67,0)</f>
        <v>1013807</v>
      </c>
      <c r="H67" s="255">
        <f>ROUND(E67*(1+$N$71),5)</f>
        <v>1.32E-3</v>
      </c>
      <c r="I67" s="102"/>
      <c r="J67" s="116">
        <f>ROUND(H67*$D67,0)</f>
        <v>1079214</v>
      </c>
      <c r="K67" s="103"/>
      <c r="L67" s="394" t="s">
        <v>89</v>
      </c>
      <c r="M67" s="394"/>
      <c r="N67" s="394"/>
    </row>
    <row r="68" spans="1:14">
      <c r="A68" s="206">
        <f t="shared" si="0"/>
        <v>57</v>
      </c>
      <c r="B68" s="102"/>
      <c r="C68" s="102"/>
      <c r="D68" s="113"/>
      <c r="E68" s="113"/>
      <c r="F68" s="102"/>
      <c r="G68" s="103"/>
      <c r="H68" s="113"/>
      <c r="I68" s="102"/>
      <c r="J68" s="103"/>
      <c r="K68" s="103"/>
      <c r="L68" s="277"/>
      <c r="M68" s="119"/>
      <c r="N68" s="93"/>
    </row>
    <row r="69" spans="1:14" ht="16.2" thickBot="1">
      <c r="A69" s="206">
        <f t="shared" si="0"/>
        <v>58</v>
      </c>
      <c r="B69" s="102" t="s">
        <v>30</v>
      </c>
      <c r="C69" s="102"/>
      <c r="D69" s="113"/>
      <c r="E69" s="113"/>
      <c r="F69" s="102"/>
      <c r="G69" s="109">
        <f>SUM(G55,G61,G65,G67)</f>
        <v>150800287</v>
      </c>
      <c r="H69" s="113"/>
      <c r="I69" s="102"/>
      <c r="J69" s="109">
        <f>SUM(J55,J61,J65,J67)</f>
        <v>160218425</v>
      </c>
      <c r="K69" s="103"/>
      <c r="L69" s="118"/>
      <c r="M69" s="119"/>
      <c r="N69" s="93"/>
    </row>
    <row r="70" spans="1:14" ht="16.2" thickTop="1">
      <c r="A70" s="206">
        <f t="shared" si="0"/>
        <v>59</v>
      </c>
      <c r="B70" s="102"/>
      <c r="C70" s="122"/>
      <c r="D70" s="113"/>
      <c r="E70" s="113"/>
      <c r="F70" s="102"/>
      <c r="G70" s="116"/>
      <c r="H70" s="113"/>
      <c r="I70" s="102"/>
      <c r="J70" s="116"/>
      <c r="K70" s="116"/>
      <c r="L70" s="277"/>
      <c r="M70" s="119"/>
      <c r="N70" s="93"/>
    </row>
    <row r="71" spans="1:14">
      <c r="A71" s="206">
        <f t="shared" si="0"/>
        <v>60</v>
      </c>
      <c r="L71" s="121" t="s">
        <v>119</v>
      </c>
      <c r="M71" s="111">
        <f>'Rate Spread'!K13*1000</f>
        <v>161312001.15912274</v>
      </c>
      <c r="N71" s="112">
        <f>M71/SUM(G95,G69)-1</f>
        <v>6.2418244809244516E-2</v>
      </c>
    </row>
    <row r="72" spans="1:14">
      <c r="A72" s="206">
        <f t="shared" si="0"/>
        <v>61</v>
      </c>
      <c r="C72" s="102"/>
      <c r="D72" s="100"/>
      <c r="E72" s="116"/>
      <c r="F72" s="102"/>
      <c r="G72" s="102"/>
      <c r="H72" s="116"/>
      <c r="I72" s="102"/>
      <c r="J72" s="116" t="s">
        <v>0</v>
      </c>
      <c r="K72" s="116"/>
      <c r="L72" s="114" t="s">
        <v>29</v>
      </c>
      <c r="M72" s="115">
        <f>M71-J69-J95</f>
        <v>-500.84087726473808</v>
      </c>
      <c r="N72" s="38" t="s">
        <v>0</v>
      </c>
    </row>
    <row r="73" spans="1:14">
      <c r="A73" s="206">
        <f t="shared" si="0"/>
        <v>62</v>
      </c>
      <c r="B73" s="207" t="s">
        <v>106</v>
      </c>
      <c r="C73" s="102"/>
      <c r="D73" s="102" t="s">
        <v>0</v>
      </c>
      <c r="E73" s="116"/>
      <c r="F73" s="102"/>
      <c r="G73" s="102"/>
      <c r="H73" s="116"/>
      <c r="I73" s="102"/>
      <c r="J73" s="102"/>
      <c r="K73" s="102"/>
    </row>
    <row r="74" spans="1:14">
      <c r="A74" s="206">
        <f t="shared" si="0"/>
        <v>63</v>
      </c>
      <c r="B74" s="207" t="s">
        <v>103</v>
      </c>
      <c r="C74" s="102"/>
      <c r="D74" s="102"/>
      <c r="E74" s="116"/>
      <c r="F74" s="102"/>
      <c r="G74" s="102"/>
      <c r="H74" s="116"/>
      <c r="I74" s="102"/>
      <c r="J74" s="102"/>
      <c r="K74" s="102"/>
      <c r="L74" s="92"/>
      <c r="M74" s="93"/>
      <c r="N74" s="93"/>
    </row>
    <row r="75" spans="1:14">
      <c r="A75" s="206">
        <f t="shared" si="0"/>
        <v>64</v>
      </c>
      <c r="B75" s="102" t="s">
        <v>33</v>
      </c>
      <c r="C75" s="102"/>
      <c r="D75" s="100">
        <v>24</v>
      </c>
      <c r="E75" s="213">
        <f>E55</f>
        <v>104.46</v>
      </c>
      <c r="F75" s="102"/>
      <c r="G75" s="116">
        <f>ROUND(E75*$D75,0)</f>
        <v>2507</v>
      </c>
      <c r="H75" s="213">
        <f>H55</f>
        <v>110.98</v>
      </c>
      <c r="I75" s="102"/>
      <c r="J75" s="116">
        <f>ROUND(H75*$D75,0)</f>
        <v>2664</v>
      </c>
      <c r="K75" s="116"/>
      <c r="L75" s="394" t="s">
        <v>108</v>
      </c>
      <c r="M75" s="394"/>
      <c r="N75" s="394"/>
    </row>
    <row r="76" spans="1:14">
      <c r="A76" s="206">
        <f t="shared" si="0"/>
        <v>65</v>
      </c>
      <c r="B76" s="123" t="s">
        <v>107</v>
      </c>
      <c r="C76" s="102"/>
      <c r="D76" s="100">
        <f>D75</f>
        <v>24</v>
      </c>
      <c r="E76" s="213">
        <f>'Tariff Summary'!E45</f>
        <v>235.05</v>
      </c>
      <c r="F76" s="102"/>
      <c r="G76" s="116">
        <f t="shared" ref="G76" si="12">ROUND(E76*$D76,0)</f>
        <v>5641</v>
      </c>
      <c r="H76" s="213">
        <f>M98</f>
        <v>249.71999999999997</v>
      </c>
      <c r="I76" s="102"/>
      <c r="J76" s="116">
        <f>ROUND(H76*$D76,0)</f>
        <v>5993</v>
      </c>
      <c r="K76" s="116"/>
      <c r="L76" s="92"/>
      <c r="M76" s="93"/>
      <c r="N76" s="93"/>
    </row>
    <row r="77" spans="1:14">
      <c r="A77" s="206">
        <f t="shared" si="0"/>
        <v>66</v>
      </c>
      <c r="B77" s="212" t="s">
        <v>26</v>
      </c>
      <c r="C77" s="102"/>
      <c r="D77" s="100"/>
      <c r="E77" s="213"/>
      <c r="F77" s="102"/>
      <c r="G77" s="120">
        <f>SUM(G75:G76)</f>
        <v>8148</v>
      </c>
      <c r="H77" s="213"/>
      <c r="I77" s="102"/>
      <c r="J77" s="120">
        <f>SUM(J75:J76)</f>
        <v>8657</v>
      </c>
      <c r="K77" s="116"/>
      <c r="L77" s="394" t="s">
        <v>130</v>
      </c>
      <c r="M77" s="394"/>
      <c r="N77" s="394"/>
    </row>
    <row r="78" spans="1:14">
      <c r="A78" s="206">
        <f t="shared" ref="A78:A126" si="13">A77+1</f>
        <v>67</v>
      </c>
      <c r="B78" s="102" t="s">
        <v>36</v>
      </c>
      <c r="C78" s="102"/>
      <c r="D78" s="100"/>
      <c r="E78" s="36"/>
      <c r="F78" s="116"/>
      <c r="G78" s="116"/>
      <c r="H78" s="36"/>
      <c r="I78" s="116"/>
      <c r="J78" s="116"/>
      <c r="K78" s="116"/>
      <c r="L78" s="118"/>
      <c r="M78" s="93"/>
      <c r="N78" s="93"/>
    </row>
    <row r="79" spans="1:14">
      <c r="A79" s="206">
        <f t="shared" si="13"/>
        <v>68</v>
      </c>
      <c r="B79" s="209" t="s">
        <v>42</v>
      </c>
      <c r="C79" s="102"/>
      <c r="D79" s="100">
        <v>13232300</v>
      </c>
      <c r="E79" s="208">
        <f>E57</f>
        <v>5.6732999999999999E-2</v>
      </c>
      <c r="F79" s="116"/>
      <c r="G79" s="116">
        <f t="shared" ref="G79:G80" si="14">ROUND($D79*E79,0)</f>
        <v>750708</v>
      </c>
      <c r="H79" s="208">
        <f>H57</f>
        <v>6.0011000000000002E-2</v>
      </c>
      <c r="I79" s="116"/>
      <c r="J79" s="116">
        <f t="shared" ref="J79:J80" si="15">ROUND($D79*H79,0)</f>
        <v>794084</v>
      </c>
      <c r="K79" s="116"/>
      <c r="L79" s="394" t="s">
        <v>108</v>
      </c>
      <c r="M79" s="394"/>
      <c r="N79" s="394"/>
    </row>
    <row r="80" spans="1:14">
      <c r="A80" s="206">
        <f t="shared" si="13"/>
        <v>69</v>
      </c>
      <c r="B80" s="209" t="s">
        <v>109</v>
      </c>
      <c r="C80" s="102"/>
      <c r="D80" s="100">
        <f>D79</f>
        <v>13232300</v>
      </c>
      <c r="E80" s="208">
        <f>'Tariff Summary'!E51-E79</f>
        <v>-1.9570000000000004E-3</v>
      </c>
      <c r="F80" s="116"/>
      <c r="G80" s="116">
        <f t="shared" si="14"/>
        <v>-25896</v>
      </c>
      <c r="H80" s="208">
        <f>-N100</f>
        <v>-2.3579999999999999E-3</v>
      </c>
      <c r="I80" s="116"/>
      <c r="J80" s="116">
        <f t="shared" si="15"/>
        <v>-31202</v>
      </c>
      <c r="K80" s="116"/>
      <c r="L80" s="394" t="s">
        <v>132</v>
      </c>
      <c r="M80" s="394"/>
      <c r="N80" s="394"/>
    </row>
    <row r="81" spans="1:14">
      <c r="A81" s="206">
        <f t="shared" si="13"/>
        <v>70</v>
      </c>
      <c r="B81" s="212" t="s">
        <v>26</v>
      </c>
      <c r="C81" s="102"/>
      <c r="D81" s="117">
        <f>SUM(D79:D79)</f>
        <v>13232300</v>
      </c>
      <c r="E81" s="256"/>
      <c r="F81" s="102"/>
      <c r="G81" s="120">
        <f>SUM(G79:G80)</f>
        <v>724812</v>
      </c>
      <c r="H81" s="256"/>
      <c r="I81" s="102"/>
      <c r="J81" s="120">
        <f>SUM(J79:J80)</f>
        <v>762882</v>
      </c>
      <c r="K81" s="116"/>
      <c r="L81" s="118"/>
      <c r="M81" s="93"/>
      <c r="N81" s="93"/>
    </row>
    <row r="82" spans="1:14">
      <c r="A82" s="206">
        <f t="shared" si="13"/>
        <v>71</v>
      </c>
      <c r="B82" s="209" t="s">
        <v>72</v>
      </c>
      <c r="C82" s="102"/>
      <c r="D82" s="100">
        <v>0</v>
      </c>
      <c r="E82" s="208">
        <f>E79</f>
        <v>5.6732999999999999E-2</v>
      </c>
      <c r="F82" s="102"/>
      <c r="G82" s="116">
        <f t="shared" ref="G82:G83" si="16">ROUND($D82*E82,0)</f>
        <v>0</v>
      </c>
      <c r="H82" s="208"/>
      <c r="I82" s="102"/>
      <c r="J82" s="116">
        <f t="shared" ref="J82:J83" si="17">ROUND($D82*H82,0)</f>
        <v>0</v>
      </c>
      <c r="K82" s="116"/>
      <c r="L82" s="118"/>
      <c r="M82" s="93"/>
      <c r="N82" s="93"/>
    </row>
    <row r="83" spans="1:14">
      <c r="A83" s="206">
        <f t="shared" si="13"/>
        <v>72</v>
      </c>
      <c r="B83" s="123" t="s">
        <v>77</v>
      </c>
      <c r="C83" s="102"/>
      <c r="D83" s="113">
        <v>0</v>
      </c>
      <c r="E83" s="208">
        <f>ROUND(SUM(G77,G81,G82,G89,G93)/SUM(D81:D82),6)</f>
        <v>7.8176999999999996E-2</v>
      </c>
      <c r="F83" s="102"/>
      <c r="G83" s="116">
        <f t="shared" si="16"/>
        <v>0</v>
      </c>
      <c r="H83" s="208">
        <f>ROUND(SUM(J77,J81,J82,J89,J93)/SUM(D81:D82),6)</f>
        <v>8.2682000000000005E-2</v>
      </c>
      <c r="I83" s="102"/>
      <c r="J83" s="116">
        <f t="shared" si="17"/>
        <v>0</v>
      </c>
      <c r="K83" s="103"/>
      <c r="L83" s="92"/>
      <c r="M83" s="93"/>
      <c r="N83" s="93"/>
    </row>
    <row r="84" spans="1:14">
      <c r="A84" s="206">
        <f t="shared" si="13"/>
        <v>73</v>
      </c>
      <c r="B84" s="212" t="s">
        <v>26</v>
      </c>
      <c r="C84" s="102"/>
      <c r="D84" s="117">
        <f>SUM(D81:D83)</f>
        <v>13232300</v>
      </c>
      <c r="E84" s="102"/>
      <c r="F84" s="102"/>
      <c r="G84" s="120">
        <f>SUM(G81:G83)</f>
        <v>724812</v>
      </c>
      <c r="H84" s="102"/>
      <c r="I84" s="102"/>
      <c r="J84" s="120">
        <f>SUM(J81:J83)</f>
        <v>762882</v>
      </c>
      <c r="K84" s="103"/>
      <c r="L84" s="118"/>
      <c r="M84" s="93"/>
      <c r="N84" s="93"/>
    </row>
    <row r="85" spans="1:14">
      <c r="A85" s="206">
        <f t="shared" si="13"/>
        <v>74</v>
      </c>
      <c r="B85" s="102" t="s">
        <v>35</v>
      </c>
      <c r="C85" s="102"/>
      <c r="D85" s="100"/>
      <c r="E85" s="216"/>
      <c r="F85" s="102"/>
      <c r="G85" s="116"/>
      <c r="H85" s="216"/>
      <c r="I85" s="102"/>
      <c r="J85" s="116"/>
      <c r="K85" s="116"/>
      <c r="L85" s="118"/>
      <c r="M85" s="119"/>
      <c r="N85" s="93"/>
    </row>
    <row r="86" spans="1:14">
      <c r="A86" s="206">
        <f t="shared" si="13"/>
        <v>75</v>
      </c>
      <c r="B86" s="209" t="s">
        <v>104</v>
      </c>
      <c r="C86" s="102"/>
      <c r="D86" s="100">
        <v>16911</v>
      </c>
      <c r="E86" s="213">
        <f>E63</f>
        <v>11.65</v>
      </c>
      <c r="F86" s="102"/>
      <c r="G86" s="116">
        <f>ROUND(E86*$D86,0)</f>
        <v>197013</v>
      </c>
      <c r="H86" s="213">
        <f>H63</f>
        <v>12.5</v>
      </c>
      <c r="I86" s="102"/>
      <c r="J86" s="116">
        <f>ROUND(H86*$D86,0)</f>
        <v>211388</v>
      </c>
      <c r="K86" s="116"/>
      <c r="L86" s="394" t="s">
        <v>108</v>
      </c>
      <c r="M86" s="394"/>
      <c r="N86" s="394"/>
    </row>
    <row r="87" spans="1:14">
      <c r="A87" s="206">
        <f t="shared" si="13"/>
        <v>76</v>
      </c>
      <c r="B87" s="209" t="s">
        <v>105</v>
      </c>
      <c r="C87" s="102"/>
      <c r="D87" s="100">
        <v>14150</v>
      </c>
      <c r="E87" s="213">
        <f>E64</f>
        <v>7.76</v>
      </c>
      <c r="F87" s="102"/>
      <c r="G87" s="116">
        <f>ROUND(E87*$D87,0)</f>
        <v>109804</v>
      </c>
      <c r="H87" s="213">
        <f>H64</f>
        <v>8.34</v>
      </c>
      <c r="I87" s="102"/>
      <c r="J87" s="116">
        <f>ROUND(H87*$D87,0)</f>
        <v>118011</v>
      </c>
      <c r="K87" s="116"/>
      <c r="L87" s="394" t="s">
        <v>108</v>
      </c>
      <c r="M87" s="394"/>
      <c r="N87" s="394"/>
    </row>
    <row r="88" spans="1:14">
      <c r="A88" s="206">
        <f t="shared" si="13"/>
        <v>77</v>
      </c>
      <c r="B88" s="209" t="s">
        <v>109</v>
      </c>
      <c r="C88" s="102"/>
      <c r="D88" s="100">
        <f>D87+D86</f>
        <v>31061</v>
      </c>
      <c r="E88" s="213">
        <f>'Tariff Summary'!E46</f>
        <v>-0.35</v>
      </c>
      <c r="F88" s="102"/>
      <c r="G88" s="116">
        <f>ROUND(E88*$D88,0)</f>
        <v>-10871</v>
      </c>
      <c r="H88" s="213">
        <f>-N99</f>
        <v>-0.41</v>
      </c>
      <c r="I88" s="102"/>
      <c r="J88" s="116">
        <f>ROUND(H88*$D88,0)</f>
        <v>-12735</v>
      </c>
      <c r="K88" s="116"/>
      <c r="L88" s="394" t="s">
        <v>132</v>
      </c>
      <c r="M88" s="394"/>
      <c r="N88" s="394"/>
    </row>
    <row r="89" spans="1:14">
      <c r="A89" s="206">
        <f t="shared" si="13"/>
        <v>78</v>
      </c>
      <c r="B89" s="212" t="s">
        <v>26</v>
      </c>
      <c r="C89" s="102"/>
      <c r="D89" s="117">
        <f>SUM(D86:D87)</f>
        <v>31061</v>
      </c>
      <c r="E89" s="216"/>
      <c r="F89" s="102"/>
      <c r="G89" s="120">
        <f>SUM(G86:G88)</f>
        <v>295946</v>
      </c>
      <c r="H89" s="216"/>
      <c r="I89" s="102"/>
      <c r="J89" s="120">
        <f>SUM(J86:J88)</f>
        <v>316664</v>
      </c>
      <c r="K89" s="116"/>
      <c r="L89" s="118"/>
      <c r="M89" s="93"/>
      <c r="N89" s="93"/>
    </row>
    <row r="90" spans="1:14">
      <c r="A90" s="206">
        <f t="shared" si="13"/>
        <v>79</v>
      </c>
      <c r="B90" s="102"/>
      <c r="C90" s="102"/>
      <c r="D90" s="113"/>
      <c r="E90" s="113"/>
      <c r="F90" s="102"/>
      <c r="G90" s="103"/>
      <c r="H90" s="113"/>
      <c r="I90" s="102"/>
      <c r="J90" s="103"/>
      <c r="K90" s="103"/>
      <c r="L90" s="118"/>
      <c r="M90" s="93"/>
      <c r="N90" s="93"/>
    </row>
    <row r="91" spans="1:14">
      <c r="A91" s="206">
        <f t="shared" si="13"/>
        <v>80</v>
      </c>
      <c r="B91" s="102" t="s">
        <v>99</v>
      </c>
      <c r="C91" s="102"/>
      <c r="D91" s="100">
        <v>4625110</v>
      </c>
      <c r="E91" s="255">
        <f>E67</f>
        <v>1.24E-3</v>
      </c>
      <c r="F91" s="102"/>
      <c r="G91" s="116">
        <f>ROUND(E91*$D91,0)</f>
        <v>5735</v>
      </c>
      <c r="H91" s="255">
        <f>H67</f>
        <v>1.32E-3</v>
      </c>
      <c r="I91" s="102"/>
      <c r="J91" s="116">
        <f>ROUND(H91*$D91,0)</f>
        <v>6105</v>
      </c>
      <c r="K91" s="103"/>
      <c r="L91" s="394" t="s">
        <v>108</v>
      </c>
      <c r="M91" s="394"/>
      <c r="N91" s="394"/>
    </row>
    <row r="92" spans="1:14">
      <c r="A92" s="206">
        <f t="shared" si="13"/>
        <v>81</v>
      </c>
      <c r="B92" s="209" t="s">
        <v>109</v>
      </c>
      <c r="C92" s="102"/>
      <c r="D92" s="100">
        <f>D91+D90</f>
        <v>4625110</v>
      </c>
      <c r="E92" s="255">
        <f>'Tariff Summary'!E52-'Secondary Voltage Rate Design'!E91</f>
        <v>-4.0000000000000105E-5</v>
      </c>
      <c r="F92" s="102"/>
      <c r="G92" s="116">
        <f>ROUND(E92*$D92,0)</f>
        <v>-185</v>
      </c>
      <c r="H92" s="255">
        <f>-N101</f>
        <v>-5.0000000000000002E-5</v>
      </c>
      <c r="I92" s="102"/>
      <c r="J92" s="116">
        <f>ROUND(H92*$D92,0)</f>
        <v>-231</v>
      </c>
      <c r="K92" s="103"/>
      <c r="L92" s="394" t="s">
        <v>132</v>
      </c>
      <c r="M92" s="394"/>
      <c r="N92" s="394"/>
    </row>
    <row r="93" spans="1:14">
      <c r="A93" s="206">
        <f t="shared" si="13"/>
        <v>82</v>
      </c>
      <c r="B93" s="212" t="s">
        <v>26</v>
      </c>
      <c r="C93" s="102"/>
      <c r="D93" s="100"/>
      <c r="E93" s="255"/>
      <c r="F93" s="102"/>
      <c r="G93" s="120">
        <f>SUM(G90:G92)</f>
        <v>5550</v>
      </c>
      <c r="H93" s="213"/>
      <c r="I93" s="102"/>
      <c r="J93" s="120">
        <f>SUM(J90:J92)</f>
        <v>5874</v>
      </c>
      <c r="K93" s="103"/>
      <c r="L93" s="118"/>
      <c r="M93" s="119"/>
      <c r="N93" s="93"/>
    </row>
    <row r="94" spans="1:14">
      <c r="A94" s="206">
        <f t="shared" si="13"/>
        <v>83</v>
      </c>
      <c r="B94" s="102"/>
      <c r="C94" s="102"/>
      <c r="D94" s="113"/>
      <c r="E94" s="113"/>
      <c r="F94" s="102"/>
      <c r="G94" s="103"/>
      <c r="H94" s="113"/>
      <c r="I94" s="102"/>
      <c r="J94" s="103"/>
      <c r="K94" s="103"/>
      <c r="L94" s="118"/>
      <c r="M94" s="119"/>
      <c r="N94" s="93"/>
    </row>
    <row r="95" spans="1:14" ht="16.2" thickBot="1">
      <c r="A95" s="206">
        <f t="shared" si="13"/>
        <v>84</v>
      </c>
      <c r="B95" s="102" t="s">
        <v>30</v>
      </c>
      <c r="C95" s="102"/>
      <c r="D95" s="113"/>
      <c r="E95" s="113"/>
      <c r="F95" s="102"/>
      <c r="G95" s="109">
        <f>SUM(G93,G89,G84,G77)</f>
        <v>1034456</v>
      </c>
      <c r="H95" s="113"/>
      <c r="I95" s="102"/>
      <c r="J95" s="109">
        <f>SUM(J93,J89,J84,J77)</f>
        <v>1094077</v>
      </c>
      <c r="K95" s="103"/>
      <c r="L95" s="118"/>
      <c r="M95" s="119"/>
      <c r="N95" s="93"/>
    </row>
    <row r="96" spans="1:14" ht="16.8" thickTop="1" thickBot="1">
      <c r="A96" s="206">
        <f t="shared" si="13"/>
        <v>85</v>
      </c>
      <c r="B96" s="102"/>
      <c r="C96" s="122"/>
      <c r="D96" s="113"/>
      <c r="E96" s="113"/>
      <c r="F96" s="102"/>
      <c r="G96" s="116"/>
      <c r="H96" s="113"/>
      <c r="I96" s="102"/>
      <c r="J96" s="116"/>
      <c r="K96" s="116"/>
      <c r="L96" s="277"/>
      <c r="M96" s="119"/>
      <c r="N96" s="93"/>
    </row>
    <row r="97" spans="1:16" ht="16.2" thickBot="1">
      <c r="A97" s="206">
        <f t="shared" si="13"/>
        <v>86</v>
      </c>
      <c r="L97" s="395" t="s">
        <v>120</v>
      </c>
      <c r="M97" s="396"/>
      <c r="N97" s="397"/>
    </row>
    <row r="98" spans="1:16">
      <c r="A98" s="206">
        <f t="shared" si="13"/>
        <v>87</v>
      </c>
      <c r="C98" s="102"/>
      <c r="D98" s="100"/>
      <c r="E98" s="116"/>
      <c r="F98" s="102"/>
      <c r="G98" s="102"/>
      <c r="H98" s="116"/>
      <c r="I98" s="102"/>
      <c r="J98" s="116" t="s">
        <v>0</v>
      </c>
      <c r="K98" s="116"/>
      <c r="L98" s="126" t="s">
        <v>121</v>
      </c>
      <c r="M98" s="127">
        <f>'Primary Voltage Rate Design'!H15-'Secondary Voltage Rate Design'!H55</f>
        <v>249.71999999999997</v>
      </c>
      <c r="N98" s="128"/>
    </row>
    <row r="99" spans="1:16">
      <c r="A99" s="206">
        <f t="shared" si="13"/>
        <v>88</v>
      </c>
      <c r="C99" s="102"/>
      <c r="D99" s="102" t="s">
        <v>0</v>
      </c>
      <c r="E99" s="116"/>
      <c r="F99" s="102"/>
      <c r="G99" s="102"/>
      <c r="H99" s="116"/>
      <c r="I99" s="102"/>
      <c r="J99" s="102"/>
      <c r="K99" s="102"/>
      <c r="L99" s="126" t="s">
        <v>122</v>
      </c>
      <c r="M99" s="271">
        <v>3.9300000000000002E-2</v>
      </c>
      <c r="N99" s="129">
        <f>ROUND(+M99*(J65/D65),2)</f>
        <v>0.41</v>
      </c>
    </row>
    <row r="100" spans="1:16">
      <c r="A100" s="206">
        <f t="shared" si="13"/>
        <v>89</v>
      </c>
      <c r="B100" s="102"/>
      <c r="C100" s="102"/>
      <c r="D100" s="102"/>
      <c r="E100" s="116"/>
      <c r="F100" s="102"/>
      <c r="G100" s="102"/>
      <c r="H100" s="116"/>
      <c r="I100" s="102"/>
      <c r="J100" s="102"/>
      <c r="K100" s="102"/>
      <c r="L100" s="126" t="s">
        <v>123</v>
      </c>
      <c r="M100" s="271">
        <f>+M99</f>
        <v>3.9300000000000002E-2</v>
      </c>
      <c r="N100" s="130">
        <f>ROUND(+M100*H57,6)</f>
        <v>2.3579999999999999E-3</v>
      </c>
    </row>
    <row r="101" spans="1:16" ht="16.2" thickBot="1">
      <c r="A101" s="206">
        <f t="shared" si="13"/>
        <v>90</v>
      </c>
      <c r="B101" s="102"/>
      <c r="C101" s="102"/>
      <c r="D101" s="102"/>
      <c r="E101" s="116"/>
      <c r="F101" s="102"/>
      <c r="G101" s="102"/>
      <c r="H101" s="116"/>
      <c r="I101" s="102"/>
      <c r="J101" s="102"/>
      <c r="K101" s="102"/>
      <c r="L101" s="131" t="s">
        <v>133</v>
      </c>
      <c r="M101" s="272">
        <f>+M100</f>
        <v>3.9300000000000002E-2</v>
      </c>
      <c r="N101" s="132">
        <f>ROUND(+M101*H67,5)</f>
        <v>5.0000000000000002E-5</v>
      </c>
    </row>
    <row r="102" spans="1:16">
      <c r="A102" s="206">
        <f t="shared" si="13"/>
        <v>91</v>
      </c>
      <c r="B102" s="207" t="s">
        <v>113</v>
      </c>
      <c r="C102" s="102"/>
      <c r="D102" s="102"/>
      <c r="E102" s="116"/>
      <c r="F102" s="102"/>
      <c r="G102" s="102"/>
      <c r="H102" s="116"/>
      <c r="I102" s="102"/>
      <c r="J102" s="102"/>
      <c r="K102" s="102"/>
      <c r="L102" s="48"/>
      <c r="M102" s="164"/>
      <c r="N102" s="273"/>
    </row>
    <row r="103" spans="1:16">
      <c r="A103" s="206">
        <f t="shared" si="13"/>
        <v>92</v>
      </c>
      <c r="B103" s="207" t="s">
        <v>114</v>
      </c>
      <c r="C103" s="102"/>
      <c r="D103" s="102"/>
      <c r="E103" s="116"/>
      <c r="F103" s="102"/>
      <c r="G103" s="102"/>
      <c r="H103" s="116"/>
      <c r="I103" s="102"/>
      <c r="J103" s="102"/>
      <c r="K103" s="102"/>
      <c r="L103" s="48"/>
      <c r="M103" s="164"/>
      <c r="N103" s="273"/>
    </row>
    <row r="104" spans="1:16">
      <c r="A104" s="206">
        <f t="shared" si="13"/>
        <v>93</v>
      </c>
      <c r="B104" s="102"/>
      <c r="C104" s="102"/>
      <c r="D104" s="102"/>
      <c r="E104" s="116"/>
      <c r="F104" s="102"/>
      <c r="G104" s="102"/>
      <c r="H104" s="116"/>
      <c r="I104" s="102"/>
      <c r="J104" s="102"/>
      <c r="K104" s="102"/>
      <c r="L104" s="48"/>
      <c r="M104" s="164"/>
      <c r="N104" s="273"/>
      <c r="O104" s="124"/>
      <c r="P104" s="125"/>
    </row>
    <row r="105" spans="1:16">
      <c r="A105" s="206">
        <f t="shared" si="13"/>
        <v>94</v>
      </c>
      <c r="B105" s="102" t="s">
        <v>33</v>
      </c>
      <c r="C105" s="102"/>
      <c r="D105" s="100"/>
      <c r="E105" s="213"/>
      <c r="F105" s="102"/>
      <c r="G105" s="116"/>
      <c r="H105" s="213"/>
      <c r="I105" s="102"/>
      <c r="J105" s="116"/>
      <c r="K105" s="116"/>
      <c r="L105" s="92"/>
      <c r="M105" s="93"/>
      <c r="N105" s="93"/>
    </row>
    <row r="106" spans="1:16">
      <c r="A106" s="206">
        <f t="shared" si="13"/>
        <v>95</v>
      </c>
      <c r="B106" s="102" t="s">
        <v>31</v>
      </c>
      <c r="C106" s="102"/>
      <c r="D106" s="100">
        <v>2248</v>
      </c>
      <c r="E106" s="213">
        <f>'Tariff Summary'!E55</f>
        <v>9.56</v>
      </c>
      <c r="F106" s="102"/>
      <c r="G106" s="116">
        <f t="shared" ref="G106:G107" si="18">ROUND(E106*$D106,0)</f>
        <v>21491</v>
      </c>
      <c r="H106" s="213">
        <f>ROUND(E106*(1+$N$47),2)</f>
        <v>10.16</v>
      </c>
      <c r="I106" s="102"/>
      <c r="J106" s="116">
        <f t="shared" ref="J106:J107" si="19">ROUND(H106*$D106,0)</f>
        <v>22840</v>
      </c>
      <c r="K106" s="116"/>
      <c r="L106" s="394" t="s">
        <v>89</v>
      </c>
      <c r="M106" s="394"/>
      <c r="N106" s="394"/>
    </row>
    <row r="107" spans="1:16">
      <c r="A107" s="206">
        <f t="shared" si="13"/>
        <v>96</v>
      </c>
      <c r="B107" s="102" t="s">
        <v>32</v>
      </c>
      <c r="C107" s="102"/>
      <c r="D107" s="100">
        <v>5042</v>
      </c>
      <c r="E107" s="213">
        <f>'Tariff Summary'!E56</f>
        <v>24.28</v>
      </c>
      <c r="F107" s="102"/>
      <c r="G107" s="116">
        <f t="shared" si="18"/>
        <v>122420</v>
      </c>
      <c r="H107" s="213">
        <f>ROUND(E107*(1+$N$47),2)</f>
        <v>25.8</v>
      </c>
      <c r="I107" s="102"/>
      <c r="J107" s="116">
        <f t="shared" si="19"/>
        <v>130084</v>
      </c>
      <c r="K107" s="116"/>
      <c r="L107" s="394" t="s">
        <v>89</v>
      </c>
      <c r="M107" s="394"/>
      <c r="N107" s="394"/>
    </row>
    <row r="108" spans="1:16">
      <c r="A108" s="206">
        <f t="shared" si="13"/>
        <v>97</v>
      </c>
      <c r="B108" s="212" t="s">
        <v>26</v>
      </c>
      <c r="C108" s="102"/>
      <c r="D108" s="117">
        <f>SUM(D106:D107)</f>
        <v>7290</v>
      </c>
      <c r="E108" s="213"/>
      <c r="F108" s="102"/>
      <c r="G108" s="120">
        <f>SUM(G106:G107)</f>
        <v>143911</v>
      </c>
      <c r="H108" s="213"/>
      <c r="I108" s="102"/>
      <c r="J108" s="120">
        <f>SUM(J106:J107)</f>
        <v>152924</v>
      </c>
      <c r="K108" s="116"/>
      <c r="L108" s="394"/>
      <c r="M108" s="394"/>
      <c r="N108" s="394"/>
    </row>
    <row r="109" spans="1:16">
      <c r="A109" s="206">
        <f t="shared" si="13"/>
        <v>98</v>
      </c>
      <c r="B109" s="102" t="s">
        <v>36</v>
      </c>
      <c r="C109" s="102"/>
      <c r="D109" s="100"/>
      <c r="E109" s="36"/>
      <c r="F109" s="116"/>
      <c r="G109" s="116"/>
      <c r="H109" s="36"/>
      <c r="I109" s="116"/>
      <c r="J109" s="116"/>
      <c r="K109" s="116"/>
      <c r="L109" s="118"/>
      <c r="M109" s="93"/>
      <c r="N109" s="93"/>
    </row>
    <row r="110" spans="1:16">
      <c r="A110" s="206">
        <f t="shared" si="13"/>
        <v>99</v>
      </c>
      <c r="B110" s="209" t="s">
        <v>95</v>
      </c>
      <c r="C110" s="102"/>
      <c r="D110" s="100">
        <v>1724764</v>
      </c>
      <c r="E110" s="208">
        <f>'Tariff Summary'!E58</f>
        <v>8.9582999999999996E-2</v>
      </c>
      <c r="F110" s="116"/>
      <c r="G110" s="116">
        <f>ROUND($D110*E110,0)</f>
        <v>154510</v>
      </c>
      <c r="H110" s="208">
        <f>ROUND(E110*(1+$N$47),6)</f>
        <v>9.5174999999999996E-2</v>
      </c>
      <c r="I110" s="116"/>
      <c r="J110" s="116">
        <f>ROUND($D110*H110,0)</f>
        <v>164154</v>
      </c>
      <c r="K110" s="116"/>
      <c r="L110" s="394" t="s">
        <v>89</v>
      </c>
      <c r="M110" s="394"/>
      <c r="N110" s="394"/>
    </row>
    <row r="111" spans="1:16">
      <c r="A111" s="206">
        <f t="shared" si="13"/>
        <v>100</v>
      </c>
      <c r="B111" s="209" t="s">
        <v>116</v>
      </c>
      <c r="C111" s="102"/>
      <c r="D111" s="100">
        <v>19062</v>
      </c>
      <c r="E111" s="208">
        <f>'Tariff Summary'!E59</f>
        <v>6.8035999999999999E-2</v>
      </c>
      <c r="F111" s="116"/>
      <c r="G111" s="116">
        <f>ROUND($D111*E111,0)</f>
        <v>1297</v>
      </c>
      <c r="H111" s="208">
        <f>ROUND(E111*(1+$N$47),6)</f>
        <v>7.2283E-2</v>
      </c>
      <c r="I111" s="116"/>
      <c r="J111" s="116">
        <f>ROUND($D111*H111,0)</f>
        <v>1378</v>
      </c>
      <c r="K111" s="116"/>
      <c r="L111" s="394" t="s">
        <v>89</v>
      </c>
      <c r="M111" s="394"/>
      <c r="N111" s="394"/>
    </row>
    <row r="112" spans="1:16">
      <c r="A112" s="206">
        <f t="shared" si="13"/>
        <v>101</v>
      </c>
      <c r="B112" s="209" t="s">
        <v>94</v>
      </c>
      <c r="C112" s="102"/>
      <c r="D112" s="100">
        <v>10852548</v>
      </c>
      <c r="E112" s="208">
        <f>'Tariff Summary'!E60</f>
        <v>6.2075999999999999E-2</v>
      </c>
      <c r="F112" s="116"/>
      <c r="G112" s="116">
        <f t="shared" ref="G112:G113" si="20">ROUND($D112*E112,0)</f>
        <v>673683</v>
      </c>
      <c r="H112" s="208">
        <f>ROUND(E112*(1+$N$47),6)</f>
        <v>6.5950999999999996E-2</v>
      </c>
      <c r="I112" s="116"/>
      <c r="J112" s="116">
        <f t="shared" ref="J112:J113" si="21">ROUND($D112*H112,0)</f>
        <v>715736</v>
      </c>
      <c r="K112" s="116"/>
      <c r="L112" s="394" t="s">
        <v>89</v>
      </c>
      <c r="M112" s="394"/>
      <c r="N112" s="394"/>
    </row>
    <row r="113" spans="1:14">
      <c r="A113" s="206">
        <f t="shared" si="13"/>
        <v>102</v>
      </c>
      <c r="B113" s="209" t="s">
        <v>115</v>
      </c>
      <c r="C113" s="102"/>
      <c r="D113" s="100">
        <v>368027</v>
      </c>
      <c r="E113" s="208">
        <f>'Tariff Summary'!E61</f>
        <v>5.3189E-2</v>
      </c>
      <c r="F113" s="116"/>
      <c r="G113" s="116">
        <f t="shared" si="20"/>
        <v>19575</v>
      </c>
      <c r="H113" s="208">
        <f>ROUND(E113*(1+$N$47),6)</f>
        <v>5.6508999999999997E-2</v>
      </c>
      <c r="I113" s="116"/>
      <c r="J113" s="116">
        <f t="shared" si="21"/>
        <v>20797</v>
      </c>
      <c r="K113" s="116"/>
      <c r="L113" s="394" t="s">
        <v>89</v>
      </c>
      <c r="M113" s="394"/>
      <c r="N113" s="394"/>
    </row>
    <row r="114" spans="1:14">
      <c r="A114" s="206">
        <f t="shared" si="13"/>
        <v>103</v>
      </c>
      <c r="B114" s="212" t="s">
        <v>26</v>
      </c>
      <c r="C114" s="102"/>
      <c r="D114" s="117">
        <f>SUM(D110:D113)</f>
        <v>12964401</v>
      </c>
      <c r="E114" s="256"/>
      <c r="F114" s="102"/>
      <c r="G114" s="120">
        <f>SUM(G110:G113)</f>
        <v>849065</v>
      </c>
      <c r="H114" s="256"/>
      <c r="I114" s="102"/>
      <c r="J114" s="120">
        <f>SUM(J110:J113)</f>
        <v>902065</v>
      </c>
      <c r="K114" s="116"/>
      <c r="L114" s="118"/>
      <c r="M114" s="93"/>
      <c r="N114" s="93"/>
    </row>
    <row r="115" spans="1:14">
      <c r="A115" s="206">
        <f t="shared" si="13"/>
        <v>104</v>
      </c>
      <c r="B115" s="209" t="s">
        <v>87</v>
      </c>
      <c r="C115" s="102"/>
      <c r="D115" s="100">
        <v>0</v>
      </c>
      <c r="E115" s="208">
        <f>E111</f>
        <v>6.8035999999999999E-2</v>
      </c>
      <c r="F115" s="102"/>
      <c r="G115" s="116">
        <f t="shared" ref="G115:G117" si="22">ROUND($D115*E115,0)</f>
        <v>0</v>
      </c>
      <c r="H115" s="208">
        <f>H111</f>
        <v>7.2283E-2</v>
      </c>
      <c r="I115" s="102"/>
      <c r="J115" s="116">
        <f t="shared" ref="J115:J117" si="23">ROUND($D115*H115,0)</f>
        <v>0</v>
      </c>
      <c r="K115" s="116"/>
      <c r="L115" s="118"/>
      <c r="M115" s="93"/>
      <c r="N115" s="93"/>
    </row>
    <row r="116" spans="1:14">
      <c r="A116" s="206">
        <f t="shared" si="13"/>
        <v>105</v>
      </c>
      <c r="B116" s="209" t="s">
        <v>88</v>
      </c>
      <c r="C116" s="102"/>
      <c r="D116" s="100">
        <v>-158746.83383420159</v>
      </c>
      <c r="E116" s="208">
        <f>E113</f>
        <v>5.3189E-2</v>
      </c>
      <c r="F116" s="102"/>
      <c r="G116" s="116">
        <f t="shared" si="22"/>
        <v>-8444</v>
      </c>
      <c r="H116" s="208">
        <f>H113</f>
        <v>5.6508999999999997E-2</v>
      </c>
      <c r="I116" s="102"/>
      <c r="J116" s="116">
        <f t="shared" si="23"/>
        <v>-8971</v>
      </c>
      <c r="K116" s="116"/>
      <c r="L116" s="92"/>
      <c r="M116" s="93"/>
      <c r="N116" s="93"/>
    </row>
    <row r="117" spans="1:14">
      <c r="A117" s="206">
        <f t="shared" si="13"/>
        <v>106</v>
      </c>
      <c r="B117" s="123" t="s">
        <v>77</v>
      </c>
      <c r="C117" s="102"/>
      <c r="D117" s="113">
        <v>1521175.2230270188</v>
      </c>
      <c r="E117" s="208">
        <f>ROUND(SUM(F95,G108,G114:G116,G122,G124)/SUM(D114:D116),6)</f>
        <v>7.9413999999999998E-2</v>
      </c>
      <c r="F117" s="102"/>
      <c r="G117" s="116">
        <f t="shared" si="22"/>
        <v>120803</v>
      </c>
      <c r="H117" s="208">
        <f>ROUND(SUM(I95,J108,J114:J116,J122,J124)/SUM(D114:D116),6)</f>
        <v>8.4373000000000004E-2</v>
      </c>
      <c r="I117" s="102"/>
      <c r="J117" s="116">
        <f t="shared" si="23"/>
        <v>128346</v>
      </c>
      <c r="K117" s="103"/>
      <c r="L117" s="394" t="s">
        <v>89</v>
      </c>
      <c r="M117" s="394"/>
      <c r="N117" s="394"/>
    </row>
    <row r="118" spans="1:14">
      <c r="A118" s="206">
        <f t="shared" si="13"/>
        <v>107</v>
      </c>
      <c r="B118" s="212" t="s">
        <v>26</v>
      </c>
      <c r="C118" s="102"/>
      <c r="D118" s="117">
        <f>SUM(D114:D117)</f>
        <v>14326829.389192818</v>
      </c>
      <c r="E118" s="102"/>
      <c r="F118" s="102"/>
      <c r="G118" s="120">
        <f>SUM(G114:G117)</f>
        <v>961424</v>
      </c>
      <c r="H118" s="102"/>
      <c r="I118" s="102"/>
      <c r="J118" s="120">
        <f>SUM(J114:J117)</f>
        <v>1021440</v>
      </c>
      <c r="K118" s="103"/>
      <c r="L118" s="118"/>
      <c r="M118" s="93"/>
      <c r="N118" s="93"/>
    </row>
    <row r="119" spans="1:14">
      <c r="A119" s="206">
        <f t="shared" si="13"/>
        <v>108</v>
      </c>
      <c r="B119" s="102" t="s">
        <v>35</v>
      </c>
      <c r="C119" s="102"/>
      <c r="D119" s="100"/>
      <c r="E119" s="216"/>
      <c r="F119" s="102"/>
      <c r="G119" s="116"/>
      <c r="H119" s="216"/>
      <c r="I119" s="102"/>
      <c r="J119" s="116"/>
      <c r="K119" s="116"/>
      <c r="L119" s="118"/>
      <c r="M119" s="119"/>
      <c r="N119" s="93"/>
    </row>
    <row r="120" spans="1:14">
      <c r="A120" s="206">
        <f t="shared" si="13"/>
        <v>109</v>
      </c>
      <c r="B120" s="209" t="s">
        <v>97</v>
      </c>
      <c r="C120" s="102"/>
      <c r="D120" s="100">
        <v>1931</v>
      </c>
      <c r="E120" s="213">
        <f>'Tariff Summary'!E64</f>
        <v>8.83</v>
      </c>
      <c r="F120" s="102"/>
      <c r="G120" s="116">
        <f>ROUND(E120*$D120,0)</f>
        <v>17051</v>
      </c>
      <c r="H120" s="213">
        <f>ROUND(E120*(1+$N$47),2)</f>
        <v>9.3800000000000008</v>
      </c>
      <c r="I120" s="102"/>
      <c r="J120" s="116">
        <f>ROUND(H120*$D120,0)</f>
        <v>18113</v>
      </c>
      <c r="K120" s="116"/>
      <c r="L120" s="394" t="s">
        <v>89</v>
      </c>
      <c r="M120" s="394"/>
      <c r="N120" s="394"/>
    </row>
    <row r="121" spans="1:14">
      <c r="A121" s="206">
        <f t="shared" si="13"/>
        <v>110</v>
      </c>
      <c r="B121" s="209" t="s">
        <v>98</v>
      </c>
      <c r="C121" s="102"/>
      <c r="D121" s="100">
        <v>3438</v>
      </c>
      <c r="E121" s="213">
        <f>'Tariff Summary'!E65</f>
        <v>4.3499999999999996</v>
      </c>
      <c r="F121" s="102"/>
      <c r="G121" s="116">
        <f>ROUND(E121*$D121,0)</f>
        <v>14955</v>
      </c>
      <c r="H121" s="213">
        <f>ROUND(E121*(1+$N$47),2)</f>
        <v>4.62</v>
      </c>
      <c r="I121" s="102"/>
      <c r="J121" s="116">
        <f>ROUND(H121*$D121,0)</f>
        <v>15884</v>
      </c>
      <c r="K121" s="116"/>
      <c r="L121" s="394" t="s">
        <v>89</v>
      </c>
      <c r="M121" s="394"/>
      <c r="N121" s="394"/>
    </row>
    <row r="122" spans="1:14">
      <c r="A122" s="206">
        <f t="shared" si="13"/>
        <v>111</v>
      </c>
      <c r="B122" s="212" t="s">
        <v>26</v>
      </c>
      <c r="C122" s="102"/>
      <c r="D122" s="117">
        <f>SUM(D120:D121)</f>
        <v>5369</v>
      </c>
      <c r="E122" s="216"/>
      <c r="F122" s="102"/>
      <c r="G122" s="120">
        <f>SUM(G120:G121)</f>
        <v>32006</v>
      </c>
      <c r="H122" s="216"/>
      <c r="I122" s="102"/>
      <c r="J122" s="120">
        <f>SUM(J120:J121)</f>
        <v>33997</v>
      </c>
      <c r="K122" s="116"/>
      <c r="L122" s="118"/>
      <c r="M122" s="93"/>
      <c r="N122" s="93"/>
    </row>
    <row r="123" spans="1:14">
      <c r="A123" s="206">
        <f t="shared" si="13"/>
        <v>112</v>
      </c>
      <c r="B123" s="102"/>
      <c r="C123" s="102"/>
      <c r="D123" s="113"/>
      <c r="E123" s="113"/>
      <c r="F123" s="102"/>
      <c r="G123" s="103"/>
      <c r="H123" s="113"/>
      <c r="I123" s="102"/>
      <c r="J123" s="103"/>
      <c r="K123" s="103"/>
      <c r="L123" s="118"/>
      <c r="M123" s="93"/>
      <c r="N123" s="93"/>
    </row>
    <row r="124" spans="1:14">
      <c r="A124" s="206">
        <f t="shared" si="13"/>
        <v>113</v>
      </c>
      <c r="B124" s="102" t="s">
        <v>99</v>
      </c>
      <c r="C124" s="102"/>
      <c r="D124" s="100">
        <v>144115</v>
      </c>
      <c r="E124" s="255">
        <f>'Tariff Summary'!E67</f>
        <v>2.81E-3</v>
      </c>
      <c r="F124" s="102"/>
      <c r="G124" s="116">
        <f>ROUND(E124*$D124,0)</f>
        <v>405</v>
      </c>
      <c r="H124" s="255">
        <f>ROUND(E124*(1+$N$47),5)</f>
        <v>2.99E-3</v>
      </c>
      <c r="I124" s="102"/>
      <c r="J124" s="116">
        <f>ROUND(H124*$D124,0)</f>
        <v>431</v>
      </c>
      <c r="K124" s="103"/>
      <c r="L124" s="394" t="s">
        <v>89</v>
      </c>
      <c r="M124" s="394"/>
      <c r="N124" s="394"/>
    </row>
    <row r="125" spans="1:14">
      <c r="A125" s="206">
        <f t="shared" si="13"/>
        <v>114</v>
      </c>
      <c r="B125" s="102"/>
      <c r="C125" s="102"/>
      <c r="D125" s="113"/>
      <c r="E125" s="113"/>
      <c r="F125" s="102"/>
      <c r="G125" s="103"/>
      <c r="H125" s="113"/>
      <c r="I125" s="102"/>
      <c r="J125" s="103"/>
      <c r="K125" s="103"/>
      <c r="L125" s="277"/>
      <c r="M125" s="119"/>
      <c r="N125" s="93"/>
    </row>
    <row r="126" spans="1:14" ht="16.2" thickBot="1">
      <c r="A126" s="206">
        <f t="shared" si="13"/>
        <v>115</v>
      </c>
      <c r="B126" s="102" t="s">
        <v>30</v>
      </c>
      <c r="C126" s="102"/>
      <c r="D126" s="113"/>
      <c r="E126" s="113"/>
      <c r="F126" s="102"/>
      <c r="G126" s="109">
        <f>SUM(G108,G118,G122,G124)</f>
        <v>1137746</v>
      </c>
      <c r="H126" s="113"/>
      <c r="I126" s="102"/>
      <c r="J126" s="109">
        <f>SUM(J108,J118,J122,J124)</f>
        <v>1208792</v>
      </c>
      <c r="K126" s="103"/>
      <c r="L126" s="118"/>
      <c r="M126" s="119"/>
      <c r="N126" s="93"/>
    </row>
    <row r="127" spans="1:14" ht="16.2" thickTop="1">
      <c r="B127" s="102"/>
      <c r="C127" s="122"/>
      <c r="D127" s="113"/>
      <c r="E127" s="113"/>
      <c r="F127" s="102"/>
      <c r="G127" s="116"/>
      <c r="H127" s="113"/>
      <c r="I127" s="102"/>
      <c r="J127" s="116"/>
      <c r="K127" s="116"/>
      <c r="L127" s="277"/>
      <c r="M127" s="119"/>
      <c r="N127" s="93"/>
    </row>
    <row r="128" spans="1:14">
      <c r="J128" s="99"/>
      <c r="L128" s="277"/>
      <c r="M128" s="119"/>
      <c r="N128" s="93"/>
    </row>
    <row r="129" spans="12:14">
      <c r="L129" s="277"/>
      <c r="M129" s="119"/>
      <c r="N129" s="93"/>
    </row>
  </sheetData>
  <mergeCells count="48">
    <mergeCell ref="L121:N121"/>
    <mergeCell ref="L124:N124"/>
    <mergeCell ref="L97:N97"/>
    <mergeCell ref="L111:N111"/>
    <mergeCell ref="L112:N112"/>
    <mergeCell ref="L113:N113"/>
    <mergeCell ref="L117:N117"/>
    <mergeCell ref="L120:N120"/>
    <mergeCell ref="L92:N92"/>
    <mergeCell ref="L108:N108"/>
    <mergeCell ref="L110:N110"/>
    <mergeCell ref="L106:N106"/>
    <mergeCell ref="L107:N107"/>
    <mergeCell ref="L80:N80"/>
    <mergeCell ref="L86:N86"/>
    <mergeCell ref="L87:N87"/>
    <mergeCell ref="L88:N88"/>
    <mergeCell ref="L91:N91"/>
    <mergeCell ref="L64:N64"/>
    <mergeCell ref="L67:N67"/>
    <mergeCell ref="L75:N75"/>
    <mergeCell ref="L77:N77"/>
    <mergeCell ref="L79:N79"/>
    <mergeCell ref="L45:N45"/>
    <mergeCell ref="L55:N55"/>
    <mergeCell ref="L57:N57"/>
    <mergeCell ref="L60:N60"/>
    <mergeCell ref="L63:N63"/>
    <mergeCell ref="L34:N34"/>
    <mergeCell ref="L35:N35"/>
    <mergeCell ref="L38:N38"/>
    <mergeCell ref="L41:N41"/>
    <mergeCell ref="L42:N42"/>
    <mergeCell ref="B1:K1"/>
    <mergeCell ref="B2:J2"/>
    <mergeCell ref="B3:J3"/>
    <mergeCell ref="B4:J4"/>
    <mergeCell ref="E9:G9"/>
    <mergeCell ref="H9:J9"/>
    <mergeCell ref="L23:N23"/>
    <mergeCell ref="L24:N24"/>
    <mergeCell ref="L31:N31"/>
    <mergeCell ref="L33:N33"/>
    <mergeCell ref="L15:N15"/>
    <mergeCell ref="L16:N16"/>
    <mergeCell ref="L19:N19"/>
    <mergeCell ref="L20:N20"/>
    <mergeCell ref="L22:N22"/>
  </mergeCells>
  <printOptions horizontalCentered="1"/>
  <pageMargins left="0.7" right="0.7" top="0.75" bottom="0.71" header="0.3" footer="0.3"/>
  <pageSetup scale="55" fitToHeight="7" orientation="landscape" r:id="rId1"/>
  <headerFooter alignWithMargins="0">
    <oddFooter>&amp;L&amp;A&amp;RExhibit No.___(JAP-15)
Page &amp;P of &amp;N</oddFooter>
  </headerFooter>
  <rowBreaks count="2" manualBreakCount="2">
    <brk id="51" max="13" man="1"/>
    <brk id="101" max="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170034</DocketNumber>
    <DelegatedOrder xmlns="dc463f71-b30c-4ab2-9473-d307f9d35888">false</DelegatedOrder>
    <Visibility xmlns="dc463f71-b30c-4ab2-9473-d307f9d35888">Full Visibility</Visibility>
    <Nickname xmlns="http://schemas.microsoft.com/sharepoint/v3" xsi:nil="true"/>
    <SignificantOrder xmlns="dc463f71-b30c-4ab2-9473-d307f9d35888">false</Significant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4EA5D37A962C4EA37186F23DE8E95A" ma:contentTypeVersion="104" ma:contentTypeDescription="" ma:contentTypeScope="" ma:versionID="d253007e0d47857184b4be113f8e120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5739F8-A53A-4512-978F-4FE03B40EE65}"/>
</file>

<file path=customXml/itemProps2.xml><?xml version="1.0" encoding="utf-8"?>
<ds:datastoreItem xmlns:ds="http://schemas.openxmlformats.org/officeDocument/2006/customXml" ds:itemID="{10C33DAE-168C-4864-8744-A74E62D419B1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dc463f71-b30c-4ab2-9473-d307f9d35888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FF4F3B3-C676-4F61-A2DC-B9EAB758B679}"/>
</file>

<file path=customXml/itemProps4.xml><?xml version="1.0" encoding="utf-8"?>
<ds:datastoreItem xmlns:ds="http://schemas.openxmlformats.org/officeDocument/2006/customXml" ds:itemID="{F3D7BA3A-D653-45E7-86A2-3CD4E323EC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21</vt:i4>
      </vt:variant>
    </vt:vector>
  </HeadingPairs>
  <TitlesOfParts>
    <vt:vector size="35" baseType="lpstr">
      <vt:lpstr>Tariff Charge Summary===&gt;</vt:lpstr>
      <vt:lpstr>Tariff Summary</vt:lpstr>
      <vt:lpstr>Tariff Summary Lights</vt:lpstr>
      <vt:lpstr>Rate Spread-Design====&gt;</vt:lpstr>
      <vt:lpstr>Rate Spread</vt:lpstr>
      <vt:lpstr>Rate Design Summary</vt:lpstr>
      <vt:lpstr>Proforma-Proposed</vt:lpstr>
      <vt:lpstr>Residential Rate Design</vt:lpstr>
      <vt:lpstr>Secondary Voltage Rate Design</vt:lpstr>
      <vt:lpstr>Primary Voltage Rate Design</vt:lpstr>
      <vt:lpstr>Campus Rate Design</vt:lpstr>
      <vt:lpstr>High Voltage Rate Design</vt:lpstr>
      <vt:lpstr>Transportation Rate Design</vt:lpstr>
      <vt:lpstr>Lighting Rate Design</vt:lpstr>
      <vt:lpstr>'Campus Rate Design'!Print_Area</vt:lpstr>
      <vt:lpstr>'High Voltage Rate Design'!Print_Area</vt:lpstr>
      <vt:lpstr>'Lighting Rate Design'!Print_Area</vt:lpstr>
      <vt:lpstr>'Primary Voltage Rate Design'!Print_Area</vt:lpstr>
      <vt:lpstr>'Proforma-Proposed'!Print_Area</vt:lpstr>
      <vt:lpstr>'Rate Spread'!Print_Area</vt:lpstr>
      <vt:lpstr>'Residential Rate Design'!Print_Area</vt:lpstr>
      <vt:lpstr>'Secondary Voltage Rate Design'!Print_Area</vt:lpstr>
      <vt:lpstr>'Tariff Summary'!Print_Area</vt:lpstr>
      <vt:lpstr>'Tariff Summary Lights'!Print_Area</vt:lpstr>
      <vt:lpstr>'Transportation Rate Design'!Print_Area</vt:lpstr>
      <vt:lpstr>'Campus Rate Design'!Print_Titles</vt:lpstr>
      <vt:lpstr>'High Voltage Rate Design'!Print_Titles</vt:lpstr>
      <vt:lpstr>'Lighting Rate Design'!Print_Titles</vt:lpstr>
      <vt:lpstr>'Primary Voltage Rate Design'!Print_Titles</vt:lpstr>
      <vt:lpstr>'Residential Rate Design'!Print_Titles</vt:lpstr>
      <vt:lpstr>'Secondary Voltage Rate Design'!Print_Titles</vt:lpstr>
      <vt:lpstr>'Tariff Summary'!Print_Titles</vt:lpstr>
      <vt:lpstr>'Tariff Summary Lights'!Print_Titles</vt:lpstr>
      <vt:lpstr>'Transportation Rate Design'!Print_Titles</vt:lpstr>
      <vt:lpstr>'Proforma-Proposed'!TABLEA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No Name</cp:lastModifiedBy>
  <cp:lastPrinted>2017-01-04T22:26:35Z</cp:lastPrinted>
  <dcterms:created xsi:type="dcterms:W3CDTF">2016-04-04T22:09:28Z</dcterms:created>
  <dcterms:modified xsi:type="dcterms:W3CDTF">2017-01-07T00:42:00Z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0x0101006E56B4D1795A2E4DB2F0B01679ED314A00EF4EA5D37A962C4EA37186F23DE8E95A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