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style2.xml" ContentType="application/vnd.ms-office.chartstyle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2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ome.utc.wa.gov/sites/ue-190529/Staffs Testimony and Exhibits/"/>
    </mc:Choice>
  </mc:AlternateContent>
  <bookViews>
    <workbookView xWindow="0" yWindow="0" windowWidth="28800" windowHeight="12435" activeTab="2"/>
  </bookViews>
  <sheets>
    <sheet name="Combined Impacts" sheetId="66" r:id="rId1"/>
    <sheet name="Typical Res Bill Impact" sheetId="56" r:id="rId2"/>
    <sheet name="Staff RES Bill Impacts" sheetId="73" r:id="rId3"/>
    <sheet name="Work Papers--&gt;" sheetId="51" r:id="rId4"/>
    <sheet name="Individual Impacts--&gt;" sheetId="72" r:id="rId5"/>
    <sheet name="Average Rate Impacts" sheetId="67" r:id="rId6"/>
    <sheet name="Base Rate Impacts" sheetId="65" r:id="rId7"/>
    <sheet name="Sch. 141 Impacts" sheetId="69" r:id="rId8"/>
    <sheet name="Sch. 141X Impacts" sheetId="70" r:id="rId9"/>
    <sheet name="Sch. 149 Impacts" sheetId="71" r:id="rId10"/>
    <sheet name="Rider Revenue Calculation--&gt;" sheetId="28" r:id="rId11"/>
    <sheet name="Schedule 106 Revenue" sheetId="24" r:id="rId12"/>
    <sheet name="Schedule 120 Revenue" sheetId="25" r:id="rId13"/>
    <sheet name="Schedule 129 Revenue" sheetId="11" r:id="rId14"/>
    <sheet name="Schedule 132 Revenue" sheetId="26" r:id="rId15"/>
    <sheet name="Schedule 140 Revenue" sheetId="21" r:id="rId16"/>
    <sheet name="Schedule 141 Revenue" sheetId="18" r:id="rId17"/>
    <sheet name="Schedule 141X Revenue" sheetId="53" r:id="rId18"/>
    <sheet name="Schedule 141Y Revenue" sheetId="61" r:id="rId19"/>
    <sheet name="Sch 142 Revenue (Decoupling)" sheetId="48" r:id="rId20"/>
    <sheet name="Sch 142 Revenue (Rate Plan)" sheetId="16" r:id="rId21"/>
    <sheet name="Schedule 149 Revenue" sheetId="22" r:id="rId22"/>
    <sheet name="Data--&gt;" sheetId="36" r:id="rId23"/>
    <sheet name="Normalized Therms" sheetId="10" r:id="rId24"/>
    <sheet name="12ME Dec18 Rentals" sheetId="37" r:id="rId25"/>
    <sheet name="12ME Dec18 Data" sheetId="15" r:id="rId26"/>
    <sheet name="12ME Dec18 Bill Freq" sheetId="13" r:id="rId27"/>
    <sheet name="12ME Dec18 Norm Therms" sheetId="39" r:id="rId28"/>
    <sheet name="12ME Dec18 Cal Bill Freq" sheetId="40" r:id="rId29"/>
    <sheet name="12ME Dec18 Weather Adj" sheetId="6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8">[3]BS!$T$7:$T$3582</definedName>
    <definedName name="__Dec03">[3]BS!$T$7:$T$3582</definedName>
    <definedName name="__Dec04" localSheetId="28">[1]BS!$AC$7:$AC$3580</definedName>
    <definedName name="__Dec04">[1]BS!$AC$7:$AC$3580</definedName>
    <definedName name="__Feb04" localSheetId="19">[1]BS!$S$7:$S$3582</definedName>
    <definedName name="__Feb04" localSheetId="20">[1]BS!$S$7:$S$3582</definedName>
    <definedName name="__Feb04" localSheetId="13">[1]BS!$S$7:$S$3582</definedName>
    <definedName name="__Jan04" localSheetId="19">[1]BS!$R$7:$R$3582</definedName>
    <definedName name="__Jan04" localSheetId="20">[1]BS!$R$7:$R$3582</definedName>
    <definedName name="__Jan04" localSheetId="13">[1]BS!$R$7:$R$3582</definedName>
    <definedName name="__Jul04" localSheetId="28">[1]BS!$X$7:$X$3582</definedName>
    <definedName name="__Jul04">[1]BS!$X$7:$X$3582</definedName>
    <definedName name="__Jul09" xml:space="preserve"> [2]BS!$X$7:$X$1726</definedName>
    <definedName name="__Jun04" localSheetId="28">[1]BS!$W$7:$W$3582</definedName>
    <definedName name="__Jun04">[1]BS!$W$7:$W$3582</definedName>
    <definedName name="__Jun09">" BS!$AI$7:$AI$1643"</definedName>
    <definedName name="__Mar04" localSheetId="19">[1]BS!$T$7:$T$3582</definedName>
    <definedName name="__Mar04" localSheetId="20">[1]BS!$T$7:$T$3582</definedName>
    <definedName name="__Mar04" localSheetId="13">[1]BS!$T$7:$T$3582</definedName>
    <definedName name="__May04" localSheetId="28">[1]BS!$V$7:$V$3582</definedName>
    <definedName name="__May04">[1]BS!$V$7:$V$3582</definedName>
    <definedName name="__Nov03" localSheetId="28">[3]BS!$S$7:$S$3582</definedName>
    <definedName name="__Nov03">[3]BS!$S$7:$S$3582</definedName>
    <definedName name="__Nov04" localSheetId="28">[1]BS!$AB$7:$AB$3582</definedName>
    <definedName name="__Nov04">[1]BS!$AB$7:$AB$3582</definedName>
    <definedName name="__Oct03" localSheetId="28">[3]BS!$R$7:$R$3582</definedName>
    <definedName name="__Oct03">[3]BS!$R$7:$R$3582</definedName>
    <definedName name="__Oct04" localSheetId="28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8">[3]BS!$Q$7:$Q$3582</definedName>
    <definedName name="__Sep03">[3]BS!$Q$7:$Q$3582</definedName>
    <definedName name="__Sep04" localSheetId="28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8">[1]BS!$U$7:$U$3582</definedName>
    <definedName name="_Apr04">[1]BS!$U$7:$U$3582</definedName>
    <definedName name="_Apr09" xml:space="preserve"> [2]BS!$U$7:$U$1726</definedName>
    <definedName name="_Aug04" localSheetId="28">[1]BS!$Y$7:$Y$3582</definedName>
    <definedName name="_Aug04">[1]BS!$Y$7:$Y$3582</definedName>
    <definedName name="_Aug09" xml:space="preserve"> [2]BS!$Y$7:$Y$1726</definedName>
    <definedName name="_Dec03" localSheetId="28">[3]BS!$T$7:$T$3582</definedName>
    <definedName name="_Dec03">[3]BS!$T$7:$T$3582</definedName>
    <definedName name="_Dec04" localSheetId="28">[1]BS!$AC$7:$AC$3580</definedName>
    <definedName name="_Dec04">[1]BS!$AC$7:$AC$3580</definedName>
    <definedName name="_Dec08" xml:space="preserve"> [2]BS!$Q$7:$Q$1726</definedName>
    <definedName name="_Feb04" localSheetId="28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8">[1]BS!$R$7:$R$3582</definedName>
    <definedName name="_Jan04">[1]BS!$R$7:$R$3582</definedName>
    <definedName name="_Jul04" localSheetId="28">[1]BS!$X$7:$X$3582</definedName>
    <definedName name="_Jul04">[1]BS!$X$7:$X$3582</definedName>
    <definedName name="_Jul09" xml:space="preserve"> [2]BS!$X$7:$X$1726</definedName>
    <definedName name="_Jun04" localSheetId="28">[1]BS!$W$7:$W$3582</definedName>
    <definedName name="_Jun04">[1]BS!$W$7:$W$3582</definedName>
    <definedName name="_Jun09" xml:space="preserve"> [2]BS!$W$7:$W$1726</definedName>
    <definedName name="_Mar04" localSheetId="28">[1]BS!$T$7:$T$3582</definedName>
    <definedName name="_Mar04">[1]BS!$T$7:$T$3582</definedName>
    <definedName name="_May04" localSheetId="28">[1]BS!$V$7:$V$3582</definedName>
    <definedName name="_May04">[1]BS!$V$7:$V$3582</definedName>
    <definedName name="_May09" xml:space="preserve"> [2]BS!$V$7:$V$1726</definedName>
    <definedName name="_Nov03" localSheetId="28">[3]BS!$S$7:$S$3582</definedName>
    <definedName name="_Nov03">[3]BS!$S$7:$S$3582</definedName>
    <definedName name="_Nov04" localSheetId="28">[1]BS!$AB$7:$AB$3582</definedName>
    <definedName name="_Nov04">[1]BS!$AB$7:$AB$3582</definedName>
    <definedName name="_Oct03" localSheetId="28">[3]BS!$R$7:$R$3582</definedName>
    <definedName name="_Oct03">[3]BS!$R$7:$R$3582</definedName>
    <definedName name="_Oct04" localSheetId="28">[1]BS!$AA$7:$AA$3582</definedName>
    <definedName name="_Oct04">[1]BS!$AA$7:$AA$3582</definedName>
    <definedName name="_Oct09" xml:space="preserve"> [2]BS!$AA$7:$AA$1726</definedName>
    <definedName name="_Order1" localSheetId="23">0</definedName>
    <definedName name="_Order1" localSheetId="19">255</definedName>
    <definedName name="_Order1" localSheetId="20">255</definedName>
    <definedName name="_Order1" localSheetId="13">0</definedName>
    <definedName name="_Order1" localSheetId="16">0</definedName>
    <definedName name="_Order1" localSheetId="17">0</definedName>
    <definedName name="_Order1" localSheetId="1">0</definedName>
    <definedName name="_Order1">255</definedName>
    <definedName name="_Order2" localSheetId="23">0</definedName>
    <definedName name="_Order2" localSheetId="19">255</definedName>
    <definedName name="_Order2" localSheetId="20">255</definedName>
    <definedName name="_Order2" localSheetId="13">0</definedName>
    <definedName name="_Order2" localSheetId="16">0</definedName>
    <definedName name="_Order2" localSheetId="17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8">[3]BS!$Q$7:$Q$3582</definedName>
    <definedName name="_Sep03">[3]BS!$Q$7:$Q$3582</definedName>
    <definedName name="_Sep04" localSheetId="28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8">'[9]Acquisition Inputs'!$C$8</definedName>
    <definedName name="Acq1Plant">'[9]Acquisition Inputs'!$C$8</definedName>
    <definedName name="Acq2Plant" localSheetId="28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8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8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9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9">[18]INPUTS!$C$8</definedName>
    <definedName name="CASE" localSheetId="20">[18]INPUTS!$C$8</definedName>
    <definedName name="CASE" localSheetId="13">[18]INPUTS!$C$8</definedName>
    <definedName name="CASE">[19]INPUTS!$C$11</definedName>
    <definedName name="Case_Name">'[20]KJB-6,13 Cmn Adj'!$B$8</definedName>
    <definedName name="CaseDescription" localSheetId="28">'[9]Dispatch Cases'!$C$11</definedName>
    <definedName name="CaseDescription">'[9]Dispatch Cases'!$C$11</definedName>
    <definedName name="CBWorkbookPriority">-2060790043</definedName>
    <definedName name="CCGT_HeatRate" localSheetId="28">[9]Assumptions!$H$23</definedName>
    <definedName name="CCGT_HeatRate">[9]Assumptions!$H$23</definedName>
    <definedName name="CCGTPrice" localSheetId="28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8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 localSheetId="28">[9]Assumptions!$I$58</definedName>
    <definedName name="DebtPerc">[9]Assumptions!$I$58</definedName>
    <definedName name="Dec03AMA" localSheetId="28">[3]BS!$AJ$7:$AJ$3582</definedName>
    <definedName name="Dec03AMA">[3]BS!$AJ$7:$AJ$3582</definedName>
    <definedName name="Dec04AMA" localSheetId="28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 localSheetId="28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 localSheetId="19">[4]INPUTS!$F$31</definedName>
    <definedName name="EffTax" localSheetId="20">[4]INPUTS!$F$31</definedName>
    <definedName name="EffTax" localSheetId="13">[4]INPUTS!$F$31</definedName>
    <definedName name="EffTax">[19]INPUTS!$F$36</definedName>
    <definedName name="Electric_Prices" localSheetId="28">'[29]Monthly Price Summary'!$B$4:$E$27</definedName>
    <definedName name="Electric_Prices">'[29]Monthly Price Summary'!$B$4:$E$27</definedName>
    <definedName name="ElRBLine" localSheetId="28">[1]BS!$AQ$7:$AQ$3303</definedName>
    <definedName name="ElRBLine">[1]BS!$AQ$7:$AQ$3303</definedName>
    <definedName name="EndDate" localSheetId="28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8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8">[30]Inputs!$E$112</definedName>
    <definedName name="Fed_Cap_Tax">[30]Inputs!$E$112</definedName>
    <definedName name="FedTaxRate" localSheetId="28">[9]Assumptions!$C$33</definedName>
    <definedName name="FedTaxRate">[9]Assumptions!$C$33</definedName>
    <definedName name="FERC_Lookup">'[31]Map Table'!$E$2:$F$58</definedName>
    <definedName name="FIT">'[32]ROR &amp; CONV FACTOR'!$J$20</definedName>
    <definedName name="FIT_Tax_Rate">'[12]Assumptions (Input)'!$B$5</definedName>
    <definedName name="FranchiseTax">[11]Variables!$D$26</definedName>
    <definedName name="FTAX" localSheetId="19">[4]INPUTS!$F$30</definedName>
    <definedName name="FTAX" localSheetId="20">[4]INPUTS!$F$30</definedName>
    <definedName name="FTAX" localSheetId="13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8">[1]BS!$AS$7:$AS$3631</definedName>
    <definedName name="GasRBLine">[1]BS!$AS$7:$AS$3631</definedName>
    <definedName name="GasWC_LineItem" localSheetId="28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6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29">{"'Sheet1'!$A$1:$J$121"}</definedName>
    <definedName name="HTML_Control" localSheetId="5">{"'Sheet1'!$A$1:$J$121"}</definedName>
    <definedName name="HTML_Control" localSheetId="6">{"'Sheet1'!$A$1:$J$121"}</definedName>
    <definedName name="HTML_Control" localSheetId="0">{"'Sheet1'!$A$1:$J$121"}</definedName>
    <definedName name="HTML_Control" localSheetId="19">{"'Sheet1'!$A$1:$J$121"}</definedName>
    <definedName name="HTML_Control" localSheetId="20">{"'Sheet1'!$A$1:$J$121"}</definedName>
    <definedName name="HTML_Control" localSheetId="7">{"'Sheet1'!$A$1:$J$121"}</definedName>
    <definedName name="HTML_Control" localSheetId="8">{"'Sheet1'!$A$1:$J$121"}</definedName>
    <definedName name="HTML_Control" localSheetId="9">{"'Sheet1'!$A$1:$J$121"}</definedName>
    <definedName name="HTML_Control" localSheetId="13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8">[1]BS!$AD$7:$AD$3582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29">[34]ACCOUNTS!$AG$31</definedName>
    <definedName name="JP_Bal">[35]ACCOUNTS!$AG$31</definedName>
    <definedName name="Jul04AMA" localSheetId="28">[1]BS!$AJ$7:$AJ$3582</definedName>
    <definedName name="Jul04AMA">[1]BS!$AJ$7:$AJ$3582</definedName>
    <definedName name="Jul09AMA">[2]BS!$AQ$7:$AQ$1726</definedName>
    <definedName name="Jun04AMA" localSheetId="28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'[36]KJB-3 Sum'!$AQ$2</definedName>
    <definedName name="keep_FIT">'[36]KJB-7 Def'!$L$20</definedName>
    <definedName name="keep_KJB_3_Rate_Increase">'[36]KJB-7 Def'!$C$3</definedName>
    <definedName name="keep_KJB_4_Electric_Summary">'[36]KJB-3 Sum'!$AQ$3</definedName>
    <definedName name="keep_KJB_8_Common_Adjs">'[36]KJB-5 Cmn Adj'!$L$3</definedName>
    <definedName name="keep_KJB_9_Electric_Only">'[36]KJB-5 El Adj'!$E$3</definedName>
    <definedName name="keep_PSE">'[37]Gas Summary'!$I$5</definedName>
    <definedName name="keep_TESTYEAR">'[37]Gas Detail Pages'!$A$8</definedName>
    <definedName name="kp_DOCKET">'[37]Gas Detail Pages'!$A$9</definedName>
    <definedName name="Last_Row" localSheetId="29">IF('12ME Dec18 Weather Adj'!Values_Entered,Header_Row+'12ME Dec18 Weather Adj'!Number_of_Payments,Header_Row)</definedName>
    <definedName name="Last_Row" localSheetId="5">IF('Average Rate Impacts'!Values_Entered,Header_Row+'Average Rate Impacts'!Number_of_Payments,Header_Row)</definedName>
    <definedName name="Last_Row" localSheetId="6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9">IF('Sch 142 Revenue (Decoupling)'!Values_Entered,Header_Row+'Sch 142 Revenue (Decoupling)'!Number_of_Payments,Header_Row)</definedName>
    <definedName name="Last_Row" localSheetId="20">IF('Sch 142 Revenue (Rate Plan)'!Values_Entered,Header_Row+'Sch 142 Revenue (Rate Plan)'!Number_of_Payments,Header_Row)</definedName>
    <definedName name="Last_Row" localSheetId="7">IF('Sch. 141 Impacts'!Values_Entered,Header_Row+'Sch. 141 Impacts'!Number_of_Payments,Header_Row)</definedName>
    <definedName name="Last_Row" localSheetId="8">IF('Sch. 141X Impacts'!Values_Entered,Header_Row+'Sch. 141X Impacts'!Number_of_Payments,Header_Row)</definedName>
    <definedName name="Last_Row" localSheetId="9">IF('Sch. 149 Impacts'!Values_Entered,Header_Row+'Sch. 149 Impacts'!Number_of_Payments,Header_Row)</definedName>
    <definedName name="Last_Row" localSheetId="14">IF('Schedule 132 Revenue'!Values_Entered,Header_Row+'Schedule 132 Revenue'!Number_of_Payments,Header_Row)</definedName>
    <definedName name="Last_Row" localSheetId="15">IF('Schedule 140 Revenue'!Values_Entered,Header_Row+'Schedule 140 Revenue'!Number_of_Payments,Header_Row)</definedName>
    <definedName name="Last_Row" localSheetId="17">IF('Schedule 141X Revenue'!Values_Entered,Header_Row+'Schedule 141X Revenue'!Number_of_Payments,Header_Row)</definedName>
    <definedName name="Last_Row" localSheetId="18">IF('Schedule 141Y Revenue'!Values_Entered,Header_Row+'Schedule 141Y Revenue'!Number_of_Payments,Header_Row)</definedName>
    <definedName name="Last_Row" localSheetId="21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9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CRS">'[12]MACRS RATES'!$A$3:$AT$10</definedName>
    <definedName name="Mar04AMA" localSheetId="28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8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5">[40]!menu1_Button5_Click</definedName>
    <definedName name="menu1_Button5_Click" localSheetId="6">[40]!menu1_Button5_Click</definedName>
    <definedName name="menu1_Button5_Click" localSheetId="0">[40]!menu1_Button5_Click</definedName>
    <definedName name="menu1_Button5_Click" localSheetId="20">[40]!menu1_Button5_Click</definedName>
    <definedName name="menu1_Button5_Click" localSheetId="7">[40]!menu1_Button5_Click</definedName>
    <definedName name="menu1_Button5_Click" localSheetId="8">[40]!menu1_Button5_Click</definedName>
    <definedName name="menu1_Button5_Click" localSheetId="9">[40]!menu1_Button5_Click</definedName>
    <definedName name="menu1_Button5_Click" localSheetId="14">[40]!menu1_Button5_Click</definedName>
    <definedName name="menu1_Button5_Click" localSheetId="15">[40]!menu1_Button5_Click</definedName>
    <definedName name="menu1_Button5_Click" localSheetId="17">[40]!menu1_Button5_Click</definedName>
    <definedName name="menu1_Button5_Click" localSheetId="18">[40]!menu1_Button5_Click</definedName>
    <definedName name="menu1_Button5_Click" localSheetId="21">[40]!menu1_Button5_Click</definedName>
    <definedName name="menu1_Button5_Click">[40]!menu1_Button5_Click</definedName>
    <definedName name="menu1_Button6_Click" localSheetId="5">[40]!menu1_Button6_Click</definedName>
    <definedName name="menu1_Button6_Click" localSheetId="6">[40]!menu1_Button6_Click</definedName>
    <definedName name="menu1_Button6_Click" localSheetId="0">[40]!menu1_Button6_Click</definedName>
    <definedName name="menu1_Button6_Click" localSheetId="20">[40]!menu1_Button6_Click</definedName>
    <definedName name="menu1_Button6_Click" localSheetId="7">[40]!menu1_Button6_Click</definedName>
    <definedName name="menu1_Button6_Click" localSheetId="8">[40]!menu1_Button6_Click</definedName>
    <definedName name="menu1_Button6_Click" localSheetId="9">[40]!menu1_Button6_Click</definedName>
    <definedName name="menu1_Button6_Click" localSheetId="14">[40]!menu1_Button6_Click</definedName>
    <definedName name="menu1_Button6_Click" localSheetId="15">[40]!menu1_Button6_Click</definedName>
    <definedName name="menu1_Button6_Click" localSheetId="17">[40]!menu1_Button6_Click</definedName>
    <definedName name="menu1_Button6_Click" localSheetId="18">[40]!menu1_Button6_Click</definedName>
    <definedName name="menu1_Button6_Click" localSheetId="21">[40]!menu1_Button6_Click</definedName>
    <definedName name="menu1_Button6_Click">[40]!menu1_Button6_Click</definedName>
    <definedName name="MERGER_COST" localSheetId="19">[41]Sheet1!$AF$3:$AJ$28</definedName>
    <definedName name="MERGER_COST" localSheetId="20">[41]Sheet1!$AF$3:$AJ$28</definedName>
    <definedName name="MERGER_COST" localSheetId="13">[41]Sheet1!$AF$3:$AJ$28</definedName>
    <definedName name="MERGER_COST">[42]Sheet1!$AF$3:$AJ$28</definedName>
    <definedName name="METER">[4]EXTERNAL!$A$34:$IV$36</definedName>
    <definedName name="Method">[10]Inputs!$C$6</definedName>
    <definedName name="monthlist">[43]Table!$R$2:$S$13</definedName>
    <definedName name="monthtotals">'[43]WA SBC'!$D$40:$O$40</definedName>
    <definedName name="MTD_Format" localSheetId="28">[44]Mthly!$B$11:$D$11,[44]Mthly!$B$32:$D$32</definedName>
    <definedName name="MTD_Format" localSheetId="19">[45]Mthly!$B$11:$D$11,[45]Mthly!$B$35:$D$35</definedName>
    <definedName name="MTD_Format" localSheetId="20">[45]Mthly!$B$11:$D$11,[45]Mthly!$B$35:$D$35</definedName>
    <definedName name="MTD_Format" localSheetId="13">[45]Mthly!$B$11:$D$11,[45]Mthly!$B$35:$D$35</definedName>
    <definedName name="MTD_Format">[44]Mthly!$B$11:$D$11,[44]Mthly!$B$32:$D$32</definedName>
    <definedName name="MTR_YR3">[46]Variables!$E$14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8">[3]BS!$AI$7:$AI$3582</definedName>
    <definedName name="Nov03AMA">[3]BS!$AI$7:$AI$3582</definedName>
    <definedName name="Nov04AMA" localSheetId="28">[1]BS!$AN$7:$AN$3582</definedName>
    <definedName name="Nov04AMA">[1]BS!$AN$7:$AN$3582</definedName>
    <definedName name="Nov09AMA">[2]BS!$AU$7:$AU$1726</definedName>
    <definedName name="NPC">[47]Inputs!$N$18</definedName>
    <definedName name="NRG">[4]CLASSIFIERS!$A$5:$IV$5</definedName>
    <definedName name="Number_of_Payments" localSheetId="29">MATCH(0.01,End_Bal,-1)+1</definedName>
    <definedName name="Number_of_Payments" localSheetId="5">MATCH(0.01,End_Bal,-1)+1</definedName>
    <definedName name="Number_of_Payments" localSheetId="6">MATCH(0.01,End_Bal,-1)+1</definedName>
    <definedName name="Number_of_Payments" localSheetId="0">MATCH(0.01,End_Bal,-1)+1</definedName>
    <definedName name="Number_of_Payments" localSheetId="19">MATCH(0.01,End_Bal,-1)+1</definedName>
    <definedName name="Number_of_Payments" localSheetId="20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9">MATCH(0.01,End_Bal,-1)+1</definedName>
    <definedName name="Number_of_Payments" localSheetId="14">MATCH(0.01,End_Bal,-1)+1</definedName>
    <definedName name="Number_of_Payments" localSheetId="15">MATCH(0.01,End_Bal,-1)+1</definedName>
    <definedName name="Number_of_Payments" localSheetId="17">MATCH(0.01,End_Bal,-1)+1</definedName>
    <definedName name="Number_of_Payments" localSheetId="18">MATCH(0.01,End_Bal,-1)+1</definedName>
    <definedName name="Number_of_Payments" localSheetId="21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8">[3]BS!$AH$7:$AH$3582</definedName>
    <definedName name="Oct03AMA">[3]BS!$AH$7:$AH$3582</definedName>
    <definedName name="Oct04AMA" localSheetId="28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'[48]Dist Misc'!$F$120</definedName>
    <definedName name="OthRCF">[18]INPUTS!$F$41</definedName>
    <definedName name="OthUnc">[4]INPUTS!$F$36</definedName>
    <definedName name="outlookdata">'[49]pivoted data'!$D$3:$Q$90</definedName>
    <definedName name="peak_new_table">'[50]2008 Extreme Peaks - 080403'!$E$5:$AD$8</definedName>
    <definedName name="peak_table">'[50]Peaks-F01'!$C$5:$E$243</definedName>
    <definedName name="PeakMethod">[10]Inputs!$T$5</definedName>
    <definedName name="Percent_debt" localSheetId="28">[30]Inputs!$E$129</definedName>
    <definedName name="Percent_debt">[30]Inputs!$E$129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8">[9]Assumptions!$I$56</definedName>
    <definedName name="PreTaxDebtCost">[9]Assumptions!$I$56</definedName>
    <definedName name="PreTaxWACC" localSheetId="28">[9]Assumptions!$I$62</definedName>
    <definedName name="PreTaxWACC">[9]Assumptions!$I$62</definedName>
    <definedName name="Prices_Aurora" localSheetId="28">'[29]Monthly Price Summary'!$C$4:$H$63</definedName>
    <definedName name="Prices_Aurora">'[29]Monthly Price Summary'!$C$4:$H$63</definedName>
    <definedName name="_xlnm.Print_Area" localSheetId="26">'12ME Dec18 Bill Freq'!$A$1:$N$62</definedName>
    <definedName name="_xlnm.Print_Area" localSheetId="28">'12ME Dec18 Cal Bill Freq'!$A$1:$N$118</definedName>
    <definedName name="_xlnm.Print_Area" localSheetId="27">'12ME Dec18 Norm Therms'!$A$1:$N$118,'12ME Dec18 Norm Therms'!$A$123:$N$185</definedName>
    <definedName name="_xlnm.Print_Area" localSheetId="29">'12ME Dec18 Weather Adj'!$B$1:$P$294</definedName>
    <definedName name="_xlnm.Print_Area" localSheetId="5">'Average Rate Impacts'!$B$1:$L$44</definedName>
    <definedName name="_xlnm.Print_Area" localSheetId="6">'Base Rate Impacts'!$B$1:$R$44</definedName>
    <definedName name="_xlnm.Print_Area" localSheetId="0">'Combined Impacts'!$B$1:$W$43</definedName>
    <definedName name="_xlnm.Print_Area" localSheetId="7">'Sch. 141 Impacts'!$B$1:$R$44</definedName>
    <definedName name="_xlnm.Print_Area" localSheetId="8">'Sch. 141X Impacts'!$B$1:$R$44</definedName>
    <definedName name="_xlnm.Print_Area" localSheetId="9">'Sch. 149 Impacts'!$B$1:$R$44</definedName>
    <definedName name="_xlnm.Print_Area" localSheetId="13">'Schedule 129 Revenue'!$A$1:$I$49</definedName>
    <definedName name="_xlnm.Print_Area" localSheetId="15">'Schedule 140 Revenue'!$A$1:$H$24</definedName>
    <definedName name="_xlnm.Print_Area" localSheetId="16">'Schedule 141 Revenue'!$A$1:$H$139</definedName>
    <definedName name="_xlnm.Print_Area" localSheetId="17">'Schedule 141X Revenue'!$A$1:$H$139</definedName>
    <definedName name="_xlnm.Print_Area" localSheetId="18">'Schedule 141Y Revenue'!$A$1:$H$24</definedName>
    <definedName name="_xlnm.Print_Area" localSheetId="21">'Schedule 149 Revenue'!$A$1:$H$24</definedName>
    <definedName name="_xlnm.Print_Area" localSheetId="2">'Staff RES Bill Impacts'!$A$1:$Q$37</definedName>
    <definedName name="_xlnm.Print_Area" localSheetId="1">'Typical Res Bill Impact'!$B$1:$T$42</definedName>
    <definedName name="_xlnm.Print_Titles" localSheetId="26">'12ME Dec18 Bill Freq'!$1:$4</definedName>
    <definedName name="_xlnm.Print_Titles" localSheetId="28">'12ME Dec18 Cal Bill Freq'!$1:$4</definedName>
    <definedName name="_xlnm.Print_Titles" localSheetId="27">'12ME Dec18 Norm Therms'!$1:$4</definedName>
    <definedName name="_xlnm.Print_Titles" localSheetId="29">'12ME Dec18 Weather Adj'!$1:$6</definedName>
    <definedName name="_xlnm.Print_Titles" localSheetId="19">'Sch 142 Revenue (Decoupling)'!$1:$8</definedName>
    <definedName name="_xlnm.Print_Titles" localSheetId="20">'Sch 142 Revenue (Rate Plan)'!$1:$8</definedName>
    <definedName name="_xlnm.Print_Titles" localSheetId="16">'Schedule 141 Revenue'!$1:$7</definedName>
    <definedName name="_xlnm.Print_Titles" localSheetId="17">'Schedule 141X Revenue'!$1:$7</definedName>
    <definedName name="Prior_Month" localSheetId="29">[15]Sch_120!$I$21</definedName>
    <definedName name="Prior_Month">[51]Sch_120!$I$21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[52]Sheet1!$A$1147:$B$1887</definedName>
    <definedName name="Prov_Cap_Tax" localSheetId="28">[30]Inputs!$E$111</definedName>
    <definedName name="Prov_Cap_Tax">[30]Inputs!$E$111</definedName>
    <definedName name="PSE">'[53]4.04'!$A$6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[45]QTD!$B$11:$D$11,[45]QTD!$B$35:$D$35</definedName>
    <definedName name="RATE2">'[21]Transp Data'!$A$8:$I$112</definedName>
    <definedName name="Rates">[54]Codes!$A$1:$C$500</definedName>
    <definedName name="RB.T">[4]INTERNAL!$A$70:$IV$72</definedName>
    <definedName name="RCF" localSheetId="29">[34]INPUTS!$F$48</definedName>
    <definedName name="RCF">[35]INPUTS!$F$48</definedName>
    <definedName name="Requlated_scenario">'[12]Assumptions (Input)'!$B$12</definedName>
    <definedName name="ResExchCrRate" localSheetId="19">[51]Sch_194!$M$31</definedName>
    <definedName name="ResExchCrRate" localSheetId="20">[51]Sch_194!$M$31</definedName>
    <definedName name="ResExchCrRate" localSheetId="13">[51]Sch_194!$M$31</definedName>
    <definedName name="ResExchCrRate">[55]Sch_194!$M$31</definedName>
    <definedName name="RESID">[4]EXTERNAL!$A$88:$IV$90</definedName>
    <definedName name="resource_lookup">'[56]#REF'!$B$3:$C$112</definedName>
    <definedName name="ResourceSupplier">[11]Variables!$D$28</definedName>
    <definedName name="ResRCF" localSheetId="19">[18]INPUTS!$F$39</definedName>
    <definedName name="ResRCF" localSheetId="20">[18]INPUTS!$F$39</definedName>
    <definedName name="ResRCF" localSheetId="13">[18]INPUTS!$F$39</definedName>
    <definedName name="ResRCF">[19]INPUTS!$F$44</definedName>
    <definedName name="ResUnc" localSheetId="19">[4]INPUTS!$F$34</definedName>
    <definedName name="ResUnc" localSheetId="20">[4]INPUTS!$F$34</definedName>
    <definedName name="ResUnc" localSheetId="13">[4]INPUTS!$F$34</definedName>
    <definedName name="ResUnc">[19]INPUTS!$F$39</definedName>
    <definedName name="RevClass">[54]Codes!$F$2:$G$10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9">[57]INPUTS!$F$25</definedName>
    <definedName name="ROD" localSheetId="20">[57]INPUTS!$F$25</definedName>
    <definedName name="ROD" localSheetId="13">[57]INPUTS!$F$25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'[58]Sch94 Rlfwd'!$B$11</definedName>
    <definedName name="Schedule">[47]Inputs!$N$14</definedName>
    <definedName name="Sep03AMA" localSheetId="28">[3]BS!$AG$7:$AG$3582</definedName>
    <definedName name="Sep03AMA">[3]BS!$AG$7:$AG$3582</definedName>
    <definedName name="Sep04AMA" localSheetId="28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8">[9]Assumptions!$C$9</definedName>
    <definedName name="StartDate">[9]Assumptions!$C$9</definedName>
    <definedName name="STATE_UTILITY_TAX">'[6]MJS-7'!$N$16</definedName>
    <definedName name="STAX" localSheetId="19">[4]INPUTS!$F$29</definedName>
    <definedName name="STAX" localSheetId="20">[4]INPUTS!$F$29</definedName>
    <definedName name="STAX" localSheetId="13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 localSheetId="28">[9]Assumptions!$C$25</definedName>
    <definedName name="ThermalBookLife">[9]Assumptions!$C$25</definedName>
    <definedName name="Title" localSheetId="28">[9]Assumptions!$A$1</definedName>
    <definedName name="Title">[9]Assumptions!$A$1</definedName>
    <definedName name="Total_Payment" localSheetId="5">Scheduled_Payment+Extra_Payment</definedName>
    <definedName name="Total_Payment" localSheetId="6">Scheduled_Payment+Extra_Payment</definedName>
    <definedName name="Total_Payment" localSheetId="0">Scheduled_Payment+Extra_Payment</definedName>
    <definedName name="Total_Payment" localSheetId="19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 localSheetId="17">Scheduled_Payment+Extra_Payment</definedName>
    <definedName name="Total_Payment" localSheetId="18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8">'[59]Transp Unbilled'!$A$8:$E$174</definedName>
    <definedName name="transdb">'[59]Transp Unbilled'!$A$8:$E$174</definedName>
    <definedName name="TRANSM_2">[60]Transm2!$A$1:$M$461:'[60]10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9">IF(Loan_Amount*Interest_Rate*Loan_Years*Loan_Start&gt;0,1,0)</definedName>
    <definedName name="Values_Entered" localSheetId="5">IF(Loan_Amount*Interest_Rate*Loan_Years*Loan_Start&gt;0,1,0)</definedName>
    <definedName name="Values_Entered" localSheetId="6">IF(Loan_Amount*Interest_Rate*Loan_Years*Loan_Start&gt;0,1,0)</definedName>
    <definedName name="Values_Entered" localSheetId="0">IF(Loan_Amount*Interest_Rate*Loan_Years*Loan_Start&gt;0,1,0)</definedName>
    <definedName name="Values_Entered" localSheetId="19">IF(Loan_Amount*Interest_Rate*Loan_Years*Loan_Start&gt;0,1,0)</definedName>
    <definedName name="Values_Entered" localSheetId="20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9">IF(Loan_Amount*Interest_Rate*Loan_Years*Loan_Start&gt;0,1,0)</definedName>
    <definedName name="Values_Entered" localSheetId="14">IF(Loan_Amount*Interest_Rate*Loan_Years*Loan_Start&gt;0,1,0)</definedName>
    <definedName name="Values_Entered" localSheetId="15">IF(Loan_Amount*Interest_Rate*Loan_Years*Loan_Start&gt;0,1,0)</definedName>
    <definedName name="Values_Entered" localSheetId="17">IF(Loan_Amount*Interest_Rate*Loan_Years*Loan_Start&gt;0,1,0)</definedName>
    <definedName name="Values_Entered" localSheetId="18">IF(Loan_Amount*Interest_Rate*Loan_Years*Loan_Start&gt;0,1,0)</definedName>
    <definedName name="Values_Entered" localSheetId="21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8">[9]Assumptions!$C$21</definedName>
    <definedName name="VOMEsc">[9]Assumptions!$C$21</definedName>
    <definedName name="WACC" localSheetId="28">[9]Assumptions!$I$61</definedName>
    <definedName name="WACC">[9]Assumptions!$I$61</definedName>
    <definedName name="WaRevenueTax">[11]Variables!$D$27</definedName>
    <definedName name="Winter">'[61]Input Tab'!$B$11</definedName>
    <definedName name="WinterPeak">'[62]Load Data'!$D$9:$H$12,'[62]Load Data'!$D$20:$H$22</definedName>
    <definedName name="WUTC_Docket_No._UG_11____">'[6]MJS-6'!$F$2</definedName>
    <definedName name="WUTC_FILING_FEE">'[6]MJS-7'!$O$15</definedName>
    <definedName name="Years_evaluated">'[63]Revison Inputs'!$B$6</definedName>
    <definedName name="YEFactors">[8]Factors!$S$3:$AG$99</definedName>
    <definedName name="YTD_Format">[45]YTD!$B$13:$D$13,[45]YTD!$B$36:$D$36</definedName>
  </definedNames>
  <calcPr calcId="152511"/>
</workbook>
</file>

<file path=xl/calcChain.xml><?xml version="1.0" encoding="utf-8"?>
<calcChain xmlns="http://schemas.openxmlformats.org/spreadsheetml/2006/main">
  <c r="O53" i="73" l="1"/>
  <c r="O52" i="73"/>
  <c r="O51" i="73"/>
  <c r="AK9" i="73" l="1"/>
  <c r="O9" i="73"/>
  <c r="AI9" i="73"/>
  <c r="O11" i="73"/>
  <c r="AI11" i="73"/>
  <c r="O18" i="73"/>
  <c r="O17" i="73"/>
  <c r="N18" i="73"/>
  <c r="N17" i="73"/>
  <c r="Z17" i="73" l="1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AK33" i="73"/>
  <c r="AI33" i="73"/>
  <c r="AK32" i="73"/>
  <c r="AI32" i="73"/>
  <c r="AK31" i="73"/>
  <c r="AI31" i="73"/>
  <c r="AI30" i="73"/>
  <c r="AI29" i="73"/>
  <c r="AK28" i="73"/>
  <c r="AI28" i="73"/>
  <c r="AK27" i="73"/>
  <c r="AI27" i="73"/>
  <c r="AK26" i="73"/>
  <c r="AI26" i="73"/>
  <c r="AK25" i="73"/>
  <c r="AI25" i="73"/>
  <c r="AK24" i="73"/>
  <c r="AI24" i="73"/>
  <c r="AK23" i="73"/>
  <c r="AI23" i="73"/>
  <c r="AK22" i="73"/>
  <c r="AI22" i="73"/>
  <c r="AK21" i="73"/>
  <c r="AI21" i="73"/>
  <c r="Q30" i="73"/>
  <c r="Q29" i="73"/>
  <c r="Q33" i="73"/>
  <c r="O33" i="73"/>
  <c r="Q32" i="73"/>
  <c r="O32" i="73"/>
  <c r="Q31" i="73"/>
  <c r="O31" i="73"/>
  <c r="O30" i="73"/>
  <c r="O29" i="73"/>
  <c r="Q28" i="73"/>
  <c r="O28" i="73"/>
  <c r="Q27" i="73"/>
  <c r="O27" i="73"/>
  <c r="Q26" i="73"/>
  <c r="O26" i="73"/>
  <c r="Q25" i="73"/>
  <c r="O25" i="73"/>
  <c r="Q24" i="73"/>
  <c r="O24" i="73"/>
  <c r="Q23" i="73"/>
  <c r="O23" i="73"/>
  <c r="Q22" i="73"/>
  <c r="O22" i="73"/>
  <c r="Q21" i="73"/>
  <c r="O21" i="73"/>
  <c r="N22" i="73"/>
  <c r="N23" i="73"/>
  <c r="N24" i="73"/>
  <c r="N25" i="73"/>
  <c r="N26" i="73"/>
  <c r="N27" i="73"/>
  <c r="N28" i="73"/>
  <c r="N29" i="73"/>
  <c r="N30" i="73"/>
  <c r="N31" i="73"/>
  <c r="N32" i="73"/>
  <c r="N33" i="73"/>
  <c r="AI36" i="73" l="1"/>
  <c r="AI18" i="73"/>
  <c r="AI17" i="73"/>
  <c r="N21" i="73"/>
  <c r="B36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9" i="73"/>
  <c r="B8" i="73"/>
  <c r="AH18" i="73"/>
  <c r="AH17" i="73"/>
  <c r="B4" i="73"/>
  <c r="B3" i="73"/>
  <c r="B2" i="73"/>
  <c r="Z11" i="73" l="1"/>
  <c r="Z16" i="73"/>
  <c r="Z12" i="73"/>
  <c r="Z10" i="73"/>
  <c r="Z13" i="73"/>
  <c r="Z15" i="73"/>
  <c r="Z9" i="73"/>
  <c r="Z14" i="73"/>
  <c r="F18" i="73" l="1"/>
  <c r="F22" i="73"/>
  <c r="F26" i="73"/>
  <c r="F30" i="73"/>
  <c r="F25" i="73"/>
  <c r="F15" i="73"/>
  <c r="F19" i="73"/>
  <c r="F23" i="73"/>
  <c r="F27" i="73"/>
  <c r="F21" i="73"/>
  <c r="F16" i="73"/>
  <c r="F20" i="73"/>
  <c r="F24" i="73"/>
  <c r="F28" i="73"/>
  <c r="F17" i="73"/>
  <c r="F29" i="73"/>
  <c r="F11" i="73"/>
  <c r="F12" i="73"/>
  <c r="F9" i="73"/>
  <c r="F10" i="73"/>
  <c r="F14" i="73"/>
  <c r="F13" i="73"/>
  <c r="F34" i="53" l="1"/>
  <c r="F22" i="53"/>
  <c r="F137" i="53"/>
  <c r="F136" i="53"/>
  <c r="F135" i="53"/>
  <c r="F134" i="53"/>
  <c r="F131" i="53"/>
  <c r="F130" i="53"/>
  <c r="F129" i="53"/>
  <c r="F128" i="53"/>
  <c r="F127" i="53"/>
  <c r="F126" i="53"/>
  <c r="F125" i="53"/>
  <c r="F122" i="53"/>
  <c r="F121" i="53"/>
  <c r="F120" i="53"/>
  <c r="F119" i="53"/>
  <c r="F118" i="53"/>
  <c r="F117" i="53"/>
  <c r="F114" i="53"/>
  <c r="F113" i="53"/>
  <c r="F112" i="53"/>
  <c r="F111" i="53"/>
  <c r="F110" i="53"/>
  <c r="F109" i="53"/>
  <c r="F105" i="53"/>
  <c r="F104" i="53"/>
  <c r="F101" i="53"/>
  <c r="F100" i="53"/>
  <c r="F99" i="53"/>
  <c r="F98" i="53"/>
  <c r="F97" i="53"/>
  <c r="F96" i="53"/>
  <c r="F93" i="53"/>
  <c r="F92" i="53"/>
  <c r="F91" i="53"/>
  <c r="F88" i="53"/>
  <c r="F87" i="53"/>
  <c r="F83" i="53"/>
  <c r="F82" i="53"/>
  <c r="F79" i="53"/>
  <c r="F78" i="53"/>
  <c r="F75" i="53"/>
  <c r="F74" i="53"/>
  <c r="F73" i="53"/>
  <c r="F70" i="53"/>
  <c r="F69" i="53"/>
  <c r="F68" i="53"/>
  <c r="F65" i="53"/>
  <c r="F64" i="53"/>
  <c r="F61" i="53"/>
  <c r="F60" i="53"/>
  <c r="F59" i="53"/>
  <c r="F56" i="53"/>
  <c r="F55" i="53"/>
  <c r="F54" i="53"/>
  <c r="F51" i="53"/>
  <c r="F50" i="53"/>
  <c r="F49" i="53"/>
  <c r="F46" i="53"/>
  <c r="F45" i="53"/>
  <c r="F44" i="53"/>
  <c r="F41" i="53"/>
  <c r="F39" i="53"/>
  <c r="F38" i="53"/>
  <c r="F37" i="53"/>
  <c r="F33" i="53"/>
  <c r="F32" i="53"/>
  <c r="F30" i="53"/>
  <c r="F29" i="53"/>
  <c r="F26" i="53"/>
  <c r="F25" i="53"/>
  <c r="F21" i="53"/>
  <c r="F20" i="53"/>
  <c r="F18" i="53"/>
  <c r="F17" i="53"/>
  <c r="F14" i="53"/>
  <c r="F13" i="53"/>
  <c r="F10" i="53"/>
  <c r="F9" i="53"/>
  <c r="Q17" i="73"/>
  <c r="Q9" i="73" s="1"/>
  <c r="S9" i="73" s="1"/>
  <c r="AK18" i="73" l="1"/>
  <c r="AK11" i="73" s="1"/>
  <c r="Q18" i="73"/>
  <c r="Q11" i="73" s="1"/>
  <c r="H15" i="73" l="1"/>
  <c r="H16" i="73"/>
  <c r="H18" i="73"/>
  <c r="H25" i="73"/>
  <c r="H12" i="73"/>
  <c r="H13" i="73"/>
  <c r="H23" i="73"/>
  <c r="H17" i="73"/>
  <c r="H22" i="73"/>
  <c r="H10" i="73"/>
  <c r="H27" i="73"/>
  <c r="H21" i="73"/>
  <c r="H14" i="73"/>
  <c r="H19" i="73"/>
  <c r="H20" i="73"/>
  <c r="H30" i="73"/>
  <c r="H29" i="73"/>
  <c r="H9" i="73"/>
  <c r="H11" i="73"/>
  <c r="H24" i="73"/>
  <c r="S11" i="73"/>
  <c r="H28" i="73"/>
  <c r="H26" i="73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L22" i="71"/>
  <c r="L22" i="70"/>
  <c r="L22" i="69"/>
  <c r="K22" i="71"/>
  <c r="K22" i="70"/>
  <c r="K22" i="69"/>
  <c r="H139" i="53"/>
  <c r="Q22" i="70" s="1"/>
  <c r="H139" i="18"/>
  <c r="Q22" i="69" s="1"/>
  <c r="J27" i="56"/>
  <c r="G32" i="56"/>
  <c r="L30" i="73" l="1"/>
  <c r="J30" i="73"/>
  <c r="J11" i="73"/>
  <c r="L11" i="73"/>
  <c r="L20" i="73"/>
  <c r="J20" i="73"/>
  <c r="L27" i="73"/>
  <c r="J27" i="73"/>
  <c r="L23" i="73"/>
  <c r="J23" i="73"/>
  <c r="J18" i="73"/>
  <c r="L18" i="73"/>
  <c r="J24" i="73"/>
  <c r="L24" i="73"/>
  <c r="J17" i="73"/>
  <c r="L17" i="73"/>
  <c r="L26" i="73"/>
  <c r="J26" i="73"/>
  <c r="L28" i="73"/>
  <c r="J28" i="73"/>
  <c r="J9" i="73"/>
  <c r="L9" i="73"/>
  <c r="L19" i="73"/>
  <c r="J19" i="73"/>
  <c r="L10" i="73"/>
  <c r="J10" i="73"/>
  <c r="L13" i="73"/>
  <c r="J13" i="73"/>
  <c r="L16" i="73"/>
  <c r="J16" i="73"/>
  <c r="L21" i="73"/>
  <c r="J21" i="73"/>
  <c r="L25" i="73"/>
  <c r="J25" i="73"/>
  <c r="J29" i="73"/>
  <c r="L29" i="73"/>
  <c r="J14" i="73"/>
  <c r="L14" i="73"/>
  <c r="J22" i="73"/>
  <c r="L22" i="73"/>
  <c r="L12" i="73"/>
  <c r="J12" i="73"/>
  <c r="J15" i="73"/>
  <c r="L15" i="73"/>
  <c r="AM11" i="73"/>
  <c r="AB18" i="73"/>
  <c r="AB22" i="73"/>
  <c r="AB26" i="73"/>
  <c r="AB30" i="73"/>
  <c r="AB27" i="73"/>
  <c r="AB16" i="73"/>
  <c r="AB24" i="73"/>
  <c r="AB21" i="73"/>
  <c r="AB29" i="73"/>
  <c r="AB19" i="73"/>
  <c r="AB23" i="73"/>
  <c r="AB20" i="73"/>
  <c r="AB28" i="73"/>
  <c r="AB17" i="73"/>
  <c r="AB25" i="73"/>
  <c r="AM9" i="73"/>
  <c r="AB13" i="73"/>
  <c r="AB11" i="73"/>
  <c r="AB15" i="73"/>
  <c r="AB10" i="73"/>
  <c r="AB9" i="73"/>
  <c r="AB12" i="73"/>
  <c r="AB14" i="73"/>
  <c r="L23" i="66"/>
  <c r="I23" i="66"/>
  <c r="Q39" i="71"/>
  <c r="E31" i="71"/>
  <c r="E39" i="71"/>
  <c r="E35" i="71"/>
  <c r="E32" i="71"/>
  <c r="F23" i="71"/>
  <c r="F26" i="71" s="1"/>
  <c r="Q36" i="70"/>
  <c r="E36" i="70"/>
  <c r="E35" i="70"/>
  <c r="E33" i="70"/>
  <c r="E39" i="69"/>
  <c r="E36" i="69"/>
  <c r="E33" i="69"/>
  <c r="AF14" i="73" l="1"/>
  <c r="AD14" i="73"/>
  <c r="AF28" i="73"/>
  <c r="AD28" i="73"/>
  <c r="AF25" i="73"/>
  <c r="AD25" i="73"/>
  <c r="AF27" i="73"/>
  <c r="AD27" i="73"/>
  <c r="AF26" i="73"/>
  <c r="AD26" i="73"/>
  <c r="AF18" i="73"/>
  <c r="AD18" i="73"/>
  <c r="AD23" i="73"/>
  <c r="AF23" i="73"/>
  <c r="AF19" i="73"/>
  <c r="AD19" i="73"/>
  <c r="AF29" i="73"/>
  <c r="AD29" i="73"/>
  <c r="AF30" i="73"/>
  <c r="AD30" i="73"/>
  <c r="AD12" i="73"/>
  <c r="AF12" i="73"/>
  <c r="AD9" i="73"/>
  <c r="AF9" i="73"/>
  <c r="AF16" i="73"/>
  <c r="AD16" i="73"/>
  <c r="AF21" i="73"/>
  <c r="AD21" i="73"/>
  <c r="AD13" i="73"/>
  <c r="AF13" i="73"/>
  <c r="AF15" i="73"/>
  <c r="AD15" i="73"/>
  <c r="AF22" i="73"/>
  <c r="AD22" i="73"/>
  <c r="AF17" i="73"/>
  <c r="AD17" i="73"/>
  <c r="AF10" i="73"/>
  <c r="AD10" i="73"/>
  <c r="AF24" i="73"/>
  <c r="AD24" i="73"/>
  <c r="AF11" i="73"/>
  <c r="AD11" i="73"/>
  <c r="AF20" i="73"/>
  <c r="AD20" i="73"/>
  <c r="E36" i="71"/>
  <c r="F23" i="69"/>
  <c r="F26" i="69" s="1"/>
  <c r="E35" i="69"/>
  <c r="F23" i="70"/>
  <c r="F26" i="70" s="1"/>
  <c r="E30" i="71"/>
  <c r="E34" i="71"/>
  <c r="E33" i="71"/>
  <c r="E39" i="70"/>
  <c r="E32" i="69"/>
  <c r="E32" i="70"/>
  <c r="E23" i="71"/>
  <c r="E26" i="71" s="1"/>
  <c r="E30" i="70"/>
  <c r="E34" i="70"/>
  <c r="E23" i="70"/>
  <c r="E26" i="70" s="1"/>
  <c r="E31" i="70"/>
  <c r="E30" i="69"/>
  <c r="E34" i="69"/>
  <c r="Q36" i="69"/>
  <c r="E23" i="69"/>
  <c r="E26" i="69" s="1"/>
  <c r="E31" i="69"/>
  <c r="E37" i="71" l="1"/>
  <c r="E40" i="71" s="1"/>
  <c r="E37" i="70"/>
  <c r="E40" i="70" s="1"/>
  <c r="E37" i="69"/>
  <c r="E40" i="69" s="1"/>
  <c r="N61" i="39" l="1"/>
  <c r="N60" i="39"/>
  <c r="N59" i="39"/>
  <c r="N58" i="39"/>
  <c r="N57" i="39"/>
  <c r="N56" i="39"/>
  <c r="D261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M254" i="68" s="1"/>
  <c r="L240" i="68"/>
  <c r="L254" i="68" s="1"/>
  <c r="K240" i="68"/>
  <c r="J240" i="68"/>
  <c r="I240" i="68"/>
  <c r="H240" i="68"/>
  <c r="H254" i="68" s="1"/>
  <c r="G240" i="68"/>
  <c r="F240" i="68"/>
  <c r="E240" i="68"/>
  <c r="D240" i="68"/>
  <c r="D254" i="68" s="1"/>
  <c r="P226" i="68"/>
  <c r="M221" i="68"/>
  <c r="P214" i="68"/>
  <c r="P207" i="68"/>
  <c r="P206" i="68"/>
  <c r="P202" i="68"/>
  <c r="O197" i="68"/>
  <c r="M116" i="39" s="1"/>
  <c r="N197" i="68"/>
  <c r="L116" i="39" s="1"/>
  <c r="M197" i="68"/>
  <c r="K116" i="39" s="1"/>
  <c r="L197" i="68"/>
  <c r="J116" i="39" s="1"/>
  <c r="K197" i="68"/>
  <c r="I116" i="39" s="1"/>
  <c r="J197" i="68"/>
  <c r="H116" i="39" s="1"/>
  <c r="I197" i="68"/>
  <c r="G116" i="39" s="1"/>
  <c r="H197" i="68"/>
  <c r="F116" i="39" s="1"/>
  <c r="G197" i="68"/>
  <c r="E116" i="39" s="1"/>
  <c r="F197" i="68"/>
  <c r="D116" i="39" s="1"/>
  <c r="E197" i="68"/>
  <c r="C116" i="39" s="1"/>
  <c r="D197" i="68"/>
  <c r="B116" i="39" s="1"/>
  <c r="O196" i="68"/>
  <c r="N196" i="68"/>
  <c r="M196" i="68"/>
  <c r="L196" i="68"/>
  <c r="K196" i="68"/>
  <c r="J196" i="68"/>
  <c r="H96" i="39" s="1"/>
  <c r="I196" i="68"/>
  <c r="H196" i="68"/>
  <c r="G196" i="68"/>
  <c r="F196" i="68"/>
  <c r="E196" i="68"/>
  <c r="D196" i="68"/>
  <c r="O195" i="68"/>
  <c r="M90" i="39" s="1"/>
  <c r="N195" i="68"/>
  <c r="L90" i="39" s="1"/>
  <c r="M195" i="68"/>
  <c r="K90" i="39" s="1"/>
  <c r="L195" i="68"/>
  <c r="J90" i="39" s="1"/>
  <c r="K195" i="68"/>
  <c r="I90" i="39" s="1"/>
  <c r="J195" i="68"/>
  <c r="H90" i="39" s="1"/>
  <c r="I195" i="68"/>
  <c r="G90" i="39" s="1"/>
  <c r="H195" i="68"/>
  <c r="F90" i="39" s="1"/>
  <c r="G195" i="68"/>
  <c r="E90" i="39" s="1"/>
  <c r="F195" i="68"/>
  <c r="D90" i="39" s="1"/>
  <c r="E195" i="68"/>
  <c r="C90" i="39" s="1"/>
  <c r="D195" i="68"/>
  <c r="O194" i="68"/>
  <c r="M76" i="39" s="1"/>
  <c r="N194" i="68"/>
  <c r="L76" i="39" s="1"/>
  <c r="M194" i="68"/>
  <c r="K76" i="39" s="1"/>
  <c r="L194" i="68"/>
  <c r="J76" i="39" s="1"/>
  <c r="K194" i="68"/>
  <c r="I76" i="39" s="1"/>
  <c r="J194" i="68"/>
  <c r="H76" i="39" s="1"/>
  <c r="I194" i="68"/>
  <c r="G76" i="39" s="1"/>
  <c r="H194" i="68"/>
  <c r="F76" i="39" s="1"/>
  <c r="G194" i="68"/>
  <c r="E76" i="39" s="1"/>
  <c r="F194" i="68"/>
  <c r="D76" i="39" s="1"/>
  <c r="E194" i="68"/>
  <c r="C76" i="39" s="1"/>
  <c r="D194" i="68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C193" i="68"/>
  <c r="B193" i="68"/>
  <c r="O192" i="68"/>
  <c r="M42" i="39" s="1"/>
  <c r="N192" i="68"/>
  <c r="L42" i="39" s="1"/>
  <c r="M192" i="68"/>
  <c r="K42" i="39" s="1"/>
  <c r="L192" i="68"/>
  <c r="J42" i="39" s="1"/>
  <c r="K192" i="68"/>
  <c r="I42" i="39" s="1"/>
  <c r="J192" i="68"/>
  <c r="H42" i="39" s="1"/>
  <c r="I192" i="68"/>
  <c r="H192" i="68"/>
  <c r="F42" i="39" s="1"/>
  <c r="G192" i="68"/>
  <c r="E42" i="39" s="1"/>
  <c r="F192" i="68"/>
  <c r="D42" i="39" s="1"/>
  <c r="E192" i="68"/>
  <c r="D192" i="68"/>
  <c r="B42" i="39" s="1"/>
  <c r="C192" i="68"/>
  <c r="B192" i="68"/>
  <c r="O191" i="68"/>
  <c r="M30" i="39" s="1"/>
  <c r="N191" i="68"/>
  <c r="L30" i="39" s="1"/>
  <c r="M191" i="68"/>
  <c r="K30" i="39" s="1"/>
  <c r="L191" i="68"/>
  <c r="K191" i="68"/>
  <c r="I30" i="39" s="1"/>
  <c r="J191" i="68"/>
  <c r="H30" i="39" s="1"/>
  <c r="I191" i="68"/>
  <c r="G30" i="39" s="1"/>
  <c r="H191" i="68"/>
  <c r="F30" i="39" s="1"/>
  <c r="G191" i="68"/>
  <c r="E30" i="39" s="1"/>
  <c r="F191" i="68"/>
  <c r="D30" i="39" s="1"/>
  <c r="E191" i="68"/>
  <c r="C30" i="39" s="1"/>
  <c r="D191" i="68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O189" i="68"/>
  <c r="O225" i="68" s="1"/>
  <c r="O261" i="68" s="1"/>
  <c r="N189" i="68"/>
  <c r="N225" i="68" s="1"/>
  <c r="N261" i="68" s="1"/>
  <c r="M189" i="68"/>
  <c r="M225" i="68" s="1"/>
  <c r="M261" i="68" s="1"/>
  <c r="L189" i="68"/>
  <c r="L225" i="68" s="1"/>
  <c r="L261" i="68" s="1"/>
  <c r="K189" i="68"/>
  <c r="K225" i="68" s="1"/>
  <c r="K261" i="68" s="1"/>
  <c r="J189" i="68"/>
  <c r="J225" i="68" s="1"/>
  <c r="J261" i="68" s="1"/>
  <c r="I189" i="68"/>
  <c r="I225" i="68" s="1"/>
  <c r="I261" i="68" s="1"/>
  <c r="H189" i="68"/>
  <c r="H225" i="68" s="1"/>
  <c r="H261" i="68" s="1"/>
  <c r="G189" i="68"/>
  <c r="G225" i="68" s="1"/>
  <c r="G261" i="68" s="1"/>
  <c r="F189" i="68"/>
  <c r="F225" i="68" s="1"/>
  <c r="F261" i="68" s="1"/>
  <c r="E189" i="68"/>
  <c r="E225" i="68" s="1"/>
  <c r="E261" i="68" s="1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C188" i="68"/>
  <c r="B188" i="68"/>
  <c r="O187" i="68"/>
  <c r="N187" i="68"/>
  <c r="M187" i="68"/>
  <c r="L187" i="68"/>
  <c r="L221" i="68" s="1"/>
  <c r="K187" i="68"/>
  <c r="J187" i="68"/>
  <c r="J221" i="68" s="1"/>
  <c r="I187" i="68"/>
  <c r="I221" i="68" s="1"/>
  <c r="H187" i="68"/>
  <c r="H221" i="68" s="1"/>
  <c r="G187" i="68"/>
  <c r="F187" i="68"/>
  <c r="E187" i="68"/>
  <c r="E221" i="68" s="1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P83" i="68"/>
  <c r="O84" i="68"/>
  <c r="N84" i="68"/>
  <c r="M84" i="68"/>
  <c r="L84" i="68"/>
  <c r="K84" i="68"/>
  <c r="J84" i="68"/>
  <c r="I84" i="68"/>
  <c r="H84" i="68"/>
  <c r="G84" i="68"/>
  <c r="F84" i="68"/>
  <c r="E84" i="68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O78" i="68"/>
  <c r="O112" i="68" s="1"/>
  <c r="O127" i="68" s="1"/>
  <c r="O143" i="68" s="1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E6" i="68"/>
  <c r="F6" i="68" s="1"/>
  <c r="G6" i="68" s="1"/>
  <c r="H6" i="68" s="1"/>
  <c r="I6" i="68" s="1"/>
  <c r="J6" i="68" s="1"/>
  <c r="K6" i="68" s="1"/>
  <c r="L6" i="68" s="1"/>
  <c r="M6" i="68" s="1"/>
  <c r="N6" i="68" s="1"/>
  <c r="O6" i="68" s="1"/>
  <c r="E198" i="68" l="1"/>
  <c r="C42" i="39"/>
  <c r="I198" i="68"/>
  <c r="G42" i="39"/>
  <c r="K233" i="68"/>
  <c r="K268" i="68" s="1"/>
  <c r="I96" i="39"/>
  <c r="E254" i="68"/>
  <c r="P33" i="68"/>
  <c r="P64" i="68"/>
  <c r="P67" i="68"/>
  <c r="P69" i="68"/>
  <c r="P71" i="68"/>
  <c r="P72" i="68"/>
  <c r="P75" i="68"/>
  <c r="P79" i="68"/>
  <c r="P191" i="68"/>
  <c r="B30" i="39"/>
  <c r="L198" i="68"/>
  <c r="J30" i="39"/>
  <c r="P193" i="68"/>
  <c r="P194" i="68"/>
  <c r="B76" i="39"/>
  <c r="P195" i="68"/>
  <c r="B90" i="39"/>
  <c r="D233" i="68"/>
  <c r="B96" i="39"/>
  <c r="H233" i="68"/>
  <c r="H268" i="68" s="1"/>
  <c r="F96" i="39"/>
  <c r="L233" i="68"/>
  <c r="L268" i="68" s="1"/>
  <c r="J96" i="39"/>
  <c r="K106" i="68"/>
  <c r="K121" i="68" s="1"/>
  <c r="K137" i="68" s="1"/>
  <c r="G233" i="68"/>
  <c r="G268" i="68" s="1"/>
  <c r="E96" i="39"/>
  <c r="O233" i="68"/>
  <c r="O268" i="68" s="1"/>
  <c r="M96" i="39"/>
  <c r="E104" i="68"/>
  <c r="E119" i="68" s="1"/>
  <c r="E135" i="68" s="1"/>
  <c r="E233" i="68"/>
  <c r="E268" i="68" s="1"/>
  <c r="C96" i="39"/>
  <c r="I233" i="68"/>
  <c r="I268" i="68" s="1"/>
  <c r="G96" i="39"/>
  <c r="M233" i="68"/>
  <c r="M268" i="68" s="1"/>
  <c r="K96" i="39"/>
  <c r="J233" i="68"/>
  <c r="J268" i="68" s="1"/>
  <c r="F110" i="68"/>
  <c r="F125" i="68" s="1"/>
  <c r="F141" i="68" s="1"/>
  <c r="J111" i="68"/>
  <c r="J126" i="68" s="1"/>
  <c r="J142" i="68" s="1"/>
  <c r="N107" i="68"/>
  <c r="N122" i="68" s="1"/>
  <c r="N138" i="68" s="1"/>
  <c r="D198" i="68"/>
  <c r="P190" i="68"/>
  <c r="F233" i="68"/>
  <c r="F268" i="68" s="1"/>
  <c r="D96" i="39"/>
  <c r="N233" i="68"/>
  <c r="N268" i="68" s="1"/>
  <c r="L96" i="39"/>
  <c r="D255" i="68"/>
  <c r="H255" i="68"/>
  <c r="L255" i="68"/>
  <c r="P244" i="68"/>
  <c r="P247" i="68"/>
  <c r="P248" i="68"/>
  <c r="P249" i="68"/>
  <c r="P252" i="68"/>
  <c r="P253" i="68"/>
  <c r="N62" i="39"/>
  <c r="M104" i="68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67" i="68" l="1"/>
  <c r="K184" i="68" s="1"/>
  <c r="M163" i="68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176" i="68" l="1"/>
  <c r="J83" i="39" s="1"/>
  <c r="H211" i="68"/>
  <c r="K176" i="68"/>
  <c r="I83" i="39" s="1"/>
  <c r="E212" i="68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L235" i="68" s="1"/>
  <c r="L270" i="68" s="1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K291" i="68" s="1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L289" i="68" l="1"/>
  <c r="G281" i="68"/>
  <c r="O232" i="68"/>
  <c r="O267" i="68" s="1"/>
  <c r="O287" i="68"/>
  <c r="L234" i="68"/>
  <c r="L269" i="68" s="1"/>
  <c r="K232" i="68"/>
  <c r="K267" i="68" s="1"/>
  <c r="K292" i="68"/>
  <c r="L232" i="68"/>
  <c r="L267" i="68" s="1"/>
  <c r="L275" i="68" s="1"/>
  <c r="K287" i="68"/>
  <c r="N229" i="68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75" i="68" l="1"/>
  <c r="K282" i="68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D28" i="37" l="1"/>
  <c r="E28" i="37"/>
  <c r="F28" i="37"/>
  <c r="F30" i="37" s="1"/>
  <c r="G28" i="37"/>
  <c r="H28" i="37"/>
  <c r="I28" i="37"/>
  <c r="J28" i="37"/>
  <c r="J30" i="37" s="1"/>
  <c r="K28" i="37"/>
  <c r="L28" i="37"/>
  <c r="M28" i="37"/>
  <c r="N28" i="37"/>
  <c r="N30" i="37" s="1"/>
  <c r="C28" i="37"/>
  <c r="D21" i="37"/>
  <c r="E21" i="37"/>
  <c r="E30" i="37" s="1"/>
  <c r="F21" i="37"/>
  <c r="G21" i="37"/>
  <c r="H21" i="37"/>
  <c r="I21" i="37"/>
  <c r="I30" i="37" s="1"/>
  <c r="J21" i="37"/>
  <c r="K21" i="37"/>
  <c r="L21" i="37"/>
  <c r="M21" i="37"/>
  <c r="M30" i="37" s="1"/>
  <c r="N21" i="37"/>
  <c r="C21" i="37"/>
  <c r="D11" i="37"/>
  <c r="D30" i="37" s="1"/>
  <c r="E11" i="37"/>
  <c r="F11" i="37"/>
  <c r="G11" i="37"/>
  <c r="G30" i="37" s="1"/>
  <c r="H11" i="37"/>
  <c r="H30" i="37" s="1"/>
  <c r="I11" i="37"/>
  <c r="J11" i="37"/>
  <c r="K11" i="37"/>
  <c r="K30" i="37" s="1"/>
  <c r="L11" i="37"/>
  <c r="L30" i="37" s="1"/>
  <c r="M11" i="37"/>
  <c r="N11" i="37"/>
  <c r="C11" i="37"/>
  <c r="C30" i="37" s="1"/>
  <c r="O30" i="37" s="1"/>
  <c r="D25" i="70" l="1"/>
  <c r="D25" i="71"/>
  <c r="D25" i="69"/>
  <c r="C7" i="22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37" i="66" l="1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H29" i="53" l="1"/>
  <c r="G29" i="53"/>
  <c r="B4" i="39" l="1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L147" i="39" s="1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G118" i="40" l="1"/>
  <c r="D118" i="40"/>
  <c r="L118" i="40"/>
  <c r="E118" i="40"/>
  <c r="I118" i="40"/>
  <c r="M118" i="40"/>
  <c r="D125" i="53"/>
  <c r="G125" i="53" s="1"/>
  <c r="O21" i="37"/>
  <c r="C118" i="40"/>
  <c r="K118" i="40"/>
  <c r="H118" i="40"/>
  <c r="B118" i="40"/>
  <c r="N118" i="40" s="1"/>
  <c r="F118" i="40"/>
  <c r="J118" i="40"/>
  <c r="O11" i="37"/>
  <c r="D134" i="53"/>
  <c r="H134" i="53" s="1"/>
  <c r="O28" i="37"/>
  <c r="N28" i="39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G137" i="53"/>
  <c r="H137" i="53"/>
  <c r="G135" i="53"/>
  <c r="H135" i="53"/>
  <c r="G136" i="53"/>
  <c r="H136" i="53"/>
  <c r="G129" i="53"/>
  <c r="H129" i="53"/>
  <c r="G128" i="53"/>
  <c r="H128" i="53"/>
  <c r="H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Q25" i="70" s="1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L26" i="66" l="1"/>
  <c r="Q39" i="70"/>
  <c r="L25" i="70"/>
  <c r="L25" i="71"/>
  <c r="L25" i="69"/>
  <c r="M51" i="13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M25" i="71" l="1"/>
  <c r="M25" i="69"/>
  <c r="M25" i="70"/>
  <c r="N50" i="13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D92" i="53" s="1"/>
  <c r="N14" i="15"/>
  <c r="N13" i="15"/>
  <c r="N12" i="15"/>
  <c r="D65" i="53" s="1"/>
  <c r="N11" i="15"/>
  <c r="N8" i="15"/>
  <c r="N9" i="15"/>
  <c r="N7" i="15"/>
  <c r="N6" i="15"/>
  <c r="N5" i="15"/>
  <c r="N4" i="15"/>
  <c r="G92" i="53" l="1"/>
  <c r="H92" i="53"/>
  <c r="H104" i="53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9" l="1"/>
  <c r="D11" i="71"/>
  <c r="D11" i="70"/>
  <c r="D11" i="65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Q11" i="70" s="1"/>
  <c r="L12" i="66" s="1"/>
  <c r="G9" i="26"/>
  <c r="F9" i="26"/>
  <c r="G9" i="25"/>
  <c r="F9" i="25"/>
  <c r="G9" i="24"/>
  <c r="F9" i="24"/>
  <c r="G9" i="22"/>
  <c r="Q11" i="71" s="1"/>
  <c r="O12" i="66" s="1"/>
  <c r="F9" i="22"/>
  <c r="H88" i="16"/>
  <c r="H86" i="16"/>
  <c r="H58" i="16"/>
  <c r="H48" i="16"/>
  <c r="H35" i="16"/>
  <c r="H31" i="16"/>
  <c r="H24" i="16"/>
  <c r="H45" i="18"/>
  <c r="H29" i="18"/>
  <c r="H33" i="18"/>
  <c r="F9" i="21"/>
  <c r="O11" i="69" l="1"/>
  <c r="O11" i="70"/>
  <c r="O11" i="71"/>
  <c r="H11" i="71"/>
  <c r="H11" i="70"/>
  <c r="H11" i="69"/>
  <c r="M11" i="69"/>
  <c r="M11" i="71"/>
  <c r="M11" i="70"/>
  <c r="G11" i="69"/>
  <c r="G11" i="71"/>
  <c r="G11" i="70"/>
  <c r="J11" i="70"/>
  <c r="J11" i="69"/>
  <c r="J11" i="71"/>
  <c r="L11" i="71"/>
  <c r="L11" i="70"/>
  <c r="L11" i="69"/>
  <c r="L11" i="65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70" l="1"/>
  <c r="K11" i="71"/>
  <c r="P11" i="71" s="1"/>
  <c r="R11" i="71" s="1"/>
  <c r="K11" i="69"/>
  <c r="P11" i="69" s="1"/>
  <c r="P11" i="70"/>
  <c r="R11" i="70" s="1"/>
  <c r="K11" i="65"/>
  <c r="P11" i="65" s="1"/>
  <c r="E12" i="67" s="1"/>
  <c r="F12" i="67" s="1"/>
  <c r="H9" i="21"/>
  <c r="H17" i="18"/>
  <c r="Q11" i="69" s="1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I12" i="66" l="1"/>
  <c r="R12" i="66" s="1"/>
  <c r="R11" i="69"/>
  <c r="D144" i="18"/>
  <c r="H9" i="18"/>
  <c r="H34" i="18"/>
  <c r="D143" i="18"/>
  <c r="D12" i="66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S12" i="66" l="1"/>
  <c r="J12" i="66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9" l="1"/>
  <c r="J25" i="70"/>
  <c r="J25" i="71"/>
  <c r="J25" i="65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Q25" i="69" s="1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I26" i="66" l="1"/>
  <c r="Q39" i="69"/>
  <c r="K25" i="70"/>
  <c r="P25" i="70" s="1"/>
  <c r="K25" i="71"/>
  <c r="P25" i="71" s="1"/>
  <c r="K25" i="69"/>
  <c r="P25" i="69" s="1"/>
  <c r="K25" i="65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P39" i="71" l="1"/>
  <c r="R39" i="71" s="1"/>
  <c r="R25" i="71"/>
  <c r="P39" i="70"/>
  <c r="R39" i="70" s="1"/>
  <c r="R25" i="70"/>
  <c r="P39" i="69"/>
  <c r="R39" i="69" s="1"/>
  <c r="R25" i="69"/>
  <c r="R26" i="66"/>
  <c r="R40" i="66" s="1"/>
  <c r="I40" i="66"/>
  <c r="D26" i="66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14" i="69" l="1"/>
  <c r="D14" i="70"/>
  <c r="D14" i="71"/>
  <c r="D33" i="71" s="1"/>
  <c r="D13" i="70"/>
  <c r="D13" i="71"/>
  <c r="D13" i="69"/>
  <c r="D17" i="70"/>
  <c r="D17" i="69"/>
  <c r="D17" i="71"/>
  <c r="D21" i="71"/>
  <c r="D21" i="70"/>
  <c r="D21" i="69"/>
  <c r="D20" i="70"/>
  <c r="D20" i="69"/>
  <c r="D20" i="71"/>
  <c r="D19" i="70"/>
  <c r="D19" i="71"/>
  <c r="D19" i="69"/>
  <c r="D12" i="71"/>
  <c r="D31" i="71" s="1"/>
  <c r="D12" i="70"/>
  <c r="D31" i="70" s="1"/>
  <c r="D12" i="69"/>
  <c r="D16" i="71"/>
  <c r="D35" i="71" s="1"/>
  <c r="D16" i="69"/>
  <c r="D16" i="70"/>
  <c r="D35" i="70" s="1"/>
  <c r="D10" i="69"/>
  <c r="D10" i="71"/>
  <c r="D10" i="70"/>
  <c r="D22" i="70"/>
  <c r="D36" i="70" s="1"/>
  <c r="D22" i="71"/>
  <c r="D36" i="71" s="1"/>
  <c r="D22" i="69"/>
  <c r="D36" i="69" s="1"/>
  <c r="D18" i="71"/>
  <c r="D18" i="70"/>
  <c r="D18" i="69"/>
  <c r="D15" i="69"/>
  <c r="D34" i="69" s="1"/>
  <c r="D15" i="71"/>
  <c r="D34" i="71" s="1"/>
  <c r="D15" i="70"/>
  <c r="D34" i="70" s="1"/>
  <c r="D22" i="65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Q21" i="71" s="1"/>
  <c r="O22" i="66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2" i="70" l="1"/>
  <c r="D30" i="70"/>
  <c r="D23" i="70"/>
  <c r="D35" i="69"/>
  <c r="J22" i="71"/>
  <c r="J22" i="69"/>
  <c r="J22" i="70"/>
  <c r="G14" i="71"/>
  <c r="G14" i="69"/>
  <c r="G14" i="70"/>
  <c r="H10" i="70"/>
  <c r="H10" i="71"/>
  <c r="H10" i="69"/>
  <c r="D23" i="71"/>
  <c r="D30" i="71"/>
  <c r="D37" i="71" s="1"/>
  <c r="D40" i="71" s="1"/>
  <c r="D32" i="69"/>
  <c r="D33" i="70"/>
  <c r="H15" i="71"/>
  <c r="H15" i="70"/>
  <c r="H15" i="69"/>
  <c r="D30" i="69"/>
  <c r="D23" i="69"/>
  <c r="D31" i="69"/>
  <c r="D32" i="71"/>
  <c r="D33" i="69"/>
  <c r="D33" i="65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Q10" i="70" s="1"/>
  <c r="G10" i="53"/>
  <c r="G97" i="53"/>
  <c r="H97" i="53"/>
  <c r="H99" i="53"/>
  <c r="G99" i="53"/>
  <c r="H21" i="53"/>
  <c r="Q12" i="70" s="1"/>
  <c r="G21" i="53"/>
  <c r="G68" i="53"/>
  <c r="H68" i="53"/>
  <c r="G38" i="53"/>
  <c r="H38" i="53"/>
  <c r="Q13" i="70" s="1"/>
  <c r="G59" i="53"/>
  <c r="H59" i="53"/>
  <c r="G113" i="53"/>
  <c r="H113" i="53"/>
  <c r="H26" i="53"/>
  <c r="Q17" i="70" s="1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Q18" i="71" s="1"/>
  <c r="O19" i="66" s="1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Q20" i="71" s="1"/>
  <c r="O21" i="66" s="1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Q12" i="71" s="1"/>
  <c r="F10" i="21"/>
  <c r="G16" i="26"/>
  <c r="F16" i="26"/>
  <c r="G20" i="22"/>
  <c r="Q22" i="71" s="1"/>
  <c r="F20" i="22"/>
  <c r="H10" i="18"/>
  <c r="G10" i="18"/>
  <c r="C21" i="22"/>
  <c r="G8" i="22"/>
  <c r="Q10" i="71" s="1"/>
  <c r="F8" i="22"/>
  <c r="F11" i="26"/>
  <c r="G11" i="26"/>
  <c r="F11" i="24"/>
  <c r="G11" i="24"/>
  <c r="G70" i="18"/>
  <c r="H70" i="18"/>
  <c r="F17" i="22"/>
  <c r="G17" i="22"/>
  <c r="Q19" i="71" s="1"/>
  <c r="O20" i="66" s="1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Q16" i="71" s="1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Q17" i="69" s="1"/>
  <c r="I18" i="66" s="1"/>
  <c r="G26" i="18"/>
  <c r="G21" i="18"/>
  <c r="H21" i="18"/>
  <c r="Q12" i="69" s="1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Q15" i="71" s="1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Q13" i="71" s="1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Q14" i="71" s="1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Q17" i="71" s="1"/>
  <c r="O18" i="66" s="1"/>
  <c r="F15" i="22"/>
  <c r="Q10" i="69" l="1"/>
  <c r="N10" i="70"/>
  <c r="N10" i="69"/>
  <c r="N10" i="71"/>
  <c r="Q31" i="70"/>
  <c r="L13" i="66"/>
  <c r="M14" i="70"/>
  <c r="M14" i="71"/>
  <c r="M14" i="69"/>
  <c r="M16" i="70"/>
  <c r="M16" i="69"/>
  <c r="M16" i="71"/>
  <c r="J21" i="71"/>
  <c r="J21" i="70"/>
  <c r="J21" i="69"/>
  <c r="J18" i="69"/>
  <c r="J18" i="71"/>
  <c r="J18" i="70"/>
  <c r="H12" i="69"/>
  <c r="H12" i="70"/>
  <c r="H12" i="71"/>
  <c r="O23" i="66"/>
  <c r="R23" i="66" s="1"/>
  <c r="R37" i="66" s="1"/>
  <c r="Q36" i="71"/>
  <c r="O21" i="69"/>
  <c r="O21" i="71"/>
  <c r="O21" i="70"/>
  <c r="O20" i="69"/>
  <c r="O20" i="71"/>
  <c r="O20" i="70"/>
  <c r="N12" i="69"/>
  <c r="N12" i="71"/>
  <c r="N12" i="70"/>
  <c r="L12" i="69"/>
  <c r="L12" i="70"/>
  <c r="L12" i="65"/>
  <c r="L12" i="71"/>
  <c r="H23" i="70"/>
  <c r="H26" i="70" s="1"/>
  <c r="O16" i="66"/>
  <c r="Q34" i="71"/>
  <c r="J16" i="71"/>
  <c r="J16" i="70"/>
  <c r="J16" i="69"/>
  <c r="J13" i="70"/>
  <c r="J13" i="71"/>
  <c r="J13" i="69"/>
  <c r="H16" i="70"/>
  <c r="H16" i="69"/>
  <c r="H16" i="71"/>
  <c r="J19" i="71"/>
  <c r="J19" i="69"/>
  <c r="J19" i="70"/>
  <c r="H13" i="69"/>
  <c r="H13" i="70"/>
  <c r="H13" i="71"/>
  <c r="G16" i="70"/>
  <c r="G16" i="69"/>
  <c r="G16" i="71"/>
  <c r="O15" i="66"/>
  <c r="Q33" i="71"/>
  <c r="O13" i="69"/>
  <c r="O13" i="71"/>
  <c r="O13" i="70"/>
  <c r="O15" i="70"/>
  <c r="O15" i="69"/>
  <c r="O15" i="71"/>
  <c r="J20" i="71"/>
  <c r="J20" i="70"/>
  <c r="J20" i="69"/>
  <c r="J14" i="71"/>
  <c r="J14" i="69"/>
  <c r="J14" i="70"/>
  <c r="I18" i="71"/>
  <c r="I18" i="70"/>
  <c r="I18" i="69"/>
  <c r="I13" i="66"/>
  <c r="Q31" i="69"/>
  <c r="I20" i="69"/>
  <c r="I20" i="71"/>
  <c r="I20" i="70"/>
  <c r="O17" i="66"/>
  <c r="O36" i="66" s="1"/>
  <c r="Q35" i="71"/>
  <c r="O10" i="71"/>
  <c r="O10" i="70"/>
  <c r="O10" i="69"/>
  <c r="I11" i="66"/>
  <c r="Q30" i="69"/>
  <c r="I13" i="69"/>
  <c r="I13" i="70"/>
  <c r="I13" i="71"/>
  <c r="L17" i="69"/>
  <c r="L17" i="70"/>
  <c r="L17" i="71"/>
  <c r="L10" i="71"/>
  <c r="L10" i="69"/>
  <c r="L10" i="70"/>
  <c r="N17" i="69"/>
  <c r="N17" i="71"/>
  <c r="N17" i="70"/>
  <c r="L20" i="70"/>
  <c r="L20" i="69"/>
  <c r="L20" i="71"/>
  <c r="M10" i="71"/>
  <c r="M10" i="69"/>
  <c r="M10" i="70"/>
  <c r="M17" i="70"/>
  <c r="M17" i="69"/>
  <c r="M17" i="71"/>
  <c r="M18" i="71"/>
  <c r="M18" i="70"/>
  <c r="M18" i="69"/>
  <c r="D37" i="69"/>
  <c r="D40" i="69" s="1"/>
  <c r="D37" i="70"/>
  <c r="D40" i="70" s="1"/>
  <c r="G12" i="71"/>
  <c r="G12" i="70"/>
  <c r="G12" i="69"/>
  <c r="J17" i="71"/>
  <c r="J17" i="70"/>
  <c r="J17" i="69"/>
  <c r="K20" i="69"/>
  <c r="K20" i="70"/>
  <c r="K20" i="71"/>
  <c r="K17" i="69"/>
  <c r="K17" i="71"/>
  <c r="K17" i="70"/>
  <c r="O13" i="66"/>
  <c r="Q31" i="71"/>
  <c r="O18" i="71"/>
  <c r="O18" i="70"/>
  <c r="O18" i="69"/>
  <c r="M13" i="71"/>
  <c r="M13" i="69"/>
  <c r="M13" i="70"/>
  <c r="M19" i="70"/>
  <c r="M19" i="71"/>
  <c r="M19" i="69"/>
  <c r="I17" i="71"/>
  <c r="P17" i="71" s="1"/>
  <c r="R17" i="71" s="1"/>
  <c r="I17" i="70"/>
  <c r="I17" i="69"/>
  <c r="O14" i="71"/>
  <c r="O14" i="69"/>
  <c r="O14" i="70"/>
  <c r="I12" i="69"/>
  <c r="I12" i="71"/>
  <c r="I12" i="70"/>
  <c r="G10" i="71"/>
  <c r="G10" i="69"/>
  <c r="G10" i="70"/>
  <c r="K10" i="70"/>
  <c r="K10" i="71"/>
  <c r="K10" i="69"/>
  <c r="O12" i="69"/>
  <c r="O12" i="71"/>
  <c r="O12" i="70"/>
  <c r="O17" i="71"/>
  <c r="O17" i="70"/>
  <c r="O17" i="69"/>
  <c r="J15" i="69"/>
  <c r="J15" i="71"/>
  <c r="J15" i="70"/>
  <c r="H14" i="69"/>
  <c r="H23" i="69" s="1"/>
  <c r="H26" i="69" s="1"/>
  <c r="H14" i="71"/>
  <c r="H14" i="70"/>
  <c r="O14" i="66"/>
  <c r="Q32" i="71"/>
  <c r="I10" i="70"/>
  <c r="I10" i="71"/>
  <c r="I10" i="69"/>
  <c r="I15" i="69"/>
  <c r="I15" i="70"/>
  <c r="I15" i="71"/>
  <c r="Q20" i="69"/>
  <c r="J10" i="69"/>
  <c r="J10" i="71"/>
  <c r="J10" i="70"/>
  <c r="K12" i="71"/>
  <c r="K12" i="69"/>
  <c r="K12" i="65"/>
  <c r="K12" i="70"/>
  <c r="O16" i="69"/>
  <c r="O16" i="70"/>
  <c r="O16" i="71"/>
  <c r="O19" i="71"/>
  <c r="O19" i="70"/>
  <c r="O19" i="69"/>
  <c r="G13" i="71"/>
  <c r="G13" i="69"/>
  <c r="G13" i="70"/>
  <c r="O11" i="66"/>
  <c r="Q30" i="71"/>
  <c r="Q23" i="71"/>
  <c r="Q26" i="71" s="1"/>
  <c r="O22" i="71"/>
  <c r="O22" i="70"/>
  <c r="O22" i="69"/>
  <c r="J12" i="71"/>
  <c r="J12" i="70"/>
  <c r="J12" i="69"/>
  <c r="G15" i="69"/>
  <c r="G15" i="71"/>
  <c r="G15" i="70"/>
  <c r="L18" i="66"/>
  <c r="R18" i="66" s="1"/>
  <c r="Q30" i="70"/>
  <c r="L11" i="66"/>
  <c r="Q20" i="70"/>
  <c r="M12" i="71"/>
  <c r="M12" i="70"/>
  <c r="M12" i="69"/>
  <c r="M15" i="69"/>
  <c r="M15" i="71"/>
  <c r="M15" i="70"/>
  <c r="M22" i="69"/>
  <c r="P22" i="69" s="1"/>
  <c r="M22" i="70"/>
  <c r="P22" i="70" s="1"/>
  <c r="M22" i="71"/>
  <c r="P22" i="71" s="1"/>
  <c r="M21" i="69"/>
  <c r="M21" i="71"/>
  <c r="M21" i="70"/>
  <c r="M20" i="70"/>
  <c r="M20" i="69"/>
  <c r="M20" i="71"/>
  <c r="H23" i="71"/>
  <c r="H26" i="71" s="1"/>
  <c r="Q14" i="70"/>
  <c r="L15" i="66" s="1"/>
  <c r="Q19" i="70"/>
  <c r="L20" i="66" s="1"/>
  <c r="Q16" i="69"/>
  <c r="I17" i="66" s="1"/>
  <c r="Q13" i="69"/>
  <c r="I14" i="66" s="1"/>
  <c r="Q15" i="70"/>
  <c r="I14" i="71"/>
  <c r="I14" i="70"/>
  <c r="I14" i="69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L32" i="66" l="1"/>
  <c r="P36" i="71"/>
  <c r="R36" i="71" s="1"/>
  <c r="R22" i="71"/>
  <c r="R22" i="70"/>
  <c r="P36" i="70"/>
  <c r="R36" i="70" s="1"/>
  <c r="P36" i="69"/>
  <c r="R36" i="69" s="1"/>
  <c r="R22" i="69"/>
  <c r="O23" i="70"/>
  <c r="O26" i="70" s="1"/>
  <c r="O23" i="69"/>
  <c r="O26" i="69" s="1"/>
  <c r="I21" i="66"/>
  <c r="P10" i="70"/>
  <c r="P12" i="71"/>
  <c r="M23" i="69"/>
  <c r="M26" i="69" s="1"/>
  <c r="R13" i="66"/>
  <c r="R32" i="66" s="1"/>
  <c r="P12" i="65"/>
  <c r="D13" i="66" s="1"/>
  <c r="L21" i="66"/>
  <c r="J23" i="69"/>
  <c r="J26" i="69" s="1"/>
  <c r="P12" i="70"/>
  <c r="M23" i="70"/>
  <c r="M26" i="70" s="1"/>
  <c r="N20" i="69"/>
  <c r="N20" i="71"/>
  <c r="N20" i="70"/>
  <c r="P20" i="70" s="1"/>
  <c r="R20" i="70" s="1"/>
  <c r="J23" i="70"/>
  <c r="J26" i="70" s="1"/>
  <c r="G23" i="69"/>
  <c r="G26" i="69" s="1"/>
  <c r="P10" i="69"/>
  <c r="P17" i="69"/>
  <c r="R17" i="69" s="1"/>
  <c r="M23" i="71"/>
  <c r="M26" i="71" s="1"/>
  <c r="O23" i="71"/>
  <c r="O26" i="71" s="1"/>
  <c r="P20" i="71"/>
  <c r="R20" i="71" s="1"/>
  <c r="Q34" i="70"/>
  <c r="Q37" i="71"/>
  <c r="Q40" i="71" s="1"/>
  <c r="J23" i="71"/>
  <c r="J26" i="71" s="1"/>
  <c r="G23" i="71"/>
  <c r="G26" i="71" s="1"/>
  <c r="P10" i="71"/>
  <c r="P17" i="70"/>
  <c r="R17" i="70" s="1"/>
  <c r="P12" i="69"/>
  <c r="R11" i="66"/>
  <c r="R31" i="66" s="1"/>
  <c r="P20" i="69"/>
  <c r="R20" i="69" s="1"/>
  <c r="G23" i="70"/>
  <c r="G26" i="70" s="1"/>
  <c r="Q33" i="70"/>
  <c r="Q35" i="69"/>
  <c r="R14" i="66"/>
  <c r="P19" i="69"/>
  <c r="R19" i="69" s="1"/>
  <c r="I33" i="66"/>
  <c r="L16" i="66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L35" i="66" l="1"/>
  <c r="S13" i="66"/>
  <c r="R10" i="70"/>
  <c r="P30" i="70"/>
  <c r="R30" i="70" s="1"/>
  <c r="R10" i="69"/>
  <c r="P30" i="69"/>
  <c r="R30" i="69" s="1"/>
  <c r="P31" i="70"/>
  <c r="R31" i="70" s="1"/>
  <c r="R12" i="70"/>
  <c r="P31" i="71"/>
  <c r="R31" i="71" s="1"/>
  <c r="R12" i="71"/>
  <c r="R12" i="69"/>
  <c r="P31" i="69"/>
  <c r="R31" i="69" s="1"/>
  <c r="R10" i="71"/>
  <c r="P30" i="71"/>
  <c r="R30" i="71" s="1"/>
  <c r="R21" i="66"/>
  <c r="S21" i="66" s="1"/>
  <c r="Q37" i="70"/>
  <c r="Q40" i="70" s="1"/>
  <c r="L36" i="66"/>
  <c r="I36" i="66"/>
  <c r="R22" i="66"/>
  <c r="R34" i="66"/>
  <c r="L33" i="66"/>
  <c r="L38" i="66" s="1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R23" i="70" l="1"/>
  <c r="R24" i="66"/>
  <c r="R27" i="66" s="1"/>
  <c r="R26" i="70"/>
  <c r="I38" i="66"/>
  <c r="I41" i="66" s="1"/>
  <c r="S22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D31" i="66"/>
  <c r="S31" i="66" s="1"/>
  <c r="M11" i="66"/>
  <c r="F11" i="67"/>
  <c r="E34" i="67"/>
  <c r="E24" i="67"/>
  <c r="L41" i="66"/>
  <c r="S24" i="66" l="1"/>
  <c r="R38" i="66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G11" i="66" s="1"/>
  <c r="R17" i="65"/>
  <c r="F18" i="66"/>
  <c r="G18" i="66" l="1"/>
  <c r="U18" i="66"/>
  <c r="F26" i="66"/>
  <c r="Q39" i="65"/>
  <c r="R25" i="65"/>
  <c r="R30" i="65"/>
  <c r="F3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F33" i="66" s="1"/>
  <c r="G33" i="66" s="1"/>
  <c r="Q32" i="65"/>
  <c r="R32" i="65" s="1"/>
  <c r="U14" i="66"/>
  <c r="G14" i="66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U34" i="66" s="1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 shape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<sst xmlns="http://schemas.openxmlformats.org/spreadsheetml/2006/main" count="2292" uniqueCount="482">
  <si>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</si>
  <si>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</si>
  <si>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</si>
  <si>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</si>
  <si>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</si>
  <si>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</si>
  <si>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</si>
  <si>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</si>
  <si>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</si>
  <si>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</si>
  <si>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</si>
  <si>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</si>
  <si>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</si>
  <si>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</si>
  <si>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</si>
  <si>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</si>
  <si>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</si>
  <si>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</si>
  <si>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</si>
  <si>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</si>
  <si>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</si>
  <si>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</si>
  <si>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</si>
  <si>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</si>
  <si>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</si>
  <si>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</si>
  <si>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</si>
  <si>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</si>
  <si>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</si>
  <si>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</si>
  <si>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</si>
  <si>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</si>
  <si>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</si>
  <si>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</si>
  <si>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</si>
  <si>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</si>
  <si>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</si>
  <si>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</si>
  <si>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</si>
  <si>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</si>
  <si>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</si>
  <si>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</si>
  <si>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</si>
  <si>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</si>
  <si>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</si>
  <si>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</si>
  <si>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</si>
  <si>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</si>
  <si>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</si>
  <si>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</si>
  <si>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</si>
  <si>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</si>
  <si>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</si>
  <si>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</si>
  <si>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</si>
  <si>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</si>
  <si>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</si>
  <si>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</si>
  <si>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</si>
  <si>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</si>
  <si>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</si>
  <si>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</si>
  <si>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</si>
  <si>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</si>
  <si>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</si>
  <si>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</si>
  <si>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</si>
  <si>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</si>
  <si>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</si>
  <si>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</si>
  <si>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</si>
  <si>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</si>
  <si>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</si>
  <si>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</si>
  <si>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</si>
  <si>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</si>
  <si>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</si>
  <si>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</si>
  <si>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</si>
  <si>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</si>
  <si>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</si>
  <si>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</si>
  <si>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</si>
  <si>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</si>
  <si>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</si>
  <si>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</si>
  <si>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</si>
  <si>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</si>
  <si>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</si>
  <si>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</si>
  <si>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</si>
  <si>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</si>
  <si>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</si>
  <si>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</si>
  <si>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</si>
  <si>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</si>
  <si>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</si>
  <si>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</si>
  <si>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</si>
  <si>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</si>
  <si>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</si>
  <si>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</si>
  <si>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</si>
  <si>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</si>
  <si>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</si>
  <si>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</si>
  <si>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</si>
  <si>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</si>
  <si>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</si>
  <si>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</si>
  <si>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</si>
  <si>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</si>
  <si>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</si>
  <si>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</si>
  <si>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</si>
  <si>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</si>
  <si>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</si>
  <si>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</si>
  <si>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</si>
  <si>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</si>
  <si>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</si>
  <si>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</si>
  <si>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</si>
  <si>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</si>
  <si>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</si>
  <si>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</si>
  <si>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</si>
  <si>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</si>
  <si>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</si>
  <si>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</si>
  <si>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</si>
  <si>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</si>
  <si>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</si>
  <si>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</si>
  <si>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</si>
  <si>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</si>
  <si>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</si>
  <si>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</si>
  <si>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</si>
  <si>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</si>
  <si>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</si>
  <si>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</si>
  <si>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</si>
  <si>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</si>
  <si>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</si>
  <si>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</si>
  <si>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</si>
  <si>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</si>
  <si>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</si>
  <si>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</si>
  <si>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</si>
  <si>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</si>
  <si>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</si>
  <si>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</si>
  <si>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</si>
  <si>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</si>
  <si>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</si>
  <si>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</si>
  <si>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</si>
  <si>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</si>
  <si>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</si>
  <si>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</si>
  <si>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</si>
  <si>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</si>
  <si>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</si>
  <si>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</si>
  <si>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</si>
  <si>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</si>
  <si>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</si>
  <si>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</si>
  <si>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</si>
  <si>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</si>
  <si>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</si>
  <si>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</si>
  <si>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</si>
  <si>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</si>
  <si>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</si>
  <si>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</si>
  <si>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</si>
  <si>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</si>
  <si>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</si>
  <si>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</si>
  <si>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</si>
  <si>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</si>
  <si>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</si>
  <si>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</si>
  <si>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</si>
  <si>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</si>
  <si>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</si>
  <si>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</si>
  <si>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</si>
  <si>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</si>
  <si>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</si>
  <si>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</si>
  <si>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</si>
  <si>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</si>
  <si>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</si>
  <si>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</si>
  <si>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</si>
  <si>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</si>
  <si>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</si>
  <si>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</si>
  <si>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</si>
  <si>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</si>
  <si>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</si>
  <si>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</si>
  <si>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</si>
  <si>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</si>
  <si>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</si>
  <si>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</si>
  <si>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</si>
  <si>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</si>
  <si>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</si>
  <si>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</si>
  <si>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</si>
  <si>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</si>
  <si>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</si>
  <si>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</si>
  <si>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</si>
  <si>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</si>
  <si>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</si>
  <si>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</si>
  <si>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</si>
  <si>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</si>
  <si>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</si>
  <si>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</si>
  <si>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</si>
  <si>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</si>
  <si>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</si>
  <si>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</si>
  <si>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</si>
  <si>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</si>
  <si>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</si>
  <si>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</si>
  <si>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</si>
  <si>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</si>
  <si>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</si>
  <si>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</si>
  <si>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</si>
  <si>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</si>
  <si>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</si>
  <si>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</si>
  <si>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</si>
  <si>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</si>
  <si>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</si>
  <si>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</si>
  <si>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</si>
  <si>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</si>
  <si>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</si>
  <si>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</si>
  <si>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</si>
  <si>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</si>
  <si>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</si>
  <si>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</si>
  <si>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</si>
  <si>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</si>
  <si>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</si>
  <si>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</si>
  <si>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</si>
  <si>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</si>
  <si>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</si>
  <si>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</si>
  <si>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</si>
  <si>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</si>
  <si>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</si>
  <si>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</si>
  <si>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</si>
  <si>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</si>
  <si>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</si>
  <si>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</si>
  <si>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</si>
  <si>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</si>
  <si>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</si>
  <si>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</si>
  <si>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</si>
  <si>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</si>
  <si>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</si>
  <si>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</si>
  <si>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</si>
  <si>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</si>
  <si>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</si>
  <si>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</si>
  <si>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</si>
  <si>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</si>
  <si>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</si>
  <si>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</si>
  <si>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</si>
  <si>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</si>
  <si>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</si>
  <si>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</si>
  <si>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</si>
  <si>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</si>
  <si>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</si>
  <si>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</si>
  <si>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</si>
  <si>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</si>
  <si>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</si>
  <si>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</si>
  <si>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</si>
  <si>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</si>
  <si>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</si>
  <si>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</si>
  <si>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</si>
  <si>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</si>
  <si>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</si>
  <si>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</si>
  <si>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</si>
  <si>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</si>
  <si>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</si>
  <si>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</si>
  <si>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</si>
  <si>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</si>
  <si>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</si>
  <si>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</si>
  <si>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</si>
  <si>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</si>
  <si>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</si>
  <si>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</si>
  <si>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</si>
  <si>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</si>
  <si>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</si>
  <si>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</si>
  <si>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</si>
  <si>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</si>
  <si>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</si>
  <si>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</si>
  <si>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</si>
  <si>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</si>
  <si>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</si>
  <si>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</si>
  <si>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</si>
  <si>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</si>
  <si>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</si>
  <si>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</si>
  <si>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</si>
  <si>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</si>
  <si>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</si>
  <si>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</si>
  <si>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</si>
  <si>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</si>
  <si>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</si>
  <si>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</si>
  <si>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</si>
  <si>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</si>
  <si>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</si>
  <si>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</si>
  <si>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</si>
  <si>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</si>
  <si>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</si>
  <si>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</si>
  <si>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</si>
  <si>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</si>
  <si>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</si>
  <si>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</si>
  <si>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</si>
  <si>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</si>
  <si>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</si>
  <si>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</si>
  <si>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</si>
  <si>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</si>
  <si>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</si>
  <si>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</si>
  <si>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</si>
  <si>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</si>
  <si>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</si>
  <si>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</si>
  <si>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</si>
  <si>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</si>
  <si>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</si>
  <si>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</si>
  <si>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</si>
  <si>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</si>
  <si>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</si>
  <si>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</si>
  <si>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</si>
  <si>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</si>
  <si>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</si>
  <si>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</si>
  <si>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</si>
  <si>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</si>
  <si>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</si>
  <si>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</si>
  <si>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</si>
  <si>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</si>
  <si>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</si>
  <si>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</si>
  <si>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</si>
  <si>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</si>
  <si>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</si>
  <si>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</si>
  <si>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</si>
  <si>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</si>
  <si>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</si>
  <si>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</si>
  <si>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</si>
  <si>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</si>
  <si>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</si>
  <si>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</si>
  <si>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</si>
  <si>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</si>
  <si>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</si>
  <si>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</si>
  <si>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</si>
  <si>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</si>
  <si>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</si>
  <si>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</si>
  <si>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</si>
  <si>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</si>
  <si>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</si>
  <si>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</si>
  <si>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</si>
  <si>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</si>
  <si>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</si>
  <si>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</si>
  <si>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</si>
  <si>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</si>
  <si>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</si>
  <si>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</si>
  <si>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</si>
  <si>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</si>
  <si>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</si>
  <si>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</si>
  <si>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</si>
  <si>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</si>
  <si>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</si>
  <si>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</si>
  <si>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</si>
  <si>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</si>
  <si>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</si>
  <si>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</si>
  <si>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</si>
  <si>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</si>
  <si>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</si>
  <si>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</si>
  <si>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</si>
  <si>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</si>
  <si>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</si>
  <si>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</si>
  <si>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</si>
  <si>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</si>
  <si>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</si>
  <si>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</si>
  <si>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</si>
  <si>
    <t>Staff</t>
  </si>
  <si>
    <t>Monthly Billing Comparison</t>
  </si>
  <si>
    <t>PSE 2019 GRC UE-190529 &amp; UG-190530</t>
  </si>
  <si>
    <t>%</t>
  </si>
  <si>
    <t xml:space="preserve"> </t>
  </si>
  <si>
    <t>Customers</t>
  </si>
  <si>
    <r>
      <t xml:space="preserve">Present </t>
    </r>
    <r>
      <rPr>
        <vertAlign val="superscript"/>
        <sz val="9.9"/>
        <rFont val="Times New Roman"/>
        <family val="1"/>
      </rPr>
      <t>2</t>
    </r>
  </si>
  <si>
    <r>
      <t xml:space="preserve">Proposed </t>
    </r>
    <r>
      <rPr>
        <vertAlign val="superscript"/>
        <sz val="9.9"/>
        <rFont val="Times New Roman"/>
        <family val="1"/>
      </rPr>
      <t>3</t>
    </r>
  </si>
  <si>
    <t>$</t>
  </si>
  <si>
    <t>Present Price (Net)</t>
  </si>
  <si>
    <t>Proposed Price (Net)</t>
  </si>
  <si>
    <t>*</t>
  </si>
  <si>
    <t>Schedule 120 - Conservation</t>
  </si>
  <si>
    <t>Schedule 129 - Low Income</t>
  </si>
  <si>
    <t>Schedule 140 - Property Tax</t>
  </si>
  <si>
    <t>Schedule 141 - ERF - Basic Charge</t>
  </si>
  <si>
    <t>Schedule 141x - Tax Passback - Basic Charge</t>
  </si>
  <si>
    <t>Notes:</t>
  </si>
  <si>
    <t>Schedule 141y - Tax</t>
  </si>
  <si>
    <t>* Average PSE Customer</t>
  </si>
  <si>
    <t>Schedule 142 - Decoupling</t>
  </si>
  <si>
    <t>% Change in Avg. Residential Bill (Staff)</t>
  </si>
  <si>
    <t>% Change in Avg. Residential Bill (PSE)</t>
  </si>
  <si>
    <t>Pie Chart</t>
  </si>
  <si>
    <t>Low Usage</t>
  </si>
  <si>
    <t>Middle Usage</t>
  </si>
  <si>
    <t>High Usage</t>
  </si>
  <si>
    <t>Residential Gas Service - Schedule 23 (All Customers)</t>
  </si>
  <si>
    <r>
      <t xml:space="preserve">Monthly Charge </t>
    </r>
    <r>
      <rPr>
        <vertAlign val="superscript"/>
        <sz val="8.8000000000000007"/>
        <rFont val="Times New Roman"/>
        <family val="1"/>
      </rPr>
      <t>1</t>
    </r>
  </si>
  <si>
    <t>Basic</t>
  </si>
  <si>
    <t>Schedule 141 - ERF - Delivery</t>
  </si>
  <si>
    <t>Schedule 141x - Tax Passback - Delivery</t>
  </si>
  <si>
    <t>Delivery Charge (Schedule 23)</t>
  </si>
  <si>
    <t>Schedule 149 - CRM</t>
  </si>
  <si>
    <t>Schedule 132 - Merger Rate Credit</t>
  </si>
  <si>
    <t>Schedule 101 - Cost of Gas</t>
  </si>
  <si>
    <t>Schedule 106 - Deferral Amortization</t>
  </si>
  <si>
    <t>&gt;250</t>
  </si>
  <si>
    <r>
      <t xml:space="preserve">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 101,106,120,129,132,140,141,141x,142,149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</si>
</sst>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  <numFmt numFmtId="179" formatCode="_(&quot;$&quot;* #,##0.000000_);_(&quot;$&quot;* \(#,##0.000000\);_(&quot;$&quot;* &quot;-&quot;??_);_(@_)"/>
    <numFmt numFmtId="180" formatCode="0.000"/>
    <numFmt numFmtId="181" formatCode="0.00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1"/>
      <name val="Times New Roman"/>
      <family val="1"/>
    </font>
    <font>
      <b/>
      <sz val="14"/>
      <name val="Times New Roman"/>
      <family val="1"/>
    </font>
    <font>
      <vertAlign val="superscript"/>
      <sz val="8.8000000000000007"/>
      <name val="Times New Roman"/>
      <family val="1"/>
    </font>
    <font>
      <vertAlign val="superscript"/>
      <sz val="9.9"/>
      <name val="Times New Roman"/>
      <family val="1"/>
    </font>
    <font>
      <vertAlign val="superscript"/>
      <sz val="11"/>
      <name val="Times New Roman"/>
      <family val="1"/>
    </font>
    <font>
      <sz val="11"/>
      <color indexed="8"/>
      <name val="Times New Roman"/>
      <family val="1"/>
    </font>
    <font>
      <sz val="9"/>
      <color indexed="8"/>
      <name val="Times New Roman"/>
      <family val="1"/>
    </font>
    <font>
      <sz val="11"/>
      <color indexed="12"/>
      <name val="Times New Roman"/>
      <family val="1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8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72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8" fillId="0" borderId="0" xfId="1" applyFont="1" applyFill="1"/>
    <xf numFmtId="0" fontId="38" fillId="0" borderId="0" xfId="1" applyFont="1" applyFill="1" applyAlignment="1">
      <alignment horizontal="centerContinuous"/>
    </xf>
    <xf numFmtId="0" fontId="38" fillId="0" borderId="0" xfId="1" applyFont="1" applyFill="1" applyAlignment="1">
      <alignment horizontal="center"/>
    </xf>
    <xf numFmtId="0" fontId="38" fillId="0" borderId="0" xfId="1" applyFont="1" applyFill="1" applyBorder="1" applyAlignment="1">
      <alignment horizontal="center"/>
    </xf>
    <xf numFmtId="0" fontId="38" fillId="0" borderId="0" xfId="1" applyFont="1" applyFill="1" applyBorder="1" applyAlignment="1">
      <alignment horizontal="centerContinuous"/>
    </xf>
    <xf numFmtId="0" fontId="38" fillId="0" borderId="4" xfId="1" applyFont="1" applyFill="1" applyBorder="1" applyAlignment="1">
      <alignment horizontal="center"/>
    </xf>
    <xf numFmtId="0" fontId="38" fillId="0" borderId="8" xfId="1" applyFont="1" applyFill="1" applyBorder="1" applyAlignment="1">
      <alignment horizontal="centerContinuous"/>
    </xf>
    <xf numFmtId="0" fontId="42" fillId="0" borderId="0" xfId="1" applyFont="1" applyFill="1"/>
    <xf numFmtId="0" fontId="38" fillId="0" borderId="8" xfId="1" applyFont="1" applyFill="1" applyBorder="1" applyAlignment="1">
      <alignment horizontal="center"/>
    </xf>
    <xf numFmtId="0" fontId="43" fillId="0" borderId="9" xfId="1" quotePrefix="1" applyFont="1" applyFill="1" applyBorder="1" applyAlignment="1">
      <alignment horizontal="left"/>
    </xf>
    <xf numFmtId="0" fontId="44" fillId="0" borderId="10" xfId="1" applyFont="1" applyFill="1" applyBorder="1" applyAlignment="1">
      <alignment horizontal="right"/>
    </xf>
    <xf numFmtId="0" fontId="44" fillId="0" borderId="10" xfId="1" quotePrefix="1" applyFont="1" applyFill="1" applyBorder="1" applyAlignment="1">
      <alignment horizontal="left"/>
    </xf>
    <xf numFmtId="0" fontId="44" fillId="0" borderId="11" xfId="1" applyFont="1" applyFill="1" applyBorder="1" applyAlignment="1">
      <alignment horizontal="right"/>
    </xf>
    <xf numFmtId="164" fontId="38" fillId="0" borderId="0" xfId="1" applyNumberFormat="1" applyFont="1" applyFill="1"/>
    <xf numFmtId="37" fontId="38" fillId="0" borderId="0" xfId="1" applyNumberFormat="1" applyFont="1" applyFill="1" applyProtection="1"/>
    <xf numFmtId="10" fontId="38" fillId="0" borderId="0" xfId="1" applyNumberFormat="1" applyFont="1" applyFill="1"/>
    <xf numFmtId="7" fontId="38" fillId="0" borderId="0" xfId="1" applyNumberFormat="1" applyFont="1" applyFill="1"/>
    <xf numFmtId="10" fontId="38" fillId="0" borderId="0" xfId="1" applyNumberFormat="1" applyFont="1" applyFill="1" applyProtection="1"/>
    <xf numFmtId="0" fontId="43" fillId="0" borderId="12" xfId="1" quotePrefix="1" applyFont="1" applyFill="1" applyBorder="1" applyAlignment="1">
      <alignment horizontal="left"/>
    </xf>
    <xf numFmtId="44" fontId="45" fillId="0" borderId="0" xfId="1" applyNumberFormat="1" applyFont="1" applyFill="1" applyBorder="1"/>
    <xf numFmtId="0" fontId="43" fillId="0" borderId="0" xfId="1" applyFont="1" applyFill="1" applyBorder="1"/>
    <xf numFmtId="44" fontId="45" fillId="0" borderId="13" xfId="1" applyNumberFormat="1" applyFont="1" applyFill="1" applyBorder="1"/>
    <xf numFmtId="43" fontId="38" fillId="0" borderId="0" xfId="1" applyNumberFormat="1" applyFont="1" applyFill="1"/>
    <xf numFmtId="179" fontId="45" fillId="0" borderId="0" xfId="1" applyNumberFormat="1" applyFont="1" applyFill="1" applyBorder="1"/>
    <xf numFmtId="179" fontId="45" fillId="0" borderId="13" xfId="1" applyNumberFormat="1" applyFont="1" applyFill="1" applyBorder="1"/>
    <xf numFmtId="0" fontId="43" fillId="0" borderId="14" xfId="1" quotePrefix="1" applyFont="1" applyFill="1" applyBorder="1" applyAlignment="1">
      <alignment horizontal="left"/>
    </xf>
    <xf numFmtId="44" fontId="45" fillId="0" borderId="15" xfId="1" applyNumberFormat="1" applyFont="1" applyFill="1" applyBorder="1"/>
    <xf numFmtId="0" fontId="43" fillId="0" borderId="15" xfId="1" applyFont="1" applyFill="1" applyBorder="1"/>
    <xf numFmtId="44" fontId="45" fillId="0" borderId="16" xfId="1" applyNumberFormat="1" applyFont="1" applyFill="1" applyBorder="1"/>
    <xf numFmtId="0" fontId="38" fillId="0" borderId="0" xfId="1" applyFont="1" applyFill="1" applyBorder="1"/>
    <xf numFmtId="44" fontId="43" fillId="0" borderId="0" xfId="8" applyFont="1" applyFill="1"/>
    <xf numFmtId="179" fontId="43" fillId="0" borderId="0" xfId="1" applyNumberFormat="1" applyFont="1" applyFill="1"/>
    <xf numFmtId="0" fontId="43" fillId="0" borderId="0" xfId="1" applyFont="1" applyFill="1"/>
    <xf numFmtId="180" fontId="43" fillId="0" borderId="0" xfId="1" applyNumberFormat="1" applyFont="1" applyFill="1"/>
    <xf numFmtId="0" fontId="43" fillId="0" borderId="0" xfId="1" quotePrefix="1" applyFont="1" applyFill="1" applyAlignment="1">
      <alignment horizontal="left"/>
    </xf>
    <xf numFmtId="179" fontId="38" fillId="0" borderId="0" xfId="1" applyNumberFormat="1" applyFont="1" applyFill="1"/>
    <xf numFmtId="44" fontId="38" fillId="0" borderId="0" xfId="8" applyFont="1" applyFill="1"/>
    <xf numFmtId="37" fontId="38" fillId="0" borderId="4" xfId="1" applyNumberFormat="1" applyFont="1" applyFill="1" applyBorder="1" applyProtection="1"/>
    <xf numFmtId="0" fontId="38" fillId="0" borderId="4" xfId="1" applyFont="1" applyFill="1" applyBorder="1"/>
    <xf numFmtId="7" fontId="38" fillId="0" borderId="4" xfId="1" applyNumberFormat="1" applyFont="1" applyFill="1" applyBorder="1" applyProtection="1"/>
    <xf numFmtId="181" fontId="38" fillId="0" borderId="4" xfId="1" applyNumberFormat="1" applyFont="1" applyFill="1" applyBorder="1" applyProtection="1"/>
    <xf numFmtId="0" fontId="46" fillId="0" borderId="0" xfId="1" applyFont="1" applyFill="1"/>
    <xf numFmtId="0" fontId="38" fillId="0" borderId="0" xfId="1" applyFont="1" applyFill="1" applyAlignment="1">
      <alignment horizontal="left"/>
    </xf>
    <xf numFmtId="0" fontId="38" fillId="0" borderId="0" xfId="1" quotePrefix="1" applyFont="1" applyFill="1" applyAlignment="1">
      <alignment horizontal="right"/>
    </xf>
    <xf numFmtId="10" fontId="38" fillId="0" borderId="0" xfId="1" applyNumberFormat="1" applyFont="1" applyFill="1" applyAlignment="1">
      <alignment horizontal="right"/>
    </xf>
    <xf numFmtId="10" fontId="38" fillId="0" borderId="0" xfId="9" applyNumberFormat="1" applyFont="1" applyFill="1"/>
    <xf numFmtId="43" fontId="48" fillId="0" borderId="0" xfId="4" applyFont="1" applyFill="1"/>
    <xf numFmtId="44" fontId="43" fillId="3" borderId="0" xfId="8" applyFont="1" applyFill="1"/>
    <xf numFmtId="179" fontId="43" fillId="3" borderId="0" xfId="1" applyNumberFormat="1" applyFont="1" applyFill="1"/>
    <xf numFmtId="44" fontId="38" fillId="2" borderId="0" xfId="8" applyFont="1" applyFill="1"/>
    <xf numFmtId="179" fontId="38" fillId="2" borderId="0" xfId="1" applyNumberFormat="1" applyFont="1" applyFill="1"/>
    <xf numFmtId="37" fontId="38" fillId="4" borderId="0" xfId="1" applyNumberFormat="1" applyFont="1" applyFill="1" applyProtection="1"/>
    <xf numFmtId="10" fontId="38" fillId="4" borderId="0" xfId="1" applyNumberFormat="1" applyFont="1" applyFill="1"/>
    <xf numFmtId="7" fontId="38" fillId="4" borderId="0" xfId="1" applyNumberFormat="1" applyFont="1" applyFill="1"/>
    <xf numFmtId="10" fontId="38" fillId="4" borderId="0" xfId="1" applyNumberFormat="1" applyFont="1" applyFill="1" applyProtection="1"/>
    <xf numFmtId="165" fontId="43" fillId="0" borderId="0" xfId="1" applyNumberFormat="1" applyFont="1" applyFill="1"/>
    <xf numFmtId="165" fontId="43" fillId="0" borderId="0" xfId="8" applyNumberFormat="1" applyFont="1" applyFill="1"/>
    <xf numFmtId="0" fontId="43" fillId="0" borderId="4" xfId="1" quotePrefix="1" applyFont="1" applyFill="1" applyBorder="1" applyAlignment="1">
      <alignment horizontal="left"/>
    </xf>
    <xf numFmtId="179" fontId="38" fillId="0" borderId="4" xfId="1" applyNumberFormat="1" applyFont="1" applyFill="1" applyBorder="1"/>
    <xf numFmtId="179" fontId="38" fillId="2" borderId="4" xfId="1" applyNumberFormat="1" applyFont="1" applyFill="1" applyBorder="1"/>
    <xf numFmtId="179" fontId="2" fillId="0" borderId="0" xfId="3" applyNumberFormat="1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46" fillId="0" borderId="0" xfId="1" quotePrefix="1" applyFont="1" applyFill="1" applyBorder="1" applyAlignment="1">
      <alignment horizontal="left"/>
    </xf>
    <xf numFmtId="0" fontId="38" fillId="0" borderId="0" xfId="1" quotePrefix="1" applyFont="1" applyFill="1" applyAlignment="1">
      <alignment horizontal="left"/>
    </xf>
    <xf numFmtId="0" fontId="38" fillId="0" borderId="0" xfId="1" applyFont="1" applyFill="1" applyAlignment="1">
      <alignment horizontal="left"/>
    </xf>
    <xf numFmtId="0" fontId="39" fillId="0" borderId="0" xfId="1" applyFont="1" applyFill="1" applyAlignment="1">
      <alignment horizontal="center"/>
    </xf>
    <xf numFmtId="0" fontId="39" fillId="0" borderId="0" xfId="1" quotePrefix="1" applyFont="1" applyFill="1" applyAlignment="1">
      <alignment horizontal="center"/>
    </xf>
    <xf numFmtId="0" fontId="38" fillId="0" borderId="4" xfId="1" quotePrefix="1" applyFont="1" applyFill="1" applyBorder="1" applyAlignment="1">
      <alignment horizontal="center"/>
    </xf>
    <xf numFmtId="0" fontId="38" fillId="0" borderId="4" xfId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10">
    <cellStyle name="Comma" xfId="4" builtinId="3"/>
    <cellStyle name="Currency" xfId="3" builtinId="4"/>
    <cellStyle name="Currency 2" xfId="8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  <cellStyle name="Percent 2" xfId="9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27299453925172E-2"/>
          <c:y val="5.1721231646318637E-2"/>
          <c:w val="0.90041947454429649"/>
          <c:h val="0.87715562866310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'Staff RES Bill Impacts'!$N$48</c:f>
              <c:strCache>
                <c:ptCount val="1"/>
                <c:pt idx="0">
                  <c:v>% Change in Avg. Residential Bill (Staff)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'Staff RES Bill Impacts'!$B$9:$B$27</c:f>
              <c:numCache>
                <c:formatCode>#,##0_);\(#,##0\)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64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cat>
          <c:val>
            <c:numRef>
              <c:f>'Staff RES Bill Impacts'!$L$9:$L$27</c:f>
              <c:numCache>
                <c:formatCode>0.00%</c:formatCode>
                <c:ptCount val="19"/>
                <c:pt idx="0">
                  <c:v>0</c:v>
                </c:pt>
                <c:pt idx="1">
                  <c:v>1.7866526537046758E-2</c:v>
                </c:pt>
                <c:pt idx="2">
                  <c:v>2.4858757062146897E-2</c:v>
                </c:pt>
                <c:pt idx="3">
                  <c:v>2.935995302407516E-2</c:v>
                </c:pt>
                <c:pt idx="4">
                  <c:v>3.223478470050508E-2</c:v>
                </c:pt>
                <c:pt idx="5">
                  <c:v>3.4019148502749938E-2</c:v>
                </c:pt>
                <c:pt idx="6">
                  <c:v>3.5906040268456382E-2</c:v>
                </c:pt>
                <c:pt idx="7">
                  <c:v>3.6499766027140904E-2</c:v>
                </c:pt>
                <c:pt idx="8">
                  <c:v>3.7274884824794109E-2</c:v>
                </c:pt>
                <c:pt idx="9">
                  <c:v>3.7907505686125852E-2</c:v>
                </c:pt>
                <c:pt idx="10">
                  <c:v>3.8545874206578061E-2</c:v>
                </c:pt>
                <c:pt idx="11">
                  <c:v>3.8972071785069576E-2</c:v>
                </c:pt>
                <c:pt idx="12">
                  <c:v>3.9437450826121073E-2</c:v>
                </c:pt>
                <c:pt idx="13">
                  <c:v>3.9747229599780234E-2</c:v>
                </c:pt>
                <c:pt idx="14">
                  <c:v>4.0102827763496079E-2</c:v>
                </c:pt>
                <c:pt idx="15">
                  <c:v>4.0331669618418858E-2</c:v>
                </c:pt>
                <c:pt idx="16">
                  <c:v>4.0613375844530654E-2</c:v>
                </c:pt>
                <c:pt idx="17">
                  <c:v>4.0792875610456608E-2</c:v>
                </c:pt>
                <c:pt idx="18">
                  <c:v>4.0951212864540884E-2</c:v>
                </c:pt>
              </c:numCache>
            </c:numRef>
          </c:val>
        </c:ser>
        <c:ser>
          <c:idx val="10"/>
          <c:order val="1"/>
          <c:tx>
            <c:strRef>
              <c:f>'Staff RES Bill Impacts'!$AH$48</c:f>
              <c:strCache>
                <c:ptCount val="1"/>
                <c:pt idx="0">
                  <c:v>% Change in Avg. Residential Bill (PSE)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'Staff RES Bill Impacts'!$B$9:$B$27</c:f>
              <c:numCache>
                <c:formatCode>#,##0_);\(#,##0\)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64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cat>
          <c:val>
            <c:numRef>
              <c:f>'Staff RES Bill Impacts'!$AF$9:$AF$27</c:f>
              <c:numCache>
                <c:formatCode>0.00%</c:formatCode>
                <c:ptCount val="19"/>
                <c:pt idx="0">
                  <c:v>0</c:v>
                </c:pt>
                <c:pt idx="1">
                  <c:v>2.049395691014191E-2</c:v>
                </c:pt>
                <c:pt idx="2">
                  <c:v>2.8625235404896344E-2</c:v>
                </c:pt>
                <c:pt idx="3">
                  <c:v>3.3763945977686394E-2</c:v>
                </c:pt>
                <c:pt idx="4">
                  <c:v>3.6805388501323096E-2</c:v>
                </c:pt>
                <c:pt idx="5">
                  <c:v>3.8908127928294893E-2</c:v>
                </c:pt>
                <c:pt idx="6">
                  <c:v>4.1107382550335497E-2</c:v>
                </c:pt>
                <c:pt idx="7">
                  <c:v>4.1803150834503304E-2</c:v>
                </c:pt>
                <c:pt idx="8">
                  <c:v>4.2579924612592648E-2</c:v>
                </c:pt>
                <c:pt idx="9">
                  <c:v>4.3467273186757617E-2</c:v>
                </c:pt>
                <c:pt idx="10">
                  <c:v>4.4085401038661202E-2</c:v>
                </c:pt>
                <c:pt idx="11">
                  <c:v>4.460019114367636E-2</c:v>
                </c:pt>
                <c:pt idx="12">
                  <c:v>4.5043273013375275E-2</c:v>
                </c:pt>
                <c:pt idx="13">
                  <c:v>4.5516988735232154E-2</c:v>
                </c:pt>
                <c:pt idx="14">
                  <c:v>4.5844044558697464E-2</c:v>
                </c:pt>
                <c:pt idx="15">
                  <c:v>4.612783770729343E-2</c:v>
                </c:pt>
                <c:pt idx="16">
                  <c:v>4.6382752600015287E-2</c:v>
                </c:pt>
                <c:pt idx="17">
                  <c:v>4.6681987934501575E-2</c:v>
                </c:pt>
                <c:pt idx="18">
                  <c:v>4.6811120196238794E-2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5246608"/>
        <c:axId val="485250136"/>
      </c:barChart>
      <c:catAx>
        <c:axId val="48524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Therm</a:t>
                </a:r>
                <a:r>
                  <a:rPr lang="en-US" baseline="0"/>
                  <a:t> Usage (Blocks of 10)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_);\(0\)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5250136"/>
        <c:crosses val="autoZero"/>
        <c:auto val="1"/>
        <c:lblAlgn val="ctr"/>
        <c:lblOffset val="100"/>
        <c:tickLblSkip val="1"/>
        <c:noMultiLvlLbl val="0"/>
      </c:catAx>
      <c:valAx>
        <c:axId val="485250136"/>
        <c:scaling>
          <c:orientation val="minMax"/>
          <c:max val="0.1"/>
          <c:min val="-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% Change in Bill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52466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145006837204633E-2"/>
          <c:y val="1.2954773390337713E-2"/>
          <c:w val="0.83750937430506589"/>
          <c:h val="3.05510682857119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32713505364691"/>
          <c:y val="0"/>
          <c:w val="0.6728300035525181"/>
          <c:h val="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'Staff RES Bill Impacts'!$N$51:$N$53</c:f>
              <c:strCache>
                <c:ptCount val="3"/>
                <c:pt idx="0">
                  <c:v>Low Usage</c:v>
                </c:pt>
                <c:pt idx="1">
                  <c:v>Middle Usage</c:v>
                </c:pt>
                <c:pt idx="2">
                  <c:v>High Usage</c:v>
                </c:pt>
              </c:strCache>
            </c:strRef>
          </c:cat>
          <c:val>
            <c:numRef>
              <c:f>'Staff RES Bill Impacts'!$O$51:$O$53</c:f>
              <c:numCache>
                <c:formatCode>0.00%</c:formatCode>
                <c:ptCount val="3"/>
                <c:pt idx="0">
                  <c:v>0.10737652422673698</c:v>
                </c:pt>
                <c:pt idx="1">
                  <c:v>0.7578447321245777</c:v>
                </c:pt>
                <c:pt idx="2">
                  <c:v>0.134753294969846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67235</xdr:colOff>
      <xdr:row>2</xdr:row>
      <xdr:rowOff>22414</xdr:rowOff>
    </xdr:from>
    <xdr:to>
      <xdr:col>51</xdr:col>
      <xdr:colOff>506365</xdr:colOff>
      <xdr:row>35</xdr:row>
      <xdr:rowOff>163286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3023</xdr:colOff>
      <xdr:row>4</xdr:row>
      <xdr:rowOff>42332</xdr:rowOff>
    </xdr:from>
    <xdr:to>
      <xdr:col>46</xdr:col>
      <xdr:colOff>166309</xdr:colOff>
      <xdr:row>10</xdr:row>
      <xdr:rowOff>149677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71060</xdr:colOff>
      <xdr:row>10</xdr:row>
      <xdr:rowOff>27217</xdr:rowOff>
    </xdr:from>
    <xdr:to>
      <xdr:col>47</xdr:col>
      <xdr:colOff>139095</xdr:colOff>
      <xdr:row>13</xdr:row>
      <xdr:rowOff>30237</xdr:rowOff>
    </xdr:to>
    <xdr:sp macro="" textlink="">
      <xdr:nvSpPr>
        <xdr:cNvPr id="4" name="TextBox 3"/>
        <xdr:cNvSpPr txBox="1"/>
      </xdr:nvSpPr>
      <xdr:spPr>
        <a:xfrm>
          <a:off x="26053143" y="2196800"/>
          <a:ext cx="2565702" cy="585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75% of all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residential customers</a:t>
          </a:r>
          <a:r>
            <a:rPr lang="en-US" sz="1000">
              <a:latin typeface="Times New Roman" panose="02020603050405020304" pitchFamily="18" charset="0"/>
              <a:cs typeface="Times New Roman" panose="02020603050405020304" pitchFamily="18" charset="0"/>
            </a:rPr>
            <a:t>have</a:t>
          </a:r>
          <a:r>
            <a:rPr lang="en-US" sz="1000" baseline="0">
              <a:latin typeface="Times New Roman" panose="02020603050405020304" pitchFamily="18" charset="0"/>
              <a:cs typeface="Times New Roman" panose="02020603050405020304" pitchFamily="18" charset="0"/>
            </a:rPr>
            <a:t> average monthly usage between 20 therms and 120 therms</a:t>
          </a:r>
          <a:endParaRPr lang="en-US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0.17358</cdr:x>
      <cdr:y>0.08405</cdr:y>
    </cdr:from>
    <cdr:to>
      <cdr:x>0.67871</cdr:x>
      <cdr:y>0.93674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68508" y="554427"/>
          <a:ext cx="3691341" cy="5624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8575">
          <a:solidFill>
            <a:schemeClr val="accent1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7 GRC/Supplemental Filing 2017 GRC/NO MS SUPP 2017 GRC Workpapers/#Electric Model 2017 GRC CONT CALCULATION 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5/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#Electric Model 2016 GRC Orig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17 GRC/Settlement/Settlement Workpapers/#Gas Model 2017 GRC 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#2005 GRC/COS Inputs/COS Model/ECOS Model - FINAL 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M1EXC/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966INFBW/03-09%20Elec_Unb%20(93%203%25%208%20months)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# 2007 GRC/4.04G Pass Through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workbookViewId="0">
      <selection activeCell="F81" sqref="F81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60"/>
    </row>
    <row r="2" spans="2:24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60"/>
    </row>
    <row r="3" spans="2:24" x14ac:dyDescent="0.25">
      <c r="B3" s="455" t="s">
        <v>359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340"/>
    </row>
    <row r="4" spans="2:24" x14ac:dyDescent="0.25">
      <c r="B4" s="455" t="s">
        <v>432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566391395.85856187</v>
      </c>
      <c r="E11" s="8"/>
      <c r="F11" s="317">
        <f>'Base Rate Impacts'!Q10</f>
        <v>46411808.961668052</v>
      </c>
      <c r="G11" s="224">
        <f>F11/$D11</f>
        <v>8.1942997900444653E-2</v>
      </c>
      <c r="H11" s="9"/>
      <c r="I11" s="317">
        <f>'Sch. 141 Impacts'!Q10</f>
        <v>-19326947.757790502</v>
      </c>
      <c r="J11" s="224">
        <f>I11/$D11</f>
        <v>-3.4122954372380311E-2</v>
      </c>
      <c r="K11" s="155"/>
      <c r="L11" s="317">
        <f>'Sch. 141X Impacts'!Q10</f>
        <v>0</v>
      </c>
      <c r="M11" s="224">
        <f>L11/$D11</f>
        <v>0</v>
      </c>
      <c r="N11" s="155"/>
      <c r="O11" s="317">
        <f>'Sch. 149 Impacts'!Q10</f>
        <v>-6879152.9663698804</v>
      </c>
      <c r="P11" s="224">
        <f>O11/$D11</f>
        <v>-1.2145581689040574E-2</v>
      </c>
      <c r="Q11" s="155"/>
      <c r="R11" s="336">
        <f>SUM(I11,L11,O11)</f>
        <v>-26206100.724160381</v>
      </c>
      <c r="S11" s="224">
        <f>R11/$D11</f>
        <v>-4.6268536061420881E-2</v>
      </c>
      <c r="T11" s="155"/>
      <c r="U11" s="336">
        <f>SUM(D11,F11,I11,L11,O11)</f>
        <v>586597104.09606957</v>
      </c>
      <c r="V11" s="339">
        <f>U11-D11</f>
        <v>20205708.237507701</v>
      </c>
      <c r="W11" s="224">
        <f>V11/$D11</f>
        <v>3.567446183902382E-2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713.11000000000058</v>
      </c>
      <c r="G12" s="224">
        <f>F12/$D12</f>
        <v>8.4953488151960271E-2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0</v>
      </c>
      <c r="M12" s="224">
        <f t="shared" ref="M12:M27" si="1">L12/$D12</f>
        <v>0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-394.90642478736834</v>
      </c>
      <c r="S12" s="224">
        <f t="shared" ref="S12:S23" si="4">R12/$D12</f>
        <v>-4.7045586626616731E-2</v>
      </c>
      <c r="T12" s="155"/>
      <c r="U12" s="336">
        <f t="shared" ref="U12:U23" si="5">SUM(D12,F12,I12,L12,O12)</f>
        <v>8712.3262358905249</v>
      </c>
      <c r="V12" s="339">
        <f t="shared" ref="V12:V23" si="6">U12-D12</f>
        <v>318.20357521263213</v>
      </c>
      <c r="W12" s="224">
        <f t="shared" ref="W12:W26" si="7">V12/$D12</f>
        <v>3.7907901525343526E-2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180390543.95671842</v>
      </c>
      <c r="E13" s="8"/>
      <c r="F13" s="317">
        <f>'Base Rate Impacts'!Q12</f>
        <v>20681847.389999993</v>
      </c>
      <c r="G13" s="224">
        <f t="shared" ref="G13:G27" si="8">F13/$D13</f>
        <v>0.11465039650283577</v>
      </c>
      <c r="H13" s="9"/>
      <c r="I13" s="317">
        <f>'Sch. 141 Impacts'!Q12</f>
        <v>-6110887.9022791656</v>
      </c>
      <c r="J13" s="224">
        <f t="shared" si="0"/>
        <v>-3.3875877128822049E-2</v>
      </c>
      <c r="K13" s="155"/>
      <c r="L13" s="317">
        <f>'Sch. 141X Impacts'!Q12</f>
        <v>0</v>
      </c>
      <c r="M13" s="224">
        <f t="shared" si="1"/>
        <v>0</v>
      </c>
      <c r="N13" s="155"/>
      <c r="O13" s="317">
        <f>'Sch. 149 Impacts'!Q12</f>
        <v>-2526828.0251846407</v>
      </c>
      <c r="P13" s="224">
        <f t="shared" si="2"/>
        <v>-1.4007541469529075E-2</v>
      </c>
      <c r="Q13" s="155"/>
      <c r="R13" s="336">
        <f t="shared" si="3"/>
        <v>-8637715.9274638072</v>
      </c>
      <c r="S13" s="224">
        <f t="shared" si="4"/>
        <v>-4.788341859835113E-2</v>
      </c>
      <c r="T13" s="155"/>
      <c r="U13" s="336">
        <f t="shared" si="5"/>
        <v>192434675.4192546</v>
      </c>
      <c r="V13" s="339">
        <f t="shared" si="6"/>
        <v>12044131.462536186</v>
      </c>
      <c r="W13" s="224">
        <f t="shared" si="7"/>
        <v>6.6766977904484659E-2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37710366.547654875</v>
      </c>
      <c r="E14" s="8"/>
      <c r="F14" s="317">
        <f>'Base Rate Impacts'!Q13</f>
        <v>1147544.1200184245</v>
      </c>
      <c r="G14" s="224">
        <f t="shared" si="8"/>
        <v>3.0430468464639936E-2</v>
      </c>
      <c r="H14" s="9"/>
      <c r="I14" s="317">
        <f>'Sch. 141 Impacts'!Q13</f>
        <v>-1231564.7640418469</v>
      </c>
      <c r="J14" s="224">
        <f t="shared" si="0"/>
        <v>-3.2658520104425638E-2</v>
      </c>
      <c r="K14" s="155"/>
      <c r="L14" s="317">
        <f>'Sch. 141X Impacts'!Q13</f>
        <v>0</v>
      </c>
      <c r="M14" s="224">
        <f t="shared" si="1"/>
        <v>0</v>
      </c>
      <c r="N14" s="155"/>
      <c r="O14" s="317">
        <f>'Sch. 149 Impacts'!Q13</f>
        <v>-407396.71755076008</v>
      </c>
      <c r="P14" s="224">
        <f t="shared" si="2"/>
        <v>-1.0803308343235798E-2</v>
      </c>
      <c r="Q14" s="155"/>
      <c r="R14" s="336">
        <f t="shared" si="3"/>
        <v>-1638961.481592607</v>
      </c>
      <c r="S14" s="224">
        <f t="shared" si="4"/>
        <v>-4.3461828447661444E-2</v>
      </c>
      <c r="T14" s="155"/>
      <c r="U14" s="336">
        <f t="shared" si="5"/>
        <v>37218949.186080687</v>
      </c>
      <c r="V14" s="339">
        <f t="shared" si="6"/>
        <v>-491417.36157418787</v>
      </c>
      <c r="W14" s="224">
        <f t="shared" si="7"/>
        <v>-1.3031359983021646E-2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6463368.2911968278</v>
      </c>
      <c r="E15" s="8"/>
      <c r="F15" s="317">
        <f>'Base Rate Impacts'!Q14</f>
        <v>254991.81013167996</v>
      </c>
      <c r="G15" s="224">
        <f t="shared" si="8"/>
        <v>3.9451845948339559E-2</v>
      </c>
      <c r="H15" s="9"/>
      <c r="I15" s="317">
        <f>'Sch. 141 Impacts'!Q14</f>
        <v>-152845.92818257306</v>
      </c>
      <c r="J15" s="224">
        <f t="shared" si="0"/>
        <v>-2.3648030144089227E-2</v>
      </c>
      <c r="K15" s="155"/>
      <c r="L15" s="317">
        <f>'Sch. 141X Impacts'!Q14</f>
        <v>0</v>
      </c>
      <c r="M15" s="224">
        <f t="shared" si="1"/>
        <v>0</v>
      </c>
      <c r="N15" s="155"/>
      <c r="O15" s="317">
        <f>'Sch. 149 Impacts'!Q14</f>
        <v>-52258.275213740002</v>
      </c>
      <c r="P15" s="224">
        <f t="shared" si="2"/>
        <v>-8.0853005521774601E-3</v>
      </c>
      <c r="Q15" s="155"/>
      <c r="R15" s="336">
        <f t="shared" si="3"/>
        <v>-205104.20339631307</v>
      </c>
      <c r="S15" s="224">
        <f t="shared" si="4"/>
        <v>-3.1733330696266687E-2</v>
      </c>
      <c r="T15" s="155"/>
      <c r="U15" s="336">
        <f t="shared" si="5"/>
        <v>6513255.8979321951</v>
      </c>
      <c r="V15" s="339">
        <f t="shared" si="6"/>
        <v>49887.606735367328</v>
      </c>
      <c r="W15" s="224">
        <f t="shared" si="7"/>
        <v>7.7185152520729394E-3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4901247.2836130001</v>
      </c>
      <c r="E16" s="8"/>
      <c r="F16" s="317">
        <f>'Base Rate Impacts'!Q15</f>
        <v>73389.949999999968</v>
      </c>
      <c r="G16" s="224">
        <f t="shared" si="8"/>
        <v>1.4973729288333291E-2</v>
      </c>
      <c r="H16" s="9"/>
      <c r="I16" s="317">
        <f>'Sch. 141 Impacts'!Q15</f>
        <v>-152181.0190152016</v>
      </c>
      <c r="J16" s="224">
        <f t="shared" si="0"/>
        <v>-3.1049447254785305E-2</v>
      </c>
      <c r="K16" s="155"/>
      <c r="L16" s="317">
        <f>'Sch. 141X Impacts'!Q15</f>
        <v>0</v>
      </c>
      <c r="M16" s="224">
        <f t="shared" si="1"/>
        <v>0</v>
      </c>
      <c r="N16" s="155"/>
      <c r="O16" s="317">
        <f>'Sch. 149 Impacts'!Q15</f>
        <v>-36323.442690949996</v>
      </c>
      <c r="P16" s="224">
        <f t="shared" si="2"/>
        <v>-7.411061019588841E-3</v>
      </c>
      <c r="Q16" s="155"/>
      <c r="R16" s="336">
        <f t="shared" si="3"/>
        <v>-188504.4617061516</v>
      </c>
      <c r="S16" s="224">
        <f t="shared" si="4"/>
        <v>-3.8460508274374146E-2</v>
      </c>
      <c r="T16" s="155"/>
      <c r="U16" s="336">
        <f t="shared" si="5"/>
        <v>4786132.771906849</v>
      </c>
      <c r="V16" s="339">
        <f t="shared" si="6"/>
        <v>-115114.51170615107</v>
      </c>
      <c r="W16" s="224">
        <f t="shared" si="7"/>
        <v>-2.3486778986040738E-2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7844353.5704910355</v>
      </c>
      <c r="E17" s="8"/>
      <c r="F17" s="317">
        <f>'Base Rate Impacts'!Q16</f>
        <v>255256.69999999995</v>
      </c>
      <c r="G17" s="224">
        <f t="shared" si="8"/>
        <v>3.2540182910702424E-2</v>
      </c>
      <c r="H17" s="9"/>
      <c r="I17" s="317">
        <f>'Sch. 141 Impacts'!Q16</f>
        <v>-106551.53823372703</v>
      </c>
      <c r="J17" s="224">
        <f t="shared" si="0"/>
        <v>-1.3583214636646877E-2</v>
      </c>
      <c r="K17" s="155"/>
      <c r="L17" s="317">
        <f>'Sch. 141X Impacts'!Q16</f>
        <v>0</v>
      </c>
      <c r="M17" s="224">
        <f t="shared" si="1"/>
        <v>0</v>
      </c>
      <c r="N17" s="155"/>
      <c r="O17" s="317">
        <f>'Sch. 149 Impacts'!Q16</f>
        <v>-46221.081791180004</v>
      </c>
      <c r="P17" s="224">
        <f t="shared" si="2"/>
        <v>-5.8922741530997424E-3</v>
      </c>
      <c r="Q17" s="155"/>
      <c r="R17" s="336">
        <f t="shared" si="3"/>
        <v>-152772.62002490702</v>
      </c>
      <c r="S17" s="224">
        <f t="shared" si="4"/>
        <v>-1.9475488789746618E-2</v>
      </c>
      <c r="T17" s="155"/>
      <c r="U17" s="336">
        <f t="shared" si="5"/>
        <v>7946837.6504661283</v>
      </c>
      <c r="V17" s="339">
        <f t="shared" si="6"/>
        <v>102484.07997509278</v>
      </c>
      <c r="W17" s="224">
        <f t="shared" si="7"/>
        <v>1.3064694120955789E-2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22890.305158099989</v>
      </c>
      <c r="E18" s="8"/>
      <c r="F18" s="317">
        <f>'Base Rate Impacts'!Q17</f>
        <v>3366.4399999999987</v>
      </c>
      <c r="G18" s="224">
        <f t="shared" si="8"/>
        <v>0.14706837574896839</v>
      </c>
      <c r="H18" s="9"/>
      <c r="I18" s="317">
        <f>'Sch. 141 Impacts'!Q17</f>
        <v>-866.53242810000165</v>
      </c>
      <c r="J18" s="224">
        <f t="shared" si="0"/>
        <v>-3.7855870514394145E-2</v>
      </c>
      <c r="K18" s="208"/>
      <c r="L18" s="317">
        <f>'Sch. 141X Impacts'!Q17</f>
        <v>0</v>
      </c>
      <c r="M18" s="224">
        <f t="shared" si="1"/>
        <v>0</v>
      </c>
      <c r="N18" s="155"/>
      <c r="O18" s="317">
        <f>'Sch. 149 Impacts'!Q17</f>
        <v>-342.70052480000004</v>
      </c>
      <c r="P18" s="224">
        <f t="shared" si="2"/>
        <v>-1.4971426655652586E-2</v>
      </c>
      <c r="Q18" s="155"/>
      <c r="R18" s="336">
        <f t="shared" si="3"/>
        <v>-1209.2329529000017</v>
      </c>
      <c r="S18" s="224">
        <f t="shared" si="4"/>
        <v>-5.2827297170046736E-2</v>
      </c>
      <c r="T18" s="155"/>
      <c r="U18" s="336">
        <f t="shared" si="5"/>
        <v>25047.512205199986</v>
      </c>
      <c r="V18" s="339">
        <f t="shared" si="6"/>
        <v>2157.207047099997</v>
      </c>
      <c r="W18" s="224">
        <f t="shared" si="7"/>
        <v>9.4241078578921667E-2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4494718.2555890949</v>
      </c>
      <c r="F19" s="317">
        <f>'Base Rate Impacts'!Q18</f>
        <v>290487.19235142216</v>
      </c>
      <c r="G19" s="224">
        <f t="shared" si="8"/>
        <v>6.4628565314457029E-2</v>
      </c>
      <c r="H19" s="9"/>
      <c r="I19" s="317">
        <f>'Sch. 141 Impacts'!Q18</f>
        <v>-176127.76092043327</v>
      </c>
      <c r="J19" s="224">
        <f t="shared" si="0"/>
        <v>-3.9185495264674672E-2</v>
      </c>
      <c r="K19" s="208"/>
      <c r="L19" s="317">
        <f>'Sch. 141X Impacts'!Q18</f>
        <v>0</v>
      </c>
      <c r="M19" s="224">
        <f t="shared" si="1"/>
        <v>0</v>
      </c>
      <c r="N19" s="155"/>
      <c r="O19" s="317">
        <f>'Sch. 149 Impacts'!Q18</f>
        <v>-128237.8296924</v>
      </c>
      <c r="P19" s="224">
        <f t="shared" si="2"/>
        <v>-2.8530782665395934E-2</v>
      </c>
      <c r="Q19" s="155"/>
      <c r="R19" s="336">
        <f t="shared" si="3"/>
        <v>-304365.59061283327</v>
      </c>
      <c r="S19" s="224">
        <f t="shared" si="4"/>
        <v>-6.7716277930070609E-2</v>
      </c>
      <c r="T19" s="155"/>
      <c r="U19" s="336">
        <f t="shared" si="5"/>
        <v>4480839.8573276838</v>
      </c>
      <c r="V19" s="339">
        <f t="shared" si="6"/>
        <v>-13878.398261411116</v>
      </c>
      <c r="W19" s="224">
        <f t="shared" si="7"/>
        <v>-3.0877126156135808E-3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7702239.644044417</v>
      </c>
      <c r="F20" s="317">
        <f>'Base Rate Impacts'!Q19</f>
        <v>1002139.2400000003</v>
      </c>
      <c r="G20" s="224">
        <f t="shared" si="8"/>
        <v>0.1301101090479419</v>
      </c>
      <c r="H20" s="9"/>
      <c r="I20" s="317">
        <f>'Sch. 141 Impacts'!Q19</f>
        <v>-298624.84595378366</v>
      </c>
      <c r="J20" s="224">
        <f t="shared" si="0"/>
        <v>-3.8771170432834894E-2</v>
      </c>
      <c r="K20" s="208"/>
      <c r="L20" s="317">
        <f>'Sch. 141X Impacts'!Q19</f>
        <v>0</v>
      </c>
      <c r="M20" s="224">
        <f t="shared" si="1"/>
        <v>0</v>
      </c>
      <c r="N20" s="155"/>
      <c r="O20" s="317">
        <f>'Sch. 149 Impacts'!Q19</f>
        <v>-247694.44367510002</v>
      </c>
      <c r="P20" s="224">
        <f t="shared" si="2"/>
        <v>-3.215875578042085E-2</v>
      </c>
      <c r="Q20" s="155"/>
      <c r="R20" s="336">
        <f t="shared" si="3"/>
        <v>-546319.28962888371</v>
      </c>
      <c r="S20" s="224">
        <f t="shared" si="4"/>
        <v>-7.0929926213255751E-2</v>
      </c>
      <c r="T20" s="155"/>
      <c r="U20" s="336">
        <f t="shared" si="5"/>
        <v>8158059.5944155352</v>
      </c>
      <c r="V20" s="339">
        <f t="shared" si="6"/>
        <v>455819.95037111826</v>
      </c>
      <c r="W20" s="224">
        <f t="shared" si="7"/>
        <v>5.9180182834686373E-2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2805.5499999999965</v>
      </c>
      <c r="G21" s="224">
        <f t="shared" si="8"/>
        <v>3.6637219692987694E-2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0</v>
      </c>
      <c r="M21" s="224">
        <f t="shared" si="1"/>
        <v>0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-4840.2621022638305</v>
      </c>
      <c r="S21" s="224">
        <f t="shared" si="4"/>
        <v>-6.3208193050304798E-2</v>
      </c>
      <c r="T21" s="155"/>
      <c r="U21" s="336">
        <f t="shared" si="5"/>
        <v>74541.786428736174</v>
      </c>
      <c r="V21" s="339">
        <f t="shared" si="6"/>
        <v>-2034.7121022638312</v>
      </c>
      <c r="W21" s="224">
        <f t="shared" si="7"/>
        <v>-2.6570973357317073E-2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4081215.6903120587</v>
      </c>
      <c r="F22" s="317">
        <f>'Base Rate Impacts'!Q21</f>
        <v>768239.27</v>
      </c>
      <c r="G22" s="224">
        <f t="shared" si="8"/>
        <v>0.18823785075207794</v>
      </c>
      <c r="H22" s="9"/>
      <c r="I22" s="317">
        <f>'Sch. 141 Impacts'!Q21</f>
        <v>-152750.99738961991</v>
      </c>
      <c r="J22" s="224">
        <f t="shared" si="0"/>
        <v>-3.7427817831882398E-2</v>
      </c>
      <c r="K22" s="155"/>
      <c r="L22" s="317">
        <f>'Sch. 141X Impacts'!Q21</f>
        <v>0</v>
      </c>
      <c r="M22" s="224">
        <f t="shared" si="1"/>
        <v>0</v>
      </c>
      <c r="N22" s="155"/>
      <c r="O22" s="317">
        <f>'Sch. 149 Impacts'!Q21</f>
        <v>-202459.16161459999</v>
      </c>
      <c r="P22" s="224">
        <f t="shared" si="2"/>
        <v>-4.9607562299438163E-2</v>
      </c>
      <c r="Q22" s="155"/>
      <c r="R22" s="336">
        <f t="shared" si="3"/>
        <v>-355210.15900421992</v>
      </c>
      <c r="S22" s="224">
        <f t="shared" si="4"/>
        <v>-8.7035380131320575E-2</v>
      </c>
      <c r="T22" s="155"/>
      <c r="U22" s="336">
        <f t="shared" si="5"/>
        <v>4494244.8013078393</v>
      </c>
      <c r="V22" s="339">
        <f t="shared" si="6"/>
        <v>413029.11099578068</v>
      </c>
      <c r="W22" s="224">
        <f t="shared" si="7"/>
        <v>0.1012024706207575</v>
      </c>
      <c r="X22" s="224"/>
    </row>
    <row r="23" spans="2:27" x14ac:dyDescent="0.25">
      <c r="B23" t="s">
        <v>13</v>
      </c>
      <c r="D23" s="331">
        <f>'Base Rate Impacts'!P22</f>
        <v>1896826.7019634768</v>
      </c>
      <c r="F23" s="317">
        <f>'Base Rate Impacts'!Q22</f>
        <v>0</v>
      </c>
      <c r="G23" s="224">
        <f t="shared" si="8"/>
        <v>0</v>
      </c>
      <c r="H23" s="325"/>
      <c r="I23" s="317">
        <f>'Sch. 141 Impacts'!Q22</f>
        <v>-35274.722042470239</v>
      </c>
      <c r="J23" s="224">
        <f t="shared" si="0"/>
        <v>-1.8596702590677389E-2</v>
      </c>
      <c r="K23" s="326"/>
      <c r="L23" s="317">
        <f>'Sch. 141X Impacts'!Q22</f>
        <v>11662.625379653648</v>
      </c>
      <c r="M23" s="224">
        <f t="shared" si="1"/>
        <v>6.1484928315176206E-3</v>
      </c>
      <c r="N23" s="326"/>
      <c r="O23" s="317">
        <f>'Sch. 149 Impacts'!Q22</f>
        <v>-91614.440872499996</v>
      </c>
      <c r="P23" s="224">
        <f t="shared" si="2"/>
        <v>-4.8298793336084118E-2</v>
      </c>
      <c r="Q23" s="326"/>
      <c r="R23" s="336">
        <f t="shared" si="3"/>
        <v>-115226.53753531659</v>
      </c>
      <c r="S23" s="224">
        <f t="shared" si="4"/>
        <v>-6.074700309524389E-2</v>
      </c>
      <c r="T23" s="326"/>
      <c r="U23" s="336">
        <f t="shared" si="5"/>
        <v>1781600.1644281603</v>
      </c>
      <c r="V23" s="339">
        <f t="shared" si="6"/>
        <v>-115226.53753531654</v>
      </c>
      <c r="W23" s="224">
        <f t="shared" si="7"/>
        <v>-6.0747003095243869E-2</v>
      </c>
      <c r="X23" s="327"/>
      <c r="Y23" s="308"/>
    </row>
    <row r="24" spans="2:27" x14ac:dyDescent="0.25">
      <c r="B24" t="s">
        <v>6</v>
      </c>
      <c r="D24" s="16">
        <f>SUM(D11:D23)</f>
        <v>821984136.72649479</v>
      </c>
      <c r="F24" s="318">
        <f>SUM(F11:F23)</f>
        <v>70892589.734169558</v>
      </c>
      <c r="G24" s="225">
        <f t="shared" si="8"/>
        <v>8.6245690843250664E-2</v>
      </c>
      <c r="H24" s="325"/>
      <c r="I24" s="318">
        <f>SUM(I11:I23)</f>
        <v>-27748296.343576133</v>
      </c>
      <c r="J24" s="225">
        <f t="shared" si="0"/>
        <v>-3.375770298205772E-2</v>
      </c>
      <c r="K24" s="307"/>
      <c r="L24" s="318">
        <f>SUM(L11:L23)</f>
        <v>11662.625379653648</v>
      </c>
      <c r="M24" s="225">
        <f t="shared" si="1"/>
        <v>1.4188382547258626E-5</v>
      </c>
      <c r="N24" s="307"/>
      <c r="O24" s="318">
        <f>SUM(O11:O23)</f>
        <v>-10620091.678408891</v>
      </c>
      <c r="P24" s="225">
        <f t="shared" si="2"/>
        <v>-1.2920068896588205E-2</v>
      </c>
      <c r="Q24" s="307"/>
      <c r="R24" s="318">
        <f>SUM(R11:R23)</f>
        <v>-38356725.39660538</v>
      </c>
      <c r="S24" s="225">
        <f>R24/$D24</f>
        <v>-4.6663583496098678E-2</v>
      </c>
      <c r="T24" s="307"/>
      <c r="U24" s="318">
        <f>SUM(U11:U23)</f>
        <v>854520001.06405902</v>
      </c>
      <c r="V24" s="318">
        <f>SUM(V11:V23)</f>
        <v>32535864.337564226</v>
      </c>
      <c r="W24" s="225">
        <f t="shared" si="7"/>
        <v>3.9582107347152055E-2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-174501.16999999984</v>
      </c>
      <c r="G26" s="224">
        <f t="shared" si="8"/>
        <v>-3.1035251726110411E-2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0</v>
      </c>
      <c r="M26" s="224">
        <f t="shared" si="1"/>
        <v>0</v>
      </c>
      <c r="N26" s="326"/>
      <c r="O26" s="317"/>
      <c r="P26" s="224">
        <f>O26/$D26</f>
        <v>0</v>
      </c>
      <c r="Q26" s="229"/>
      <c r="R26" s="336">
        <f t="shared" ref="R26" si="9">SUM(I26,L26,O26)</f>
        <v>-227387.04999999987</v>
      </c>
      <c r="S26" s="224">
        <f>R26/$D26</f>
        <v>-4.0441071747585745E-2</v>
      </c>
      <c r="T26" s="229"/>
      <c r="U26" s="336">
        <f>SUM(D26,F26,I26,L26,O26)</f>
        <v>5220787.9399999995</v>
      </c>
      <c r="V26" s="339">
        <f>U26-D26</f>
        <v>-401888.21999999974</v>
      </c>
      <c r="W26" s="224">
        <f t="shared" si="7"/>
        <v>-7.147632347369616E-2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827606812.88649476</v>
      </c>
      <c r="E27" s="197"/>
      <c r="F27" s="320">
        <f>F24+F26</f>
        <v>70718088.564169556</v>
      </c>
      <c r="G27" s="225">
        <f t="shared" si="8"/>
        <v>8.544889609780007E-2</v>
      </c>
      <c r="H27" s="38"/>
      <c r="I27" s="320">
        <f>I24+I26</f>
        <v>-27975683.393576134</v>
      </c>
      <c r="J27" s="225">
        <f t="shared" si="0"/>
        <v>-3.3803109106851886E-2</v>
      </c>
      <c r="K27" s="19"/>
      <c r="L27" s="320">
        <f>L24+L26</f>
        <v>11662.625379653648</v>
      </c>
      <c r="M27" s="225">
        <f t="shared" si="1"/>
        <v>1.4091988125348071E-5</v>
      </c>
      <c r="N27" s="19"/>
      <c r="O27" s="320">
        <f>O24+O26</f>
        <v>-10620091.678408891</v>
      </c>
      <c r="P27" s="225">
        <f t="shared" si="2"/>
        <v>-1.2832291268082423E-2</v>
      </c>
      <c r="Q27" s="19"/>
      <c r="R27" s="320">
        <f>R24+R26</f>
        <v>-38584112.446605377</v>
      </c>
      <c r="S27" s="225">
        <f t="shared" ref="S27" si="10">R27/$D27</f>
        <v>-4.6621308386808967E-2</v>
      </c>
      <c r="T27" s="19"/>
      <c r="U27" s="320">
        <f>U24+U26</f>
        <v>859740789.00405908</v>
      </c>
      <c r="V27" s="320">
        <f>V24+V26</f>
        <v>32133976.117564227</v>
      </c>
      <c r="W27" s="225">
        <f>V27/$D27</f>
        <v>3.8827587710991165E-2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566399789.98122251</v>
      </c>
      <c r="E31" s="197"/>
      <c r="F31" s="35">
        <f>F11+F12</f>
        <v>46412522.071668051</v>
      </c>
      <c r="G31" s="224">
        <f t="shared" ref="G31:G38" si="11">F31/$D31</f>
        <v>8.1943042516323561E-2</v>
      </c>
      <c r="H31" s="38"/>
      <c r="I31" s="35">
        <f>I11+I12</f>
        <v>-19327237.916809451</v>
      </c>
      <c r="J31" s="224">
        <f t="shared" ref="J31:J38" si="12">I31/$D31</f>
        <v>-3.4122960952104507E-2</v>
      </c>
      <c r="K31" s="39"/>
      <c r="L31" s="35">
        <f>L11+L12</f>
        <v>0</v>
      </c>
      <c r="M31" s="224">
        <f t="shared" ref="M31:M38" si="13">L31/$D31</f>
        <v>0</v>
      </c>
      <c r="N31" s="195"/>
      <c r="O31" s="35">
        <f>O11+O12</f>
        <v>-6879257.7137757204</v>
      </c>
      <c r="P31" s="224">
        <f t="shared" ref="P31:P38" si="14">O31/$D31</f>
        <v>-1.2145586625312456E-2</v>
      </c>
      <c r="Q31" s="39"/>
      <c r="R31" s="35">
        <f>R11+R12</f>
        <v>-26206495.630585168</v>
      </c>
      <c r="S31" s="224">
        <f t="shared" ref="S31:S32" si="15">R31/$D31</f>
        <v>-4.6268547577416962E-2</v>
      </c>
      <c r="T31" s="39"/>
      <c r="U31" s="35">
        <f>U11+U12</f>
        <v>586605816.42230546</v>
      </c>
      <c r="V31" s="35">
        <f>V11+V12</f>
        <v>20206026.441082913</v>
      </c>
      <c r="W31" s="224">
        <f t="shared" ref="W31:W38" si="16">V31/$D31</f>
        <v>3.5674494938906655E-2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180413434.26187652</v>
      </c>
      <c r="E32" s="37"/>
      <c r="F32" s="35">
        <f>F13+F18</f>
        <v>20685213.829999994</v>
      </c>
      <c r="G32" s="224">
        <f t="shared" si="11"/>
        <v>0.11465450959696644</v>
      </c>
      <c r="H32" s="38"/>
      <c r="I32" s="35">
        <f>I13+I18</f>
        <v>-6111754.4347072653</v>
      </c>
      <c r="J32" s="224">
        <f t="shared" si="12"/>
        <v>-3.3876382098219117E-2</v>
      </c>
      <c r="K32" s="39"/>
      <c r="L32" s="35">
        <f>L13+L18</f>
        <v>0</v>
      </c>
      <c r="M32" s="224">
        <f t="shared" si="13"/>
        <v>0</v>
      </c>
      <c r="N32" s="195"/>
      <c r="O32" s="35">
        <f>O13+O18</f>
        <v>-2527170.7257094407</v>
      </c>
      <c r="P32" s="224">
        <f t="shared" si="14"/>
        <v>-1.4007663764335656E-2</v>
      </c>
      <c r="Q32" s="39"/>
      <c r="R32" s="35">
        <f>R13+R18</f>
        <v>-8638925.1604167074</v>
      </c>
      <c r="S32" s="224">
        <f t="shared" si="15"/>
        <v>-4.7884045862554778E-2</v>
      </c>
      <c r="T32" s="39"/>
      <c r="U32" s="35">
        <f t="shared" ref="U32:V36" si="17">U13+U18</f>
        <v>192459722.93145981</v>
      </c>
      <c r="V32" s="35">
        <f t="shared" si="17"/>
        <v>12046288.669583285</v>
      </c>
      <c r="W32" s="224">
        <f t="shared" si="16"/>
        <v>6.6770463734411645E-2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42205084.803243972</v>
      </c>
      <c r="E33" s="197"/>
      <c r="F33" s="35">
        <f>F14+F19</f>
        <v>1438031.3123698467</v>
      </c>
      <c r="G33" s="224">
        <f t="shared" si="11"/>
        <v>3.4072465890634028E-2</v>
      </c>
      <c r="H33" s="38"/>
      <c r="I33" s="35">
        <f>I14+I19</f>
        <v>-1407692.5249622802</v>
      </c>
      <c r="J33" s="224">
        <f t="shared" si="12"/>
        <v>-3.3353623894485859E-2</v>
      </c>
      <c r="K33" s="39"/>
      <c r="L33" s="35">
        <f>L14+L19</f>
        <v>0</v>
      </c>
      <c r="M33" s="224">
        <f t="shared" si="13"/>
        <v>0</v>
      </c>
      <c r="N33" s="195"/>
      <c r="O33" s="35">
        <f>O14+O19</f>
        <v>-535634.54724316008</v>
      </c>
      <c r="P33" s="224">
        <f>O33/$D33</f>
        <v>-1.2691232578733974E-2</v>
      </c>
      <c r="Q33" s="39"/>
      <c r="R33" s="35">
        <f>R14+R19</f>
        <v>-1943327.0722054401</v>
      </c>
      <c r="S33" s="224">
        <f>R33/$D33</f>
        <v>-4.6044856473219833E-2</v>
      </c>
      <c r="T33" s="39"/>
      <c r="U33" s="35">
        <f t="shared" si="17"/>
        <v>41699789.043408372</v>
      </c>
      <c r="V33" s="35">
        <f t="shared" si="17"/>
        <v>-505295.75983559899</v>
      </c>
      <c r="W33" s="224">
        <f t="shared" si="16"/>
        <v>-1.1972390582585937E-2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14165607.935241245</v>
      </c>
      <c r="E34" s="197"/>
      <c r="F34" s="35">
        <f>F15+F20</f>
        <v>1257131.0501316802</v>
      </c>
      <c r="G34" s="224">
        <f t="shared" si="11"/>
        <v>8.874529465157549E-2</v>
      </c>
      <c r="H34" s="38"/>
      <c r="I34" s="35">
        <f>I15+I20</f>
        <v>-451470.77413635672</v>
      </c>
      <c r="J34" s="224">
        <f t="shared" si="12"/>
        <v>-3.1870907072981056E-2</v>
      </c>
      <c r="K34" s="39"/>
      <c r="L34" s="35">
        <f>L15+L20</f>
        <v>0</v>
      </c>
      <c r="M34" s="224">
        <f t="shared" si="13"/>
        <v>0</v>
      </c>
      <c r="N34" s="195"/>
      <c r="O34" s="35">
        <f>O15+O20</f>
        <v>-299952.71888884</v>
      </c>
      <c r="P34" s="224">
        <f t="shared" si="14"/>
        <v>-2.1174715568868505E-2</v>
      </c>
      <c r="Q34" s="39"/>
      <c r="R34" s="35">
        <f>R15+R20</f>
        <v>-751423.49302519672</v>
      </c>
      <c r="S34" s="224">
        <f t="shared" ref="S34:S38" si="18">R34/$D34</f>
        <v>-5.3045622641849553E-2</v>
      </c>
      <c r="T34" s="39"/>
      <c r="U34" s="35">
        <f t="shared" si="17"/>
        <v>14671315.49234773</v>
      </c>
      <c r="V34" s="35">
        <f t="shared" si="17"/>
        <v>505707.55710648559</v>
      </c>
      <c r="W34" s="224">
        <f t="shared" si="16"/>
        <v>3.5699672009726083E-2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4977823.7821439998</v>
      </c>
      <c r="E35" s="197"/>
      <c r="F35" s="35">
        <f>F16+F21</f>
        <v>76195.499999999971</v>
      </c>
      <c r="G35" s="224">
        <f t="shared" si="11"/>
        <v>1.5306990230012077E-2</v>
      </c>
      <c r="H35" s="38"/>
      <c r="I35" s="35">
        <f>I16+I21</f>
        <v>-155563.43529496543</v>
      </c>
      <c r="J35" s="224">
        <f t="shared" si="12"/>
        <v>-3.1251294160510167E-2</v>
      </c>
      <c r="K35" s="39"/>
      <c r="L35" s="35">
        <f>L16+L21</f>
        <v>0</v>
      </c>
      <c r="M35" s="224">
        <f t="shared" si="13"/>
        <v>0</v>
      </c>
      <c r="N35" s="195"/>
      <c r="O35" s="35">
        <f>O16+O21</f>
        <v>-37781.288513449996</v>
      </c>
      <c r="P35" s="224">
        <f t="shared" si="14"/>
        <v>-7.5899208503474192E-3</v>
      </c>
      <c r="Q35" s="39"/>
      <c r="R35" s="35">
        <f>R16+R21</f>
        <v>-193344.72380841544</v>
      </c>
      <c r="S35" s="224">
        <f t="shared" si="18"/>
        <v>-3.8841215010857591E-2</v>
      </c>
      <c r="T35" s="39"/>
      <c r="U35" s="35">
        <f t="shared" si="17"/>
        <v>4860674.5583355855</v>
      </c>
      <c r="V35" s="35">
        <f t="shared" si="17"/>
        <v>-117149.2238084149</v>
      </c>
      <c r="W35" s="224">
        <f t="shared" si="16"/>
        <v>-2.3534224780845402E-2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11925569.260803094</v>
      </c>
      <c r="E36" s="17"/>
      <c r="F36" s="35">
        <f>F17+F22</f>
        <v>1023495.97</v>
      </c>
      <c r="G36" s="224">
        <f t="shared" si="11"/>
        <v>8.5823657354791597E-2</v>
      </c>
      <c r="H36" s="38"/>
      <c r="I36" s="35">
        <f>I17+I22</f>
        <v>-259302.53562334692</v>
      </c>
      <c r="J36" s="224">
        <f t="shared" si="12"/>
        <v>-2.1743409471916893E-2</v>
      </c>
      <c r="K36" s="38"/>
      <c r="L36" s="35">
        <f>L17+L22</f>
        <v>0</v>
      </c>
      <c r="M36" s="224">
        <f t="shared" si="13"/>
        <v>0</v>
      </c>
      <c r="N36" s="195"/>
      <c r="O36" s="35">
        <f>O17+O22</f>
        <v>-248680.24340578</v>
      </c>
      <c r="P36" s="224">
        <f t="shared" si="14"/>
        <v>-2.0852693734557483E-2</v>
      </c>
      <c r="Q36" s="38"/>
      <c r="R36" s="35">
        <f>R17+R22</f>
        <v>-507982.77902912698</v>
      </c>
      <c r="S36" s="224">
        <f t="shared" si="18"/>
        <v>-4.2596103206474382E-2</v>
      </c>
      <c r="T36" s="38"/>
      <c r="U36" s="35">
        <f t="shared" si="17"/>
        <v>12441082.451773968</v>
      </c>
      <c r="V36" s="35">
        <f t="shared" si="17"/>
        <v>515513.19097087346</v>
      </c>
      <c r="W36" s="224">
        <f t="shared" si="16"/>
        <v>4.3227554148317249E-2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1896826.7019634768</v>
      </c>
      <c r="E37" s="17"/>
      <c r="F37" s="35">
        <f>F23</f>
        <v>0</v>
      </c>
      <c r="G37" s="224">
        <f t="shared" si="11"/>
        <v>0</v>
      </c>
      <c r="H37" s="38"/>
      <c r="I37" s="35">
        <f>I23</f>
        <v>-35274.722042470239</v>
      </c>
      <c r="J37" s="224">
        <f t="shared" si="12"/>
        <v>-1.8596702590677389E-2</v>
      </c>
      <c r="K37" s="38"/>
      <c r="L37" s="35">
        <f>L23</f>
        <v>11662.625379653648</v>
      </c>
      <c r="M37" s="224">
        <f t="shared" si="13"/>
        <v>6.1484928315176206E-3</v>
      </c>
      <c r="N37" s="195"/>
      <c r="O37" s="35">
        <f>O23</f>
        <v>-91614.440872499996</v>
      </c>
      <c r="P37" s="224">
        <f t="shared" si="14"/>
        <v>-4.8298793336084118E-2</v>
      </c>
      <c r="Q37" s="38"/>
      <c r="R37" s="35">
        <f>R23</f>
        <v>-115226.53753531659</v>
      </c>
      <c r="S37" s="224">
        <f t="shared" si="18"/>
        <v>-6.074700309524389E-2</v>
      </c>
      <c r="T37" s="38"/>
      <c r="U37" s="35">
        <f>U23</f>
        <v>1781600.1644281603</v>
      </c>
      <c r="V37" s="35">
        <f>V23</f>
        <v>-115226.53753531654</v>
      </c>
      <c r="W37" s="224">
        <f t="shared" si="16"/>
        <v>-6.0747003095243869E-2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821984136.72649467</v>
      </c>
      <c r="E38" s="17"/>
      <c r="F38" s="324">
        <f>SUM(F31:F37)</f>
        <v>70892589.734169573</v>
      </c>
      <c r="G38" s="225">
        <f t="shared" si="11"/>
        <v>8.6245690843250705E-2</v>
      </c>
      <c r="H38" s="38"/>
      <c r="I38" s="324">
        <f>SUM(I31:I37)</f>
        <v>-27748296.343576137</v>
      </c>
      <c r="J38" s="225">
        <f t="shared" si="12"/>
        <v>-3.3757702982057727E-2</v>
      </c>
      <c r="K38" s="38"/>
      <c r="L38" s="324">
        <f>SUM(L31:L37)</f>
        <v>11662.625379653648</v>
      </c>
      <c r="M38" s="225">
        <f t="shared" si="13"/>
        <v>1.418838254725863E-5</v>
      </c>
      <c r="N38" s="195"/>
      <c r="O38" s="324">
        <f>SUM(O31:O37)</f>
        <v>-10620091.678408889</v>
      </c>
      <c r="P38" s="225">
        <f t="shared" si="14"/>
        <v>-1.2920068896588203E-2</v>
      </c>
      <c r="Q38" s="38"/>
      <c r="R38" s="324">
        <f>SUM(R31:R37)</f>
        <v>-38356725.396605365</v>
      </c>
      <c r="S38" s="225">
        <f t="shared" si="18"/>
        <v>-4.6663583496098664E-2</v>
      </c>
      <c r="T38" s="38"/>
      <c r="U38" s="324">
        <f>SUM(U31:U37)</f>
        <v>854520001.06405902</v>
      </c>
      <c r="V38" s="324">
        <f>SUM(V31:V37)</f>
        <v>32535864.33756423</v>
      </c>
      <c r="W38" s="225">
        <f t="shared" si="16"/>
        <v>3.9582107347152062E-2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-174501.16999999984</v>
      </c>
      <c r="G40" s="224">
        <f t="shared" ref="G40:G41" si="19">F40/$D40</f>
        <v>-3.1035251726110411E-2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0</v>
      </c>
      <c r="M40" s="224">
        <f t="shared" ref="M40:M41" si="21">L40/$D40</f>
        <v>0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-227387.04999999987</v>
      </c>
      <c r="S40" s="224">
        <f t="shared" ref="S40:S41" si="23">R40/$D40</f>
        <v>-4.0441071747585745E-2</v>
      </c>
      <c r="T40" s="38"/>
      <c r="U40" s="323">
        <f>U26</f>
        <v>5220787.9399999995</v>
      </c>
      <c r="V40" s="323">
        <f>V26</f>
        <v>-401888.21999999974</v>
      </c>
      <c r="W40" s="224">
        <f t="shared" ref="W40:W41" si="24">V40/$D40</f>
        <v>-7.147632347369616E-2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827606812.88649464</v>
      </c>
      <c r="E41" s="197"/>
      <c r="F41" s="324">
        <f>F38+F40</f>
        <v>70718088.564169571</v>
      </c>
      <c r="G41" s="225">
        <f t="shared" si="19"/>
        <v>8.5448896097800098E-2</v>
      </c>
      <c r="H41" s="38"/>
      <c r="I41" s="324">
        <f>I38+I40</f>
        <v>-27975683.393576138</v>
      </c>
      <c r="J41" s="225">
        <f t="shared" si="20"/>
        <v>-3.3803109106851893E-2</v>
      </c>
      <c r="K41" s="38"/>
      <c r="L41" s="324">
        <f>L38+L40</f>
        <v>11662.625379653648</v>
      </c>
      <c r="M41" s="225">
        <f t="shared" si="21"/>
        <v>1.4091988125348073E-5</v>
      </c>
      <c r="N41" s="195"/>
      <c r="O41" s="324">
        <f>O38+O40</f>
        <v>-10620091.678408889</v>
      </c>
      <c r="P41" s="225">
        <f t="shared" si="22"/>
        <v>-1.2832291268082423E-2</v>
      </c>
      <c r="Q41" s="38"/>
      <c r="R41" s="324">
        <f>R38+R40</f>
        <v>-38584112.446605362</v>
      </c>
      <c r="S41" s="225">
        <f t="shared" si="23"/>
        <v>-4.6621308386808953E-2</v>
      </c>
      <c r="T41" s="38"/>
      <c r="U41" s="324">
        <f>U38+U40</f>
        <v>859740789.00405908</v>
      </c>
      <c r="V41" s="324">
        <f>V38+V40</f>
        <v>32133976.117564231</v>
      </c>
      <c r="W41" s="225">
        <f t="shared" si="24"/>
        <v>3.8827587710991172E-2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/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422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566391395.85856187</v>
      </c>
      <c r="Q10" s="155">
        <f>'Schedule 149 Revenue'!$G$8</f>
        <v>-6879152.9663698804</v>
      </c>
      <c r="R10" s="224">
        <f>Q10/P10</f>
        <v>-1.2145581689040574E-2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180390543.95671842</v>
      </c>
      <c r="Q12" s="155">
        <f>'Schedule 149 Revenue'!$G$10</f>
        <v>-2526828.0251846407</v>
      </c>
      <c r="R12" s="224">
        <f t="shared" si="1"/>
        <v>-1.4007541469529075E-2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37710366.547654875</v>
      </c>
      <c r="Q13" s="155">
        <f>'Schedule 149 Revenue'!$G$11</f>
        <v>-407396.71755076008</v>
      </c>
      <c r="R13" s="224">
        <f t="shared" si="1"/>
        <v>-1.0803308343235798E-2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6463368.2911968278</v>
      </c>
      <c r="Q14" s="155">
        <f>'Schedule 149 Revenue'!$G$12</f>
        <v>-52258.275213740002</v>
      </c>
      <c r="R14" s="224">
        <f t="shared" si="1"/>
        <v>-8.0853005521774601E-3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4901247.2836130001</v>
      </c>
      <c r="Q15" s="155">
        <f>'Schedule 149 Revenue'!$G$13</f>
        <v>-36323.442690949996</v>
      </c>
      <c r="R15" s="224">
        <f t="shared" si="1"/>
        <v>-7.411061019588841E-3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7844353.5704910355</v>
      </c>
      <c r="Q16" s="155">
        <f>'Schedule 149 Revenue'!$G$14</f>
        <v>-46221.081791180004</v>
      </c>
      <c r="R16" s="224">
        <f t="shared" si="1"/>
        <v>-5.8922741530997424E-3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22890.305158099989</v>
      </c>
      <c r="Q17" s="155">
        <f>'Schedule 149 Revenue'!$G$15</f>
        <v>-342.70052480000004</v>
      </c>
      <c r="R17" s="224">
        <f t="shared" si="1"/>
        <v>-1.4971426655652586E-2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4494718.2555890949</v>
      </c>
      <c r="Q18" s="155">
        <f>'Schedule 149 Revenue'!$G$16</f>
        <v>-128237.8296924</v>
      </c>
      <c r="R18" s="224">
        <f t="shared" si="1"/>
        <v>-2.8530782665395934E-2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7702239.644044417</v>
      </c>
      <c r="Q19" s="155">
        <f>'Schedule 149 Revenue'!$G$17</f>
        <v>-247694.44367510002</v>
      </c>
      <c r="R19" s="224">
        <f t="shared" si="1"/>
        <v>-3.215875578042085E-2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4081215.6903120587</v>
      </c>
      <c r="Q21" s="155">
        <f>'Schedule 149 Revenue'!$G$19</f>
        <v>-202459.16161459999</v>
      </c>
      <c r="R21" s="224">
        <f t="shared" si="1"/>
        <v>-4.9607562299438163E-2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1896826.7019634768</v>
      </c>
      <c r="Q22" s="155">
        <f>'Schedule 149 Revenue'!$G$20</f>
        <v>-91614.440872499996</v>
      </c>
      <c r="R22" s="224">
        <f t="shared" si="1"/>
        <v>-4.8298793336084118E-2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-10620091.678408891</v>
      </c>
      <c r="R23" s="225">
        <f t="shared" si="1"/>
        <v>-1.2920068896588205E-2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-10620091.678408891</v>
      </c>
      <c r="R26" s="225">
        <f>Q26/P26</f>
        <v>-1.2832291268082423E-2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-6879257.7137757204</v>
      </c>
      <c r="R30" s="224">
        <f t="shared" ref="R30:R37" si="6">Q30/P30</f>
        <v>-1.2145586625312456E-2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-2527170.7257094407</v>
      </c>
      <c r="R31" s="224">
        <f t="shared" si="6"/>
        <v>-1.4007663764335656E-2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-535634.54724316008</v>
      </c>
      <c r="R32" s="224">
        <f t="shared" si="6"/>
        <v>-1.2691232578733974E-2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-299952.71888884</v>
      </c>
      <c r="R33" s="224">
        <f t="shared" si="6"/>
        <v>-2.1174715568868505E-2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-37781.288513449996</v>
      </c>
      <c r="R34" s="224">
        <f t="shared" si="6"/>
        <v>-7.5899208503474192E-3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-248680.24340578</v>
      </c>
      <c r="R35" s="224">
        <f t="shared" si="6"/>
        <v>-2.0852693734557483E-2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-91614.440872499996</v>
      </c>
      <c r="R36" s="224">
        <f t="shared" si="6"/>
        <v>-4.8298793336084118E-2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-10620091.678408889</v>
      </c>
      <c r="R37" s="225">
        <f t="shared" si="6"/>
        <v>-1.2920068896588203E-2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-10620091.678408889</v>
      </c>
      <c r="R40" s="225">
        <f>Q40/P40</f>
        <v>-1.2832291268082423E-2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selection sqref="A1:H1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8" x14ac:dyDescent="0.25">
      <c r="A2" s="465" t="s">
        <v>369</v>
      </c>
      <c r="B2" s="465"/>
      <c r="C2" s="465"/>
      <c r="D2" s="465"/>
      <c r="E2" s="465"/>
      <c r="F2" s="465"/>
      <c r="G2" s="465"/>
      <c r="H2" s="465"/>
    </row>
    <row r="3" spans="1:8" x14ac:dyDescent="0.25">
      <c r="A3" s="466" t="s">
        <v>390</v>
      </c>
      <c r="B3" s="467"/>
      <c r="C3" s="467"/>
      <c r="D3" s="467"/>
      <c r="E3" s="467"/>
      <c r="F3" s="467"/>
      <c r="G3" s="467"/>
      <c r="H3" s="46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workbookViewId="0">
      <selection sqref="A1:H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8" x14ac:dyDescent="0.25">
      <c r="A2" s="465" t="s">
        <v>337</v>
      </c>
      <c r="B2" s="465"/>
      <c r="C2" s="465"/>
      <c r="D2" s="465"/>
      <c r="E2" s="465"/>
      <c r="F2" s="465"/>
      <c r="G2" s="465"/>
      <c r="H2" s="465"/>
    </row>
    <row r="3" spans="1:8" x14ac:dyDescent="0.25">
      <c r="A3" s="465" t="s">
        <v>390</v>
      </c>
      <c r="B3" s="465"/>
      <c r="C3" s="465"/>
      <c r="D3" s="465"/>
      <c r="E3" s="465"/>
      <c r="F3" s="465"/>
      <c r="G3" s="465"/>
      <c r="H3" s="465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workbookViewId="0">
      <selection sqref="A1:I1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465"/>
      <c r="J1" s="74"/>
    </row>
    <row r="2" spans="1:10" ht="15" customHeight="1" x14ac:dyDescent="0.2">
      <c r="A2" s="465" t="s">
        <v>338</v>
      </c>
      <c r="B2" s="465"/>
      <c r="C2" s="465"/>
      <c r="D2" s="465"/>
      <c r="E2" s="465"/>
      <c r="F2" s="465"/>
      <c r="G2" s="465"/>
      <c r="H2" s="465"/>
      <c r="I2" s="465"/>
      <c r="J2" s="74"/>
    </row>
    <row r="3" spans="1:10" ht="15" customHeight="1" x14ac:dyDescent="0.2">
      <c r="A3" s="465" t="s">
        <v>356</v>
      </c>
      <c r="B3" s="465"/>
      <c r="C3" s="465"/>
      <c r="D3" s="465"/>
      <c r="E3" s="465"/>
      <c r="F3" s="465"/>
      <c r="G3" s="465"/>
      <c r="H3" s="465"/>
      <c r="I3" s="465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68" t="s">
        <v>117</v>
      </c>
      <c r="B7" s="468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workbookViewId="0">
      <selection sqref="A1:H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465" t="s">
        <v>0</v>
      </c>
      <c r="B1" s="465"/>
      <c r="C1" s="465"/>
      <c r="D1" s="465"/>
      <c r="E1" s="465"/>
      <c r="F1" s="465"/>
      <c r="G1" s="465"/>
      <c r="H1" s="465"/>
    </row>
    <row r="2" spans="1:11" x14ac:dyDescent="0.25">
      <c r="A2" s="465" t="s">
        <v>339</v>
      </c>
      <c r="B2" s="465"/>
      <c r="C2" s="465"/>
      <c r="D2" s="465"/>
      <c r="E2" s="465"/>
      <c r="F2" s="465"/>
      <c r="G2" s="465"/>
      <c r="H2" s="465"/>
    </row>
    <row r="3" spans="1:11" x14ac:dyDescent="0.25">
      <c r="A3" s="465" t="s">
        <v>368</v>
      </c>
      <c r="B3" s="465"/>
      <c r="C3" s="465"/>
      <c r="D3" s="465"/>
      <c r="E3" s="465"/>
      <c r="F3" s="465"/>
      <c r="G3" s="465"/>
      <c r="H3" s="465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2.75" x14ac:dyDescent="0.2">
      <c r="A2" s="465" t="s">
        <v>341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2.75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workbookViewId="0">
      <selection activeCell="G9" sqref="G9:G139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454" t="s">
        <v>0</v>
      </c>
      <c r="B1" s="454"/>
      <c r="C1" s="454"/>
      <c r="D1" s="454"/>
      <c r="E1" s="454"/>
      <c r="F1" s="454"/>
      <c r="G1" s="454"/>
      <c r="H1" s="454"/>
    </row>
    <row r="2" spans="1:8" x14ac:dyDescent="0.25">
      <c r="A2" s="454" t="s">
        <v>348</v>
      </c>
      <c r="B2" s="454"/>
      <c r="C2" s="454"/>
      <c r="D2" s="454"/>
      <c r="E2" s="454"/>
      <c r="F2" s="454"/>
      <c r="G2" s="454"/>
      <c r="H2" s="454"/>
    </row>
    <row r="3" spans="1:8" x14ac:dyDescent="0.25">
      <c r="A3" s="454" t="s">
        <v>260</v>
      </c>
      <c r="B3" s="454"/>
      <c r="C3" s="454"/>
      <c r="D3" s="454"/>
      <c r="E3" s="454"/>
      <c r="F3" s="454"/>
      <c r="G3" s="454"/>
      <c r="H3" s="454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topLeftCell="A115" workbookViewId="0">
      <selection activeCell="F49" sqref="F49:F51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454" t="s">
        <v>0</v>
      </c>
      <c r="B1" s="454"/>
      <c r="C1" s="454"/>
      <c r="D1" s="454"/>
      <c r="E1" s="454"/>
      <c r="F1" s="454"/>
      <c r="G1" s="454"/>
      <c r="H1" s="454"/>
    </row>
    <row r="2" spans="1:8" x14ac:dyDescent="0.25">
      <c r="A2" s="454" t="s">
        <v>366</v>
      </c>
      <c r="B2" s="454"/>
      <c r="C2" s="454"/>
      <c r="D2" s="454"/>
      <c r="E2" s="454"/>
      <c r="F2" s="454"/>
      <c r="G2" s="454"/>
      <c r="H2" s="454"/>
    </row>
    <row r="3" spans="1:8" x14ac:dyDescent="0.25">
      <c r="A3" s="454" t="s">
        <v>260</v>
      </c>
      <c r="B3" s="454"/>
      <c r="C3" s="454"/>
      <c r="D3" s="454"/>
      <c r="E3" s="454"/>
      <c r="F3" s="454"/>
      <c r="G3" s="454"/>
      <c r="H3" s="454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f>E9</f>
        <v>-0.15000000000000036</v>
      </c>
      <c r="G9" s="192">
        <f>ROUND(E9*D9,2)</f>
        <v>-1410201.23</v>
      </c>
      <c r="H9" s="192">
        <f>(F9-E9)*D9</f>
        <v>0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1">
        <f>E10</f>
        <v>-4.7900000000000165E-3</v>
      </c>
      <c r="G10" s="192">
        <f t="shared" ref="G10:G73" si="0">ROUND(E10*D10,2)</f>
        <v>-2939441.5</v>
      </c>
      <c r="H10" s="192">
        <f t="shared" ref="H10:H73" si="1">(F10-E10)*D10</f>
        <v>0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f>E13</f>
        <v>-0.15000000000000036</v>
      </c>
      <c r="G13" s="192">
        <f t="shared" si="0"/>
        <v>-0.22</v>
      </c>
      <c r="H13" s="192">
        <f t="shared" si="1"/>
        <v>0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1">
        <f>E14</f>
        <v>-4.7900000000000165E-3</v>
      </c>
      <c r="G14" s="192">
        <f t="shared" si="0"/>
        <v>-0.31</v>
      </c>
      <c r="H14" s="192">
        <f t="shared" si="1"/>
        <v>0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f>E17</f>
        <v>-0.12999999999999901</v>
      </c>
      <c r="G17" s="192">
        <f t="shared" si="0"/>
        <v>-63.93</v>
      </c>
      <c r="H17" s="192">
        <f t="shared" si="1"/>
        <v>0</v>
      </c>
    </row>
    <row r="18" spans="1:8" x14ac:dyDescent="0.25">
      <c r="B18" s="191"/>
      <c r="C18" s="191"/>
      <c r="D18" s="209"/>
      <c r="E18" s="212"/>
      <c r="F18" s="311">
        <f>E18</f>
        <v>0</v>
      </c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f>E20</f>
        <v>-0.43999999999999773</v>
      </c>
      <c r="G20" s="192">
        <f t="shared" si="0"/>
        <v>-304742.73</v>
      </c>
      <c r="H20" s="192">
        <f t="shared" si="1"/>
        <v>0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1">
        <f>E21</f>
        <v>-4.060000000000008E-3</v>
      </c>
      <c r="G21" s="192">
        <f t="shared" si="0"/>
        <v>-942915.6</v>
      </c>
      <c r="H21" s="192">
        <f t="shared" si="1"/>
        <v>0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1">
        <f>E22</f>
        <v>-1.2000000000000031E-4</v>
      </c>
      <c r="G22" s="192">
        <f t="shared" si="0"/>
        <v>-27869.43</v>
      </c>
      <c r="H22" s="192">
        <f>(F22-E22)*D22</f>
        <v>0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f>E25</f>
        <v>-4.8700000000000045</v>
      </c>
      <c r="G25" s="192">
        <f t="shared" si="0"/>
        <v>-150.97</v>
      </c>
      <c r="H25" s="192">
        <f t="shared" si="1"/>
        <v>0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1">
        <f>E26</f>
        <v>-4.049999999999998E-3</v>
      </c>
      <c r="G26" s="192">
        <f t="shared" si="0"/>
        <v>-127.57</v>
      </c>
      <c r="H26" s="192">
        <f t="shared" si="1"/>
        <v>0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1">
        <f>E29</f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311">
        <f>E30</f>
        <v>0</v>
      </c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f>E32</f>
        <v>-1.3600000000000136</v>
      </c>
      <c r="G32" s="192">
        <f t="shared" si="0"/>
        <v>-21730.240000000002</v>
      </c>
      <c r="H32" s="192">
        <f t="shared" si="1"/>
        <v>0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f>E33</f>
        <v>-1.4799999999999898</v>
      </c>
      <c r="G33" s="192">
        <f t="shared" si="0"/>
        <v>-23647.61</v>
      </c>
      <c r="H33" s="192">
        <f t="shared" si="1"/>
        <v>0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f>E34</f>
        <v>-2.0000000000000018E-2</v>
      </c>
      <c r="G34" s="192">
        <f t="shared" si="0"/>
        <v>-89328.35</v>
      </c>
      <c r="H34" s="192">
        <f t="shared" si="1"/>
        <v>0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1">
        <f>E37</f>
        <v>-1.6500000000000126E-3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1">
        <f>E38</f>
        <v>-1.6500000000000126E-3</v>
      </c>
      <c r="G38" s="192">
        <f t="shared" si="0"/>
        <v>-48793.9</v>
      </c>
      <c r="H38" s="192">
        <f t="shared" si="1"/>
        <v>0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1">
        <f>E39</f>
        <v>-1.0599999999999915E-3</v>
      </c>
      <c r="G39" s="192">
        <f t="shared" si="0"/>
        <v>-23890.22</v>
      </c>
      <c r="H39" s="192">
        <f t="shared" si="1"/>
        <v>0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1">
        <f>E41</f>
        <v>-8.000000000000021E-5</v>
      </c>
      <c r="G41" s="192">
        <f t="shared" ref="G41" si="2">ROUND(E41*D41,2)</f>
        <v>-5239.83</v>
      </c>
      <c r="H41" s="192">
        <f t="shared" ref="H41" si="3">(F41-E41)*D41</f>
        <v>0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f t="shared" ref="F44:F46" si="4">E44</f>
        <v>-5.2599999999999909</v>
      </c>
      <c r="G44" s="192">
        <f t="shared" si="0"/>
        <v>-6487.35</v>
      </c>
      <c r="H44" s="192">
        <f t="shared" si="1"/>
        <v>0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f t="shared" si="4"/>
        <v>-1.4799999999999898</v>
      </c>
      <c r="G45" s="192">
        <f t="shared" si="0"/>
        <v>-1825.34</v>
      </c>
      <c r="H45" s="192">
        <f t="shared" si="1"/>
        <v>0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f t="shared" si="4"/>
        <v>-2.0000000000000018E-2</v>
      </c>
      <c r="G46" s="192">
        <f t="shared" si="0"/>
        <v>-23219.61</v>
      </c>
      <c r="H46" s="192">
        <f t="shared" si="1"/>
        <v>0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453">
        <f t="shared" ref="F49:F51" si="5">E49</f>
        <v>-1.6500000000000126E-3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453">
        <f t="shared" si="5"/>
        <v>-1.6500000000000126E-3</v>
      </c>
      <c r="G50" s="192">
        <f t="shared" si="0"/>
        <v>-7052.23</v>
      </c>
      <c r="H50" s="192">
        <f t="shared" si="1"/>
        <v>0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453">
        <f t="shared" si="5"/>
        <v>-1.1800000000000005E-3</v>
      </c>
      <c r="G51" s="192">
        <f t="shared" si="0"/>
        <v>-17951.53</v>
      </c>
      <c r="H51" s="192">
        <f t="shared" si="1"/>
        <v>0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f t="shared" ref="F54:F56" si="6">E54</f>
        <v>-7.4400000000000546</v>
      </c>
      <c r="G54" s="192">
        <f t="shared" si="0"/>
        <v>-2451.61</v>
      </c>
      <c r="H54" s="192">
        <f t="shared" si="1"/>
        <v>0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f t="shared" si="6"/>
        <v>-2.0000000000000018E-2</v>
      </c>
      <c r="G55" s="192">
        <f t="shared" si="0"/>
        <v>-1728.26</v>
      </c>
      <c r="H55" s="192">
        <f t="shared" si="1"/>
        <v>0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1">
        <f t="shared" si="6"/>
        <v>-1.0000000000000026E-4</v>
      </c>
      <c r="G56" s="192">
        <f t="shared" si="0"/>
        <v>-1578.8</v>
      </c>
      <c r="H56" s="192">
        <f t="shared" si="1"/>
        <v>0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1">
        <f t="shared" ref="F59:F61" si="7">E59</f>
        <v>-1.350000000000004E-3</v>
      </c>
      <c r="G59" s="192">
        <f t="shared" si="0"/>
        <v>-10283.790000000001</v>
      </c>
      <c r="H59" s="192">
        <f t="shared" si="1"/>
        <v>0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1">
        <f t="shared" si="7"/>
        <v>-6.6999999999999699E-4</v>
      </c>
      <c r="G60" s="192">
        <f t="shared" si="0"/>
        <v>-2694.26</v>
      </c>
      <c r="H60" s="192">
        <f t="shared" si="1"/>
        <v>0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1">
        <f t="shared" si="7"/>
        <v>-6.4000000000000168E-4</v>
      </c>
      <c r="G61" s="192">
        <f t="shared" si="0"/>
        <v>-2655.42</v>
      </c>
      <c r="H61" s="192">
        <f t="shared" si="1"/>
        <v>0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f t="shared" ref="F64:F65" si="8">E64</f>
        <v>-11.790000000000077</v>
      </c>
      <c r="G64" s="192">
        <f t="shared" si="0"/>
        <v>-14140.93</v>
      </c>
      <c r="H64" s="192">
        <f t="shared" si="1"/>
        <v>0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f t="shared" si="8"/>
        <v>-2.0000000000000018E-2</v>
      </c>
      <c r="G65" s="192">
        <f t="shared" si="0"/>
        <v>-13941.12</v>
      </c>
      <c r="H65" s="192">
        <f t="shared" si="1"/>
        <v>0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1">
        <f t="shared" ref="F68:F70" si="9">E68</f>
        <v>-1.3299999999999979E-3</v>
      </c>
      <c r="G68" s="192">
        <f t="shared" si="0"/>
        <v>-37403.67</v>
      </c>
      <c r="H68" s="192">
        <f t="shared" si="1"/>
        <v>0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1">
        <f t="shared" si="9"/>
        <v>-6.6000000000000086E-4</v>
      </c>
      <c r="G69" s="192">
        <f t="shared" si="0"/>
        <v>-12363.3</v>
      </c>
      <c r="H69" s="192">
        <f t="shared" si="1"/>
        <v>0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1">
        <f t="shared" si="9"/>
        <v>-6.2999999999999862E-4</v>
      </c>
      <c r="G70" s="192">
        <f t="shared" si="0"/>
        <v>-17625.400000000001</v>
      </c>
      <c r="H70" s="192">
        <f t="shared" si="1"/>
        <v>0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f t="shared" ref="F73:F75" si="10">E73</f>
        <v>-1.9200000000000159</v>
      </c>
      <c r="G73" s="192">
        <f t="shared" si="0"/>
        <v>-5110.1899999999996</v>
      </c>
      <c r="H73" s="192">
        <f t="shared" si="1"/>
        <v>0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f t="shared" si="10"/>
        <v>-2.0000000000000018E-2</v>
      </c>
      <c r="G74" s="192">
        <f t="shared" ref="G74:G137" si="11">ROUND(E74*D74,2)</f>
        <v>-1648.03</v>
      </c>
      <c r="H74" s="192">
        <f t="shared" ref="H74:H137" si="12">(F74-E74)*D74</f>
        <v>0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1">
        <f t="shared" si="10"/>
        <v>-1.2999999999999991E-4</v>
      </c>
      <c r="G75" s="192">
        <f t="shared" si="11"/>
        <v>-1137.8399999999999</v>
      </c>
      <c r="H75" s="192">
        <f t="shared" si="12"/>
        <v>0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1">
        <f t="shared" ref="F78:F79" si="13">E78</f>
        <v>-2.6599999999999957E-3</v>
      </c>
      <c r="G78" s="192">
        <f t="shared" si="11"/>
        <v>-5464.31</v>
      </c>
      <c r="H78" s="192">
        <f t="shared" si="12"/>
        <v>0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1">
        <f t="shared" si="13"/>
        <v>-1.8900000000000028E-3</v>
      </c>
      <c r="G79" s="192">
        <f t="shared" si="11"/>
        <v>-12659.95</v>
      </c>
      <c r="H79" s="192">
        <f t="shared" si="12"/>
        <v>0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f t="shared" ref="F82:F83" si="14">E82</f>
        <v>-6.6999999999999886</v>
      </c>
      <c r="G82" s="192">
        <f t="shared" si="11"/>
        <v>-147.62</v>
      </c>
      <c r="H82" s="192">
        <f t="shared" si="12"/>
        <v>0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f t="shared" si="14"/>
        <v>-2.0000000000000018E-2</v>
      </c>
      <c r="G83" s="192">
        <f t="shared" si="11"/>
        <v>-195</v>
      </c>
      <c r="H83" s="192">
        <f t="shared" si="12"/>
        <v>0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1">
        <f t="shared" ref="F87:F88" si="15">E87</f>
        <v>-2.9099999999999959E-3</v>
      </c>
      <c r="G87" s="192">
        <f t="shared" si="11"/>
        <v>-66.959999999999994</v>
      </c>
      <c r="H87" s="192">
        <f t="shared" si="12"/>
        <v>0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1">
        <f t="shared" si="15"/>
        <v>-2.0600000000000063E-3</v>
      </c>
      <c r="G88" s="192">
        <f t="shared" si="11"/>
        <v>-676.25</v>
      </c>
      <c r="H88" s="192">
        <f t="shared" si="12"/>
        <v>0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f t="shared" ref="F91:F93" si="16">E91</f>
        <v>-7.9800000000000182</v>
      </c>
      <c r="G91" s="192">
        <f t="shared" si="11"/>
        <v>-479</v>
      </c>
      <c r="H91" s="192">
        <f t="shared" si="12"/>
        <v>0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f t="shared" si="16"/>
        <v>-1.9999999999999796E-2</v>
      </c>
      <c r="G92" s="192">
        <f t="shared" si="11"/>
        <v>0</v>
      </c>
      <c r="H92" s="192">
        <f t="shared" si="12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1">
        <f t="shared" si="16"/>
        <v>-8.9999999999999802E-5</v>
      </c>
      <c r="G93" s="192">
        <f t="shared" si="11"/>
        <v>-2059.36</v>
      </c>
      <c r="H93" s="192">
        <f t="shared" si="12"/>
        <v>0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1">
        <f t="shared" ref="F96:F101" si="17">E96</f>
        <v>-1.9899999999999918E-3</v>
      </c>
      <c r="G96" s="192">
        <f t="shared" si="11"/>
        <v>-2986.24</v>
      </c>
      <c r="H96" s="192">
        <f t="shared" si="12"/>
        <v>0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1">
        <f t="shared" si="17"/>
        <v>-1.1999999999999927E-3</v>
      </c>
      <c r="G97" s="192">
        <f t="shared" si="11"/>
        <v>-1765.01</v>
      </c>
      <c r="H97" s="192">
        <f t="shared" si="12"/>
        <v>0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1">
        <f t="shared" si="17"/>
        <v>-7.6999999999999985E-4</v>
      </c>
      <c r="G98" s="192">
        <f t="shared" si="11"/>
        <v>-2004.66</v>
      </c>
      <c r="H98" s="192">
        <f t="shared" si="12"/>
        <v>0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1">
        <f t="shared" si="17"/>
        <v>-4.8999999999999738E-4</v>
      </c>
      <c r="G99" s="192">
        <f t="shared" si="11"/>
        <v>-1566.59</v>
      </c>
      <c r="H99" s="192">
        <f t="shared" si="12"/>
        <v>0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1">
        <f t="shared" si="17"/>
        <v>-3.4999999999999962E-4</v>
      </c>
      <c r="G100" s="192">
        <f t="shared" si="11"/>
        <v>-1308.7</v>
      </c>
      <c r="H100" s="192">
        <f t="shared" si="12"/>
        <v>0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1">
        <f t="shared" si="17"/>
        <v>-2.6999999999999941E-4</v>
      </c>
      <c r="G101" s="192">
        <f t="shared" si="11"/>
        <v>-2800.05</v>
      </c>
      <c r="H101" s="192">
        <f t="shared" si="12"/>
        <v>0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f t="shared" ref="F104:F105" si="18">E104</f>
        <v>-12.150000000000091</v>
      </c>
      <c r="G104" s="192">
        <f t="shared" si="11"/>
        <v>-1443.02</v>
      </c>
      <c r="H104" s="192">
        <f t="shared" si="12"/>
        <v>0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f t="shared" si="18"/>
        <v>-1.9999999999999796E-2</v>
      </c>
      <c r="G105" s="192">
        <f t="shared" si="11"/>
        <v>-6171.16</v>
      </c>
      <c r="H105" s="192">
        <f t="shared" si="12"/>
        <v>0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1">
        <f t="shared" ref="F109:F114" si="19">E109</f>
        <v>-1.8900000000000028E-3</v>
      </c>
      <c r="G109" s="192">
        <f t="shared" si="11"/>
        <v>-5670</v>
      </c>
      <c r="H109" s="192">
        <f t="shared" si="12"/>
        <v>0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1">
        <f t="shared" si="19"/>
        <v>-1.1400000000000021E-3</v>
      </c>
      <c r="G110" s="192">
        <f t="shared" si="11"/>
        <v>-3420</v>
      </c>
      <c r="H110" s="192">
        <f t="shared" si="12"/>
        <v>0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1">
        <f t="shared" si="19"/>
        <v>-7.3000000000000148E-4</v>
      </c>
      <c r="G111" s="192">
        <f t="shared" si="11"/>
        <v>-4368.1400000000003</v>
      </c>
      <c r="H111" s="192">
        <f t="shared" si="12"/>
        <v>0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1">
        <f t="shared" si="19"/>
        <v>-4.699999999999982E-4</v>
      </c>
      <c r="G112" s="192">
        <f t="shared" si="11"/>
        <v>-5516.63</v>
      </c>
      <c r="H112" s="192">
        <f t="shared" si="12"/>
        <v>0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1">
        <f t="shared" si="19"/>
        <v>-3.4000000000000002E-4</v>
      </c>
      <c r="G113" s="192">
        <f t="shared" si="11"/>
        <v>-8926.23</v>
      </c>
      <c r="H113" s="192">
        <f t="shared" si="12"/>
        <v>0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1">
        <f t="shared" si="19"/>
        <v>-2.5999999999999981E-4</v>
      </c>
      <c r="G114" s="192">
        <f t="shared" si="11"/>
        <v>-13065.63</v>
      </c>
      <c r="H114" s="192">
        <f t="shared" si="12"/>
        <v>0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f t="shared" ref="F117:F122" si="20">E117</f>
        <v>-0.10000000000000053</v>
      </c>
      <c r="G117" s="192">
        <f t="shared" si="11"/>
        <v>-1226.3</v>
      </c>
      <c r="H117" s="192">
        <f t="shared" si="12"/>
        <v>0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f t="shared" si="20"/>
        <v>-0.16999999999999993</v>
      </c>
      <c r="G118" s="192">
        <f t="shared" si="11"/>
        <v>-32434.639999999999</v>
      </c>
      <c r="H118" s="192">
        <f t="shared" si="12"/>
        <v>0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f t="shared" si="20"/>
        <v>-0.22999999999999687</v>
      </c>
      <c r="G119" s="192">
        <f t="shared" si="11"/>
        <v>-8282.5300000000007</v>
      </c>
      <c r="H119" s="192">
        <f t="shared" si="12"/>
        <v>0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f t="shared" si="20"/>
        <v>-0.23000000000000043</v>
      </c>
      <c r="G120" s="192">
        <f t="shared" si="11"/>
        <v>-1830.57</v>
      </c>
      <c r="H120" s="192">
        <f t="shared" si="12"/>
        <v>0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f t="shared" si="20"/>
        <v>-8.0000000000000071E-2</v>
      </c>
      <c r="G121" s="192">
        <f t="shared" si="11"/>
        <v>-3230.16</v>
      </c>
      <c r="H121" s="192">
        <f t="shared" si="12"/>
        <v>0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f t="shared" si="20"/>
        <v>-0.14000000000000057</v>
      </c>
      <c r="G122" s="192">
        <f t="shared" si="11"/>
        <v>-328.3</v>
      </c>
      <c r="H122" s="192">
        <f t="shared" si="12"/>
        <v>0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f t="shared" ref="F125:F131" si="21">E125</f>
        <v>-0.20000000000000107</v>
      </c>
      <c r="G125" s="192">
        <f t="shared" si="11"/>
        <v>-276.8</v>
      </c>
      <c r="H125" s="192">
        <f t="shared" si="12"/>
        <v>0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f t="shared" si="21"/>
        <v>-0.27000000000000313</v>
      </c>
      <c r="G126" s="192">
        <f t="shared" si="11"/>
        <v>-279.72000000000003</v>
      </c>
      <c r="H126" s="192">
        <f t="shared" si="12"/>
        <v>0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f t="shared" si="21"/>
        <v>-0.27000000000000313</v>
      </c>
      <c r="G127" s="192">
        <f t="shared" si="11"/>
        <v>-731.97</v>
      </c>
      <c r="H127" s="192">
        <f t="shared" si="12"/>
        <v>0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f t="shared" si="21"/>
        <v>-0.41999999999999815</v>
      </c>
      <c r="G128" s="192">
        <f t="shared" si="11"/>
        <v>-65.94</v>
      </c>
      <c r="H128" s="192">
        <f t="shared" si="12"/>
        <v>0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f t="shared" si="21"/>
        <v>-0.54999999999999716</v>
      </c>
      <c r="G129" s="192">
        <f t="shared" si="11"/>
        <v>-3650.9</v>
      </c>
      <c r="H129" s="192">
        <f t="shared" si="12"/>
        <v>0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f t="shared" si="21"/>
        <v>-0.74000000000000199</v>
      </c>
      <c r="G130" s="192">
        <f t="shared" si="11"/>
        <v>-3349.24</v>
      </c>
      <c r="H130" s="192">
        <f t="shared" si="12"/>
        <v>0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f t="shared" si="21"/>
        <v>-0.86000000000000654</v>
      </c>
      <c r="G131" s="192">
        <f t="shared" si="11"/>
        <v>-11316.74</v>
      </c>
      <c r="H131" s="192">
        <f t="shared" si="12"/>
        <v>0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f t="shared" ref="F134:F137" si="22">E134</f>
        <v>-0.14000000000000057</v>
      </c>
      <c r="G134" s="192">
        <f t="shared" si="11"/>
        <v>-1610.14</v>
      </c>
      <c r="H134" s="192">
        <f t="shared" si="12"/>
        <v>0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f t="shared" si="22"/>
        <v>-0.38000000000000256</v>
      </c>
      <c r="G135" s="192">
        <f t="shared" si="11"/>
        <v>-320.72000000000003</v>
      </c>
      <c r="H135" s="192">
        <f t="shared" si="12"/>
        <v>0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f t="shared" si="22"/>
        <v>-0.50999999999999801</v>
      </c>
      <c r="G136" s="192">
        <f t="shared" si="11"/>
        <v>-275.91000000000003</v>
      </c>
      <c r="H136" s="192">
        <f t="shared" si="12"/>
        <v>0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f t="shared" si="22"/>
        <v>-0.20999999999999908</v>
      </c>
      <c r="G137" s="192">
        <f t="shared" si="11"/>
        <v>-4033.05</v>
      </c>
      <c r="H137" s="192">
        <f t="shared" si="12"/>
        <v>0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2.75" x14ac:dyDescent="0.2">
      <c r="A2" s="465" t="s">
        <v>389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2.75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workbookViewId="0">
      <selection activeCell="S11" sqref="S11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5.140625" style="190" bestFit="1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456" t="s">
        <v>0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</row>
    <row r="2" spans="2:20" x14ac:dyDescent="0.25">
      <c r="B2" s="456" t="s">
        <v>395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</row>
    <row r="3" spans="2:20" x14ac:dyDescent="0.25">
      <c r="B3" s="454" t="s">
        <v>400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</row>
    <row r="4" spans="2:20" x14ac:dyDescent="0.25"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v>11.67</v>
      </c>
      <c r="H11" s="46">
        <f>G11</f>
        <v>11.67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v>11.67</v>
      </c>
      <c r="T11" s="46">
        <f>S11</f>
        <v>11.67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-0.15000000000000036</v>
      </c>
      <c r="N13" s="297">
        <f>M13</f>
        <v>-0.15000000000000036</v>
      </c>
      <c r="P13" s="56">
        <f>$D$13</f>
        <v>-0.15</v>
      </c>
      <c r="Q13" s="297">
        <f>P13</f>
        <v>-0.15</v>
      </c>
      <c r="S13" s="390">
        <f>'Schedule 141X Revenue'!$F$9</f>
        <v>-0.15000000000000036</v>
      </c>
      <c r="T13" s="297">
        <f>S13</f>
        <v>-0.15000000000000036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12.19</v>
      </c>
      <c r="H14" s="300">
        <f>SUM(H11:H13)</f>
        <v>12.19</v>
      </c>
      <c r="J14" s="300">
        <f>SUM(J11:J13)</f>
        <v>10.85</v>
      </c>
      <c r="K14" s="300">
        <f>SUM(K11:K13)</f>
        <v>10.85</v>
      </c>
      <c r="M14" s="300">
        <f>SUM(M11:M13)</f>
        <v>11.52</v>
      </c>
      <c r="N14" s="300">
        <f>SUM(N11:N13)</f>
        <v>11.52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v>0.41187000000000001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v>0.41187000000000001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-4.7900000000000165E-3</v>
      </c>
      <c r="N21" s="46"/>
      <c r="P21" s="52">
        <f>$D$21</f>
        <v>-4.79E-3</v>
      </c>
      <c r="Q21" s="46"/>
      <c r="S21" s="312">
        <f>'Schedule 141X Revenue'!$F$10</f>
        <v>-4.7900000000000165E-3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0.47621000000000002</v>
      </c>
      <c r="H25" s="46">
        <f>ROUND(G25*G$8,2)</f>
        <v>30.48</v>
      </c>
      <c r="J25" s="53">
        <f>SUM(J17:J24)</f>
        <v>0.38913999999999999</v>
      </c>
      <c r="K25" s="46">
        <f>ROUND(J25*J$8,2)</f>
        <v>24.9</v>
      </c>
      <c r="M25" s="53">
        <f>SUM(M17:M24)</f>
        <v>0.41037000000000001</v>
      </c>
      <c r="N25" s="46">
        <f>ROUND(M25*M$8,2)</f>
        <v>26.26</v>
      </c>
      <c r="P25" s="53">
        <f>SUM(P17:P24)</f>
        <v>0.39916000000000001</v>
      </c>
      <c r="Q25" s="46">
        <f>ROUND(P25*P$8,2)</f>
        <v>25.55</v>
      </c>
      <c r="S25" s="53">
        <f>SUM(S17:S24)</f>
        <v>0.44377</v>
      </c>
      <c r="T25" s="46">
        <f>ROUND(S25*S$8,2)</f>
        <v>28.4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0.81716</v>
      </c>
      <c r="H34" s="54">
        <f>SUM(H25,H27,H29,H33)</f>
        <v>52.3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0.75131999999999999</v>
      </c>
      <c r="N34" s="54">
        <f>SUM(N25,N27,N29,N33)</f>
        <v>48.08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0.78471999999999997</v>
      </c>
      <c r="T34" s="54">
        <f>SUM(T25,T27,T29,T33)</f>
        <v>50.22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64.489999999999995</v>
      </c>
      <c r="J36" s="50"/>
      <c r="K36" s="46">
        <f>K14+K34</f>
        <v>57.57</v>
      </c>
      <c r="M36" s="50"/>
      <c r="N36" s="46">
        <f>N14+N34</f>
        <v>59.599999999999994</v>
      </c>
      <c r="P36" s="50"/>
      <c r="Q36" s="46">
        <f>Q14+Q34</f>
        <v>58.89</v>
      </c>
      <c r="S36" s="50"/>
      <c r="T36" s="46">
        <f>T14+T34</f>
        <v>61.739999999999995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4.8900000000000006</v>
      </c>
      <c r="J37" s="50"/>
      <c r="K37" s="46">
        <f>K36-$E36</f>
        <v>-2.029999999999994</v>
      </c>
      <c r="M37" s="50"/>
      <c r="N37" s="46">
        <f>N36-$E36</f>
        <v>0</v>
      </c>
      <c r="P37" s="50"/>
      <c r="Q37" s="46">
        <f>Q36-$E36</f>
        <v>-0.70999999999999375</v>
      </c>
      <c r="S37" s="50"/>
      <c r="T37" s="46">
        <f>T36-$E36</f>
        <v>2.1400000000000006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8.2046979865771835E-2</v>
      </c>
      <c r="J38" s="57"/>
      <c r="K38" s="232">
        <f>K37/$E36</f>
        <v>-3.4060402684563659E-2</v>
      </c>
      <c r="M38" s="57"/>
      <c r="N38" s="232">
        <f>N37/$E36</f>
        <v>0</v>
      </c>
      <c r="P38" s="57"/>
      <c r="Q38" s="232">
        <f>Q37/$E36</f>
        <v>-1.1912751677852246E-2</v>
      </c>
      <c r="S38" s="57"/>
      <c r="T38" s="232">
        <f>T37/$E36</f>
        <v>3.5906040268456389E-2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0.49436000000000002</v>
      </c>
      <c r="J40" s="52">
        <f>J25+J27+J29</f>
        <v>0.40728999999999999</v>
      </c>
      <c r="M40" s="52">
        <f>M25+M27+M29</f>
        <v>0.42852000000000001</v>
      </c>
      <c r="P40" s="52">
        <f>P25+P27+P29</f>
        <v>0.41731000000000001</v>
      </c>
      <c r="S40" s="52">
        <f>S25+S27+S29</f>
        <v>0.46192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5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workbookViewId="0">
      <selection sqref="A1:H1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104"/>
    </row>
    <row r="2" spans="1:13" x14ac:dyDescent="0.2">
      <c r="A2" s="465" t="s">
        <v>344</v>
      </c>
      <c r="B2" s="465"/>
      <c r="C2" s="465"/>
      <c r="D2" s="465"/>
      <c r="E2" s="465"/>
      <c r="F2" s="465"/>
      <c r="G2" s="465"/>
      <c r="H2" s="465"/>
      <c r="I2" s="104"/>
    </row>
    <row r="3" spans="1:13" x14ac:dyDescent="0.2">
      <c r="A3" s="465" t="s">
        <v>390</v>
      </c>
      <c r="B3" s="465"/>
      <c r="C3" s="465"/>
      <c r="D3" s="465"/>
      <c r="E3" s="465"/>
      <c r="F3" s="465"/>
      <c r="G3" s="465"/>
      <c r="H3" s="465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workbookViewId="0">
      <selection sqref="A1:H1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104"/>
    </row>
    <row r="2" spans="1:13" x14ac:dyDescent="0.2">
      <c r="A2" s="465" t="s">
        <v>343</v>
      </c>
      <c r="B2" s="465"/>
      <c r="C2" s="465"/>
      <c r="D2" s="465"/>
      <c r="E2" s="465"/>
      <c r="F2" s="465"/>
      <c r="G2" s="465"/>
      <c r="H2" s="465"/>
      <c r="I2" s="104"/>
    </row>
    <row r="3" spans="1:13" x14ac:dyDescent="0.2">
      <c r="A3" s="465" t="s">
        <v>336</v>
      </c>
      <c r="B3" s="465"/>
      <c r="C3" s="465"/>
      <c r="D3" s="465"/>
      <c r="E3" s="465"/>
      <c r="F3" s="465"/>
      <c r="G3" s="465"/>
      <c r="H3" s="465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sqref="A1:H1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465" t="s">
        <v>0</v>
      </c>
      <c r="B1" s="465"/>
      <c r="C1" s="465"/>
      <c r="D1" s="465"/>
      <c r="E1" s="465"/>
      <c r="F1" s="465"/>
      <c r="G1" s="465"/>
      <c r="H1" s="465"/>
      <c r="I1" s="74"/>
    </row>
    <row r="2" spans="1:9" s="75" customFormat="1" ht="15" customHeight="1" x14ac:dyDescent="0.2">
      <c r="A2" s="465" t="s">
        <v>342</v>
      </c>
      <c r="B2" s="465"/>
      <c r="C2" s="465"/>
      <c r="D2" s="465"/>
      <c r="E2" s="465"/>
      <c r="F2" s="465"/>
      <c r="G2" s="465"/>
      <c r="H2" s="465"/>
      <c r="I2" s="74"/>
    </row>
    <row r="3" spans="1:9" s="75" customFormat="1" ht="15" customHeight="1" x14ac:dyDescent="0.2">
      <c r="A3" s="465" t="s">
        <v>260</v>
      </c>
      <c r="B3" s="465"/>
      <c r="C3" s="465"/>
      <c r="D3" s="465"/>
      <c r="E3" s="465"/>
      <c r="F3" s="465"/>
      <c r="G3" s="465"/>
      <c r="H3" s="465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workbookViewId="0"/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69" t="s">
        <v>0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</row>
    <row r="2" spans="2:18" x14ac:dyDescent="0.25">
      <c r="B2" s="470" t="s">
        <v>392</v>
      </c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</row>
    <row r="3" spans="2:18" x14ac:dyDescent="0.25">
      <c r="B3" s="470" t="s">
        <v>408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workbookViewId="0"/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workbookViewId="0"/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workbookViewId="0"/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workbookViewId="0"/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workbookViewId="0"/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N53"/>
  <sheetViews>
    <sheetView tabSelected="1" view="pageBreakPreview" zoomScale="60" zoomScaleNormal="90" workbookViewId="0">
      <selection activeCell="S39" sqref="S39"/>
    </sheetView>
  </sheetViews>
  <sheetFormatPr defaultColWidth="9.42578125" defaultRowHeight="15" x14ac:dyDescent="0.25"/>
  <cols>
    <col min="1" max="1" width="1.140625" style="393" customWidth="1"/>
    <col min="2" max="2" width="11" style="393" customWidth="1"/>
    <col min="3" max="3" width="1.42578125" style="393" customWidth="1"/>
    <col min="4" max="4" width="11" style="393" customWidth="1"/>
    <col min="5" max="5" width="1.42578125" style="393" customWidth="1"/>
    <col min="6" max="6" width="11" style="393" customWidth="1"/>
    <col min="7" max="7" width="1.42578125" style="393" customWidth="1"/>
    <col min="8" max="8" width="11" style="393" customWidth="1"/>
    <col min="9" max="9" width="1.42578125" style="393" customWidth="1"/>
    <col min="10" max="10" width="10.85546875" style="393" customWidth="1"/>
    <col min="11" max="11" width="1.42578125" style="393" customWidth="1"/>
    <col min="12" max="12" width="11" style="393" customWidth="1"/>
    <col min="13" max="13" width="9.42578125" style="393"/>
    <col min="14" max="14" width="41.28515625" style="393" bestFit="1" customWidth="1"/>
    <col min="15" max="15" width="14.42578125" style="393" bestFit="1" customWidth="1"/>
    <col min="16" max="16" width="1.5703125" style="393" bestFit="1" customWidth="1"/>
    <col min="17" max="17" width="15.7109375" style="393" bestFit="1" customWidth="1"/>
    <col min="18" max="18" width="1.5703125" style="393" bestFit="1" customWidth="1"/>
    <col min="19" max="19" width="8.5703125" style="393" bestFit="1" customWidth="1"/>
    <col min="20" max="20" width="5.140625" style="393" customWidth="1"/>
    <col min="21" max="21" width="9.42578125" style="393"/>
    <col min="22" max="22" width="11" style="393" customWidth="1"/>
    <col min="23" max="23" width="1.5703125" style="393" customWidth="1"/>
    <col min="24" max="24" width="11" style="393" customWidth="1"/>
    <col min="25" max="25" width="1.5703125" style="393" customWidth="1"/>
    <col min="26" max="26" width="11.140625" style="393" customWidth="1"/>
    <col min="27" max="27" width="1.5703125" style="393" customWidth="1"/>
    <col min="28" max="28" width="11" style="393" customWidth="1"/>
    <col min="29" max="29" width="1.5703125" style="393" customWidth="1"/>
    <col min="30" max="30" width="11" style="393" customWidth="1"/>
    <col min="31" max="31" width="1.5703125" style="393" customWidth="1"/>
    <col min="32" max="32" width="11" style="393" customWidth="1"/>
    <col min="33" max="33" width="9.42578125" style="393"/>
    <col min="34" max="34" width="41.28515625" style="393" bestFit="1" customWidth="1"/>
    <col min="35" max="35" width="14.42578125" style="393" bestFit="1" customWidth="1"/>
    <col min="36" max="36" width="1.5703125" style="393" bestFit="1" customWidth="1"/>
    <col min="37" max="37" width="15.7109375" style="393" bestFit="1" customWidth="1"/>
    <col min="38" max="38" width="1.5703125" style="393" bestFit="1" customWidth="1"/>
    <col min="39" max="39" width="8.5703125" style="393" bestFit="1" customWidth="1"/>
    <col min="40" max="40" width="5.140625" style="393" customWidth="1"/>
    <col min="41" max="16384" width="9.42578125" style="393"/>
  </cols>
  <sheetData>
    <row r="1" spans="1:40" ht="18.75" x14ac:dyDescent="0.3">
      <c r="B1" s="460" t="s">
        <v>443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V1" s="460" t="s">
        <v>0</v>
      </c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G1" s="460"/>
      <c r="AH1" s="460"/>
      <c r="AI1" s="460"/>
      <c r="AJ1" s="460"/>
      <c r="AK1" s="460"/>
    </row>
    <row r="2" spans="1:40" ht="18.75" x14ac:dyDescent="0.3">
      <c r="A2" s="394"/>
      <c r="B2" s="460" t="str">
        <f>V2</f>
        <v>Monthly Billing Comparison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T2" s="394"/>
      <c r="V2" s="460" t="s">
        <v>444</v>
      </c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N2" s="394"/>
    </row>
    <row r="3" spans="1:40" ht="18.75" x14ac:dyDescent="0.3">
      <c r="A3" s="394"/>
      <c r="B3" s="460" t="str">
        <f t="shared" ref="B3:B4" si="0">V3</f>
        <v>PSE 2019 GRC UE-190529 &amp; UG-190530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T3" s="394"/>
      <c r="V3" s="461" t="s">
        <v>445</v>
      </c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N3" s="394"/>
    </row>
    <row r="4" spans="1:40" ht="18.75" x14ac:dyDescent="0.3">
      <c r="A4" s="394"/>
      <c r="B4" s="460" t="str">
        <f t="shared" si="0"/>
        <v>Residential Gas Service - Schedule 23 (All Customers)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T4" s="394"/>
      <c r="V4" s="461" t="s">
        <v>470</v>
      </c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N4" s="394"/>
    </row>
    <row r="6" spans="1:40" x14ac:dyDescent="0.25">
      <c r="F6" s="462" t="s">
        <v>471</v>
      </c>
      <c r="G6" s="463"/>
      <c r="H6" s="463"/>
      <c r="I6" s="463"/>
      <c r="J6" s="463"/>
      <c r="K6" s="463"/>
      <c r="L6" s="463"/>
      <c r="M6" s="394"/>
      <c r="Z6" s="462" t="s">
        <v>471</v>
      </c>
      <c r="AA6" s="463"/>
      <c r="AB6" s="463"/>
      <c r="AC6" s="463"/>
      <c r="AD6" s="463"/>
      <c r="AE6" s="463"/>
      <c r="AF6" s="463"/>
      <c r="AG6" s="394"/>
    </row>
    <row r="7" spans="1:40" ht="15.75" thickBot="1" x14ac:dyDescent="0.3">
      <c r="D7" s="395" t="s">
        <v>446</v>
      </c>
      <c r="F7" s="396" t="s">
        <v>447</v>
      </c>
      <c r="G7" s="397"/>
      <c r="H7" s="397" t="s">
        <v>447</v>
      </c>
      <c r="J7" s="463" t="s">
        <v>24</v>
      </c>
      <c r="K7" s="463"/>
      <c r="L7" s="463"/>
      <c r="M7" s="397"/>
      <c r="X7" s="395" t="s">
        <v>446</v>
      </c>
      <c r="Z7" s="396" t="s">
        <v>447</v>
      </c>
      <c r="AA7" s="397"/>
      <c r="AB7" s="397" t="s">
        <v>447</v>
      </c>
      <c r="AD7" s="463" t="s">
        <v>24</v>
      </c>
      <c r="AE7" s="463"/>
      <c r="AF7" s="463"/>
      <c r="AG7" s="397"/>
    </row>
    <row r="8" spans="1:40" ht="18" x14ac:dyDescent="0.25">
      <c r="B8" s="398" t="str">
        <f>V8</f>
        <v>Therms</v>
      </c>
      <c r="D8" s="399" t="s">
        <v>448</v>
      </c>
      <c r="F8" s="399" t="s">
        <v>449</v>
      </c>
      <c r="G8" s="399"/>
      <c r="H8" s="399" t="s">
        <v>450</v>
      </c>
      <c r="I8" s="400" t="s">
        <v>447</v>
      </c>
      <c r="J8" s="398" t="s">
        <v>451</v>
      </c>
      <c r="L8" s="401" t="s">
        <v>446</v>
      </c>
      <c r="N8" s="402"/>
      <c r="O8" s="403" t="s">
        <v>452</v>
      </c>
      <c r="P8" s="404"/>
      <c r="Q8" s="405" t="s">
        <v>453</v>
      </c>
      <c r="S8" s="406"/>
      <c r="V8" s="398" t="s">
        <v>237</v>
      </c>
      <c r="X8" s="399" t="s">
        <v>448</v>
      </c>
      <c r="Z8" s="399" t="s">
        <v>449</v>
      </c>
      <c r="AA8" s="399"/>
      <c r="AB8" s="399" t="s">
        <v>450</v>
      </c>
      <c r="AC8" s="400" t="s">
        <v>447</v>
      </c>
      <c r="AD8" s="398" t="s">
        <v>451</v>
      </c>
      <c r="AF8" s="401" t="s">
        <v>446</v>
      </c>
      <c r="AH8" s="402"/>
      <c r="AI8" s="403" t="s">
        <v>452</v>
      </c>
      <c r="AJ8" s="404"/>
      <c r="AK8" s="405" t="s">
        <v>453</v>
      </c>
      <c r="AM8" s="406"/>
    </row>
    <row r="9" spans="1:40" x14ac:dyDescent="0.25">
      <c r="B9" s="407">
        <f>V9</f>
        <v>0</v>
      </c>
      <c r="D9" s="408">
        <f>X9</f>
        <v>2.1021346355502773E-2</v>
      </c>
      <c r="F9" s="409">
        <f>ROUND((($B9*O$11+$O$9)),2)</f>
        <v>11.52</v>
      </c>
      <c r="H9" s="409">
        <f>ROUND((($B9*Q$11+$Q$9)),2)</f>
        <v>11.52</v>
      </c>
      <c r="J9" s="409">
        <f t="shared" ref="J9:J30" si="1">H9-F9</f>
        <v>0</v>
      </c>
      <c r="L9" s="410">
        <f t="shared" ref="L9:L30" si="2">(H9-F9)/F9</f>
        <v>0</v>
      </c>
      <c r="N9" s="411" t="s">
        <v>472</v>
      </c>
      <c r="O9" s="412">
        <f>SUM(O17,O27,O29)</f>
        <v>11.52</v>
      </c>
      <c r="P9" s="413"/>
      <c r="Q9" s="414">
        <f>SUM(Q17,Q27,Q29)</f>
        <v>11.52</v>
      </c>
      <c r="R9" s="415"/>
      <c r="S9" s="406">
        <f>(Q9-O9)/O9</f>
        <v>0</v>
      </c>
      <c r="V9" s="407">
        <v>0</v>
      </c>
      <c r="X9" s="408">
        <v>2.1021346355502773E-2</v>
      </c>
      <c r="Z9" s="409">
        <f t="shared" ref="Z9:Z30" si="3">ROUND((($V9*AI$11+$AI$9)),2)</f>
        <v>11.52</v>
      </c>
      <c r="AB9" s="409">
        <f t="shared" ref="AB9:AB30" si="4">ROUND((($V9*AK$11+$AK$9)),2)</f>
        <v>11.52</v>
      </c>
      <c r="AD9" s="409">
        <f t="shared" ref="AD9:AD30" si="5">AB9-Z9</f>
        <v>0</v>
      </c>
      <c r="AF9" s="410">
        <f t="shared" ref="AF9:AF30" si="6">(AB9-Z9)/Z9</f>
        <v>0</v>
      </c>
      <c r="AH9" s="411" t="s">
        <v>472</v>
      </c>
      <c r="AI9" s="412">
        <f>SUM(AI17,AI27,AI29)</f>
        <v>11.52</v>
      </c>
      <c r="AJ9" s="413"/>
      <c r="AK9" s="414">
        <f>SUM(AK17,AK27,AK29)</f>
        <v>11.52</v>
      </c>
      <c r="AL9" s="415"/>
      <c r="AM9" s="406">
        <f>(AK9-AI9)/AI9</f>
        <v>0</v>
      </c>
    </row>
    <row r="10" spans="1:40" x14ac:dyDescent="0.25">
      <c r="B10" s="407">
        <f t="shared" ref="B10:B31" si="7">V10</f>
        <v>10</v>
      </c>
      <c r="D10" s="408">
        <f t="shared" ref="D10:D31" si="8">X10</f>
        <v>8.6355177871234201E-2</v>
      </c>
      <c r="F10" s="409">
        <f t="shared" ref="F10:F30" si="9">ROUND((($B10*O$11+$O$9)),2)</f>
        <v>19.03</v>
      </c>
      <c r="H10" s="409">
        <f t="shared" ref="H10:H30" si="10">ROUND((($B10*Q$11+$Q$9)),2)</f>
        <v>19.37</v>
      </c>
      <c r="J10" s="409">
        <f t="shared" si="1"/>
        <v>0.33999999999999986</v>
      </c>
      <c r="L10" s="410">
        <f t="shared" si="2"/>
        <v>1.7866526537046758E-2</v>
      </c>
      <c r="N10" s="411"/>
      <c r="O10" s="416"/>
      <c r="P10" s="413"/>
      <c r="Q10" s="417"/>
      <c r="S10" s="406"/>
      <c r="V10" s="407">
        <v>10</v>
      </c>
      <c r="X10" s="408">
        <v>8.6355177871234201E-2</v>
      </c>
      <c r="Z10" s="409">
        <f t="shared" si="3"/>
        <v>19.03</v>
      </c>
      <c r="AB10" s="409">
        <f t="shared" si="4"/>
        <v>19.420000000000002</v>
      </c>
      <c r="AD10" s="409">
        <f t="shared" si="5"/>
        <v>0.39000000000000057</v>
      </c>
      <c r="AF10" s="410">
        <f t="shared" si="6"/>
        <v>2.049395691014191E-2</v>
      </c>
      <c r="AH10" s="411"/>
      <c r="AI10" s="416"/>
      <c r="AJ10" s="413"/>
      <c r="AK10" s="417"/>
      <c r="AM10" s="406"/>
    </row>
    <row r="11" spans="1:40" x14ac:dyDescent="0.25">
      <c r="B11" s="444">
        <f t="shared" si="7"/>
        <v>20</v>
      </c>
      <c r="D11" s="445">
        <f t="shared" si="8"/>
        <v>0.14711230825025123</v>
      </c>
      <c r="F11" s="446">
        <f t="shared" si="9"/>
        <v>26.55</v>
      </c>
      <c r="H11" s="446">
        <f t="shared" si="10"/>
        <v>27.21</v>
      </c>
      <c r="J11" s="446">
        <f t="shared" si="1"/>
        <v>0.66000000000000014</v>
      </c>
      <c r="L11" s="447">
        <f t="shared" si="2"/>
        <v>2.4858757062146897E-2</v>
      </c>
      <c r="N11" s="411" t="s">
        <v>475</v>
      </c>
      <c r="O11" s="416">
        <f>SUM(O18,O21:O26,O28,O30:O33)</f>
        <v>0.75131999999999988</v>
      </c>
      <c r="P11" s="413"/>
      <c r="Q11" s="417">
        <f>SUM(Q18,Q21:Q26,Q28,Q30:Q33)</f>
        <v>0.78471999999999986</v>
      </c>
      <c r="S11" s="406">
        <f>(Q11-O11)/O11</f>
        <v>4.4455092370760785E-2</v>
      </c>
      <c r="V11" s="407">
        <v>20</v>
      </c>
      <c r="X11" s="408">
        <v>0.14711230825025123</v>
      </c>
      <c r="Z11" s="409">
        <f t="shared" si="3"/>
        <v>26.55</v>
      </c>
      <c r="AB11" s="409">
        <f t="shared" si="4"/>
        <v>27.31</v>
      </c>
      <c r="AD11" s="409">
        <f t="shared" si="5"/>
        <v>0.75999999999999801</v>
      </c>
      <c r="AF11" s="410">
        <f t="shared" si="6"/>
        <v>2.8625235404896344E-2</v>
      </c>
      <c r="AH11" s="411" t="s">
        <v>475</v>
      </c>
      <c r="AI11" s="416">
        <f>SUM(AI18,AI21:AI26,AI28,AI30:AI33)</f>
        <v>0.75131999999999988</v>
      </c>
      <c r="AJ11" s="413"/>
      <c r="AK11" s="417">
        <f>SUM(AK18,AK21:AK26,AK28,AK30:AK33)</f>
        <v>0.78950999999999993</v>
      </c>
      <c r="AM11" s="406">
        <f>(AK11-AI11)/AI11</f>
        <v>5.0830538252675375E-2</v>
      </c>
    </row>
    <row r="12" spans="1:40" x14ac:dyDescent="0.25">
      <c r="B12" s="444">
        <f t="shared" si="7"/>
        <v>30</v>
      </c>
      <c r="D12" s="445">
        <f t="shared" si="8"/>
        <v>0.12281494284691015</v>
      </c>
      <c r="F12" s="446">
        <f t="shared" si="9"/>
        <v>34.06</v>
      </c>
      <c r="H12" s="446">
        <f t="shared" si="10"/>
        <v>35.06</v>
      </c>
      <c r="J12" s="446">
        <f t="shared" si="1"/>
        <v>1</v>
      </c>
      <c r="L12" s="447">
        <f t="shared" si="2"/>
        <v>2.935995302407516E-2</v>
      </c>
      <c r="N12" s="411"/>
      <c r="O12" s="416"/>
      <c r="P12" s="413"/>
      <c r="Q12" s="417"/>
      <c r="S12" s="406"/>
      <c r="V12" s="407">
        <v>30</v>
      </c>
      <c r="X12" s="408">
        <v>0.12281494284691015</v>
      </c>
      <c r="Z12" s="409">
        <f t="shared" si="3"/>
        <v>34.06</v>
      </c>
      <c r="AB12" s="409">
        <f t="shared" si="4"/>
        <v>35.21</v>
      </c>
      <c r="AD12" s="409">
        <f t="shared" si="5"/>
        <v>1.1499999999999986</v>
      </c>
      <c r="AF12" s="410">
        <f t="shared" si="6"/>
        <v>3.3763945977686394E-2</v>
      </c>
      <c r="AH12" s="411"/>
      <c r="AI12" s="416"/>
      <c r="AJ12" s="413"/>
      <c r="AK12" s="417"/>
      <c r="AM12" s="406"/>
    </row>
    <row r="13" spans="1:40" ht="15.75" thickBot="1" x14ac:dyDescent="0.3">
      <c r="B13" s="444">
        <f t="shared" si="7"/>
        <v>40</v>
      </c>
      <c r="D13" s="445">
        <f t="shared" si="8"/>
        <v>8.3345104739334805E-2</v>
      </c>
      <c r="F13" s="446">
        <f t="shared" si="9"/>
        <v>41.57</v>
      </c>
      <c r="H13" s="446">
        <f t="shared" si="10"/>
        <v>42.91</v>
      </c>
      <c r="J13" s="446">
        <f t="shared" si="1"/>
        <v>1.3399999999999963</v>
      </c>
      <c r="L13" s="447">
        <f t="shared" si="2"/>
        <v>3.223478470050508E-2</v>
      </c>
      <c r="N13" s="418"/>
      <c r="O13" s="419"/>
      <c r="P13" s="420"/>
      <c r="Q13" s="421"/>
      <c r="S13" s="406"/>
      <c r="V13" s="407">
        <v>40</v>
      </c>
      <c r="X13" s="408">
        <v>8.3345104739334805E-2</v>
      </c>
      <c r="Z13" s="409">
        <f t="shared" si="3"/>
        <v>41.57</v>
      </c>
      <c r="AB13" s="409">
        <f t="shared" si="4"/>
        <v>43.1</v>
      </c>
      <c r="AD13" s="409">
        <f t="shared" si="5"/>
        <v>1.5300000000000011</v>
      </c>
      <c r="AF13" s="410">
        <f t="shared" si="6"/>
        <v>3.6805388501323096E-2</v>
      </c>
      <c r="AH13" s="418"/>
      <c r="AI13" s="419"/>
      <c r="AJ13" s="420"/>
      <c r="AK13" s="421"/>
      <c r="AM13" s="406"/>
    </row>
    <row r="14" spans="1:40" x14ac:dyDescent="0.25">
      <c r="B14" s="444">
        <f t="shared" si="7"/>
        <v>50</v>
      </c>
      <c r="D14" s="445">
        <f t="shared" si="8"/>
        <v>6.3785169921904208E-2</v>
      </c>
      <c r="F14" s="446">
        <f t="shared" si="9"/>
        <v>49.09</v>
      </c>
      <c r="H14" s="446">
        <f t="shared" si="10"/>
        <v>50.76</v>
      </c>
      <c r="J14" s="446">
        <f t="shared" si="1"/>
        <v>1.6699999999999946</v>
      </c>
      <c r="L14" s="447">
        <f t="shared" si="2"/>
        <v>3.4019148502749938E-2</v>
      </c>
      <c r="R14" s="422"/>
      <c r="S14" s="406"/>
      <c r="V14" s="407">
        <v>50</v>
      </c>
      <c r="X14" s="408">
        <v>6.3785169921904208E-2</v>
      </c>
      <c r="Z14" s="409">
        <f t="shared" si="3"/>
        <v>49.09</v>
      </c>
      <c r="AB14" s="409">
        <f t="shared" si="4"/>
        <v>51</v>
      </c>
      <c r="AD14" s="409">
        <f t="shared" si="5"/>
        <v>1.9099999999999966</v>
      </c>
      <c r="AF14" s="410">
        <f t="shared" si="6"/>
        <v>3.8908127928294893E-2</v>
      </c>
      <c r="AL14" s="422"/>
      <c r="AM14" s="406"/>
    </row>
    <row r="15" spans="1:40" x14ac:dyDescent="0.25">
      <c r="B15" s="444">
        <f t="shared" si="7"/>
        <v>64</v>
      </c>
      <c r="C15" s="393" t="s">
        <v>454</v>
      </c>
      <c r="D15" s="445">
        <f t="shared" si="8"/>
        <v>5.7352441705182382E-2</v>
      </c>
      <c r="F15" s="446">
        <f t="shared" si="9"/>
        <v>59.6</v>
      </c>
      <c r="H15" s="446">
        <f t="shared" si="10"/>
        <v>61.74</v>
      </c>
      <c r="J15" s="446">
        <f>H15-F15</f>
        <v>2.1400000000000006</v>
      </c>
      <c r="L15" s="447">
        <f t="shared" si="2"/>
        <v>3.5906040268456382E-2</v>
      </c>
      <c r="V15" s="407">
        <v>64</v>
      </c>
      <c r="W15" s="393" t="s">
        <v>454</v>
      </c>
      <c r="X15" s="408">
        <v>5.7352441705182382E-2</v>
      </c>
      <c r="Z15" s="409">
        <f t="shared" si="3"/>
        <v>59.6</v>
      </c>
      <c r="AB15" s="409">
        <f t="shared" si="4"/>
        <v>62.05</v>
      </c>
      <c r="AD15" s="409">
        <f t="shared" si="5"/>
        <v>2.4499999999999957</v>
      </c>
      <c r="AF15" s="410">
        <f t="shared" si="6"/>
        <v>4.1107382550335497E-2</v>
      </c>
    </row>
    <row r="16" spans="1:40" x14ac:dyDescent="0.25">
      <c r="B16" s="444">
        <f t="shared" si="7"/>
        <v>70</v>
      </c>
      <c r="D16" s="445">
        <f t="shared" si="8"/>
        <v>5.4941177217342901E-2</v>
      </c>
      <c r="F16" s="446">
        <f t="shared" si="9"/>
        <v>64.11</v>
      </c>
      <c r="H16" s="446">
        <f t="shared" si="10"/>
        <v>66.45</v>
      </c>
      <c r="J16" s="446">
        <f t="shared" si="1"/>
        <v>2.3400000000000034</v>
      </c>
      <c r="L16" s="447">
        <f t="shared" si="2"/>
        <v>3.6499766027140904E-2</v>
      </c>
      <c r="S16" s="393" t="s">
        <v>447</v>
      </c>
      <c r="V16" s="407">
        <v>70</v>
      </c>
      <c r="X16" s="408">
        <v>5.4941177217342901E-2</v>
      </c>
      <c r="Z16" s="409">
        <f t="shared" si="3"/>
        <v>64.11</v>
      </c>
      <c r="AB16" s="409">
        <f t="shared" si="4"/>
        <v>66.790000000000006</v>
      </c>
      <c r="AD16" s="409">
        <f t="shared" si="5"/>
        <v>2.6800000000000068</v>
      </c>
      <c r="AF16" s="410">
        <f t="shared" si="6"/>
        <v>4.1803150834503304E-2</v>
      </c>
      <c r="AM16" s="393" t="s">
        <v>447</v>
      </c>
    </row>
    <row r="17" spans="2:38" x14ac:dyDescent="0.25">
      <c r="B17" s="444">
        <f t="shared" si="7"/>
        <v>80</v>
      </c>
      <c r="D17" s="445">
        <f t="shared" si="8"/>
        <v>5.3160135696967106E-2</v>
      </c>
      <c r="F17" s="446">
        <f t="shared" si="9"/>
        <v>71.63</v>
      </c>
      <c r="H17" s="446">
        <f t="shared" si="10"/>
        <v>74.3</v>
      </c>
      <c r="J17" s="446">
        <f t="shared" si="1"/>
        <v>2.6700000000000017</v>
      </c>
      <c r="L17" s="447">
        <f t="shared" si="2"/>
        <v>3.7274884824794109E-2</v>
      </c>
      <c r="N17" s="393" t="str">
        <f>+N9</f>
        <v>Basic</v>
      </c>
      <c r="O17" s="423">
        <f>AI17</f>
        <v>11</v>
      </c>
      <c r="P17" s="423"/>
      <c r="Q17" s="423">
        <f>'Typical Res Bill Impact'!S11</f>
        <v>11.67</v>
      </c>
      <c r="V17" s="407">
        <v>80</v>
      </c>
      <c r="X17" s="408">
        <v>5.3160135696967106E-2</v>
      </c>
      <c r="Z17" s="409">
        <f t="shared" si="3"/>
        <v>71.63</v>
      </c>
      <c r="AB17" s="409">
        <f t="shared" si="4"/>
        <v>74.680000000000007</v>
      </c>
      <c r="AD17" s="409">
        <f t="shared" si="5"/>
        <v>3.0500000000000114</v>
      </c>
      <c r="AF17" s="410">
        <f t="shared" si="6"/>
        <v>4.2579924612592648E-2</v>
      </c>
      <c r="AH17" s="393" t="str">
        <f>+AH9</f>
        <v>Basic</v>
      </c>
      <c r="AI17" s="423">
        <f>'Typical Res Bill Impact'!D11</f>
        <v>11</v>
      </c>
      <c r="AJ17" s="423"/>
      <c r="AK17" s="440">
        <v>11.52</v>
      </c>
    </row>
    <row r="18" spans="2:38" x14ac:dyDescent="0.25">
      <c r="B18" s="444">
        <f t="shared" si="7"/>
        <v>90</v>
      </c>
      <c r="D18" s="445">
        <f t="shared" si="8"/>
        <v>5.0754895873889996E-2</v>
      </c>
      <c r="F18" s="446">
        <f t="shared" si="9"/>
        <v>79.14</v>
      </c>
      <c r="H18" s="446">
        <f t="shared" si="10"/>
        <v>82.14</v>
      </c>
      <c r="J18" s="446">
        <f t="shared" si="1"/>
        <v>3</v>
      </c>
      <c r="L18" s="447">
        <f t="shared" si="2"/>
        <v>3.7907505686125852E-2</v>
      </c>
      <c r="N18" s="393" t="str">
        <f>+N11</f>
        <v>Delivery Charge (Schedule 23)</v>
      </c>
      <c r="O18" s="449">
        <f>AI18</f>
        <v>0.34603</v>
      </c>
      <c r="P18" s="424"/>
      <c r="Q18" s="448">
        <f>'Typical Res Bill Impact'!S17</f>
        <v>0.41187000000000001</v>
      </c>
      <c r="R18" s="393" t="s">
        <v>447</v>
      </c>
      <c r="V18" s="407">
        <v>90</v>
      </c>
      <c r="X18" s="408">
        <v>5.0754895873889996E-2</v>
      </c>
      <c r="Z18" s="409">
        <f t="shared" si="3"/>
        <v>79.14</v>
      </c>
      <c r="AB18" s="409">
        <f t="shared" si="4"/>
        <v>82.58</v>
      </c>
      <c r="AD18" s="409">
        <f t="shared" si="5"/>
        <v>3.4399999999999977</v>
      </c>
      <c r="AF18" s="410">
        <f t="shared" si="6"/>
        <v>4.3467273186757617E-2</v>
      </c>
      <c r="AH18" s="393" t="str">
        <f>+AH11</f>
        <v>Delivery Charge (Schedule 23)</v>
      </c>
      <c r="AI18" s="424">
        <f>'Typical Res Bill Impact'!D17</f>
        <v>0.34603</v>
      </c>
      <c r="AJ18" s="424"/>
      <c r="AK18" s="441">
        <f>'Typical Res Bill Impact'!S17</f>
        <v>0.41187000000000001</v>
      </c>
      <c r="AL18" s="393" t="s">
        <v>447</v>
      </c>
    </row>
    <row r="19" spans="2:38" x14ac:dyDescent="0.25">
      <c r="B19" s="444">
        <f t="shared" si="7"/>
        <v>100</v>
      </c>
      <c r="D19" s="445">
        <f t="shared" si="8"/>
        <v>4.7039829381493932E-2</v>
      </c>
      <c r="F19" s="446">
        <f t="shared" si="9"/>
        <v>86.65</v>
      </c>
      <c r="H19" s="446">
        <f t="shared" si="10"/>
        <v>89.99</v>
      </c>
      <c r="J19" s="446">
        <f t="shared" si="1"/>
        <v>3.3399999999999892</v>
      </c>
      <c r="L19" s="447">
        <f t="shared" si="2"/>
        <v>3.8545874206578061E-2</v>
      </c>
      <c r="O19" s="424"/>
      <c r="P19" s="424"/>
      <c r="Q19" s="424"/>
      <c r="V19" s="407">
        <v>100</v>
      </c>
      <c r="X19" s="408">
        <v>4.7039829381493932E-2</v>
      </c>
      <c r="Z19" s="409">
        <f t="shared" si="3"/>
        <v>86.65</v>
      </c>
      <c r="AB19" s="409">
        <f t="shared" si="4"/>
        <v>90.47</v>
      </c>
      <c r="AD19" s="409">
        <f t="shared" si="5"/>
        <v>3.8199999999999932</v>
      </c>
      <c r="AF19" s="410">
        <f t="shared" si="6"/>
        <v>4.4085401038661202E-2</v>
      </c>
      <c r="AI19" s="424"/>
      <c r="AJ19" s="424"/>
      <c r="AK19" s="424"/>
    </row>
    <row r="20" spans="2:38" x14ac:dyDescent="0.25">
      <c r="B20" s="444">
        <f t="shared" si="7"/>
        <v>110</v>
      </c>
      <c r="D20" s="445">
        <f t="shared" si="8"/>
        <v>4.177771504476057E-2</v>
      </c>
      <c r="F20" s="446">
        <f t="shared" si="9"/>
        <v>94.17</v>
      </c>
      <c r="H20" s="446">
        <f t="shared" si="10"/>
        <v>97.84</v>
      </c>
      <c r="J20" s="446">
        <f t="shared" si="1"/>
        <v>3.6700000000000017</v>
      </c>
      <c r="L20" s="447">
        <f t="shared" si="2"/>
        <v>3.8972071785069576E-2</v>
      </c>
      <c r="V20" s="407">
        <v>110</v>
      </c>
      <c r="X20" s="408">
        <v>4.177771504476057E-2</v>
      </c>
      <c r="Z20" s="409">
        <f t="shared" si="3"/>
        <v>94.17</v>
      </c>
      <c r="AB20" s="409">
        <f t="shared" si="4"/>
        <v>98.37</v>
      </c>
      <c r="AD20" s="409">
        <f t="shared" si="5"/>
        <v>4.2000000000000028</v>
      </c>
      <c r="AF20" s="410">
        <f t="shared" si="6"/>
        <v>4.460019114367636E-2</v>
      </c>
      <c r="AH20" s="425"/>
      <c r="AI20" s="425"/>
      <c r="AJ20" s="425"/>
      <c r="AK20" s="426"/>
    </row>
    <row r="21" spans="2:38" x14ac:dyDescent="0.25">
      <c r="B21" s="444">
        <f t="shared" si="7"/>
        <v>120</v>
      </c>
      <c r="D21" s="445">
        <f t="shared" si="8"/>
        <v>3.57610114465403E-2</v>
      </c>
      <c r="F21" s="446">
        <f t="shared" si="9"/>
        <v>101.68</v>
      </c>
      <c r="H21" s="446">
        <f t="shared" si="10"/>
        <v>105.69</v>
      </c>
      <c r="J21" s="446">
        <f t="shared" si="1"/>
        <v>4.0099999999999909</v>
      </c>
      <c r="L21" s="447">
        <f t="shared" si="2"/>
        <v>3.9437450826121073E-2</v>
      </c>
      <c r="N21" s="427" t="str">
        <f t="shared" ref="N21:N33" si="11">AH21</f>
        <v>Schedule 101 - Cost of Gas</v>
      </c>
      <c r="O21" s="424">
        <f>'Typical Res Bill Impact'!D31</f>
        <v>0.32665</v>
      </c>
      <c r="P21" s="425"/>
      <c r="Q21" s="424">
        <f>'Typical Res Bill Impact'!S31</f>
        <v>0.32665</v>
      </c>
      <c r="V21" s="407">
        <v>120</v>
      </c>
      <c r="X21" s="408">
        <v>3.57610114465403E-2</v>
      </c>
      <c r="Z21" s="409">
        <f t="shared" si="3"/>
        <v>101.68</v>
      </c>
      <c r="AB21" s="409">
        <f t="shared" si="4"/>
        <v>106.26</v>
      </c>
      <c r="AD21" s="409">
        <f t="shared" si="5"/>
        <v>4.5799999999999983</v>
      </c>
      <c r="AF21" s="410">
        <f t="shared" si="6"/>
        <v>4.5043273013375275E-2</v>
      </c>
      <c r="AH21" s="427" t="s">
        <v>478</v>
      </c>
      <c r="AI21" s="424">
        <f>'Typical Res Bill Impact'!D31</f>
        <v>0.32665</v>
      </c>
      <c r="AJ21" s="425"/>
      <c r="AK21" s="424">
        <f>'Typical Res Bill Impact'!S31</f>
        <v>0.32665</v>
      </c>
    </row>
    <row r="22" spans="2:38" x14ac:dyDescent="0.25">
      <c r="B22" s="407">
        <f t="shared" si="7"/>
        <v>130</v>
      </c>
      <c r="D22" s="408">
        <f t="shared" si="8"/>
        <v>2.9443827693296797E-2</v>
      </c>
      <c r="F22" s="409">
        <f t="shared" si="9"/>
        <v>109.19</v>
      </c>
      <c r="H22" s="409">
        <f t="shared" si="10"/>
        <v>113.53</v>
      </c>
      <c r="J22" s="409">
        <f t="shared" si="1"/>
        <v>4.3400000000000034</v>
      </c>
      <c r="L22" s="410">
        <f t="shared" si="2"/>
        <v>3.9747229599780234E-2</v>
      </c>
      <c r="N22" s="427" t="str">
        <f t="shared" si="11"/>
        <v>Schedule 106 - Deferral Amortization</v>
      </c>
      <c r="O22" s="424">
        <f>'Typical Res Bill Impact'!D32</f>
        <v>-3.8500000000000001E-3</v>
      </c>
      <c r="P22" s="425"/>
      <c r="Q22" s="424">
        <f>'Typical Res Bill Impact'!S32</f>
        <v>-3.8500000000000001E-3</v>
      </c>
      <c r="V22" s="407">
        <v>130</v>
      </c>
      <c r="X22" s="408">
        <v>2.9443827693296797E-2</v>
      </c>
      <c r="Z22" s="409">
        <f t="shared" si="3"/>
        <v>109.19</v>
      </c>
      <c r="AB22" s="409">
        <f t="shared" si="4"/>
        <v>114.16</v>
      </c>
      <c r="AD22" s="409">
        <f t="shared" si="5"/>
        <v>4.9699999999999989</v>
      </c>
      <c r="AF22" s="410">
        <f t="shared" si="6"/>
        <v>4.5516988735232154E-2</v>
      </c>
      <c r="AH22" s="427" t="s">
        <v>479</v>
      </c>
      <c r="AI22" s="424">
        <f>'Typical Res Bill Impact'!D32</f>
        <v>-3.8500000000000001E-3</v>
      </c>
      <c r="AJ22" s="425"/>
      <c r="AK22" s="424">
        <f>'Typical Res Bill Impact'!S32</f>
        <v>-3.8500000000000001E-3</v>
      </c>
    </row>
    <row r="23" spans="2:38" x14ac:dyDescent="0.25">
      <c r="B23" s="407">
        <f t="shared" si="7"/>
        <v>140</v>
      </c>
      <c r="D23" s="408">
        <f t="shared" si="8"/>
        <v>2.3536428727193821E-2</v>
      </c>
      <c r="F23" s="409">
        <f t="shared" si="9"/>
        <v>116.7</v>
      </c>
      <c r="H23" s="409">
        <f t="shared" si="10"/>
        <v>121.38</v>
      </c>
      <c r="J23" s="409">
        <f t="shared" si="1"/>
        <v>4.6799999999999926</v>
      </c>
      <c r="L23" s="410">
        <f t="shared" si="2"/>
        <v>4.0102827763496079E-2</v>
      </c>
      <c r="N23" s="427" t="str">
        <f t="shared" si="11"/>
        <v>Schedule 120 - Conservation</v>
      </c>
      <c r="O23" s="424">
        <f>'Typical Res Bill Impact'!D27</f>
        <v>1.8149999999999999E-2</v>
      </c>
      <c r="P23" s="425"/>
      <c r="Q23" s="424">
        <f>'Typical Res Bill Impact'!S27</f>
        <v>1.8149999999999999E-2</v>
      </c>
      <c r="V23" s="407">
        <v>140</v>
      </c>
      <c r="X23" s="408">
        <v>2.3536428727193821E-2</v>
      </c>
      <c r="Z23" s="409">
        <f t="shared" si="3"/>
        <v>116.7</v>
      </c>
      <c r="AB23" s="409">
        <f t="shared" si="4"/>
        <v>122.05</v>
      </c>
      <c r="AD23" s="409">
        <f t="shared" si="5"/>
        <v>5.3499999999999943</v>
      </c>
      <c r="AF23" s="410">
        <f t="shared" si="6"/>
        <v>4.5844044558697464E-2</v>
      </c>
      <c r="AH23" s="427" t="s">
        <v>455</v>
      </c>
      <c r="AI23" s="424">
        <f>'Typical Res Bill Impact'!D27</f>
        <v>1.8149999999999999E-2</v>
      </c>
      <c r="AJ23" s="425"/>
      <c r="AK23" s="424">
        <f>'Typical Res Bill Impact'!S27</f>
        <v>1.8149999999999999E-2</v>
      </c>
    </row>
    <row r="24" spans="2:38" x14ac:dyDescent="0.25">
      <c r="B24" s="407">
        <f t="shared" si="7"/>
        <v>150</v>
      </c>
      <c r="D24" s="408">
        <f t="shared" si="8"/>
        <v>1.8474419327210626E-2</v>
      </c>
      <c r="F24" s="409">
        <f t="shared" si="9"/>
        <v>124.22</v>
      </c>
      <c r="H24" s="409">
        <f t="shared" si="10"/>
        <v>129.22999999999999</v>
      </c>
      <c r="J24" s="409">
        <f t="shared" si="1"/>
        <v>5.0099999999999909</v>
      </c>
      <c r="L24" s="410">
        <f t="shared" si="2"/>
        <v>4.0331669618418858E-2</v>
      </c>
      <c r="N24" s="427" t="str">
        <f t="shared" si="11"/>
        <v>Schedule 129 - Low Income</v>
      </c>
      <c r="O24" s="424">
        <f>'Typical Res Bill Impact'!D18</f>
        <v>5.3699999999999998E-3</v>
      </c>
      <c r="P24" s="393" t="s">
        <v>447</v>
      </c>
      <c r="Q24" s="424">
        <f>'Typical Res Bill Impact'!S18</f>
        <v>5.3699999999999998E-3</v>
      </c>
      <c r="V24" s="407">
        <v>150</v>
      </c>
      <c r="X24" s="408">
        <v>1.8474419327210626E-2</v>
      </c>
      <c r="Z24" s="409">
        <f t="shared" si="3"/>
        <v>124.22</v>
      </c>
      <c r="AB24" s="409">
        <f t="shared" si="4"/>
        <v>129.94999999999999</v>
      </c>
      <c r="AD24" s="409">
        <f t="shared" si="5"/>
        <v>5.7299999999999898</v>
      </c>
      <c r="AF24" s="410">
        <f t="shared" si="6"/>
        <v>4.612783770729343E-2</v>
      </c>
      <c r="AH24" s="427" t="s">
        <v>456</v>
      </c>
      <c r="AI24" s="424">
        <f>'Typical Res Bill Impact'!D18</f>
        <v>5.3699999999999998E-3</v>
      </c>
      <c r="AJ24" s="393" t="s">
        <v>447</v>
      </c>
      <c r="AK24" s="424">
        <f>'Typical Res Bill Impact'!S18</f>
        <v>5.3699999999999998E-3</v>
      </c>
    </row>
    <row r="25" spans="2:38" x14ac:dyDescent="0.25">
      <c r="B25" s="407">
        <f t="shared" si="7"/>
        <v>160</v>
      </c>
      <c r="D25" s="408">
        <f t="shared" si="8"/>
        <v>1.4154196776094303E-2</v>
      </c>
      <c r="F25" s="409">
        <f t="shared" si="9"/>
        <v>131.72999999999999</v>
      </c>
      <c r="H25" s="409">
        <f t="shared" si="10"/>
        <v>137.08000000000001</v>
      </c>
      <c r="J25" s="409">
        <f t="shared" si="1"/>
        <v>5.3500000000000227</v>
      </c>
      <c r="L25" s="410">
        <f t="shared" si="2"/>
        <v>4.0613375844530654E-2</v>
      </c>
      <c r="N25" s="427" t="str">
        <f t="shared" si="11"/>
        <v>Schedule 132 - Merger Rate Credit</v>
      </c>
      <c r="O25" s="428">
        <f>'Typical Res Bill Impact'!D29</f>
        <v>0</v>
      </c>
      <c r="Q25" s="428">
        <f>'Typical Res Bill Impact'!S29</f>
        <v>0</v>
      </c>
      <c r="V25" s="407">
        <v>160</v>
      </c>
      <c r="X25" s="408">
        <v>1.4154196776094303E-2</v>
      </c>
      <c r="Z25" s="409">
        <f t="shared" si="3"/>
        <v>131.72999999999999</v>
      </c>
      <c r="AB25" s="409">
        <f t="shared" si="4"/>
        <v>137.84</v>
      </c>
      <c r="AD25" s="409">
        <f t="shared" si="5"/>
        <v>6.1100000000000136</v>
      </c>
      <c r="AF25" s="410">
        <f t="shared" si="6"/>
        <v>4.6382752600015287E-2</v>
      </c>
      <c r="AH25" s="425" t="s">
        <v>477</v>
      </c>
      <c r="AI25" s="428">
        <f>'Typical Res Bill Impact'!D29</f>
        <v>0</v>
      </c>
      <c r="AK25" s="428">
        <f>'Typical Res Bill Impact'!S29</f>
        <v>0</v>
      </c>
    </row>
    <row r="26" spans="2:38" x14ac:dyDescent="0.25">
      <c r="B26" s="407">
        <f t="shared" si="7"/>
        <v>170</v>
      </c>
      <c r="C26" s="393" t="s">
        <v>447</v>
      </c>
      <c r="D26" s="408">
        <f t="shared" si="8"/>
        <v>1.0870108980806386E-2</v>
      </c>
      <c r="F26" s="409">
        <f t="shared" si="9"/>
        <v>139.24</v>
      </c>
      <c r="H26" s="409">
        <f t="shared" si="10"/>
        <v>144.91999999999999</v>
      </c>
      <c r="J26" s="409">
        <f t="shared" si="1"/>
        <v>5.6799999999999784</v>
      </c>
      <c r="L26" s="410">
        <f t="shared" si="2"/>
        <v>4.0792875610456608E-2</v>
      </c>
      <c r="N26" s="427" t="str">
        <f t="shared" si="11"/>
        <v>Schedule 140 - Property Tax</v>
      </c>
      <c r="O26" s="428">
        <f>'Typical Res Bill Impact'!D19</f>
        <v>2.2350000000000002E-2</v>
      </c>
      <c r="Q26" s="428">
        <f>'Typical Res Bill Impact'!S19</f>
        <v>2.2350000000000002E-2</v>
      </c>
      <c r="V26" s="407">
        <v>170</v>
      </c>
      <c r="W26" s="393" t="s">
        <v>447</v>
      </c>
      <c r="X26" s="408">
        <v>1.0870108980806386E-2</v>
      </c>
      <c r="Z26" s="409">
        <f t="shared" si="3"/>
        <v>139.24</v>
      </c>
      <c r="AB26" s="409">
        <f t="shared" si="4"/>
        <v>145.74</v>
      </c>
      <c r="AD26" s="409">
        <f t="shared" si="5"/>
        <v>6.5</v>
      </c>
      <c r="AF26" s="410">
        <f t="shared" si="6"/>
        <v>4.6681987934501575E-2</v>
      </c>
      <c r="AH26" s="427" t="s">
        <v>457</v>
      </c>
      <c r="AI26" s="428">
        <f>'Typical Res Bill Impact'!D19</f>
        <v>2.2350000000000002E-2</v>
      </c>
      <c r="AK26" s="428">
        <f>'Typical Res Bill Impact'!S19</f>
        <v>2.2350000000000002E-2</v>
      </c>
    </row>
    <row r="27" spans="2:38" x14ac:dyDescent="0.25">
      <c r="B27" s="407">
        <f t="shared" si="7"/>
        <v>180</v>
      </c>
      <c r="D27" s="408">
        <f t="shared" si="8"/>
        <v>8.1895634947488048E-3</v>
      </c>
      <c r="F27" s="409">
        <f t="shared" si="9"/>
        <v>146.76</v>
      </c>
      <c r="H27" s="409">
        <f t="shared" si="10"/>
        <v>152.77000000000001</v>
      </c>
      <c r="J27" s="409">
        <f t="shared" si="1"/>
        <v>6.0100000000000193</v>
      </c>
      <c r="L27" s="410">
        <f t="shared" si="2"/>
        <v>4.0951212864540884E-2</v>
      </c>
      <c r="N27" s="427" t="str">
        <f t="shared" si="11"/>
        <v>Schedule 141 - ERF - Basic Charge</v>
      </c>
      <c r="O27" s="429">
        <f>'Typical Res Bill Impact'!D12</f>
        <v>0.67</v>
      </c>
      <c r="P27" s="429"/>
      <c r="Q27" s="442">
        <f>'Typical Res Bill Impact'!S12</f>
        <v>0</v>
      </c>
      <c r="V27" s="407">
        <v>180</v>
      </c>
      <c r="X27" s="408">
        <v>8.1895634947488048E-3</v>
      </c>
      <c r="Z27" s="409">
        <f t="shared" si="3"/>
        <v>146.76</v>
      </c>
      <c r="AB27" s="409">
        <f t="shared" si="4"/>
        <v>153.63</v>
      </c>
      <c r="AD27" s="409">
        <f t="shared" si="5"/>
        <v>6.8700000000000045</v>
      </c>
      <c r="AF27" s="410">
        <f t="shared" si="6"/>
        <v>4.6811120196238794E-2</v>
      </c>
      <c r="AH27" s="427" t="s">
        <v>458</v>
      </c>
      <c r="AI27" s="429">
        <f>'Typical Res Bill Impact'!D12</f>
        <v>0.67</v>
      </c>
      <c r="AJ27" s="429"/>
      <c r="AK27" s="442">
        <f>'Typical Res Bill Impact'!S12</f>
        <v>0</v>
      </c>
    </row>
    <row r="28" spans="2:38" x14ac:dyDescent="0.25">
      <c r="B28" s="407">
        <f t="shared" si="7"/>
        <v>190</v>
      </c>
      <c r="D28" s="408">
        <f t="shared" si="8"/>
        <v>6.286092179737697E-3</v>
      </c>
      <c r="F28" s="409">
        <f t="shared" si="9"/>
        <v>154.27000000000001</v>
      </c>
      <c r="H28" s="409">
        <f t="shared" si="10"/>
        <v>160.62</v>
      </c>
      <c r="J28" s="409">
        <f t="shared" si="1"/>
        <v>6.3499999999999943</v>
      </c>
      <c r="L28" s="410">
        <f t="shared" si="2"/>
        <v>4.1161599792571425E-2</v>
      </c>
      <c r="N28" s="427" t="str">
        <f t="shared" si="11"/>
        <v>Schedule 141 - ERF - Delivery</v>
      </c>
      <c r="O28" s="428">
        <f>'Typical Res Bill Impact'!D20</f>
        <v>2.1229999999999999E-2</v>
      </c>
      <c r="Q28" s="443">
        <f>'Typical Res Bill Impact'!S20</f>
        <v>0</v>
      </c>
      <c r="V28" s="407">
        <v>190</v>
      </c>
      <c r="X28" s="408">
        <v>6.286092179737697E-3</v>
      </c>
      <c r="Z28" s="409">
        <f t="shared" si="3"/>
        <v>154.27000000000001</v>
      </c>
      <c r="AB28" s="409">
        <f t="shared" si="4"/>
        <v>161.53</v>
      </c>
      <c r="AD28" s="409">
        <f t="shared" si="5"/>
        <v>7.2599999999999909</v>
      </c>
      <c r="AF28" s="410">
        <f t="shared" si="6"/>
        <v>4.7060348739223379E-2</v>
      </c>
      <c r="AH28" s="427" t="s">
        <v>473</v>
      </c>
      <c r="AI28" s="428">
        <f>'Typical Res Bill Impact'!D20</f>
        <v>2.1229999999999999E-2</v>
      </c>
      <c r="AK28" s="443">
        <f>'Typical Res Bill Impact'!S20</f>
        <v>0</v>
      </c>
    </row>
    <row r="29" spans="2:38" x14ac:dyDescent="0.25">
      <c r="B29" s="407">
        <f t="shared" si="7"/>
        <v>200</v>
      </c>
      <c r="D29" s="408">
        <f t="shared" si="8"/>
        <v>4.8046701479905109E-3</v>
      </c>
      <c r="F29" s="409">
        <f t="shared" si="9"/>
        <v>161.78</v>
      </c>
      <c r="H29" s="409">
        <f t="shared" si="10"/>
        <v>168.46</v>
      </c>
      <c r="J29" s="409">
        <f t="shared" si="1"/>
        <v>6.6800000000000068</v>
      </c>
      <c r="L29" s="410">
        <f t="shared" si="2"/>
        <v>4.1290641612065811E-2</v>
      </c>
      <c r="N29" s="427" t="str">
        <f t="shared" si="11"/>
        <v>Schedule 141x - Tax Passback - Basic Charge</v>
      </c>
      <c r="O29" s="429">
        <f>'Typical Res Bill Impact'!D13</f>
        <v>-0.15</v>
      </c>
      <c r="P29" s="429"/>
      <c r="Q29" s="429">
        <f>'Typical Res Bill Impact'!S13</f>
        <v>-0.15000000000000036</v>
      </c>
      <c r="V29" s="407">
        <v>200</v>
      </c>
      <c r="X29" s="408">
        <v>4.8046701479905109E-3</v>
      </c>
      <c r="Z29" s="409">
        <f t="shared" si="3"/>
        <v>161.78</v>
      </c>
      <c r="AB29" s="409">
        <f t="shared" si="4"/>
        <v>169.42</v>
      </c>
      <c r="AD29" s="409">
        <f t="shared" si="5"/>
        <v>7.6399999999999864</v>
      </c>
      <c r="AF29" s="410">
        <f t="shared" si="6"/>
        <v>4.7224626035356571E-2</v>
      </c>
      <c r="AH29" s="427" t="s">
        <v>459</v>
      </c>
      <c r="AI29" s="429">
        <f>'Typical Res Bill Impact'!D13</f>
        <v>-0.15</v>
      </c>
      <c r="AJ29" s="429"/>
      <c r="AK29" s="442">
        <v>0</v>
      </c>
    </row>
    <row r="30" spans="2:38" x14ac:dyDescent="0.25">
      <c r="B30" s="407">
        <f t="shared" si="7"/>
        <v>250</v>
      </c>
      <c r="D30" s="408">
        <f t="shared" si="8"/>
        <v>1.18E-2</v>
      </c>
      <c r="F30" s="409">
        <f t="shared" si="9"/>
        <v>199.35</v>
      </c>
      <c r="H30" s="409">
        <f t="shared" si="10"/>
        <v>207.7</v>
      </c>
      <c r="J30" s="409">
        <f t="shared" si="1"/>
        <v>8.3499999999999943</v>
      </c>
      <c r="L30" s="410">
        <f t="shared" si="2"/>
        <v>4.188612992224728E-2</v>
      </c>
      <c r="N30" s="427" t="str">
        <f t="shared" si="11"/>
        <v>Schedule 141x - Tax Passback - Delivery</v>
      </c>
      <c r="O30" s="428">
        <f>'Typical Res Bill Impact'!D21</f>
        <v>-4.79E-3</v>
      </c>
      <c r="Q30" s="428">
        <f>'Typical Res Bill Impact'!S21</f>
        <v>-4.7900000000000165E-3</v>
      </c>
      <c r="V30" s="407">
        <v>250</v>
      </c>
      <c r="X30" s="408">
        <v>1.18E-2</v>
      </c>
      <c r="Z30" s="409">
        <f t="shared" si="3"/>
        <v>199.35</v>
      </c>
      <c r="AB30" s="409">
        <f t="shared" si="4"/>
        <v>208.9</v>
      </c>
      <c r="AD30" s="409">
        <f t="shared" si="5"/>
        <v>9.5500000000000114</v>
      </c>
      <c r="AF30" s="410">
        <f t="shared" si="6"/>
        <v>4.7905693503887695E-2</v>
      </c>
      <c r="AH30" s="427" t="s">
        <v>474</v>
      </c>
      <c r="AI30" s="428">
        <f>'Typical Res Bill Impact'!D21</f>
        <v>-4.79E-3</v>
      </c>
      <c r="AK30" s="443">
        <v>0</v>
      </c>
    </row>
    <row r="31" spans="2:38" x14ac:dyDescent="0.25">
      <c r="B31" s="407" t="str">
        <f t="shared" si="7"/>
        <v>&gt;250</v>
      </c>
      <c r="D31" s="408">
        <f t="shared" si="8"/>
        <v>7.1939876427670729E-3</v>
      </c>
      <c r="F31" s="409"/>
      <c r="H31" s="409"/>
      <c r="J31" s="409"/>
      <c r="L31" s="410"/>
      <c r="N31" s="427" t="str">
        <f t="shared" si="11"/>
        <v>Schedule 141y - Tax</v>
      </c>
      <c r="O31" s="428">
        <f>'Typical Res Bill Impact'!D22</f>
        <v>-1.0580000000000001E-2</v>
      </c>
      <c r="Q31" s="428">
        <f>'Typical Res Bill Impact'!S22</f>
        <v>-1.0580000000000001E-2</v>
      </c>
      <c r="V31" s="407" t="s">
        <v>480</v>
      </c>
      <c r="X31" s="408">
        <v>7.1939876427670729E-3</v>
      </c>
      <c r="Z31" s="409"/>
      <c r="AB31" s="409"/>
      <c r="AD31" s="409"/>
      <c r="AF31" s="410"/>
      <c r="AH31" s="427" t="s">
        <v>461</v>
      </c>
      <c r="AI31" s="428">
        <f>'Typical Res Bill Impact'!D22</f>
        <v>-1.0580000000000001E-2</v>
      </c>
      <c r="AK31" s="428">
        <f>'Typical Res Bill Impact'!S22</f>
        <v>-1.0580000000000001E-2</v>
      </c>
    </row>
    <row r="32" spans="2:38" x14ac:dyDescent="0.25">
      <c r="B32" s="407"/>
      <c r="D32" s="408"/>
      <c r="F32" s="409"/>
      <c r="H32" s="409"/>
      <c r="J32" s="409"/>
      <c r="L32" s="410"/>
      <c r="N32" s="427" t="str">
        <f t="shared" si="11"/>
        <v>Schedule 142 - Decoupling</v>
      </c>
      <c r="O32" s="428">
        <f>'Typical Res Bill Impact'!D23</f>
        <v>1.9550000000000001E-2</v>
      </c>
      <c r="Q32" s="428">
        <f>'Typical Res Bill Impact'!S23</f>
        <v>1.9550000000000001E-2</v>
      </c>
      <c r="V32" s="407"/>
      <c r="X32" s="408"/>
      <c r="Z32" s="409"/>
      <c r="AB32" s="409"/>
      <c r="AD32" s="409"/>
      <c r="AF32" s="410"/>
      <c r="AH32" s="427" t="s">
        <v>463</v>
      </c>
      <c r="AI32" s="428">
        <f>'Typical Res Bill Impact'!D23</f>
        <v>1.9550000000000001E-2</v>
      </c>
      <c r="AK32" s="428">
        <f>'Typical Res Bill Impact'!S23</f>
        <v>1.9550000000000001E-2</v>
      </c>
    </row>
    <row r="33" spans="2:37" x14ac:dyDescent="0.25">
      <c r="B33" s="430"/>
      <c r="C33" s="431"/>
      <c r="D33" s="432"/>
      <c r="E33" s="431"/>
      <c r="F33" s="432"/>
      <c r="G33" s="431"/>
      <c r="H33" s="432"/>
      <c r="I33" s="431"/>
      <c r="J33" s="431"/>
      <c r="K33" s="431"/>
      <c r="L33" s="433"/>
      <c r="N33" s="450" t="str">
        <f t="shared" si="11"/>
        <v>Schedule 149 - CRM</v>
      </c>
      <c r="O33" s="451">
        <f>'Typical Res Bill Impact'!D24</f>
        <v>1.1209999999999999E-2</v>
      </c>
      <c r="P33" s="431"/>
      <c r="Q33" s="452">
        <f>'Typical Res Bill Impact'!S24</f>
        <v>0</v>
      </c>
      <c r="V33" s="430"/>
      <c r="W33" s="431"/>
      <c r="X33" s="432"/>
      <c r="Y33" s="431"/>
      <c r="Z33" s="432"/>
      <c r="AA33" s="431"/>
      <c r="AB33" s="432"/>
      <c r="AC33" s="431"/>
      <c r="AD33" s="431"/>
      <c r="AE33" s="431"/>
      <c r="AF33" s="433"/>
      <c r="AH33" s="427" t="s">
        <v>476</v>
      </c>
      <c r="AI33" s="428">
        <f>'Typical Res Bill Impact'!D24</f>
        <v>1.1209999999999999E-2</v>
      </c>
      <c r="AK33" s="443">
        <f>'Typical Res Bill Impact'!S24</f>
        <v>0</v>
      </c>
    </row>
    <row r="34" spans="2:37" x14ac:dyDescent="0.25">
      <c r="B34" s="434"/>
      <c r="V34" s="434"/>
    </row>
    <row r="35" spans="2:37" x14ac:dyDescent="0.25">
      <c r="B35" s="435" t="s">
        <v>460</v>
      </c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V35" s="435" t="s">
        <v>460</v>
      </c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</row>
    <row r="36" spans="2:37" x14ac:dyDescent="0.25">
      <c r="B36" s="458" t="str">
        <f>V36</f>
        <v>* Average PSE Customer</v>
      </c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N36" s="427"/>
      <c r="O36" s="424"/>
      <c r="P36" s="425"/>
      <c r="V36" s="458" t="s">
        <v>462</v>
      </c>
      <c r="W36" s="459"/>
      <c r="X36" s="459"/>
      <c r="Y36" s="459"/>
      <c r="Z36" s="459"/>
      <c r="AA36" s="459"/>
      <c r="AB36" s="459"/>
      <c r="AC36" s="459"/>
      <c r="AD36" s="459"/>
      <c r="AE36" s="459"/>
      <c r="AF36" s="459"/>
      <c r="AI36" s="439">
        <f>SUM(AI21:AI33)-'Typical Res Bill Impact'!D14-'Typical Res Bill Impact'!D34+'Typical Res Bill Impact'!D11+'Typical Res Bill Impact'!D17</f>
        <v>1.0547118733938987E-15</v>
      </c>
    </row>
    <row r="37" spans="2:37" ht="16.5" x14ac:dyDescent="0.25">
      <c r="B37" s="457" t="s">
        <v>481</v>
      </c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N37" s="427"/>
      <c r="O37" s="424"/>
      <c r="P37" s="425"/>
      <c r="V37" s="457" t="s">
        <v>481</v>
      </c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</row>
    <row r="38" spans="2:37" x14ac:dyDescent="0.25">
      <c r="B38" s="457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</row>
    <row r="39" spans="2:37" x14ac:dyDescent="0.25">
      <c r="B39" s="457"/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</row>
    <row r="40" spans="2:37" x14ac:dyDescent="0.25">
      <c r="N40" s="436"/>
      <c r="AH40" s="436"/>
      <c r="AI40" s="437"/>
    </row>
    <row r="48" spans="2:37" x14ac:dyDescent="0.25">
      <c r="N48" s="393" t="s">
        <v>464</v>
      </c>
      <c r="AH48" s="393" t="s">
        <v>465</v>
      </c>
    </row>
    <row r="50" spans="14:15" x14ac:dyDescent="0.25">
      <c r="N50" s="393" t="s">
        <v>466</v>
      </c>
    </row>
    <row r="51" spans="14:15" x14ac:dyDescent="0.25">
      <c r="N51" s="393" t="s">
        <v>467</v>
      </c>
      <c r="O51" s="438">
        <f>SUM(D9:D10)</f>
        <v>0.10737652422673698</v>
      </c>
    </row>
    <row r="52" spans="14:15" x14ac:dyDescent="0.25">
      <c r="N52" s="393" t="s">
        <v>468</v>
      </c>
      <c r="O52" s="408">
        <f>SUM(D11:D21)</f>
        <v>0.7578447321245777</v>
      </c>
    </row>
    <row r="53" spans="14:15" x14ac:dyDescent="0.25">
      <c r="N53" s="393" t="s">
        <v>469</v>
      </c>
      <c r="O53" s="408">
        <f>SUM(D22:D31)</f>
        <v>0.134753294969846</v>
      </c>
    </row>
  </sheetData>
  <mergeCells count="20">
    <mergeCell ref="B1:Q1"/>
    <mergeCell ref="V1:AK1"/>
    <mergeCell ref="B2:Q2"/>
    <mergeCell ref="V2:AK2"/>
    <mergeCell ref="B3:Q3"/>
    <mergeCell ref="V3:AK3"/>
    <mergeCell ref="B4:Q4"/>
    <mergeCell ref="V4:AK4"/>
    <mergeCell ref="F6:L6"/>
    <mergeCell ref="Z6:AF6"/>
    <mergeCell ref="J7:L7"/>
    <mergeCell ref="AD7:AF7"/>
    <mergeCell ref="B39:L39"/>
    <mergeCell ref="V39:AF39"/>
    <mergeCell ref="B36:L36"/>
    <mergeCell ref="V36:AF36"/>
    <mergeCell ref="B37:L37"/>
    <mergeCell ref="V37:AF37"/>
    <mergeCell ref="B38:L38"/>
    <mergeCell ref="V38:AF38"/>
  </mergeCells>
  <printOptions horizontalCentered="1"/>
  <pageMargins left="0.7" right="0.7" top="0.75" bottom="0.71" header="0.3" footer="0.3"/>
  <pageSetup scale="77" orientation="landscape" r:id="rId1"/>
  <headerFooter alignWithMargins="0">
    <oddHeader>&amp;R&amp;"Times New Roman,Regular"&amp;10Exh. JLB-7
Dockets UE-190529/UG-190530 and 
UE-190274/UG-190275 &amp;"Times New Roman,Italic"(consolidated)&amp;"Times New Roman,Regular"
Page &amp;P of 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workbookViewId="0"/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71" t="s">
        <v>0</v>
      </c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241"/>
    </row>
    <row r="2" spans="2:19" x14ac:dyDescent="0.2">
      <c r="B2" s="471" t="s">
        <v>410</v>
      </c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241"/>
    </row>
    <row r="3" spans="2:19" x14ac:dyDescent="0.2">
      <c r="B3" s="471" t="s">
        <v>411</v>
      </c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x14ac:dyDescent="0.2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x14ac:dyDescent="0.2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x14ac:dyDescent="0.2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x14ac:dyDescent="0.2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x14ac:dyDescent="0.2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x14ac:dyDescent="0.2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x14ac:dyDescent="0.2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x14ac:dyDescent="0.2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x14ac:dyDescent="0.2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x14ac:dyDescent="0.2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x14ac:dyDescent="0.2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x14ac:dyDescent="0.2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x14ac:dyDescent="0.2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x14ac:dyDescent="0.2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x14ac:dyDescent="0.2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x14ac:dyDescent="0.2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v>628.70833333333326</v>
      </c>
      <c r="E82" s="272">
        <v>672.58333333333303</v>
      </c>
      <c r="F82" s="272">
        <v>589.02083333333303</v>
      </c>
      <c r="G82" s="272">
        <v>419.04166666666703</v>
      </c>
      <c r="H82" s="272">
        <v>172.458333333333</v>
      </c>
      <c r="I82" s="272">
        <v>124.833333333333</v>
      </c>
      <c r="J82" s="272">
        <v>16.5833333333333</v>
      </c>
      <c r="K82" s="272">
        <v>25.0833333333333</v>
      </c>
      <c r="L82" s="272">
        <v>116.666666666667</v>
      </c>
      <c r="M82" s="272">
        <v>366.375</v>
      </c>
      <c r="N82" s="272">
        <v>493.60416666666703</v>
      </c>
      <c r="O82" s="272"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x14ac:dyDescent="0.2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x14ac:dyDescent="0.2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x14ac:dyDescent="0.2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x14ac:dyDescent="0.2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x14ac:dyDescent="0.2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x14ac:dyDescent="0.2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x14ac:dyDescent="0.2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x14ac:dyDescent="0.2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x14ac:dyDescent="0.2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x14ac:dyDescent="0.2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x14ac:dyDescent="0.2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x14ac:dyDescent="0.2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x14ac:dyDescent="0.2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x14ac:dyDescent="0.2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x14ac:dyDescent="0.2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x14ac:dyDescent="0.2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x14ac:dyDescent="0.2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x14ac:dyDescent="0.2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x14ac:dyDescent="0.2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x14ac:dyDescent="0.2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x14ac:dyDescent="0.2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x14ac:dyDescent="0.2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x14ac:dyDescent="0.2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x14ac:dyDescent="0.2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x14ac:dyDescent="0.2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x14ac:dyDescent="0.2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x14ac:dyDescent="0.2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x14ac:dyDescent="0.2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x14ac:dyDescent="0.2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x14ac:dyDescent="0.2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x14ac:dyDescent="0.2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x14ac:dyDescent="0.2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v>16245071.132224679</v>
      </c>
      <c r="E149" s="272">
        <v>-10094133.903440788</v>
      </c>
      <c r="F149" s="272">
        <v>630373.3332798481</v>
      </c>
      <c r="G149" s="272">
        <v>3139156.0031094402</v>
      </c>
      <c r="H149" s="272">
        <v>8688222.5962853134</v>
      </c>
      <c r="I149" s="272">
        <v>1709352.0919530019</v>
      </c>
      <c r="J149" s="272">
        <v>0</v>
      </c>
      <c r="K149" s="272">
        <v>0</v>
      </c>
      <c r="L149" s="272">
        <v>1067915.4227778688</v>
      </c>
      <c r="M149" s="272">
        <v>2175033.5573171079</v>
      </c>
      <c r="N149" s="272">
        <v>14656763.599435285</v>
      </c>
      <c r="O149" s="272"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v>236312.47551807761</v>
      </c>
      <c r="E150" s="272">
        <v>-142539.83520227671</v>
      </c>
      <c r="F150" s="272">
        <v>5630.268187135458</v>
      </c>
      <c r="G150" s="272">
        <v>22930.327251821756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24555.848958472256</v>
      </c>
      <c r="N150" s="272">
        <v>48593.865574755706</v>
      </c>
      <c r="O150" s="272"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v>728746.42588699982</v>
      </c>
      <c r="E151" s="272">
        <v>-409771.28147083148</v>
      </c>
      <c r="F151" s="272">
        <v>12863.452807337046</v>
      </c>
      <c r="G151" s="272">
        <v>180403.77861916646</v>
      </c>
      <c r="H151" s="272">
        <v>488124.25953488797</v>
      </c>
      <c r="I151" s="272">
        <v>130561.97256299853</v>
      </c>
      <c r="J151" s="272">
        <v>0</v>
      </c>
      <c r="K151" s="272">
        <v>0</v>
      </c>
      <c r="L151" s="272">
        <v>76403.046457555145</v>
      </c>
      <c r="M151" s="272">
        <v>79407.407077778131</v>
      </c>
      <c r="N151" s="272">
        <v>703675.8156241551</v>
      </c>
      <c r="O151" s="272"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x14ac:dyDescent="0.2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x14ac:dyDescent="0.2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x14ac:dyDescent="0.2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x14ac:dyDescent="0.2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x14ac:dyDescent="0.2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x14ac:dyDescent="0.2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x14ac:dyDescent="0.2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x14ac:dyDescent="0.2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x14ac:dyDescent="0.2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x14ac:dyDescent="0.2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x14ac:dyDescent="0.2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x14ac:dyDescent="0.2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x14ac:dyDescent="0.2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x14ac:dyDescent="0.2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x14ac:dyDescent="0.2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x14ac:dyDescent="0.2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x14ac:dyDescent="0.2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x14ac:dyDescent="0.2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x14ac:dyDescent="0.2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x14ac:dyDescent="0.2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x14ac:dyDescent="0.2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x14ac:dyDescent="0.2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x14ac:dyDescent="0.2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x14ac:dyDescent="0.2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x14ac:dyDescent="0.2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x14ac:dyDescent="0.2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x14ac:dyDescent="0.2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x14ac:dyDescent="0.2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x14ac:dyDescent="0.2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x14ac:dyDescent="0.2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x14ac:dyDescent="0.2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x14ac:dyDescent="0.2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x14ac:dyDescent="0.2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x14ac:dyDescent="0.2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x14ac:dyDescent="0.2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x14ac:dyDescent="0.2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x14ac:dyDescent="0.2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x14ac:dyDescent="0.2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x14ac:dyDescent="0.2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x14ac:dyDescent="0.2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x14ac:dyDescent="0.2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x14ac:dyDescent="0.2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x14ac:dyDescent="0.2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x14ac:dyDescent="0.2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x14ac:dyDescent="0.2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45" sqref="N4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workbookViewId="0"/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</row>
    <row r="2" spans="2:14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</row>
    <row r="3" spans="2:14" x14ac:dyDescent="0.25">
      <c r="B3" s="455" t="s">
        <v>359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</row>
    <row r="4" spans="2:14" x14ac:dyDescent="0.25">
      <c r="B4" s="455" t="s">
        <v>431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464" t="s">
        <v>23</v>
      </c>
      <c r="E6" s="464"/>
      <c r="F6" s="464"/>
      <c r="G6" s="341"/>
      <c r="H6" s="464" t="s">
        <v>260</v>
      </c>
      <c r="I6" s="464"/>
      <c r="J6" s="464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566391395.85856187</v>
      </c>
      <c r="F11" s="344">
        <f>E11/D11</f>
        <v>0.92296937989517747</v>
      </c>
      <c r="G11" s="9"/>
      <c r="H11" s="357">
        <f>'Base Rate Impacts'!$D$10</f>
        <v>613662173.62800002</v>
      </c>
      <c r="I11" s="358">
        <f>'Combined Impacts'!U11</f>
        <v>586597104.09606957</v>
      </c>
      <c r="J11" s="344">
        <f>I11/H11</f>
        <v>0.95589581581683536</v>
      </c>
      <c r="K11" s="317"/>
      <c r="L11" s="224">
        <f>(I11-E11)/E11</f>
        <v>3.567446183902382E-2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8712.3262358905249</v>
      </c>
      <c r="J12" s="344">
        <f t="shared" ref="J12:J23" si="1">I12/H12</f>
        <v>0.9323875500412373</v>
      </c>
      <c r="K12" s="317"/>
      <c r="L12" s="224">
        <f t="shared" ref="L12:L23" si="2">(I12-E12)/E12</f>
        <v>3.7907901525343526E-2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180390543.95671842</v>
      </c>
      <c r="F13" s="344">
        <f t="shared" si="0"/>
        <v>0.77672445401411194</v>
      </c>
      <c r="G13" s="9"/>
      <c r="H13" s="357">
        <f>'Base Rate Impacts'!$D$12</f>
        <v>232245222.90300003</v>
      </c>
      <c r="I13" s="358">
        <f>'Combined Impacts'!U13</f>
        <v>192434675.4192546</v>
      </c>
      <c r="J13" s="344">
        <f t="shared" si="1"/>
        <v>0.82858399847314501</v>
      </c>
      <c r="K13" s="317"/>
      <c r="L13" s="224">
        <f t="shared" si="2"/>
        <v>6.6766977904484659E-2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37710366.547654875</v>
      </c>
      <c r="F14" s="344">
        <f t="shared" si="0"/>
        <v>0.57574955767086711</v>
      </c>
      <c r="G14" s="9"/>
      <c r="H14" s="357">
        <f>'Base Rate Impacts'!$D$13</f>
        <v>65497864.558000013</v>
      </c>
      <c r="I14" s="358">
        <f>'Combined Impacts'!U14</f>
        <v>37218949.186080687</v>
      </c>
      <c r="J14" s="344">
        <f t="shared" si="1"/>
        <v>0.56824675792479262</v>
      </c>
      <c r="K14" s="317"/>
      <c r="L14" s="224">
        <f t="shared" si="2"/>
        <v>-1.3031359983021646E-2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6463368.2911968278</v>
      </c>
      <c r="F15" s="344">
        <f t="shared" si="0"/>
        <v>0.40938490519175325</v>
      </c>
      <c r="G15" s="9"/>
      <c r="H15" s="357">
        <f>'Base Rate Impacts'!$D$14</f>
        <v>15787998.554000001</v>
      </c>
      <c r="I15" s="358">
        <f>'Combined Impacts'!U15</f>
        <v>6513255.8979321951</v>
      </c>
      <c r="J15" s="344">
        <f t="shared" si="1"/>
        <v>0.41254474882644421</v>
      </c>
      <c r="K15" s="317"/>
      <c r="L15" s="224">
        <f t="shared" si="2"/>
        <v>7.7185152520729394E-3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4901247.2836130001</v>
      </c>
      <c r="F16" s="344">
        <f t="shared" si="0"/>
        <v>0.55997379984198781</v>
      </c>
      <c r="G16" s="9"/>
      <c r="H16" s="357">
        <f>'Base Rate Impacts'!$D$15</f>
        <v>8752636.7929999996</v>
      </c>
      <c r="I16" s="358">
        <f>'Combined Impacts'!U16</f>
        <v>4786132.771906849</v>
      </c>
      <c r="J16" s="344">
        <f t="shared" si="1"/>
        <v>0.54682181896712567</v>
      </c>
      <c r="K16" s="317"/>
      <c r="L16" s="224">
        <f t="shared" si="2"/>
        <v>-2.3486778986040738E-2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7844353.5704910355</v>
      </c>
      <c r="F17" s="344">
        <f t="shared" si="0"/>
        <v>0.34282179469489565</v>
      </c>
      <c r="G17" s="9"/>
      <c r="H17" s="357">
        <f>'Base Rate Impacts'!$D$16</f>
        <v>22881723.659000002</v>
      </c>
      <c r="I17" s="358">
        <f>'Combined Impacts'!U17</f>
        <v>7946837.6504661283</v>
      </c>
      <c r="J17" s="344">
        <f t="shared" si="1"/>
        <v>0.34730065658058157</v>
      </c>
      <c r="K17" s="317"/>
      <c r="L17" s="224">
        <f t="shared" si="2"/>
        <v>1.3064694120955789E-2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22890.305158099989</v>
      </c>
      <c r="F18" s="344">
        <f t="shared" si="0"/>
        <v>0.72671765024425161</v>
      </c>
      <c r="G18" s="9"/>
      <c r="H18" s="357">
        <f>'Base Rate Impacts'!$D$17</f>
        <v>31498.21</v>
      </c>
      <c r="I18" s="358">
        <f>'Combined Impacts'!U18</f>
        <v>25047.512205199986</v>
      </c>
      <c r="J18" s="344">
        <f t="shared" si="1"/>
        <v>0.79520430542560949</v>
      </c>
      <c r="K18" s="317"/>
      <c r="L18" s="224">
        <f t="shared" si="2"/>
        <v>9.4241078578921667E-2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4494718.2555890949</v>
      </c>
      <c r="F19" s="344">
        <f t="shared" si="0"/>
        <v>0.21801014269209085</v>
      </c>
      <c r="G19" s="9"/>
      <c r="H19" s="357">
        <f>'Base Rate Impacts'!$D$18</f>
        <v>20617014.420000002</v>
      </c>
      <c r="I19" s="358">
        <f>'Combined Impacts'!U19</f>
        <v>4480839.8573276838</v>
      </c>
      <c r="J19" s="344">
        <f t="shared" si="1"/>
        <v>0.21733699002416876</v>
      </c>
      <c r="K19" s="317"/>
      <c r="L19" s="224">
        <f t="shared" si="2"/>
        <v>-3.0877126156135808E-3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7702239.644044417</v>
      </c>
      <c r="F20" s="344">
        <f t="shared" si="0"/>
        <v>0.10292686764999846</v>
      </c>
      <c r="G20" s="9"/>
      <c r="H20" s="357">
        <f>'Base Rate Impacts'!$D$19</f>
        <v>74832158.210000008</v>
      </c>
      <c r="I20" s="358">
        <f>'Combined Impacts'!U20</f>
        <v>8158059.5944155352</v>
      </c>
      <c r="J20" s="344">
        <f t="shared" si="1"/>
        <v>0.10901809849612694</v>
      </c>
      <c r="K20" s="317"/>
      <c r="L20" s="224">
        <f t="shared" si="2"/>
        <v>5.9180182834686373E-2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74541.786428736174</v>
      </c>
      <c r="J21" s="344">
        <f t="shared" si="1"/>
        <v>0.21219556204425394</v>
      </c>
      <c r="K21" s="317"/>
      <c r="L21" s="224">
        <f t="shared" si="2"/>
        <v>-2.6570973357317073E-2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4081215.6903120587</v>
      </c>
      <c r="F22" s="344">
        <f t="shared" si="0"/>
        <v>4.0719598108993914E-2</v>
      </c>
      <c r="G22" s="9"/>
      <c r="H22" s="357">
        <f>'Base Rate Impacts'!$D$21</f>
        <v>100227307.72999999</v>
      </c>
      <c r="I22" s="358">
        <f>'Combined Impacts'!U22</f>
        <v>4494244.8013078393</v>
      </c>
      <c r="J22" s="344">
        <f t="shared" si="1"/>
        <v>4.4840522040308424E-2</v>
      </c>
      <c r="K22" s="317"/>
      <c r="L22" s="224">
        <f t="shared" si="2"/>
        <v>0.1012024706207575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1896826.7019634768</v>
      </c>
      <c r="F23" s="344">
        <f t="shared" si="0"/>
        <v>5.1139993970711853E-2</v>
      </c>
      <c r="G23" s="325"/>
      <c r="H23" s="357">
        <f>'Base Rate Impacts'!$D$22</f>
        <v>37090866.75</v>
      </c>
      <c r="I23" s="358">
        <f>'Combined Impacts'!U23</f>
        <v>1781600.1644281603</v>
      </c>
      <c r="J23" s="344">
        <f t="shared" si="1"/>
        <v>4.8033392598682272E-2</v>
      </c>
      <c r="K23" s="317"/>
      <c r="L23" s="224">
        <f t="shared" si="2"/>
        <v>-6.0747003095243869E-2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821984136.72649479</v>
      </c>
      <c r="F24" s="345">
        <f>E24/D24</f>
        <v>0.68959147153013034</v>
      </c>
      <c r="G24" s="325"/>
      <c r="H24" s="343">
        <f>SUM(H11:H23)</f>
        <v>1191987097.6689999</v>
      </c>
      <c r="I24" s="16">
        <f>SUM(I11:I23)</f>
        <v>854520001.06405902</v>
      </c>
      <c r="J24" s="345">
        <f>I24/H24</f>
        <v>0.71688695518191647</v>
      </c>
      <c r="K24" s="318"/>
      <c r="L24" s="225">
        <f>(I24-E24)/E24</f>
        <v>3.9582107347152055E-2</v>
      </c>
      <c r="M24" s="307"/>
      <c r="N24" s="352">
        <f>L24-'Combined Impacts'!W24</f>
        <v>0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5220787.9399999995</v>
      </c>
      <c r="J29" s="355">
        <f>I29/H29</f>
        <v>14.855037117761039</v>
      </c>
      <c r="K29" s="317"/>
      <c r="L29" s="224">
        <f t="shared" ref="L29" si="3">(J29-F29)/F29</f>
        <v>-7.1476323473696202E-2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827606812.88649476</v>
      </c>
      <c r="F30" s="320"/>
      <c r="G30" s="38"/>
      <c r="H30" s="40"/>
      <c r="I30" s="333">
        <f>I24+I29</f>
        <v>859740789.00405908</v>
      </c>
      <c r="J30" s="320"/>
      <c r="K30" s="320"/>
      <c r="L30" s="225">
        <f>(I30-E30)/E30</f>
        <v>3.8827587710991276E-2</v>
      </c>
      <c r="M30" s="328"/>
      <c r="N30" s="352">
        <f>L30-'Combined Impacts'!W27</f>
        <v>1.1102230246251565E-16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566399789.98122251</v>
      </c>
      <c r="F34" s="349">
        <f>E34/D34</f>
        <v>0.92296900477720756</v>
      </c>
      <c r="G34" s="38"/>
      <c r="H34" s="346">
        <f>H11+H12</f>
        <v>613671517.73199999</v>
      </c>
      <c r="I34" s="35">
        <f>I11+I12</f>
        <v>586605816.42230546</v>
      </c>
      <c r="J34" s="349">
        <f>I34/H34</f>
        <v>0.95589545786689978</v>
      </c>
      <c r="K34" s="35"/>
      <c r="L34" s="224">
        <f>(I34-E34)/E34</f>
        <v>3.5674494938906724E-2</v>
      </c>
      <c r="M34" s="36"/>
      <c r="N34" s="352">
        <f>L34-'Combined Impacts'!W31</f>
        <v>6.9388939039072284E-17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180413434.26187652</v>
      </c>
      <c r="F35" s="349">
        <f t="shared" ref="F35:F40" si="5">E35/D35</f>
        <v>0.7767176727714673</v>
      </c>
      <c r="G35" s="38"/>
      <c r="H35" s="346">
        <f t="shared" ref="H35:I39" si="6">H13+H18</f>
        <v>232276721.11300004</v>
      </c>
      <c r="I35" s="35">
        <f t="shared" si="6"/>
        <v>192459722.93145981</v>
      </c>
      <c r="J35" s="349">
        <f t="shared" ref="J35:J40" si="7">I35/H35</f>
        <v>0.8285794719731312</v>
      </c>
      <c r="K35" s="35"/>
      <c r="L35" s="224">
        <f t="shared" ref="L35:L41" si="8">(I35-E35)/E35</f>
        <v>6.6770463734411672E-2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42205084.803243972</v>
      </c>
      <c r="F36" s="349">
        <f t="shared" si="5"/>
        <v>0.49010212061061148</v>
      </c>
      <c r="G36" s="38"/>
      <c r="H36" s="346">
        <f t="shared" si="6"/>
        <v>86114878.978000015</v>
      </c>
      <c r="I36" s="35">
        <f t="shared" si="6"/>
        <v>41699789.043408372</v>
      </c>
      <c r="J36" s="349">
        <f t="shared" si="7"/>
        <v>0.48423442659730753</v>
      </c>
      <c r="K36" s="35"/>
      <c r="L36" s="224">
        <f t="shared" si="8"/>
        <v>-1.1972390582585981E-2</v>
      </c>
      <c r="M36" s="39"/>
      <c r="N36" s="352">
        <f>L36-'Combined Impacts'!W33</f>
        <v>-4.3368086899420177E-17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14165607.935241245</v>
      </c>
      <c r="F37" s="349">
        <f t="shared" si="5"/>
        <v>0.15631851059508109</v>
      </c>
      <c r="G37" s="38"/>
      <c r="H37" s="346">
        <f t="shared" si="6"/>
        <v>90620156.764000013</v>
      </c>
      <c r="I37" s="35">
        <f t="shared" si="6"/>
        <v>14671315.49234773</v>
      </c>
      <c r="J37" s="349">
        <f t="shared" si="7"/>
        <v>0.16189903015237436</v>
      </c>
      <c r="K37" s="35"/>
      <c r="L37" s="224">
        <f t="shared" si="8"/>
        <v>3.5699672009726083E-2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4977823.7821439998</v>
      </c>
      <c r="F38" s="349">
        <f t="shared" si="5"/>
        <v>0.54677777039137876</v>
      </c>
      <c r="G38" s="38"/>
      <c r="H38" s="346">
        <f t="shared" si="6"/>
        <v>9103924.943</v>
      </c>
      <c r="I38" s="35">
        <f t="shared" si="6"/>
        <v>4860674.5583355855</v>
      </c>
      <c r="J38" s="349">
        <f t="shared" si="7"/>
        <v>0.53390977943781859</v>
      </c>
      <c r="K38" s="35"/>
      <c r="L38" s="224">
        <f t="shared" si="8"/>
        <v>-2.353422478084528E-2</v>
      </c>
      <c r="M38" s="39"/>
      <c r="N38" s="352">
        <f>L38-'Combined Impacts'!W35</f>
        <v>1.214306433183765E-16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11925569.260803094</v>
      </c>
      <c r="F39" s="349">
        <f t="shared" si="5"/>
        <v>9.6869978800504672E-2</v>
      </c>
      <c r="G39" s="38"/>
      <c r="H39" s="346">
        <f t="shared" si="6"/>
        <v>123109031.389</v>
      </c>
      <c r="I39" s="35">
        <f t="shared" si="6"/>
        <v>12441082.451773968</v>
      </c>
      <c r="J39" s="349">
        <f t="shared" si="7"/>
        <v>0.10105743105444984</v>
      </c>
      <c r="K39" s="35"/>
      <c r="L39" s="224">
        <f t="shared" si="8"/>
        <v>4.3227554148317249E-2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1896826.7019634768</v>
      </c>
      <c r="F40" s="349">
        <f t="shared" si="5"/>
        <v>5.1139993970711853E-2</v>
      </c>
      <c r="G40" s="38"/>
      <c r="H40" s="346">
        <f>H23</f>
        <v>37090866.75</v>
      </c>
      <c r="I40" s="35">
        <f>I23</f>
        <v>1781600.1644281603</v>
      </c>
      <c r="J40" s="349">
        <f t="shared" si="7"/>
        <v>4.8033392598682272E-2</v>
      </c>
      <c r="K40" s="35"/>
      <c r="L40" s="224">
        <f t="shared" si="8"/>
        <v>-6.0747003095243869E-2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821984136.72649467</v>
      </c>
      <c r="F41" s="350">
        <f>E41/D41</f>
        <v>0.68959147153013001</v>
      </c>
      <c r="G41" s="38"/>
      <c r="H41" s="347">
        <f>SUM(H34:H40)</f>
        <v>1191987097.6690001</v>
      </c>
      <c r="I41" s="334">
        <f>SUM(I34:I40)</f>
        <v>854520001.06405902</v>
      </c>
      <c r="J41" s="350">
        <f>I41/H41</f>
        <v>0.71688695518191636</v>
      </c>
      <c r="K41" s="324"/>
      <c r="L41" s="225">
        <f t="shared" si="8"/>
        <v>3.9582107347152208E-2</v>
      </c>
      <c r="M41" s="39"/>
      <c r="N41" s="352">
        <f>L41-'Combined Impacts'!W38</f>
        <v>1.457167719820518E-16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5220787.9399999995</v>
      </c>
      <c r="J43" s="351">
        <f>I43/H43</f>
        <v>14.855037117761039</v>
      </c>
      <c r="K43" s="323"/>
      <c r="L43" s="224">
        <f t="shared" ref="L43" si="9">(J43-F43)/F43</f>
        <v>-7.1476323473696202E-2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827606812.88649464</v>
      </c>
      <c r="F44" s="324"/>
      <c r="G44" s="38"/>
      <c r="H44" s="197"/>
      <c r="I44" s="334">
        <f>I41+I43</f>
        <v>859740789.00405908</v>
      </c>
      <c r="J44" s="324"/>
      <c r="K44" s="324"/>
      <c r="L44" s="225">
        <f>(I44-E44)/E44</f>
        <v>3.8827587710991429E-2</v>
      </c>
      <c r="M44" s="38"/>
      <c r="N44" s="352">
        <f>L44-'Combined Impacts'!W41</f>
        <v>2.5673907444456745E-16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I22" sqref="I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418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v>46411808.961668052</v>
      </c>
      <c r="R10" s="224">
        <f>Q10/P10</f>
        <v>8.1942997900444653E-2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v>713.11000000000058</v>
      </c>
      <c r="R11" s="224">
        <f t="shared" ref="R11:R23" si="1">Q11/P11</f>
        <v>8.4953488151960271E-2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180390543.95671842</v>
      </c>
      <c r="Q12" s="155">
        <v>20681847.389999993</v>
      </c>
      <c r="R12" s="224">
        <f t="shared" si="1"/>
        <v>0.11465039650283577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v>1147544.1200184245</v>
      </c>
      <c r="R13" s="224">
        <f t="shared" si="1"/>
        <v>3.0430468464639936E-2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v>254991.81013167996</v>
      </c>
      <c r="R14" s="224">
        <f t="shared" si="1"/>
        <v>3.9451845948339559E-2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v>73389.949999999968</v>
      </c>
      <c r="R15" s="224">
        <f t="shared" si="1"/>
        <v>1.4973729288333291E-2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v>255256.69999999995</v>
      </c>
      <c r="R16" s="224">
        <f t="shared" si="1"/>
        <v>3.2540182910702424E-2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v>3366.4399999999987</v>
      </c>
      <c r="R17" s="224">
        <f t="shared" si="1"/>
        <v>0.14706837574896839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v>290487.19235142216</v>
      </c>
      <c r="R18" s="224">
        <f t="shared" si="1"/>
        <v>6.4628565314457029E-2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v>1002139.2400000003</v>
      </c>
      <c r="R19" s="224">
        <f t="shared" si="1"/>
        <v>0.1301101090479419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v>2805.5499999999965</v>
      </c>
      <c r="R20" s="224">
        <f t="shared" si="1"/>
        <v>3.6637219692987694E-2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v>768239.27</v>
      </c>
      <c r="R21" s="224">
        <f t="shared" si="1"/>
        <v>0.18823785075207794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387">
        <v>0</v>
      </c>
      <c r="R22" s="224">
        <f t="shared" si="1"/>
        <v>0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70892589.734169558</v>
      </c>
      <c r="R23" s="225">
        <f t="shared" si="1"/>
        <v>8.6245690843250664E-2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v>-174501.16999999984</v>
      </c>
      <c r="R25" s="224">
        <f>Q25/P25</f>
        <v>-3.1035251726110411E-2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70718088.564169556</v>
      </c>
      <c r="R26" s="225">
        <f>Q26/P26</f>
        <v>8.544889609780007E-2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46412522.071668051</v>
      </c>
      <c r="R30" s="224">
        <f t="shared" ref="R30:R37" si="6">Q30/P30</f>
        <v>8.1943042516323561E-2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20685213.829999994</v>
      </c>
      <c r="R31" s="224">
        <f t="shared" si="6"/>
        <v>0.11465450959696644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1438031.3123698467</v>
      </c>
      <c r="R32" s="224">
        <f t="shared" si="6"/>
        <v>3.4072465890634028E-2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1257131.0501316802</v>
      </c>
      <c r="R33" s="224">
        <f t="shared" si="6"/>
        <v>8.874529465157549E-2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76195.499999999971</v>
      </c>
      <c r="R34" s="224">
        <f t="shared" si="6"/>
        <v>1.5306990230012077E-2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1023495.97</v>
      </c>
      <c r="R35" s="224">
        <f t="shared" si="6"/>
        <v>8.5823657354791597E-2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0</v>
      </c>
      <c r="R36" s="224">
        <f t="shared" si="6"/>
        <v>0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70892589.734169573</v>
      </c>
      <c r="R37" s="225">
        <f t="shared" si="6"/>
        <v>8.6245690843250705E-2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-174501.16999999984</v>
      </c>
      <c r="R39" s="224">
        <f>Q39/P39</f>
        <v>-3.1035251726110411E-2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70718088.564169571</v>
      </c>
      <c r="R40" s="225">
        <f>Q40/P40</f>
        <v>8.5448896097800098E-2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R10" sqref="R10:R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424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f>SUM('Schedule 141 Revenue'!$H$9:$H$14)</f>
        <v>-19326947.757790502</v>
      </c>
      <c r="R10" s="224">
        <f>Q10/P10</f>
        <v>-3.4122954372380311E-2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180390543.95671842</v>
      </c>
      <c r="Q12" s="155">
        <f>SUM('Schedule 141 Revenue'!$H$20:$H$22)</f>
        <v>-6110887.9022791656</v>
      </c>
      <c r="R12" s="224">
        <f t="shared" si="1"/>
        <v>-3.3875877128822049E-2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f>SUM('Schedule 141 Revenue'!$H$32:$H$41)</f>
        <v>-1231564.7640418469</v>
      </c>
      <c r="R13" s="224">
        <f t="shared" si="1"/>
        <v>-3.2658520104425638E-2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f>SUM('Schedule 141 Revenue'!$H$54:$H$61)</f>
        <v>-152845.92818257306</v>
      </c>
      <c r="R14" s="224">
        <f t="shared" si="1"/>
        <v>-2.3648030144089227E-2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f>SUM('Schedule 141 Revenue'!$H$73:$H$79)</f>
        <v>-152181.0190152016</v>
      </c>
      <c r="R15" s="224">
        <f t="shared" si="1"/>
        <v>-3.1049447254785305E-2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f>SUM('Schedule 141 Revenue'!$H$91:$H$101)</f>
        <v>-106551.53823372703</v>
      </c>
      <c r="R16" s="224">
        <f t="shared" si="1"/>
        <v>-1.3583214636646877E-2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f>SUM('Schedule 141 Revenue'!$H$25:$H$26)</f>
        <v>-866.53242810000165</v>
      </c>
      <c r="R17" s="224">
        <f t="shared" si="1"/>
        <v>-3.7855870514394145E-2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f>SUM('Schedule 141 Revenue'!$H$44:$H$51)</f>
        <v>-176127.76092043327</v>
      </c>
      <c r="R18" s="224">
        <f t="shared" si="1"/>
        <v>-3.9185495264674672E-2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f>SUM('Schedule 141 Revenue'!$H$64:$H$70)</f>
        <v>-298624.84595378366</v>
      </c>
      <c r="R19" s="224">
        <f t="shared" si="1"/>
        <v>-3.8771170432834894E-2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f>SUM('Schedule 141 Revenue'!$H$104:$H$114)</f>
        <v>-152750.99738961991</v>
      </c>
      <c r="R21" s="224">
        <f t="shared" si="1"/>
        <v>-3.7427817831882398E-2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155">
        <f>'Schedule 141 Revenue'!$H$139</f>
        <v>-35274.722042470239</v>
      </c>
      <c r="R22" s="224">
        <f t="shared" si="1"/>
        <v>-1.8596702590677389E-2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-27748296.343576133</v>
      </c>
      <c r="R23" s="225">
        <f t="shared" si="1"/>
        <v>-3.375770298205772E-2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-27975683.393576134</v>
      </c>
      <c r="R26" s="225">
        <f>Q26/P26</f>
        <v>-3.3803109106851886E-2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-19327237.916809451</v>
      </c>
      <c r="R30" s="224">
        <f t="shared" ref="R30:R37" si="6">Q30/P30</f>
        <v>-3.4122960952104507E-2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-6111754.4347072653</v>
      </c>
      <c r="R31" s="224">
        <f t="shared" si="6"/>
        <v>-3.3876382098219117E-2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-1407692.5249622802</v>
      </c>
      <c r="R32" s="224">
        <f t="shared" si="6"/>
        <v>-3.3353623894485859E-2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-451470.77413635672</v>
      </c>
      <c r="R33" s="224">
        <f t="shared" si="6"/>
        <v>-3.1870907072981056E-2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-155563.43529496543</v>
      </c>
      <c r="R34" s="224">
        <f t="shared" si="6"/>
        <v>-3.1251294160510167E-2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-259302.53562334692</v>
      </c>
      <c r="R35" s="224">
        <f t="shared" si="6"/>
        <v>-2.1743409471916893E-2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-35274.722042470239</v>
      </c>
      <c r="R36" s="224">
        <f t="shared" si="6"/>
        <v>-1.8596702590677389E-2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-27748296.343576137</v>
      </c>
      <c r="R37" s="225">
        <f t="shared" si="6"/>
        <v>-3.3757702982057727E-2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-27975683.393576138</v>
      </c>
      <c r="R40" s="225">
        <f>Q40/P40</f>
        <v>-3.3803109106851893E-2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workbookViewId="0">
      <selection activeCell="Q10" sqref="Q10:Q2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454" t="s">
        <v>0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2:19" x14ac:dyDescent="0.25">
      <c r="B2" s="454" t="s">
        <v>395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2:19" x14ac:dyDescent="0.25">
      <c r="B3" s="455" t="s">
        <v>399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</row>
    <row r="4" spans="2:19" x14ac:dyDescent="0.25">
      <c r="B4" s="455" t="s">
        <v>423</v>
      </c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v>314232967.94945621</v>
      </c>
      <c r="F10" s="155">
        <v>199011335.95540369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566391395.85856187</v>
      </c>
      <c r="Q10" s="155">
        <f>SUM('Schedule 141X Revenue'!$H$9:$H$14)</f>
        <v>0</v>
      </c>
      <c r="R10" s="224">
        <f>Q10/P10</f>
        <v>0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v>4765.4930399999994</v>
      </c>
      <c r="F11" s="155"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0</v>
      </c>
      <c r="R11" s="224">
        <f t="shared" ref="R11:R23" si="1">Q11/P11</f>
        <v>0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v>93351851.617179528</v>
      </c>
      <c r="F12" s="155">
        <v>74627493.024304256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180390543.95671842</v>
      </c>
      <c r="Q12" s="155">
        <f>SUM('Schedule 141X Revenue'!$H$20:$H$22)</f>
        <v>0</v>
      </c>
      <c r="R12" s="224">
        <f t="shared" si="1"/>
        <v>0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v>15357393.354207646</v>
      </c>
      <c r="F13" s="155">
        <v>19641243.508605015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37710366.547654875</v>
      </c>
      <c r="Q13" s="155">
        <f>SUM('Schedule 141X Revenue'!$H$32:$H$41)</f>
        <v>0</v>
      </c>
      <c r="R13" s="224">
        <f t="shared" si="1"/>
        <v>0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v>1574656.0581419282</v>
      </c>
      <c r="F14" s="155">
        <v>4463767.9044811996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6463368.2911968278</v>
      </c>
      <c r="Q14" s="155">
        <f>SUM('Schedule 141X Revenue'!$H$54:$H$61)</f>
        <v>0</v>
      </c>
      <c r="R14" s="224">
        <f t="shared" si="1"/>
        <v>0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v>1991251.2679536608</v>
      </c>
      <c r="F15" s="155">
        <v>2604595.2839002307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4901247.2836130001</v>
      </c>
      <c r="Q15" s="155">
        <f>SUM('Schedule 141X Revenue'!$H$73:$H$79)</f>
        <v>0</v>
      </c>
      <c r="R15" s="224">
        <f t="shared" si="1"/>
        <v>0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v>1086501.2163457461</v>
      </c>
      <c r="F16" s="155">
        <v>6311269.7223163992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7844353.5704910355</v>
      </c>
      <c r="Q16" s="155">
        <f>SUM('Schedule 141X Revenue'!$H$91:$H$101)</f>
        <v>0</v>
      </c>
      <c r="R16" s="224">
        <f t="shared" si="1"/>
        <v>0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v>21683.750094999999</v>
      </c>
      <c r="F17" s="155">
        <v>25.451453999999998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22890.305158099989</v>
      </c>
      <c r="Q17" s="155">
        <f>SUM('Schedule 141X Revenue'!$H$25:$H$26)</f>
        <v>0</v>
      </c>
      <c r="R17" s="224">
        <f t="shared" si="1"/>
        <v>0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v>4121663.3770870939</v>
      </c>
      <c r="F18" s="155">
        <v>14344.634646999997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4494718.2555890949</v>
      </c>
      <c r="Q18" s="155">
        <f>SUM('Schedule 141X Revenue'!$H$44:$H$51)</f>
        <v>0</v>
      </c>
      <c r="R18" s="224">
        <f t="shared" si="1"/>
        <v>0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v>6937069.5570107177</v>
      </c>
      <c r="F19" s="155">
        <v>52341.477341999998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7702239.644044417</v>
      </c>
      <c r="Q19" s="155">
        <f>SUM('Schedule 141X Revenue'!$H$64:$H$70)</f>
        <v>0</v>
      </c>
      <c r="R19" s="224">
        <f t="shared" si="1"/>
        <v>0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v>70956.431430000011</v>
      </c>
      <c r="F20" s="155"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0</v>
      </c>
      <c r="R20" s="224">
        <f t="shared" si="1"/>
        <v>0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v>3532189.2841777592</v>
      </c>
      <c r="F21" s="155">
        <v>70308.789019000003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4081215.6903120587</v>
      </c>
      <c r="Q21" s="155">
        <f>SUM('Schedule 141X Revenue'!$H$104:$H$114)</f>
        <v>0</v>
      </c>
      <c r="R21" s="224">
        <f t="shared" si="1"/>
        <v>0</v>
      </c>
    </row>
    <row r="22" spans="2:21" x14ac:dyDescent="0.25">
      <c r="B22" t="s">
        <v>13</v>
      </c>
      <c r="D22" s="183">
        <f>'Normalized Therms'!P22</f>
        <v>37090866.75</v>
      </c>
      <c r="E22" s="155">
        <v>1718916.5996206603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1896826.7019634768</v>
      </c>
      <c r="Q22" s="155">
        <f>'Schedule 141X Revenue'!$H$139</f>
        <v>11662.625379653648</v>
      </c>
      <c r="R22" s="224">
        <f t="shared" si="1"/>
        <v>6.1484928315176206E-3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444001865.95574594</v>
      </c>
      <c r="F23" s="16">
        <f t="shared" ref="F23:H23" si="2">SUM(F10:F22)</f>
        <v>306800025.69980091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821984136.72649479</v>
      </c>
      <c r="Q23" s="16">
        <f>SUM(Q10:Q22)</f>
        <v>11662.625379653648</v>
      </c>
      <c r="R23" s="225">
        <f t="shared" si="1"/>
        <v>1.4188382547258626E-5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0</v>
      </c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449312246.64574593</v>
      </c>
      <c r="F26" s="30">
        <f t="shared" ref="F26:H26" si="4">F23+F25</f>
        <v>306800025.69980091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827606812.88649476</v>
      </c>
      <c r="Q26" s="30">
        <f t="shared" si="5"/>
        <v>11662.625379653648</v>
      </c>
      <c r="R26" s="225">
        <f>Q26/P26</f>
        <v>1.4091988125348071E-5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314237733.44249624</v>
      </c>
      <c r="I30" s="35"/>
      <c r="M30" s="35"/>
      <c r="N30" s="35"/>
      <c r="P30" s="35">
        <f>P10+P11</f>
        <v>566399789.98122251</v>
      </c>
      <c r="Q30" s="12">
        <f>SUM(Q10:Q11)</f>
        <v>0</v>
      </c>
      <c r="R30" s="224">
        <f t="shared" ref="R30:R37" si="6">Q30/P30</f>
        <v>0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93373535.367274523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180413434.26187652</v>
      </c>
      <c r="Q31" s="12">
        <f>SUM(Q12,Q17)</f>
        <v>0</v>
      </c>
      <c r="R31" s="224">
        <f t="shared" si="6"/>
        <v>0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19479056.73129474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42205084.803243972</v>
      </c>
      <c r="Q32" s="12">
        <f>SUM(Q13,Q18)</f>
        <v>0</v>
      </c>
      <c r="R32" s="224">
        <f t="shared" si="6"/>
        <v>0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8511725.6151526459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14165607.935241245</v>
      </c>
      <c r="Q33" s="12">
        <f>SUM(Q14,Q19)</f>
        <v>0</v>
      </c>
      <c r="R33" s="224">
        <f t="shared" si="6"/>
        <v>0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2062207.6993836609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4977823.7821439998</v>
      </c>
      <c r="Q34" s="12">
        <f>SUM(Q15,Q20)</f>
        <v>0</v>
      </c>
      <c r="R34" s="224">
        <f t="shared" si="6"/>
        <v>0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4618690.5005235057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11925569.260803094</v>
      </c>
      <c r="Q35" s="12">
        <f>SUM(Q16,Q21)</f>
        <v>0</v>
      </c>
      <c r="R35" s="224">
        <f t="shared" si="6"/>
        <v>0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1718916.5996206603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1896826.7019634768</v>
      </c>
      <c r="Q36" s="12">
        <f>Q22</f>
        <v>11662.625379653648</v>
      </c>
      <c r="R36" s="224">
        <f t="shared" si="6"/>
        <v>6.1484928315176206E-3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444001865.955746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821984136.72649467</v>
      </c>
      <c r="Q37" s="41">
        <f>SUM(Q30:Q36)</f>
        <v>11662.625379653648</v>
      </c>
      <c r="R37" s="225">
        <f t="shared" si="6"/>
        <v>1.418838254725863E-5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449312246.64574599</v>
      </c>
      <c r="I40" s="195"/>
      <c r="M40" s="195"/>
      <c r="N40" s="195"/>
      <c r="P40" s="41">
        <f>P39+P37</f>
        <v>827606812.88649464</v>
      </c>
      <c r="Q40" s="41">
        <f>Q39+Q37</f>
        <v>11662.625379653648</v>
      </c>
      <c r="R40" s="225">
        <f>Q40/P40</f>
        <v>1.4091988125348073E-5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Visibility xmlns="dc463f71-b30c-4ab2-9473-d307f9d35888">Full Visibility</Visibility>
    <DocumentSetType xmlns="dc463f71-b30c-4ab2-9473-d307f9d35888">Testimony</DocumentSetType>
    <IsConfidential xmlns="dc463f71-b30c-4ab2-9473-d307f9d35888">false</IsConfidential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AgendaOrder xmlns="dc463f71-b30c-4ab2-9473-d307f9d35888">false</AgendaOrder>
    <SignificantOrder xmlns="dc463f71-b30c-4ab2-9473-d307f9d35888">false</SignificantOrder>
    <DelegatedOrder xmlns="dc463f71-b30c-4ab2-9473-d307f9d35888">false</DelegatedOrder>
  </documentManagement>
</p:properti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7DD013-249F-408F-9066-699F7442AF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217F39-1209-4427-AA9E-B493A3253A70}">
  <ds:schemaRefs>
    <ds:schemaRef ds:uri="24f70c62-691b-492e-ba59-9d389529a97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0689114-bdb9-4146-803a-240f5368dce0"/>
    <ds:schemaRef ds:uri="http://purl.org/dc/terms/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6C81371-9007-4A93-8AE4-D16DE6FEC963}"/>
</file>

<file path=customXml/itemProps4.xml><?xml version="1.0" encoding="utf-8"?>
<ds:datastoreItem xmlns:ds="http://schemas.openxmlformats.org/officeDocument/2006/customXml" ds:itemID="{67029FE4-193D-48D9-BAC4-4DF1F0A057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26</vt:i4>
      </vt:variant>
    </vt:vector>
  </HeadingPairs>
  <TitlesOfParts>
    <vt:vector size="56" baseType="lpstr">
      <vt:lpstr>Combined Impacts</vt:lpstr>
      <vt:lpstr>Typical Res Bill Impact</vt:lpstr>
      <vt:lpstr>Staff RES Bill Impacts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'Staff RES Bill Impacts'!Print_Area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KXu</dc:creator>
  <dc:description/>
  <cp:lastModifiedBy>Ball, Jason (UTC)</cp:lastModifiedBy>
  <cp:lastPrinted>2019-11-21T21:37:30Z</cp:lastPrinted>
  <dcterms:created xsi:type="dcterms:W3CDTF">2015-03-25T23:20:22Z</dcterms:created>
  <dcterms:modified xsi:type="dcterms:W3CDTF">2019-11-21T21:37:37Z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kwsk">
    <vt:lpwstr/>
  </property>
  <property fmtid="{D5CDD505-2E9C-101B-9397-08002B2CF9AE}" pid="5" name="EfsecDocumentType">
    <vt:lpwstr>Documents</vt:lpwstr>
  </property>
  <property fmtid="{D5CDD505-2E9C-101B-9397-08002B2CF9AE}" pid="11" name="IsOfficialRecord">
    <vt:bool>false</vt:bool>
  </property>
  <property fmtid="{D5CDD505-2E9C-101B-9397-08002B2CF9AE}" pid="12" name="IsVisibleToEfsecCouncil">
    <vt:bool>false</vt:bool>
  </property>
  <property fmtid="{D5CDD505-2E9C-101B-9397-08002B2CF9AE}" pid="19" name="_docset_NoMedatataSyncRequired">
    <vt:lpwstr>False</vt:lpwstr>
  </property>
  <property fmtid="{D5CDD505-2E9C-101B-9397-08002B2CF9AE}" pid="20" name="IsEFSEC">
    <vt:bool>false</vt:bool>
  </property>
</Properties>
</file>